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3.xml" ContentType="application/vnd.openxmlformats-officedocument.drawingml.chartshapes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4.xml" ContentType="application/vnd.openxmlformats-officedocument.drawingml.chartshapes+xml"/>
  <Override PartName="/xl/drawings/drawing5.xml" ContentType="application/vnd.openxmlformats-officedocument.drawing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6.xml" ContentType="application/vnd.openxmlformats-officedocument.drawingml.chartshapes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7.xml" ContentType="application/vnd.openxmlformats-officedocument.drawing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comments3.xml" ContentType="application/vnd.openxmlformats-officedocument.spreadsheetml.comments+xml"/>
  <Override PartName="/xl/threadedComments/threadedComment3.xml" ContentType="application/vnd.ms-excel.threadedcomments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8.xml" ContentType="application/vnd.openxmlformats-officedocument.drawingml.chartshapes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9.xml" ContentType="application/vnd.openxmlformats-officedocument.drawingml.chartshapes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10.xml" ContentType="application/vnd.openxmlformats-officedocument.drawingml.chartshapes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11.xml" ContentType="application/vnd.openxmlformats-officedocument.drawingml.chartshapes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drawings/drawing12.xml" ContentType="application/vnd.openxmlformats-officedocument.drawingml.chartshapes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hidePivotFieldList="1"/>
  <mc:AlternateContent xmlns:mc="http://schemas.openxmlformats.org/markup-compatibility/2006">
    <mc:Choice Requires="x15">
      <x15ac:absPath xmlns:x15ac="http://schemas.microsoft.com/office/spreadsheetml/2010/11/ac" url="D:\COVID-19\"/>
    </mc:Choice>
  </mc:AlternateContent>
  <xr:revisionPtr revIDLastSave="0" documentId="13_ncr:1_{876A06D5-0863-444A-8D18-31414A4B2BC2}" xr6:coauthVersionLast="45" xr6:coauthVersionMax="45" xr10:uidLastSave="{00000000-0000-0000-0000-000000000000}"/>
  <bookViews>
    <workbookView xWindow="-108" yWindow="-108" windowWidth="23256" windowHeight="12576" firstSheet="2" activeTab="3" xr2:uid="{00000000-000D-0000-FFFF-FFFF00000000}"/>
  </bookViews>
  <sheets>
    <sheet name="time_series_covid19_confirmed_g" sheetId="25" r:id="rId1"/>
    <sheet name="dpc-covid19-ita-andamento-naz" sheetId="18" r:id="rId2"/>
    <sheet name="dpc-covid19-ita-regioni" sheetId="20" r:id="rId3"/>
    <sheet name="Cumul_removed_bSIR" sheetId="22" r:id="rId4"/>
    <sheet name="New_removed - bSIR" sheetId="23" r:id="rId5"/>
    <sheet name="New_removed_rate - bSIR" sheetId="24" r:id="rId6"/>
  </sheets>
  <definedNames>
    <definedName name="_xlcn.WorksheetConnection_COVID19ItalycasestrendBfit.xlsxdpc_covid19_ita_andamento_nazionale" hidden="1">dpc_covid19_ita_andamento_nazionale</definedName>
    <definedName name="alpha">'New_removed_rate - bSIR'!$I$6</definedName>
    <definedName name="CI">Cumul_removed_bSIR!$AD$16</definedName>
    <definedName name="CIa">'New_removed - bSIR'!$AS$41</definedName>
    <definedName name="CIf">'New_removed - bSIR'!$AS$54</definedName>
    <definedName name="CIl">'New_removed - bSIR'!$AS$28</definedName>
    <definedName name="CIl_m">'New_removed - bSIR'!$AV$28</definedName>
    <definedName name="CIo">Cumul_removed_bSIR!$AD$38</definedName>
    <definedName name="CIr">Cumul_removed_bSIR!$AD$27</definedName>
    <definedName name="CIt">Cumul_removed_bSIR!$AD$49</definedName>
    <definedName name="CIw">'New_removed - bSIR'!$AS$16</definedName>
    <definedName name="Critical_t">Cumul_removed_bSIR!$AD$15</definedName>
    <definedName name="Critical_ta">'New_removed - bSIR'!$AS$40</definedName>
    <definedName name="Critical_tf">'New_removed - bSIR'!$AS$53</definedName>
    <definedName name="Critical_tl">'New_removed - bSIR'!$AS$27</definedName>
    <definedName name="Critical_tl_m">'New_removed - bSIR'!$AV$27</definedName>
    <definedName name="Critical_to">Cumul_removed_bSIR!$AD$37</definedName>
    <definedName name="Critical_tr">Cumul_removed_bSIR!$AD$26</definedName>
    <definedName name="Critical_tt">Cumul_removed_bSIR!$AD$48</definedName>
    <definedName name="Critical_tw">'New_removed - bSIR'!$AS$15</definedName>
    <definedName name="D_bk">'New_removed - bSIR'!$J$6</definedName>
    <definedName name="DatiEsterni_1" localSheetId="1" hidden="1">'dpc-covid19-ita-andamento-naz'!$A$1:$P$83</definedName>
    <definedName name="DatiEsterni_1" localSheetId="2" hidden="1">'dpc-covid19-ita-regioni'!$A$1:$T$1702</definedName>
    <definedName name="DatiEsterni_1" localSheetId="0" hidden="1">time_series_covid19_confirmed_g!$A$1:$CT$266</definedName>
    <definedName name="DatiEsterni_2" localSheetId="1" hidden="1">'dpc-covid19-ita-andamento-naz'!#REF!</definedName>
    <definedName name="Day_1">'New_removed - bSIR'!$C$62</definedName>
    <definedName name="Days_back">Cumul_removed_bSIR!$H$6</definedName>
    <definedName name="df">Cumul_removed_bSIR!$AD$12</definedName>
    <definedName name="dfa">'New_removed - bSIR'!$AS$37</definedName>
    <definedName name="dff">'New_removed - bSIR'!$AS$50</definedName>
    <definedName name="dfl">'New_removed - bSIR'!$AS$24</definedName>
    <definedName name="dfl_m">'New_removed - bSIR'!$AV$24</definedName>
    <definedName name="dfo">Cumul_removed_bSIR!$AD$34</definedName>
    <definedName name="dfr">Cumul_removed_bSIR!$AD$23</definedName>
    <definedName name="dft">Cumul_removed_bSIR!$AD$45</definedName>
    <definedName name="dfw">'New_removed - bSIR'!$AS$12</definedName>
    <definedName name="Itali_acc_at_lockdown">'New_removed_rate - bSIR'!$Z$4</definedName>
    <definedName name="Italy_dt_at_lockdown">'New_removed_rate - bSIR'!$I$4</definedName>
    <definedName name="Italy_gr_at_lockdown">'New_removed_rate - bSIR'!$P$4</definedName>
    <definedName name="Italy_ht_at_lockdown">'New_removed_rate - bSIR'!$X$4</definedName>
    <definedName name="k_a">'New_removed - bSIR'!$AP$4</definedName>
    <definedName name="k_f">'New_removed - bSIR'!$AP$5</definedName>
    <definedName name="k_l">'New_removed - bSIR'!$AP$3</definedName>
    <definedName name="K_sum">Cumul_removed_bSIR!$AD$17</definedName>
    <definedName name="Ka">'New_removed - bSIR'!$AS$33</definedName>
    <definedName name="Kf">'New_removed - bSIR'!$AS$46</definedName>
    <definedName name="Kl">'New_removed - bSIR'!$AS$20</definedName>
    <definedName name="kl_m">'New_removed - bSIR'!$AV$20</definedName>
    <definedName name="Ko">Cumul_removed_bSIR!$AD$30</definedName>
    <definedName name="Kr">Cumul_removed_bSIR!$AD$19</definedName>
    <definedName name="Kt">Cumul_removed_bSIR!$AD$41</definedName>
    <definedName name="Mean_of_y">Cumul_removed_bSIR!$AD$11</definedName>
    <definedName name="Mean_of_ya">'New_removed - bSIR'!$AS$36</definedName>
    <definedName name="Mean_of_yf">'New_removed - bSIR'!$AS$49</definedName>
    <definedName name="Mean_of_yl">'New_removed - bSIR'!$AS$23</definedName>
    <definedName name="Mean_of_yl_m">'New_removed - bSIR'!$AV$23</definedName>
    <definedName name="Mean_of_yo">Cumul_removed_bSIR!$AD$33</definedName>
    <definedName name="Mean_of_yr">Cumul_removed_bSIR!$AD$22</definedName>
    <definedName name="Mean_of_yt">Cumul_removed_bSIR!$AD$44</definedName>
    <definedName name="Mean_of_yw">'New_removed - bSIR'!$AS$11</definedName>
    <definedName name="Oggi">Cumul_removed_bSIR!$B$6</definedName>
    <definedName name="pa">'New_removed - bSIR'!$AS$44</definedName>
    <definedName name="Peak_w">'New_removed - bSIR'!$AS$17</definedName>
    <definedName name="pf">'New_removed - bSIR'!$AS$57</definedName>
    <definedName name="phi_a">'New_removed - bSIR'!$AS$34</definedName>
    <definedName name="phi_f">'New_removed - bSIR'!$AS$47</definedName>
    <definedName name="phi_l">'New_removed - bSIR'!$AS$21</definedName>
    <definedName name="phi_l_m">'New_removed - bSIR'!$AV$21</definedName>
    <definedName name="phi_o">Cumul_removed_bSIR!$AD$31</definedName>
    <definedName name="phi_r">Cumul_removed_bSIR!$AD$20</definedName>
    <definedName name="phi_t">Cumul_removed_bSIR!$AD$42</definedName>
    <definedName name="pl">'New_removed - bSIR'!$AS$31</definedName>
    <definedName name="pl_m">'New_removed - bSIR'!$AV$31</definedName>
    <definedName name="po">Cumul_removed_bSIR!$AD$39</definedName>
    <definedName name="pr">Cumul_removed_bSIR!$AD$28</definedName>
    <definedName name="psi_a">'New_removed - bSIR'!$AS$35</definedName>
    <definedName name="psi_f">'New_removed - bSIR'!$AS$48</definedName>
    <definedName name="psi_l">'New_removed - bSIR'!$AS$22</definedName>
    <definedName name="psi_l_m">'New_removed - bSIR'!$AV$22</definedName>
    <definedName name="psi_o">Cumul_removed_bSIR!$AD$32</definedName>
    <definedName name="psi_r">Cumul_removed_bSIR!$AD$21</definedName>
    <definedName name="psi_t">Cumul_removed_bSIR!$AD$43</definedName>
    <definedName name="pt">Cumul_removed_bSIR!$AD$50</definedName>
    <definedName name="RSQ">Cumul_removed_bSIR!$AD$14</definedName>
    <definedName name="RSQa">'New_removed - bSIR'!$AS$39</definedName>
    <definedName name="RSQf">'New_removed - bSIR'!$AS$52</definedName>
    <definedName name="RSQl">'New_removed - bSIR'!$AS$26</definedName>
    <definedName name="RSQl_m">'New_removed - bSIR'!$AV$26</definedName>
    <definedName name="RSQo">Cumul_removed_bSIR!$AD$36</definedName>
    <definedName name="RSQr">Cumul_removed_bSIR!$AD$25</definedName>
    <definedName name="RSQt">Cumul_removed_bSIR!$AD$47</definedName>
    <definedName name="RSQw">'New_removed - bSIR'!$AS$14</definedName>
    <definedName name="SE_of_y">Cumul_removed_bSIR!$AD$13</definedName>
    <definedName name="SE_of_ya">'New_removed - bSIR'!$AS$38</definedName>
    <definedName name="SE_of_yf">'New_removed - bSIR'!$AS$51</definedName>
    <definedName name="SE_of_yl">'New_removed - bSIR'!$AS$25</definedName>
    <definedName name="SE_of_yl_m">'New_removed - bSIR'!$AV$25</definedName>
    <definedName name="SE_of_yo">Cumul_removed_bSIR!$AD$35</definedName>
    <definedName name="SE_of_yr">Cumul_removed_bSIR!$AD$24</definedName>
    <definedName name="SE_of_yt">Cumul_removed_bSIR!$AD$46</definedName>
    <definedName name="SE_of_yw">'New_removed - bSIR'!$AS$13</definedName>
    <definedName name="solver_adj" localSheetId="3" hidden="1">Cumul_removed_bSIR!$AD$31:$AD$32,Cumul_removed_bSIR!$AD$39</definedName>
    <definedName name="solver_adj" localSheetId="4" hidden="1">'New_removed - bSIR'!$AS$20:$AS$22,'New_removed - bSIR'!$AS$31</definedName>
    <definedName name="solver_cvg" localSheetId="3" hidden="1">0.0001</definedName>
    <definedName name="solver_cvg" localSheetId="4" hidden="1">0.0001</definedName>
    <definedName name="solver_drv" localSheetId="3" hidden="1">2</definedName>
    <definedName name="solver_drv" localSheetId="4" hidden="1">2</definedName>
    <definedName name="solver_eng" localSheetId="3" hidden="1">1</definedName>
    <definedName name="solver_eng" localSheetId="4" hidden="1">1</definedName>
    <definedName name="solver_est" localSheetId="3" hidden="1">1</definedName>
    <definedName name="solver_est" localSheetId="4" hidden="1">1</definedName>
    <definedName name="solver_itr" localSheetId="3" hidden="1">2147483647</definedName>
    <definedName name="solver_itr" localSheetId="4" hidden="1">2147483647</definedName>
    <definedName name="solver_lhs0" localSheetId="4" hidden="1">'New_removed - bSIR'!$AJ$75</definedName>
    <definedName name="solver_lhs1" localSheetId="3" hidden="1">Cumul_removed_bSIR!$AD$32</definedName>
    <definedName name="solver_lhs1" localSheetId="4" hidden="1">'New_removed - bSIR'!$AS$20</definedName>
    <definedName name="solver_lhs2" localSheetId="3" hidden="1">Cumul_removed_bSIR!$AD$43</definedName>
    <definedName name="solver_lhs2" localSheetId="4" hidden="1">'New_removed - bSIR'!$AS$31</definedName>
    <definedName name="solver_lhs3" localSheetId="3" hidden="1">Cumul_removed_bSIR!$AD$21</definedName>
    <definedName name="solver_lhs3" localSheetId="4" hidden="1">'New_removed - bSIR'!$AS$22</definedName>
    <definedName name="solver_lhs4" localSheetId="3" hidden="1">Cumul_removed_bSIR!#REF!</definedName>
    <definedName name="solver_lin" localSheetId="3" hidden="1">2</definedName>
    <definedName name="solver_lin" localSheetId="4" hidden="1">2</definedName>
    <definedName name="solver_mip" localSheetId="3" hidden="1">2147483647</definedName>
    <definedName name="solver_mip" localSheetId="4" hidden="1">2147483647</definedName>
    <definedName name="solver_mni" localSheetId="3" hidden="1">30</definedName>
    <definedName name="solver_mni" localSheetId="4" hidden="1">30</definedName>
    <definedName name="solver_mrt" localSheetId="3" hidden="1">0.075</definedName>
    <definedName name="solver_mrt" localSheetId="4" hidden="1">0.075</definedName>
    <definedName name="solver_msl" localSheetId="3" hidden="1">2</definedName>
    <definedName name="solver_msl" localSheetId="4" hidden="1">2</definedName>
    <definedName name="solver_neg" localSheetId="3" hidden="1">1</definedName>
    <definedName name="solver_neg" localSheetId="4" hidden="1">1</definedName>
    <definedName name="solver_nod" localSheetId="3" hidden="1">2147483647</definedName>
    <definedName name="solver_nod" localSheetId="4" hidden="1">2147483647</definedName>
    <definedName name="solver_num" localSheetId="3" hidden="1">1</definedName>
    <definedName name="solver_num" localSheetId="4" hidden="1">3</definedName>
    <definedName name="solver_nwt" localSheetId="3" hidden="1">1</definedName>
    <definedName name="solver_nwt" localSheetId="4" hidden="1">1</definedName>
    <definedName name="solver_opt" localSheetId="3" hidden="1">Cumul_removed_bSIR!$AD$36</definedName>
    <definedName name="solver_opt" localSheetId="4" hidden="1">'New_removed - bSIR'!$AS$26</definedName>
    <definedName name="solver_pre" localSheetId="3" hidden="1">0.000001</definedName>
    <definedName name="solver_pre" localSheetId="4" hidden="1">0.000001</definedName>
    <definedName name="solver_rbv" localSheetId="3" hidden="1">2</definedName>
    <definedName name="solver_rbv" localSheetId="4" hidden="1">2</definedName>
    <definedName name="solver_rel0" localSheetId="4" hidden="1">3</definedName>
    <definedName name="solver_rel1" localSheetId="3" hidden="1">3</definedName>
    <definedName name="solver_rel1" localSheetId="4" hidden="1">3</definedName>
    <definedName name="solver_rel2" localSheetId="3" hidden="1">3</definedName>
    <definedName name="solver_rel2" localSheetId="4" hidden="1">3</definedName>
    <definedName name="solver_rel3" localSheetId="3" hidden="1">3</definedName>
    <definedName name="solver_rel3" localSheetId="4" hidden="1">3</definedName>
    <definedName name="solver_rel4" localSheetId="3" hidden="1">2</definedName>
    <definedName name="solver_rhs0" localSheetId="4" hidden="1">0.000001</definedName>
    <definedName name="solver_rhs1" localSheetId="3" hidden="1">0.000001</definedName>
    <definedName name="solver_rhs1" localSheetId="4" hidden="1">8970</definedName>
    <definedName name="solver_rhs2" localSheetId="3" hidden="1">0.000001</definedName>
    <definedName name="solver_rhs2" localSheetId="4" hidden="1">54</definedName>
    <definedName name="solver_rhs3" localSheetId="3" hidden="1">0.000001</definedName>
    <definedName name="solver_rhs3" localSheetId="4" hidden="1">0.000001</definedName>
    <definedName name="solver_rhs4" localSheetId="3" hidden="1">0</definedName>
    <definedName name="solver_rlx" localSheetId="3" hidden="1">2</definedName>
    <definedName name="solver_rlx" localSheetId="4" hidden="1">2</definedName>
    <definedName name="solver_rsd" localSheetId="3" hidden="1">0</definedName>
    <definedName name="solver_rsd" localSheetId="4" hidden="1">0</definedName>
    <definedName name="solver_scl" localSheetId="3" hidden="1">2</definedName>
    <definedName name="solver_scl" localSheetId="4" hidden="1">2</definedName>
    <definedName name="solver_sho" localSheetId="3" hidden="1">1</definedName>
    <definedName name="solver_sho" localSheetId="4" hidden="1">1</definedName>
    <definedName name="solver_ssz" localSheetId="3" hidden="1">200</definedName>
    <definedName name="solver_ssz" localSheetId="4" hidden="1">200</definedName>
    <definedName name="solver_tim" localSheetId="3" hidden="1">2147483647</definedName>
    <definedName name="solver_tim" localSheetId="4" hidden="1">2147483647</definedName>
    <definedName name="solver_tol" localSheetId="3" hidden="1">0.01</definedName>
    <definedName name="solver_tol" localSheetId="4" hidden="1">0.01</definedName>
    <definedName name="solver_typ" localSheetId="3" hidden="1">1</definedName>
    <definedName name="solver_typ" localSheetId="4" hidden="1">1</definedName>
    <definedName name="solver_val" localSheetId="3" hidden="1">0</definedName>
    <definedName name="solver_val" localSheetId="4" hidden="1">0</definedName>
    <definedName name="solver_ver" localSheetId="3" hidden="1">3</definedName>
    <definedName name="solver_ver" localSheetId="4" hidden="1">3</definedName>
    <definedName name="Start_data">Cumul_removed_bSIR!$B$8</definedName>
    <definedName name="y_a_peak">'New_removed - bSIR'!$AS$42</definedName>
    <definedName name="y_f_peak">'New_removed - bSIR'!$AS$55</definedName>
    <definedName name="y_l_peak">'New_removed - bSIR'!$AS$29</definedName>
    <definedName name="y_l_peak_m">'New_removed - bSIR'!$AV$29</definedName>
  </definedNames>
  <calcPr calcId="191029"/>
  <pivotCaches>
    <pivotCache cacheId="0" r:id="rId7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dpc_covid19_ita_andamento_nazionale" name="dpc_covid19_ita_andamento_nazionale" connection="WorksheetConnection_COVID-19 Italy cases trend - B fit.xlsx!dpc_covid19_ita_andamento_nazionale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I4" i="24" l="1"/>
  <c r="AG140" i="23" l="1"/>
  <c r="AG141" i="23"/>
  <c r="AG142" i="23"/>
  <c r="AH142" i="23"/>
  <c r="AI142" i="23" s="1"/>
  <c r="S141" i="23"/>
  <c r="T142" i="23" s="1"/>
  <c r="U142" i="23" s="1"/>
  <c r="S142" i="23"/>
  <c r="D136" i="23"/>
  <c r="D137" i="23"/>
  <c r="D138" i="23"/>
  <c r="D139" i="23"/>
  <c r="E139" i="23" s="1"/>
  <c r="F139" i="23" s="1"/>
  <c r="D140" i="23"/>
  <c r="E140" i="23" s="1"/>
  <c r="F140" i="23" s="1"/>
  <c r="D141" i="23"/>
  <c r="E141" i="23" s="1"/>
  <c r="F141" i="23" s="1"/>
  <c r="D142" i="23"/>
  <c r="E142" i="23" s="1"/>
  <c r="F142" i="23" s="1"/>
  <c r="Z140" i="22"/>
  <c r="AA140" i="22"/>
  <c r="Z141" i="22"/>
  <c r="AA141" i="22"/>
  <c r="Z142" i="22"/>
  <c r="AA142" i="22"/>
  <c r="R140" i="22"/>
  <c r="U140" i="22"/>
  <c r="V140" i="22" s="1"/>
  <c r="R141" i="22"/>
  <c r="U141" i="22"/>
  <c r="V141" i="22" s="1"/>
  <c r="R142" i="22"/>
  <c r="U142" i="22"/>
  <c r="V142" i="22" s="1"/>
  <c r="L141" i="22"/>
  <c r="M141" i="22"/>
  <c r="L142" i="22"/>
  <c r="M142" i="22"/>
  <c r="D136" i="22"/>
  <c r="D137" i="22"/>
  <c r="D138" i="22"/>
  <c r="D139" i="22"/>
  <c r="D140" i="22"/>
  <c r="D141" i="22"/>
  <c r="D142" i="22"/>
  <c r="N142" i="22"/>
  <c r="N140" i="22"/>
  <c r="N138" i="22"/>
  <c r="N139" i="22"/>
  <c r="N141" i="22"/>
  <c r="AH141" i="23" l="1"/>
  <c r="AI141" i="23" s="1"/>
  <c r="BY34" i="24"/>
  <c r="BY35" i="24"/>
  <c r="BY46" i="24"/>
  <c r="BY47" i="24"/>
  <c r="AS20" i="23"/>
  <c r="BY20" i="24" s="1"/>
  <c r="AS21" i="23"/>
  <c r="BY21" i="24" s="1"/>
  <c r="AS22" i="23"/>
  <c r="BY22" i="24" s="1"/>
  <c r="AS31" i="23"/>
  <c r="BY31" i="24" s="1"/>
  <c r="AS34" i="23"/>
  <c r="AS35" i="23"/>
  <c r="AS44" i="23"/>
  <c r="BY44" i="24" s="1"/>
  <c r="AS46" i="23"/>
  <c r="AS47" i="23"/>
  <c r="AS48" i="23"/>
  <c r="BY48" i="24" s="1"/>
  <c r="AS57" i="23"/>
  <c r="BY57" i="24" s="1"/>
  <c r="H8" i="24"/>
  <c r="I16" i="24" l="1"/>
  <c r="I28" i="24"/>
  <c r="I40" i="24"/>
  <c r="I52" i="24"/>
  <c r="I19" i="24"/>
  <c r="I31" i="24"/>
  <c r="I43" i="24"/>
  <c r="I55" i="24"/>
  <c r="I67" i="24"/>
  <c r="I79" i="24"/>
  <c r="I91" i="24"/>
  <c r="I103" i="24"/>
  <c r="I115" i="24"/>
  <c r="I8" i="24"/>
  <c r="I20" i="24"/>
  <c r="I32" i="24"/>
  <c r="I44" i="24"/>
  <c r="I56" i="24"/>
  <c r="I68" i="24"/>
  <c r="I80" i="24"/>
  <c r="I92" i="24"/>
  <c r="I104" i="24"/>
  <c r="I9" i="24"/>
  <c r="I21" i="24"/>
  <c r="I33" i="24"/>
  <c r="I45" i="24"/>
  <c r="I12" i="24"/>
  <c r="I24" i="24"/>
  <c r="I36" i="24"/>
  <c r="I48" i="24"/>
  <c r="I60" i="24"/>
  <c r="I72" i="24"/>
  <c r="I84" i="24"/>
  <c r="I96" i="24"/>
  <c r="I108" i="24"/>
  <c r="I120" i="24"/>
  <c r="I25" i="24"/>
  <c r="I46" i="24"/>
  <c r="I63" i="24"/>
  <c r="I78" i="24"/>
  <c r="I95" i="24"/>
  <c r="I111" i="24"/>
  <c r="I125" i="24"/>
  <c r="I137" i="24"/>
  <c r="I149" i="24"/>
  <c r="I161" i="24"/>
  <c r="I173" i="24"/>
  <c r="I41" i="24"/>
  <c r="I159" i="24"/>
  <c r="I42" i="24"/>
  <c r="I160" i="24"/>
  <c r="I26" i="24"/>
  <c r="I47" i="24"/>
  <c r="I64" i="24"/>
  <c r="I81" i="24"/>
  <c r="I97" i="24"/>
  <c r="I112" i="24"/>
  <c r="I126" i="24"/>
  <c r="I138" i="24"/>
  <c r="I150" i="24"/>
  <c r="I162" i="24"/>
  <c r="I174" i="24"/>
  <c r="I49" i="24"/>
  <c r="I82" i="24"/>
  <c r="I113" i="24"/>
  <c r="I139" i="24"/>
  <c r="I163" i="24"/>
  <c r="I175" i="24"/>
  <c r="I29" i="24"/>
  <c r="I83" i="24"/>
  <c r="I128" i="24"/>
  <c r="I164" i="24"/>
  <c r="I30" i="24"/>
  <c r="I100" i="24"/>
  <c r="I165" i="24"/>
  <c r="I182" i="24"/>
  <c r="I22" i="24"/>
  <c r="I62" i="24"/>
  <c r="I27" i="24"/>
  <c r="I65" i="24"/>
  <c r="I98" i="24"/>
  <c r="I127" i="24"/>
  <c r="I151" i="24"/>
  <c r="I50" i="24"/>
  <c r="I99" i="24"/>
  <c r="I140" i="24"/>
  <c r="I176" i="24"/>
  <c r="I69" i="24"/>
  <c r="I129" i="24"/>
  <c r="I177" i="24"/>
  <c r="I123" i="24"/>
  <c r="I23" i="24"/>
  <c r="I172" i="24"/>
  <c r="I10" i="24"/>
  <c r="I66" i="24"/>
  <c r="I114" i="24"/>
  <c r="I152" i="24"/>
  <c r="I51" i="24"/>
  <c r="I116" i="24"/>
  <c r="I153" i="24"/>
  <c r="I146" i="24"/>
  <c r="I93" i="24"/>
  <c r="I94" i="24"/>
  <c r="I184" i="24"/>
  <c r="I11" i="24"/>
  <c r="I85" i="24"/>
  <c r="I141" i="24"/>
  <c r="I158" i="24"/>
  <c r="I147" i="24"/>
  <c r="I148" i="24"/>
  <c r="I13" i="24"/>
  <c r="I34" i="24"/>
  <c r="I53" i="24"/>
  <c r="I70" i="24"/>
  <c r="I86" i="24"/>
  <c r="I101" i="24"/>
  <c r="I117" i="24"/>
  <c r="I130" i="24"/>
  <c r="I142" i="24"/>
  <c r="I154" i="24"/>
  <c r="I166" i="24"/>
  <c r="I178" i="24"/>
  <c r="I75" i="24"/>
  <c r="I107" i="24"/>
  <c r="I109" i="24"/>
  <c r="I110" i="24"/>
  <c r="I14" i="24"/>
  <c r="I35" i="24"/>
  <c r="I54" i="24"/>
  <c r="I71" i="24"/>
  <c r="I87" i="24"/>
  <c r="I102" i="24"/>
  <c r="I118" i="24"/>
  <c r="I131" i="24"/>
  <c r="I143" i="24"/>
  <c r="I155" i="24"/>
  <c r="I167" i="24"/>
  <c r="I179" i="24"/>
  <c r="I145" i="24"/>
  <c r="I181" i="24"/>
  <c r="I39" i="24"/>
  <c r="I122" i="24"/>
  <c r="I61" i="24"/>
  <c r="I183" i="24"/>
  <c r="I77" i="24"/>
  <c r="I15" i="24"/>
  <c r="I37" i="24"/>
  <c r="I57" i="24"/>
  <c r="I73" i="24"/>
  <c r="I88" i="24"/>
  <c r="I105" i="24"/>
  <c r="I119" i="24"/>
  <c r="I132" i="24"/>
  <c r="I144" i="24"/>
  <c r="I156" i="24"/>
  <c r="I168" i="24"/>
  <c r="I180" i="24"/>
  <c r="I121" i="24"/>
  <c r="I157" i="24"/>
  <c r="I18" i="24"/>
  <c r="I90" i="24"/>
  <c r="I170" i="24"/>
  <c r="I76" i="24"/>
  <c r="I171" i="24"/>
  <c r="I136" i="24"/>
  <c r="I17" i="24"/>
  <c r="I38" i="24"/>
  <c r="I58" i="24"/>
  <c r="I74" i="24"/>
  <c r="I89" i="24"/>
  <c r="I106" i="24"/>
  <c r="I133" i="24"/>
  <c r="I169" i="24"/>
  <c r="I59" i="24"/>
  <c r="I134" i="24"/>
  <c r="I135" i="24"/>
  <c r="I124" i="24"/>
  <c r="AL37" i="24"/>
  <c r="AL49" i="24"/>
  <c r="AL61" i="24"/>
  <c r="AL73" i="24"/>
  <c r="AL85" i="24"/>
  <c r="AL97" i="24"/>
  <c r="AL109" i="24"/>
  <c r="AL121" i="24"/>
  <c r="AL133" i="24"/>
  <c r="AL145" i="24"/>
  <c r="AL157" i="24"/>
  <c r="AL169" i="24"/>
  <c r="AL181" i="24"/>
  <c r="AL16" i="24"/>
  <c r="AL26" i="24"/>
  <c r="AL38" i="24"/>
  <c r="AL50" i="24"/>
  <c r="AL62" i="24"/>
  <c r="AL74" i="24"/>
  <c r="AL86" i="24"/>
  <c r="AL98" i="24"/>
  <c r="AL110" i="24"/>
  <c r="AL122" i="24"/>
  <c r="AL134" i="24"/>
  <c r="AL146" i="24"/>
  <c r="AL158" i="24"/>
  <c r="AL170" i="24"/>
  <c r="AL182" i="24"/>
  <c r="AL17" i="24"/>
  <c r="AL27" i="24"/>
  <c r="AL39" i="24"/>
  <c r="AL51" i="24"/>
  <c r="AL63" i="24"/>
  <c r="AL75" i="24"/>
  <c r="AL87" i="24"/>
  <c r="AL99" i="24"/>
  <c r="AL111" i="24"/>
  <c r="AL123" i="24"/>
  <c r="AL135" i="24"/>
  <c r="AL147" i="24"/>
  <c r="AL159" i="24"/>
  <c r="AL171" i="24"/>
  <c r="AL183" i="24"/>
  <c r="AL18" i="24"/>
  <c r="AL28" i="24"/>
  <c r="AL40" i="24"/>
  <c r="AL52" i="24"/>
  <c r="AL64" i="24"/>
  <c r="AL76" i="24"/>
  <c r="AL88" i="24"/>
  <c r="AL100" i="24"/>
  <c r="AL112" i="24"/>
  <c r="AL124" i="24"/>
  <c r="AL136" i="24"/>
  <c r="AL148" i="24"/>
  <c r="AL160" i="24"/>
  <c r="AL172" i="24"/>
  <c r="AL184" i="24"/>
  <c r="AL19" i="24"/>
  <c r="AL31" i="24"/>
  <c r="AL43" i="24"/>
  <c r="AL55" i="24"/>
  <c r="AL67" i="24"/>
  <c r="AL79" i="24"/>
  <c r="AL91" i="24"/>
  <c r="AL103" i="24"/>
  <c r="AL115" i="24"/>
  <c r="AL127" i="24"/>
  <c r="AL139" i="24"/>
  <c r="AL151" i="24"/>
  <c r="AL163" i="24"/>
  <c r="AL175" i="24"/>
  <c r="AL10" i="24"/>
  <c r="AL22" i="24"/>
  <c r="AL32" i="24"/>
  <c r="AL44" i="24"/>
  <c r="AL56" i="24"/>
  <c r="AL68" i="24"/>
  <c r="AL80" i="24"/>
  <c r="AL92" i="24"/>
  <c r="AL104" i="24"/>
  <c r="AL116" i="24"/>
  <c r="AL128" i="24"/>
  <c r="AL140" i="24"/>
  <c r="AL152" i="24"/>
  <c r="AL164" i="24"/>
  <c r="AL176" i="24"/>
  <c r="AL11" i="24"/>
  <c r="AL23" i="24"/>
  <c r="AL33" i="24"/>
  <c r="AL45" i="24"/>
  <c r="AL57" i="24"/>
  <c r="AL69" i="24"/>
  <c r="AL81" i="24"/>
  <c r="AL93" i="24"/>
  <c r="AL105" i="24"/>
  <c r="AL117" i="24"/>
  <c r="AL129" i="24"/>
  <c r="AL141" i="24"/>
  <c r="AL153" i="24"/>
  <c r="AL165" i="24"/>
  <c r="AL177" i="24"/>
  <c r="AL12" i="24"/>
  <c r="AL24" i="24"/>
  <c r="AL34" i="24"/>
  <c r="AL46" i="24"/>
  <c r="AL58" i="24"/>
  <c r="AL70" i="24"/>
  <c r="AL82" i="24"/>
  <c r="AL94" i="24"/>
  <c r="AL106" i="24"/>
  <c r="AL118" i="24"/>
  <c r="AL130" i="24"/>
  <c r="AL142" i="24"/>
  <c r="AL154" i="24"/>
  <c r="AL166" i="24"/>
  <c r="AL178" i="24"/>
  <c r="AL13" i="24"/>
  <c r="AL25" i="24"/>
  <c r="AL35" i="24"/>
  <c r="AL47" i="24"/>
  <c r="AL59" i="24"/>
  <c r="AL71" i="24"/>
  <c r="AL83" i="24"/>
  <c r="AL95" i="24"/>
  <c r="AL107" i="24"/>
  <c r="AL119" i="24"/>
  <c r="AL131" i="24"/>
  <c r="AL143" i="24"/>
  <c r="AL155" i="24"/>
  <c r="AL167" i="24"/>
  <c r="AL179" i="24"/>
  <c r="AL14" i="24"/>
  <c r="AL36" i="24"/>
  <c r="AL48" i="24"/>
  <c r="AL60" i="24"/>
  <c r="AL72" i="24"/>
  <c r="AL84" i="24"/>
  <c r="AL96" i="24"/>
  <c r="AL108" i="24"/>
  <c r="AL120" i="24"/>
  <c r="AL132" i="24"/>
  <c r="AL144" i="24"/>
  <c r="AL156" i="24"/>
  <c r="AL168" i="24"/>
  <c r="AL180" i="24"/>
  <c r="AL15" i="24"/>
  <c r="AL42" i="24"/>
  <c r="AL114" i="24"/>
  <c r="AL9" i="24"/>
  <c r="AL113" i="24"/>
  <c r="AL53" i="24"/>
  <c r="AL125" i="24"/>
  <c r="AL20" i="24"/>
  <c r="AL21" i="24"/>
  <c r="AL41" i="24"/>
  <c r="AL54" i="24"/>
  <c r="AL126" i="24"/>
  <c r="AL65" i="24"/>
  <c r="AL137" i="24"/>
  <c r="AL66" i="24"/>
  <c r="AL138" i="24"/>
  <c r="AL77" i="24"/>
  <c r="AL149" i="24"/>
  <c r="AL29" i="24"/>
  <c r="AL174" i="24"/>
  <c r="AL78" i="24"/>
  <c r="AL150" i="24"/>
  <c r="AL89" i="24"/>
  <c r="AL161" i="24"/>
  <c r="AL101" i="24"/>
  <c r="AL102" i="24"/>
  <c r="AL90" i="24"/>
  <c r="AL162" i="24"/>
  <c r="AL173" i="24"/>
  <c r="AL30" i="24"/>
  <c r="AL8" i="24"/>
  <c r="AC5" i="22"/>
  <c r="AS30" i="23"/>
  <c r="AA5" i="22"/>
  <c r="AS33" i="23"/>
  <c r="D139" i="24"/>
  <c r="E140" i="24" s="1"/>
  <c r="D140" i="24"/>
  <c r="D141" i="24"/>
  <c r="BY33" i="24" l="1"/>
  <c r="AG139" i="24"/>
  <c r="AH140" i="24" s="1"/>
  <c r="S139" i="23"/>
  <c r="T140" i="23" s="1"/>
  <c r="AG141" i="24"/>
  <c r="AG138" i="24"/>
  <c r="AH139" i="24" s="1"/>
  <c r="AI140" i="24" s="1"/>
  <c r="S138" i="23"/>
  <c r="AG140" i="24"/>
  <c r="S140" i="23"/>
  <c r="T141" i="23" s="1"/>
  <c r="E141" i="24"/>
  <c r="F141" i="24"/>
  <c r="AD30" i="22"/>
  <c r="D138" i="24"/>
  <c r="E139" i="24" s="1"/>
  <c r="F140" i="24" s="1"/>
  <c r="W62" i="23"/>
  <c r="AC9" i="23"/>
  <c r="AD9" i="23" s="1"/>
  <c r="AC10" i="23"/>
  <c r="AD10" i="23" s="1"/>
  <c r="AC11" i="23"/>
  <c r="AC12" i="23"/>
  <c r="AD12" i="23" s="1"/>
  <c r="AC13" i="23"/>
  <c r="AD13" i="23" s="1"/>
  <c r="AC14" i="23"/>
  <c r="AD14" i="23" s="1"/>
  <c r="AC15" i="23"/>
  <c r="AD15" i="23" s="1"/>
  <c r="AC16" i="23"/>
  <c r="AC17" i="23"/>
  <c r="AD17" i="23" s="1"/>
  <c r="AC18" i="23"/>
  <c r="AD18" i="23" s="1"/>
  <c r="AC19" i="23"/>
  <c r="AD19" i="23" s="1"/>
  <c r="AC20" i="23"/>
  <c r="AD20" i="23" s="1"/>
  <c r="AC21" i="23"/>
  <c r="AD21" i="23" s="1"/>
  <c r="AC22" i="23"/>
  <c r="AC23" i="23"/>
  <c r="AD23" i="23" s="1"/>
  <c r="AC24" i="23"/>
  <c r="AD24" i="23" s="1"/>
  <c r="AC25" i="23"/>
  <c r="AD25" i="23" s="1"/>
  <c r="AC26" i="23"/>
  <c r="AD26" i="23" s="1"/>
  <c r="AC27" i="23"/>
  <c r="AC28" i="23"/>
  <c r="AC29" i="23"/>
  <c r="AD29" i="23" s="1"/>
  <c r="AC30" i="23"/>
  <c r="AD30" i="23" s="1"/>
  <c r="AC31" i="23"/>
  <c r="AD31" i="23" s="1"/>
  <c r="AC32" i="23"/>
  <c r="AD32" i="23" s="1"/>
  <c r="AC33" i="23"/>
  <c r="AD33" i="23" s="1"/>
  <c r="AC34" i="23"/>
  <c r="AC35" i="23"/>
  <c r="AD35" i="23" s="1"/>
  <c r="AC36" i="23"/>
  <c r="AD36" i="23" s="1"/>
  <c r="AC37" i="23"/>
  <c r="AD37" i="23" s="1"/>
  <c r="AC38" i="23"/>
  <c r="AD38" i="23" s="1"/>
  <c r="AC39" i="23"/>
  <c r="AD39" i="23" s="1"/>
  <c r="AC40" i="23"/>
  <c r="AC41" i="23"/>
  <c r="AD41" i="23" s="1"/>
  <c r="AC42" i="23"/>
  <c r="AD42" i="23" s="1"/>
  <c r="AC43" i="23"/>
  <c r="AD43" i="23" s="1"/>
  <c r="AC44" i="23"/>
  <c r="AD44" i="23" s="1"/>
  <c r="AC45" i="23"/>
  <c r="AD45" i="23" s="1"/>
  <c r="AC46" i="23"/>
  <c r="AC47" i="23"/>
  <c r="AD47" i="23" s="1"/>
  <c r="AC48" i="23"/>
  <c r="AD48" i="23" s="1"/>
  <c r="AC49" i="23"/>
  <c r="AD49" i="23" s="1"/>
  <c r="AC50" i="23"/>
  <c r="AD50" i="23" s="1"/>
  <c r="AC51" i="23"/>
  <c r="AC52" i="23"/>
  <c r="AC53" i="23"/>
  <c r="AD53" i="23" s="1"/>
  <c r="AC54" i="23"/>
  <c r="AD54" i="23" s="1"/>
  <c r="AC55" i="23"/>
  <c r="AD55" i="23" s="1"/>
  <c r="AC56" i="23"/>
  <c r="AD56" i="23" s="1"/>
  <c r="AC57" i="23"/>
  <c r="AD57" i="23" s="1"/>
  <c r="AC58" i="23"/>
  <c r="AC59" i="23"/>
  <c r="AD59" i="23" s="1"/>
  <c r="AC60" i="23"/>
  <c r="AD60" i="23" s="1"/>
  <c r="AC61" i="23"/>
  <c r="AD61" i="23" s="1"/>
  <c r="AC62" i="23"/>
  <c r="AC63" i="23"/>
  <c r="AC64" i="23"/>
  <c r="AC65" i="23"/>
  <c r="AC66" i="23"/>
  <c r="AC67" i="23"/>
  <c r="AC68" i="23"/>
  <c r="AC69" i="23"/>
  <c r="AC70" i="23"/>
  <c r="AC71" i="23"/>
  <c r="AC72" i="23"/>
  <c r="AC73" i="23"/>
  <c r="AC74" i="23"/>
  <c r="AC75" i="23"/>
  <c r="AC76" i="23"/>
  <c r="AC77" i="23"/>
  <c r="AC78" i="23"/>
  <c r="AC79" i="23"/>
  <c r="AC80" i="23"/>
  <c r="AC81" i="23"/>
  <c r="AC82" i="23"/>
  <c r="AC83" i="23"/>
  <c r="AC84" i="23"/>
  <c r="AC85" i="23"/>
  <c r="AC86" i="23"/>
  <c r="AC87" i="23"/>
  <c r="AC88" i="23"/>
  <c r="AC89" i="23"/>
  <c r="AC90" i="23"/>
  <c r="AC91" i="23"/>
  <c r="AC92" i="23"/>
  <c r="AC93" i="23"/>
  <c r="AC94" i="23"/>
  <c r="AC95" i="23"/>
  <c r="AC96" i="23"/>
  <c r="AC97" i="23"/>
  <c r="AC98" i="23"/>
  <c r="AC99" i="23"/>
  <c r="AC100" i="23"/>
  <c r="AC101" i="23"/>
  <c r="AC102" i="23"/>
  <c r="AC103" i="23"/>
  <c r="AC104" i="23"/>
  <c r="AC105" i="23"/>
  <c r="AC106" i="23"/>
  <c r="AC107" i="23"/>
  <c r="AC108" i="23"/>
  <c r="AC109" i="23"/>
  <c r="AC110" i="23"/>
  <c r="AC111" i="23"/>
  <c r="AC112" i="23"/>
  <c r="AC113" i="23"/>
  <c r="AC114" i="23"/>
  <c r="AC115" i="23"/>
  <c r="AC116" i="23"/>
  <c r="AC117" i="23"/>
  <c r="AC118" i="23"/>
  <c r="AC119" i="23"/>
  <c r="AC120" i="23"/>
  <c r="AC121" i="23"/>
  <c r="AC122" i="23"/>
  <c r="AC123" i="23"/>
  <c r="AC124" i="23"/>
  <c r="AC125" i="23"/>
  <c r="AC126" i="23"/>
  <c r="AC127" i="23"/>
  <c r="AC128" i="23"/>
  <c r="AC129" i="23"/>
  <c r="AC130" i="23"/>
  <c r="AC131" i="23"/>
  <c r="AC132" i="23"/>
  <c r="AC133" i="23"/>
  <c r="AC134" i="23"/>
  <c r="AC135" i="23"/>
  <c r="AC136" i="23"/>
  <c r="AC137" i="23"/>
  <c r="AC138" i="23"/>
  <c r="AC139" i="23"/>
  <c r="AC140" i="23"/>
  <c r="AC141" i="23"/>
  <c r="AC142" i="23"/>
  <c r="AC143" i="23"/>
  <c r="AD143" i="23" s="1"/>
  <c r="AC144" i="23"/>
  <c r="AC145" i="23"/>
  <c r="AD145" i="23" s="1"/>
  <c r="AC146" i="23"/>
  <c r="AD146" i="23" s="1"/>
  <c r="AC147" i="23"/>
  <c r="AD147" i="23" s="1"/>
  <c r="AC148" i="23"/>
  <c r="AC149" i="23"/>
  <c r="AD149" i="23" s="1"/>
  <c r="AC150" i="23"/>
  <c r="AD150" i="23" s="1"/>
  <c r="AC151" i="23"/>
  <c r="AD151" i="23" s="1"/>
  <c r="AC152" i="23"/>
  <c r="AD152" i="23" s="1"/>
  <c r="AC153" i="23"/>
  <c r="AD153" i="23" s="1"/>
  <c r="AC154" i="23"/>
  <c r="AC155" i="23"/>
  <c r="AD155" i="23" s="1"/>
  <c r="AC156" i="23"/>
  <c r="AC157" i="23"/>
  <c r="AD157" i="23" s="1"/>
  <c r="AC158" i="23"/>
  <c r="AD158" i="23" s="1"/>
  <c r="AC159" i="23"/>
  <c r="AD159" i="23" s="1"/>
  <c r="AC160" i="23"/>
  <c r="AC161" i="23"/>
  <c r="AD161" i="23" s="1"/>
  <c r="AC162" i="23"/>
  <c r="AD162" i="23" s="1"/>
  <c r="AC163" i="23"/>
  <c r="AD163" i="23" s="1"/>
  <c r="AC164" i="23"/>
  <c r="AD164" i="23" s="1"/>
  <c r="AC165" i="23"/>
  <c r="AD165" i="23" s="1"/>
  <c r="AC166" i="23"/>
  <c r="AC167" i="23"/>
  <c r="AD167" i="23" s="1"/>
  <c r="AC168" i="23"/>
  <c r="AC169" i="23"/>
  <c r="AD169" i="23" s="1"/>
  <c r="AC170" i="23"/>
  <c r="AD170" i="23" s="1"/>
  <c r="AC171" i="23"/>
  <c r="AD171" i="23" s="1"/>
  <c r="AC172" i="23"/>
  <c r="AC173" i="23"/>
  <c r="AD173" i="23" s="1"/>
  <c r="AC174" i="23"/>
  <c r="AD174" i="23" s="1"/>
  <c r="AC175" i="23"/>
  <c r="AD175" i="23" s="1"/>
  <c r="AC176" i="23"/>
  <c r="AD176" i="23" s="1"/>
  <c r="AC177" i="23"/>
  <c r="AD177" i="23" s="1"/>
  <c r="AC178" i="23"/>
  <c r="AC179" i="23"/>
  <c r="AD179" i="23" s="1"/>
  <c r="AC180" i="23"/>
  <c r="AC181" i="23"/>
  <c r="AD181" i="23" s="1"/>
  <c r="AC182" i="23"/>
  <c r="AD182" i="23" s="1"/>
  <c r="AC183" i="23"/>
  <c r="AD183" i="23" s="1"/>
  <c r="AC184" i="23"/>
  <c r="AC185" i="23"/>
  <c r="AD185" i="23" s="1"/>
  <c r="AC186" i="23"/>
  <c r="AD186" i="23" s="1"/>
  <c r="AC187" i="23"/>
  <c r="AD187" i="23" s="1"/>
  <c r="AC188" i="23"/>
  <c r="AD188" i="23" s="1"/>
  <c r="AC189" i="23"/>
  <c r="AD189" i="23" s="1"/>
  <c r="AC190" i="23"/>
  <c r="AC191" i="23"/>
  <c r="AD191" i="23" s="1"/>
  <c r="AC192" i="23"/>
  <c r="AD192" i="23" s="1"/>
  <c r="AC193" i="23"/>
  <c r="AD193" i="23" s="1"/>
  <c r="AC194" i="23"/>
  <c r="AD194" i="23" s="1"/>
  <c r="AC195" i="23"/>
  <c r="AD195" i="23" s="1"/>
  <c r="AC196" i="23"/>
  <c r="AC197" i="23"/>
  <c r="AD197" i="23" s="1"/>
  <c r="AC198" i="23"/>
  <c r="AD198" i="23" s="1"/>
  <c r="AC199" i="23"/>
  <c r="AD199" i="23" s="1"/>
  <c r="AC200" i="23"/>
  <c r="AD200" i="23" s="1"/>
  <c r="AC201" i="23"/>
  <c r="AD201" i="23" s="1"/>
  <c r="AC202" i="23"/>
  <c r="AC203" i="23"/>
  <c r="AD203" i="23" s="1"/>
  <c r="AC204" i="23"/>
  <c r="AD204" i="23" s="1"/>
  <c r="AC205" i="23"/>
  <c r="AD205" i="23" s="1"/>
  <c r="AC206" i="23"/>
  <c r="AD206" i="23" s="1"/>
  <c r="AC207" i="23"/>
  <c r="AD207" i="23" s="1"/>
  <c r="AC208" i="23"/>
  <c r="AC209" i="23"/>
  <c r="AD209" i="23" s="1"/>
  <c r="AC210" i="23"/>
  <c r="AD210" i="23" s="1"/>
  <c r="AC211" i="23"/>
  <c r="AD211" i="23" s="1"/>
  <c r="AC212" i="23"/>
  <c r="AD212" i="23" s="1"/>
  <c r="AC213" i="23"/>
  <c r="AD213" i="23" s="1"/>
  <c r="AC214" i="23"/>
  <c r="AC215" i="23"/>
  <c r="AD215" i="23" s="1"/>
  <c r="AC216" i="23"/>
  <c r="AD216" i="23" s="1"/>
  <c r="AC217" i="23"/>
  <c r="AD217" i="23" s="1"/>
  <c r="AC218" i="23"/>
  <c r="AD218" i="23" s="1"/>
  <c r="AC219" i="23"/>
  <c r="AD219" i="23" s="1"/>
  <c r="AC220" i="23"/>
  <c r="AC221" i="23"/>
  <c r="AD221" i="23" s="1"/>
  <c r="AC222" i="23"/>
  <c r="AD222" i="23" s="1"/>
  <c r="AC223" i="23"/>
  <c r="AD223" i="23" s="1"/>
  <c r="AC224" i="23"/>
  <c r="AD224" i="23" s="1"/>
  <c r="AC225" i="23"/>
  <c r="AD225" i="23" s="1"/>
  <c r="AC226" i="23"/>
  <c r="AC227" i="23"/>
  <c r="AD227" i="23" s="1"/>
  <c r="AC228" i="23"/>
  <c r="AD228" i="23" s="1"/>
  <c r="AC229" i="23"/>
  <c r="AD229" i="23" s="1"/>
  <c r="AC230" i="23"/>
  <c r="AD230" i="23" s="1"/>
  <c r="AC231" i="23"/>
  <c r="AD231" i="23" s="1"/>
  <c r="AC232" i="23"/>
  <c r="AC233" i="23"/>
  <c r="AD233" i="23" s="1"/>
  <c r="AC234" i="23"/>
  <c r="AD234" i="23" s="1"/>
  <c r="AC235" i="23"/>
  <c r="AD235" i="23" s="1"/>
  <c r="AC236" i="23"/>
  <c r="AD236" i="23" s="1"/>
  <c r="AC237" i="23"/>
  <c r="AD237" i="23" s="1"/>
  <c r="AC238" i="23"/>
  <c r="AC239" i="23"/>
  <c r="AD239" i="23" s="1"/>
  <c r="AC240" i="23"/>
  <c r="AD240" i="23" s="1"/>
  <c r="AC241" i="23"/>
  <c r="AD241" i="23" s="1"/>
  <c r="AC242" i="23"/>
  <c r="AD242" i="23" s="1"/>
  <c r="AC243" i="23"/>
  <c r="AD243" i="23" s="1"/>
  <c r="AC244" i="23"/>
  <c r="AC245" i="23"/>
  <c r="AD245" i="23" s="1"/>
  <c r="AC246" i="23"/>
  <c r="AD246" i="23" s="1"/>
  <c r="AC247" i="23"/>
  <c r="AD247" i="23" s="1"/>
  <c r="AC248" i="23"/>
  <c r="AD248" i="23" s="1"/>
  <c r="AC249" i="23"/>
  <c r="AD249" i="23" s="1"/>
  <c r="AC250" i="23"/>
  <c r="AC251" i="23"/>
  <c r="AD251" i="23" s="1"/>
  <c r="AC252" i="23"/>
  <c r="AD252" i="23" s="1"/>
  <c r="AC253" i="23"/>
  <c r="AD253" i="23" s="1"/>
  <c r="AC254" i="23"/>
  <c r="AD254" i="23" s="1"/>
  <c r="AC255" i="23"/>
  <c r="AD255" i="23" s="1"/>
  <c r="AC256" i="23"/>
  <c r="AC257" i="23"/>
  <c r="AD257" i="23" s="1"/>
  <c r="AC258" i="23"/>
  <c r="AD258" i="23" s="1"/>
  <c r="AC259" i="23"/>
  <c r="AD259" i="23" s="1"/>
  <c r="AC260" i="23"/>
  <c r="AD260" i="23" s="1"/>
  <c r="AC261" i="23"/>
  <c r="AD261" i="23" s="1"/>
  <c r="AC262" i="23"/>
  <c r="AC263" i="23"/>
  <c r="AD263" i="23" s="1"/>
  <c r="AC264" i="23"/>
  <c r="AD264" i="23" s="1"/>
  <c r="AC265" i="23"/>
  <c r="AD265" i="23" s="1"/>
  <c r="AC266" i="23"/>
  <c r="AD266" i="23" s="1"/>
  <c r="AC267" i="23"/>
  <c r="AD267" i="23" s="1"/>
  <c r="AC268" i="23"/>
  <c r="AC269" i="23"/>
  <c r="AD269" i="23" s="1"/>
  <c r="AC270" i="23"/>
  <c r="AD270" i="23" s="1"/>
  <c r="AC271" i="23"/>
  <c r="AD271" i="23" s="1"/>
  <c r="AC272" i="23"/>
  <c r="AD272" i="23" s="1"/>
  <c r="AC273" i="23"/>
  <c r="AD273" i="23" s="1"/>
  <c r="AC274" i="23"/>
  <c r="AC275" i="23"/>
  <c r="AD275" i="23" s="1"/>
  <c r="AC276" i="23"/>
  <c r="AD276" i="23" s="1"/>
  <c r="AC277" i="23"/>
  <c r="AD277" i="23" s="1"/>
  <c r="AC278" i="23"/>
  <c r="AD278" i="23" s="1"/>
  <c r="AC279" i="23"/>
  <c r="AD279" i="23" s="1"/>
  <c r="AC280" i="23"/>
  <c r="AC281" i="23"/>
  <c r="AD281" i="23" s="1"/>
  <c r="AC8" i="23"/>
  <c r="AD8" i="23" s="1"/>
  <c r="AV30" i="23"/>
  <c r="AV29" i="23"/>
  <c r="AD11" i="23"/>
  <c r="AD27" i="23"/>
  <c r="AD51" i="23"/>
  <c r="W9" i="23"/>
  <c r="W10" i="23"/>
  <c r="W11" i="23"/>
  <c r="W12" i="23"/>
  <c r="W13" i="23"/>
  <c r="W14" i="23"/>
  <c r="W15" i="23"/>
  <c r="W16" i="23"/>
  <c r="W17" i="23"/>
  <c r="W18" i="23"/>
  <c r="W19" i="23"/>
  <c r="W20" i="23"/>
  <c r="W21" i="23"/>
  <c r="W22" i="23"/>
  <c r="W23" i="23"/>
  <c r="W24" i="23"/>
  <c r="W25" i="23"/>
  <c r="W26" i="23"/>
  <c r="W27" i="23"/>
  <c r="W28" i="23"/>
  <c r="W29" i="23"/>
  <c r="W30" i="23"/>
  <c r="W31" i="23"/>
  <c r="W32" i="23"/>
  <c r="W33" i="23"/>
  <c r="W34" i="23"/>
  <c r="W35" i="23"/>
  <c r="W36" i="23"/>
  <c r="W37" i="23"/>
  <c r="W38" i="23"/>
  <c r="W39" i="23"/>
  <c r="W40" i="23"/>
  <c r="W41" i="23"/>
  <c r="W42" i="23"/>
  <c r="W43" i="23"/>
  <c r="W44" i="23"/>
  <c r="W45" i="23"/>
  <c r="W46" i="23"/>
  <c r="W47" i="23"/>
  <c r="W48" i="23"/>
  <c r="W49" i="23"/>
  <c r="W50" i="23"/>
  <c r="W51" i="23"/>
  <c r="W52" i="23"/>
  <c r="W53" i="23"/>
  <c r="W54" i="23"/>
  <c r="W55" i="23"/>
  <c r="W56" i="23"/>
  <c r="W57" i="23"/>
  <c r="W58" i="23"/>
  <c r="W59" i="23"/>
  <c r="W60" i="23"/>
  <c r="W61" i="23"/>
  <c r="W143" i="23"/>
  <c r="W144" i="23"/>
  <c r="W145" i="23"/>
  <c r="W146" i="23"/>
  <c r="W147" i="23"/>
  <c r="W148" i="23"/>
  <c r="W149" i="23"/>
  <c r="W150" i="23"/>
  <c r="W151" i="23"/>
  <c r="W152" i="23"/>
  <c r="W153" i="23"/>
  <c r="W154" i="23"/>
  <c r="W155" i="23"/>
  <c r="W156" i="23"/>
  <c r="W157" i="23"/>
  <c r="W158" i="23"/>
  <c r="W159" i="23"/>
  <c r="W160" i="23"/>
  <c r="W161" i="23"/>
  <c r="W162" i="23"/>
  <c r="W163" i="23"/>
  <c r="W164" i="23"/>
  <c r="W165" i="23"/>
  <c r="W166" i="23"/>
  <c r="W167" i="23"/>
  <c r="W168" i="23"/>
  <c r="W169" i="23"/>
  <c r="W170" i="23"/>
  <c r="W171" i="23"/>
  <c r="W172" i="23"/>
  <c r="W173" i="23"/>
  <c r="W174" i="23"/>
  <c r="W175" i="23"/>
  <c r="W176" i="23"/>
  <c r="W177" i="23"/>
  <c r="W178" i="23"/>
  <c r="W179" i="23"/>
  <c r="W180" i="23"/>
  <c r="W181" i="23"/>
  <c r="W182" i="23"/>
  <c r="W183" i="23"/>
  <c r="W184" i="23"/>
  <c r="W185" i="23"/>
  <c r="W186" i="23"/>
  <c r="W187" i="23"/>
  <c r="W188" i="23"/>
  <c r="W189" i="23"/>
  <c r="W190" i="23"/>
  <c r="W191" i="23"/>
  <c r="W192" i="23"/>
  <c r="W193" i="23"/>
  <c r="W194" i="23"/>
  <c r="W195" i="23"/>
  <c r="W196" i="23"/>
  <c r="W197" i="23"/>
  <c r="W198" i="23"/>
  <c r="W199" i="23"/>
  <c r="W200" i="23"/>
  <c r="W201" i="23"/>
  <c r="W202" i="23"/>
  <c r="W203" i="23"/>
  <c r="W204" i="23"/>
  <c r="W205" i="23"/>
  <c r="W206" i="23"/>
  <c r="W207" i="23"/>
  <c r="W208" i="23"/>
  <c r="W209" i="23"/>
  <c r="W210" i="23"/>
  <c r="W211" i="23"/>
  <c r="W212" i="23"/>
  <c r="W213" i="23"/>
  <c r="W214" i="23"/>
  <c r="W215" i="23"/>
  <c r="W216" i="23"/>
  <c r="W217" i="23"/>
  <c r="W218" i="23"/>
  <c r="W219" i="23"/>
  <c r="W220" i="23"/>
  <c r="W221" i="23"/>
  <c r="W222" i="23"/>
  <c r="W223" i="23"/>
  <c r="W224" i="23"/>
  <c r="W225" i="23"/>
  <c r="W226" i="23"/>
  <c r="W227" i="23"/>
  <c r="W228" i="23"/>
  <c r="W229" i="23"/>
  <c r="W230" i="23"/>
  <c r="W231" i="23"/>
  <c r="W232" i="23"/>
  <c r="W233" i="23"/>
  <c r="W234" i="23"/>
  <c r="W235" i="23"/>
  <c r="W236" i="23"/>
  <c r="W237" i="23"/>
  <c r="W238" i="23"/>
  <c r="W239" i="23"/>
  <c r="W240" i="23"/>
  <c r="W241" i="23"/>
  <c r="W242" i="23"/>
  <c r="W243" i="23"/>
  <c r="W244" i="23"/>
  <c r="W245" i="23"/>
  <c r="W246" i="23"/>
  <c r="W247" i="23"/>
  <c r="W248" i="23"/>
  <c r="W249" i="23"/>
  <c r="W250" i="23"/>
  <c r="W251" i="23"/>
  <c r="W252" i="23"/>
  <c r="W253" i="23"/>
  <c r="W254" i="23"/>
  <c r="W255" i="23"/>
  <c r="W256" i="23"/>
  <c r="W257" i="23"/>
  <c r="W258" i="23"/>
  <c r="W259" i="23"/>
  <c r="W260" i="23"/>
  <c r="W261" i="23"/>
  <c r="W262" i="23"/>
  <c r="W263" i="23"/>
  <c r="W264" i="23"/>
  <c r="W265" i="23"/>
  <c r="W266" i="23"/>
  <c r="W267" i="23"/>
  <c r="W268" i="23"/>
  <c r="W269" i="23"/>
  <c r="W270" i="23"/>
  <c r="W271" i="23"/>
  <c r="W272" i="23"/>
  <c r="W273" i="23"/>
  <c r="W274" i="23"/>
  <c r="W275" i="23"/>
  <c r="W276" i="23"/>
  <c r="W277" i="23"/>
  <c r="W278" i="23"/>
  <c r="W279" i="23"/>
  <c r="W280" i="23"/>
  <c r="W281" i="23"/>
  <c r="W8" i="23"/>
  <c r="N110" i="22"/>
  <c r="N105" i="22"/>
  <c r="N109" i="22"/>
  <c r="N124" i="22"/>
  <c r="N122" i="22"/>
  <c r="N127" i="22"/>
  <c r="N121" i="22"/>
  <c r="N135" i="22"/>
  <c r="N128" i="22"/>
  <c r="N134" i="22"/>
  <c r="N136" i="22"/>
  <c r="N125" i="22"/>
  <c r="N114" i="22"/>
  <c r="N104" i="22"/>
  <c r="N126" i="22"/>
  <c r="N133" i="22"/>
  <c r="N130" i="22"/>
  <c r="N113" i="22"/>
  <c r="N107" i="22"/>
  <c r="N117" i="22"/>
  <c r="N115" i="22"/>
  <c r="N116" i="22"/>
  <c r="N118" i="22"/>
  <c r="N129" i="22"/>
  <c r="N123" i="22"/>
  <c r="N108" i="22"/>
  <c r="N119" i="22"/>
  <c r="N131" i="22"/>
  <c r="N112" i="22"/>
  <c r="N120" i="22"/>
  <c r="N111" i="22"/>
  <c r="N106" i="22"/>
  <c r="N137" i="22"/>
  <c r="N132" i="22"/>
  <c r="U141" i="23" l="1"/>
  <c r="AG132" i="24"/>
  <c r="AH133" i="24" s="1"/>
  <c r="AG137" i="24"/>
  <c r="AH138" i="24" s="1"/>
  <c r="AI139" i="24" s="1"/>
  <c r="AG131" i="24"/>
  <c r="AG123" i="24"/>
  <c r="AG129" i="24"/>
  <c r="AG130" i="24"/>
  <c r="AH131" i="24" s="1"/>
  <c r="AG133" i="24"/>
  <c r="AG126" i="24"/>
  <c r="AH127" i="24" s="1"/>
  <c r="AG125" i="24"/>
  <c r="AH126" i="24" s="1"/>
  <c r="AI127" i="24" s="1"/>
  <c r="AG136" i="24"/>
  <c r="AH137" i="24" s="1"/>
  <c r="AG134" i="24"/>
  <c r="AG128" i="24"/>
  <c r="AH129" i="24" s="1"/>
  <c r="AG135" i="24"/>
  <c r="AH136" i="24" s="1"/>
  <c r="AI137" i="24" s="1"/>
  <c r="AG121" i="24"/>
  <c r="AG127" i="24"/>
  <c r="AG122" i="24"/>
  <c r="AH123" i="24" s="1"/>
  <c r="AG124" i="24"/>
  <c r="AH141" i="24"/>
  <c r="AI141" i="24" s="1"/>
  <c r="T139" i="23"/>
  <c r="BB140" i="24"/>
  <c r="BB141" i="24"/>
  <c r="U139" i="22"/>
  <c r="AD274" i="23"/>
  <c r="AD262" i="23"/>
  <c r="AD250" i="23"/>
  <c r="AD238" i="23"/>
  <c r="AD226" i="23"/>
  <c r="AD214" i="23"/>
  <c r="AD202" i="23"/>
  <c r="AD190" i="23"/>
  <c r="AD178" i="23"/>
  <c r="AD166" i="23"/>
  <c r="AD154" i="23"/>
  <c r="AD58" i="23"/>
  <c r="AD46" i="23"/>
  <c r="AD34" i="23"/>
  <c r="AD22" i="23"/>
  <c r="AD280" i="23"/>
  <c r="AD268" i="23"/>
  <c r="AD256" i="23"/>
  <c r="AD244" i="23"/>
  <c r="AD232" i="23"/>
  <c r="AD220" i="23"/>
  <c r="AD208" i="23"/>
  <c r="AD196" i="23"/>
  <c r="AD184" i="23"/>
  <c r="AD172" i="23"/>
  <c r="AD160" i="23"/>
  <c r="AD148" i="23"/>
  <c r="AD52" i="23"/>
  <c r="AD40" i="23"/>
  <c r="AD28" i="23"/>
  <c r="AD16" i="23"/>
  <c r="AD180" i="23"/>
  <c r="AD168" i="23"/>
  <c r="AD156" i="23"/>
  <c r="AD144" i="23"/>
  <c r="AD62" i="23"/>
  <c r="AI138" i="24" l="1"/>
  <c r="AH135" i="24"/>
  <c r="AI136" i="24" s="1"/>
  <c r="AH134" i="24"/>
  <c r="AH125" i="24"/>
  <c r="AI126" i="24" s="1"/>
  <c r="AH130" i="24"/>
  <c r="AI131" i="24" s="1"/>
  <c r="AI130" i="24"/>
  <c r="AI128" i="24"/>
  <c r="AH124" i="24"/>
  <c r="AI125" i="24" s="1"/>
  <c r="AH128" i="24"/>
  <c r="AI129" i="24" s="1"/>
  <c r="AH132" i="24"/>
  <c r="AI133" i="24" s="1"/>
  <c r="AH122" i="24"/>
  <c r="AI123" i="24" s="1"/>
  <c r="BB139" i="24"/>
  <c r="BC140" i="24" s="1"/>
  <c r="AG139" i="23"/>
  <c r="AH140" i="23" s="1"/>
  <c r="AI140" i="23" s="1"/>
  <c r="BC141" i="24"/>
  <c r="I42" i="22"/>
  <c r="BF47" i="23"/>
  <c r="BF46" i="23"/>
  <c r="BF45" i="23"/>
  <c r="BF44" i="23"/>
  <c r="BF32" i="23"/>
  <c r="BF31" i="23"/>
  <c r="BF30" i="23"/>
  <c r="BF29" i="23"/>
  <c r="AS56" i="23"/>
  <c r="AS43" i="23"/>
  <c r="AS55" i="23"/>
  <c r="AS42" i="23"/>
  <c r="AS29" i="23"/>
  <c r="BF22" i="23"/>
  <c r="BF21" i="23"/>
  <c r="BF20" i="23"/>
  <c r="BF19" i="23"/>
  <c r="AL8" i="23"/>
  <c r="BI8" i="24" s="1"/>
  <c r="AL9" i="23"/>
  <c r="BI9" i="24" s="1"/>
  <c r="AL10" i="23"/>
  <c r="BI10" i="24" s="1"/>
  <c r="AL11" i="23"/>
  <c r="BI11" i="24" s="1"/>
  <c r="AL12" i="23"/>
  <c r="BI12" i="24" s="1"/>
  <c r="AL13" i="23"/>
  <c r="BI13" i="24" s="1"/>
  <c r="AL14" i="23"/>
  <c r="BI14" i="24" s="1"/>
  <c r="AL15" i="23"/>
  <c r="BI15" i="24" s="1"/>
  <c r="AL16" i="23"/>
  <c r="BI16" i="24" s="1"/>
  <c r="AL17" i="23"/>
  <c r="BI17" i="24" s="1"/>
  <c r="AL18" i="23"/>
  <c r="BI18" i="24" s="1"/>
  <c r="AL19" i="23"/>
  <c r="BI19" i="24" s="1"/>
  <c r="AL20" i="23"/>
  <c r="BI20" i="24" s="1"/>
  <c r="AL21" i="23"/>
  <c r="BI21" i="24" s="1"/>
  <c r="AL22" i="23"/>
  <c r="BI22" i="24" s="1"/>
  <c r="AL23" i="23"/>
  <c r="BI23" i="24" s="1"/>
  <c r="AL24" i="23"/>
  <c r="BI24" i="24" s="1"/>
  <c r="AL25" i="23"/>
  <c r="BI25" i="24" s="1"/>
  <c r="AL26" i="23"/>
  <c r="BI26" i="24" s="1"/>
  <c r="AL27" i="23"/>
  <c r="BI27" i="24" s="1"/>
  <c r="AL28" i="23"/>
  <c r="BI28" i="24" s="1"/>
  <c r="AL29" i="23"/>
  <c r="BI29" i="24" s="1"/>
  <c r="AL30" i="23"/>
  <c r="BI30" i="24" s="1"/>
  <c r="AL31" i="23"/>
  <c r="BI31" i="24" s="1"/>
  <c r="AL32" i="23"/>
  <c r="BI32" i="24" s="1"/>
  <c r="AL33" i="23"/>
  <c r="BI33" i="24" s="1"/>
  <c r="AL34" i="23"/>
  <c r="BI34" i="24" s="1"/>
  <c r="AL35" i="23"/>
  <c r="BI35" i="24" s="1"/>
  <c r="AL36" i="23"/>
  <c r="BI36" i="24" s="1"/>
  <c r="AL37" i="23"/>
  <c r="BI37" i="24" s="1"/>
  <c r="AL38" i="23"/>
  <c r="BI38" i="24" s="1"/>
  <c r="AL39" i="23"/>
  <c r="BI39" i="24" s="1"/>
  <c r="AL40" i="23"/>
  <c r="BI40" i="24" s="1"/>
  <c r="AL41" i="23"/>
  <c r="BI41" i="24" s="1"/>
  <c r="AL42" i="23"/>
  <c r="BI42" i="24" s="1"/>
  <c r="AL43" i="23"/>
  <c r="BI43" i="24" s="1"/>
  <c r="AL44" i="23"/>
  <c r="BI44" i="24" s="1"/>
  <c r="AL45" i="23"/>
  <c r="BI45" i="24" s="1"/>
  <c r="AL46" i="23"/>
  <c r="BI46" i="24" s="1"/>
  <c r="AL47" i="23"/>
  <c r="BI47" i="24" s="1"/>
  <c r="AL48" i="23"/>
  <c r="BI48" i="24" s="1"/>
  <c r="AL49" i="23"/>
  <c r="BI49" i="24" s="1"/>
  <c r="AL50" i="23"/>
  <c r="BI50" i="24" s="1"/>
  <c r="AL51" i="23"/>
  <c r="BI51" i="24" s="1"/>
  <c r="AL52" i="23"/>
  <c r="BI52" i="24" s="1"/>
  <c r="AL53" i="23"/>
  <c r="BI53" i="24" s="1"/>
  <c r="AL54" i="23"/>
  <c r="BI54" i="24" s="1"/>
  <c r="AL55" i="23"/>
  <c r="BI55" i="24" s="1"/>
  <c r="AL56" i="23"/>
  <c r="BI56" i="24" s="1"/>
  <c r="AL57" i="23"/>
  <c r="BI57" i="24" s="1"/>
  <c r="AL58" i="23"/>
  <c r="BI58" i="24" s="1"/>
  <c r="AL59" i="23"/>
  <c r="BI59" i="24" s="1"/>
  <c r="AL60" i="23"/>
  <c r="BI60" i="24" s="1"/>
  <c r="AL61" i="23"/>
  <c r="BI61" i="24" s="1"/>
  <c r="AL62" i="23"/>
  <c r="BI62" i="24" s="1"/>
  <c r="AL63" i="23"/>
  <c r="BI63" i="24" s="1"/>
  <c r="AL64" i="23"/>
  <c r="BI64" i="24" s="1"/>
  <c r="AL65" i="23"/>
  <c r="BI65" i="24" s="1"/>
  <c r="AL66" i="23"/>
  <c r="BI66" i="24" s="1"/>
  <c r="AL67" i="23"/>
  <c r="BI67" i="24" s="1"/>
  <c r="AL68" i="23"/>
  <c r="BI68" i="24" s="1"/>
  <c r="AL69" i="23"/>
  <c r="BI69" i="24" s="1"/>
  <c r="AL70" i="23"/>
  <c r="BI70" i="24" s="1"/>
  <c r="AL71" i="23"/>
  <c r="BI71" i="24" s="1"/>
  <c r="AL72" i="23"/>
  <c r="BI72" i="24" s="1"/>
  <c r="AL73" i="23"/>
  <c r="BI73" i="24" s="1"/>
  <c r="AL74" i="23"/>
  <c r="BI74" i="24" s="1"/>
  <c r="AL75" i="23"/>
  <c r="BI75" i="24" s="1"/>
  <c r="AL76" i="23"/>
  <c r="BI76" i="24" s="1"/>
  <c r="AL77" i="23"/>
  <c r="BI77" i="24" s="1"/>
  <c r="AL78" i="23"/>
  <c r="BI78" i="24" s="1"/>
  <c r="AL79" i="23"/>
  <c r="BI79" i="24" s="1"/>
  <c r="AL80" i="23"/>
  <c r="BI80" i="24" s="1"/>
  <c r="AL81" i="23"/>
  <c r="BI81" i="24" s="1"/>
  <c r="AL82" i="23"/>
  <c r="BI82" i="24" s="1"/>
  <c r="AL83" i="23"/>
  <c r="BI83" i="24" s="1"/>
  <c r="AL84" i="23"/>
  <c r="BI84" i="24" s="1"/>
  <c r="AL85" i="23"/>
  <c r="BI85" i="24" s="1"/>
  <c r="AL86" i="23"/>
  <c r="BI86" i="24" s="1"/>
  <c r="AL87" i="23"/>
  <c r="BI87" i="24" s="1"/>
  <c r="AL88" i="23"/>
  <c r="BI88" i="24" s="1"/>
  <c r="AL89" i="23"/>
  <c r="BI89" i="24" s="1"/>
  <c r="AL90" i="23"/>
  <c r="BI90" i="24" s="1"/>
  <c r="AL91" i="23"/>
  <c r="BI91" i="24" s="1"/>
  <c r="AL92" i="23"/>
  <c r="BI92" i="24" s="1"/>
  <c r="AL93" i="23"/>
  <c r="BI93" i="24" s="1"/>
  <c r="AL94" i="23"/>
  <c r="BI94" i="24" s="1"/>
  <c r="AL95" i="23"/>
  <c r="BI95" i="24" s="1"/>
  <c r="AL96" i="23"/>
  <c r="BI96" i="24" s="1"/>
  <c r="AL97" i="23"/>
  <c r="BI97" i="24" s="1"/>
  <c r="AL98" i="23"/>
  <c r="BI98" i="24" s="1"/>
  <c r="AL99" i="23"/>
  <c r="BI99" i="24" s="1"/>
  <c r="AL100" i="23"/>
  <c r="BI100" i="24" s="1"/>
  <c r="AL101" i="23"/>
  <c r="BI101" i="24" s="1"/>
  <c r="AL102" i="23"/>
  <c r="BI102" i="24" s="1"/>
  <c r="AL103" i="23"/>
  <c r="BI103" i="24" s="1"/>
  <c r="AL104" i="23"/>
  <c r="BI104" i="24" s="1"/>
  <c r="AL105" i="23"/>
  <c r="BI105" i="24" s="1"/>
  <c r="AL106" i="23"/>
  <c r="BI106" i="24" s="1"/>
  <c r="AL107" i="23"/>
  <c r="BI107" i="24" s="1"/>
  <c r="AL108" i="23"/>
  <c r="BI108" i="24" s="1"/>
  <c r="AL109" i="23"/>
  <c r="BI109" i="24" s="1"/>
  <c r="AL110" i="23"/>
  <c r="BI110" i="24" s="1"/>
  <c r="AL111" i="23"/>
  <c r="BI111" i="24" s="1"/>
  <c r="AL112" i="23"/>
  <c r="BI112" i="24" s="1"/>
  <c r="AL113" i="23"/>
  <c r="BI113" i="24" s="1"/>
  <c r="AL114" i="23"/>
  <c r="BI114" i="24" s="1"/>
  <c r="AL115" i="23"/>
  <c r="BI115" i="24" s="1"/>
  <c r="AL116" i="23"/>
  <c r="BI116" i="24" s="1"/>
  <c r="AL117" i="23"/>
  <c r="BI117" i="24" s="1"/>
  <c r="AL118" i="23"/>
  <c r="BI118" i="24" s="1"/>
  <c r="AL119" i="23"/>
  <c r="BI119" i="24" s="1"/>
  <c r="AL120" i="23"/>
  <c r="BI120" i="24" s="1"/>
  <c r="AL121" i="23"/>
  <c r="BI121" i="24" s="1"/>
  <c r="AL122" i="23"/>
  <c r="BI122" i="24" s="1"/>
  <c r="AL123" i="23"/>
  <c r="BI123" i="24" s="1"/>
  <c r="AL124" i="23"/>
  <c r="BI124" i="24" s="1"/>
  <c r="AL125" i="23"/>
  <c r="BI125" i="24" s="1"/>
  <c r="AL126" i="23"/>
  <c r="BI126" i="24" s="1"/>
  <c r="AL127" i="23"/>
  <c r="BI127" i="24" s="1"/>
  <c r="AL128" i="23"/>
  <c r="BI128" i="24" s="1"/>
  <c r="AL129" i="23"/>
  <c r="BI129" i="24" s="1"/>
  <c r="AL130" i="23"/>
  <c r="BI130" i="24" s="1"/>
  <c r="AL131" i="23"/>
  <c r="BI131" i="24" s="1"/>
  <c r="AL132" i="23"/>
  <c r="BI132" i="24" s="1"/>
  <c r="AL133" i="23"/>
  <c r="BI133" i="24" s="1"/>
  <c r="AL134" i="23"/>
  <c r="BI134" i="24" s="1"/>
  <c r="AL135" i="23"/>
  <c r="BI135" i="24" s="1"/>
  <c r="AL136" i="23"/>
  <c r="BI136" i="24" s="1"/>
  <c r="AL137" i="23"/>
  <c r="BI137" i="24" s="1"/>
  <c r="AL138" i="23"/>
  <c r="BI138" i="24" s="1"/>
  <c r="AL139" i="23"/>
  <c r="AL140" i="23"/>
  <c r="AL141" i="23"/>
  <c r="AL142" i="23"/>
  <c r="AL143" i="23"/>
  <c r="BI143" i="24" s="1"/>
  <c r="AL144" i="23"/>
  <c r="BI144" i="24" s="1"/>
  <c r="AL145" i="23"/>
  <c r="BI145" i="24" s="1"/>
  <c r="AL146" i="23"/>
  <c r="BI146" i="24" s="1"/>
  <c r="AL147" i="23"/>
  <c r="BI147" i="24" s="1"/>
  <c r="AL148" i="23"/>
  <c r="BI148" i="24" s="1"/>
  <c r="AL149" i="23"/>
  <c r="BI149" i="24" s="1"/>
  <c r="AL150" i="23"/>
  <c r="BI150" i="24" s="1"/>
  <c r="AL151" i="23"/>
  <c r="BI151" i="24" s="1"/>
  <c r="AL152" i="23"/>
  <c r="BI152" i="24" s="1"/>
  <c r="AL153" i="23"/>
  <c r="BI153" i="24" s="1"/>
  <c r="AL154" i="23"/>
  <c r="BI154" i="24" s="1"/>
  <c r="AL155" i="23"/>
  <c r="BI155" i="24" s="1"/>
  <c r="AL156" i="23"/>
  <c r="BI156" i="24" s="1"/>
  <c r="AL157" i="23"/>
  <c r="BI157" i="24" s="1"/>
  <c r="AL158" i="23"/>
  <c r="BI158" i="24" s="1"/>
  <c r="AL159" i="23"/>
  <c r="BI159" i="24" s="1"/>
  <c r="AL160" i="23"/>
  <c r="BI160" i="24" s="1"/>
  <c r="AL161" i="23"/>
  <c r="BI161" i="24" s="1"/>
  <c r="AL162" i="23"/>
  <c r="BI162" i="24" s="1"/>
  <c r="AL163" i="23"/>
  <c r="BI163" i="24" s="1"/>
  <c r="AL164" i="23"/>
  <c r="BI164" i="24" s="1"/>
  <c r="AL165" i="23"/>
  <c r="BI165" i="24" s="1"/>
  <c r="AL166" i="23"/>
  <c r="BI166" i="24" s="1"/>
  <c r="AL167" i="23"/>
  <c r="BI167" i="24" s="1"/>
  <c r="AL168" i="23"/>
  <c r="BI168" i="24" s="1"/>
  <c r="AL169" i="23"/>
  <c r="BI169" i="24" s="1"/>
  <c r="AL170" i="23"/>
  <c r="BI170" i="24" s="1"/>
  <c r="AL171" i="23"/>
  <c r="BI171" i="24" s="1"/>
  <c r="AL172" i="23"/>
  <c r="BI172" i="24" s="1"/>
  <c r="AL173" i="23"/>
  <c r="BI173" i="24" s="1"/>
  <c r="AL174" i="23"/>
  <c r="BI174" i="24" s="1"/>
  <c r="AL175" i="23"/>
  <c r="BI175" i="24" s="1"/>
  <c r="AL176" i="23"/>
  <c r="BI176" i="24" s="1"/>
  <c r="AL177" i="23"/>
  <c r="BI177" i="24" s="1"/>
  <c r="AL178" i="23"/>
  <c r="BI178" i="24" s="1"/>
  <c r="AL179" i="23"/>
  <c r="BI179" i="24" s="1"/>
  <c r="AL180" i="23"/>
  <c r="BI180" i="24" s="1"/>
  <c r="AL181" i="23"/>
  <c r="BI181" i="24" s="1"/>
  <c r="AL182" i="23"/>
  <c r="BI182" i="24" s="1"/>
  <c r="AL183" i="23"/>
  <c r="BI183" i="24" s="1"/>
  <c r="AL184" i="23"/>
  <c r="BI184" i="24" s="1"/>
  <c r="AL185" i="23"/>
  <c r="AL186" i="23"/>
  <c r="AL187" i="23"/>
  <c r="AL188" i="23"/>
  <c r="AL189" i="23"/>
  <c r="AL190" i="23"/>
  <c r="AL191" i="23"/>
  <c r="AL192" i="23"/>
  <c r="AL193" i="23"/>
  <c r="AL194" i="23"/>
  <c r="AL195" i="23"/>
  <c r="AL196" i="23"/>
  <c r="AL197" i="23"/>
  <c r="AL198" i="23"/>
  <c r="AL199" i="23"/>
  <c r="AL200" i="23"/>
  <c r="AL201" i="23"/>
  <c r="AL202" i="23"/>
  <c r="AL203" i="23"/>
  <c r="AL204" i="23"/>
  <c r="AL205" i="23"/>
  <c r="AL206" i="23"/>
  <c r="AL207" i="23"/>
  <c r="AL208" i="23"/>
  <c r="AL209" i="23"/>
  <c r="AL210" i="23"/>
  <c r="AL211" i="23"/>
  <c r="AL212" i="23"/>
  <c r="AL213" i="23"/>
  <c r="AL214" i="23"/>
  <c r="AL215" i="23"/>
  <c r="AL216" i="23"/>
  <c r="AL217" i="23"/>
  <c r="AL218" i="23"/>
  <c r="AL219" i="23"/>
  <c r="AL220" i="23"/>
  <c r="AL221" i="23"/>
  <c r="AL222" i="23"/>
  <c r="AL223" i="23"/>
  <c r="AL224" i="23"/>
  <c r="AL225" i="23"/>
  <c r="AL226" i="23"/>
  <c r="AL227" i="23"/>
  <c r="AL228" i="23"/>
  <c r="AL229" i="23"/>
  <c r="AL230" i="23"/>
  <c r="AL231" i="23"/>
  <c r="AL232" i="23"/>
  <c r="AL233" i="23"/>
  <c r="AL234" i="23"/>
  <c r="AL235" i="23"/>
  <c r="AL236" i="23"/>
  <c r="AL237" i="23"/>
  <c r="AL238" i="23"/>
  <c r="AL239" i="23"/>
  <c r="AL240" i="23"/>
  <c r="AL241" i="23"/>
  <c r="AL242" i="23"/>
  <c r="AL243" i="23"/>
  <c r="AL244" i="23"/>
  <c r="AL245" i="23"/>
  <c r="AL246" i="23"/>
  <c r="AL247" i="23"/>
  <c r="AL248" i="23"/>
  <c r="AL249" i="23"/>
  <c r="AL250" i="23"/>
  <c r="AL251" i="23"/>
  <c r="AL252" i="23"/>
  <c r="AL253" i="23"/>
  <c r="AL254" i="23"/>
  <c r="AL255" i="23"/>
  <c r="AL256" i="23"/>
  <c r="AL257" i="23"/>
  <c r="AL258" i="23"/>
  <c r="AL259" i="23"/>
  <c r="AL260" i="23"/>
  <c r="AL261" i="23"/>
  <c r="AL262" i="23"/>
  <c r="AL263" i="23"/>
  <c r="AL264" i="23"/>
  <c r="AL265" i="23"/>
  <c r="AL266" i="23"/>
  <c r="AL267" i="23"/>
  <c r="AL268" i="23"/>
  <c r="AL269" i="23"/>
  <c r="AL270" i="23"/>
  <c r="AL271" i="23"/>
  <c r="AL272" i="23"/>
  <c r="AL273" i="23"/>
  <c r="AL274" i="23"/>
  <c r="AL275" i="23"/>
  <c r="AL276" i="23"/>
  <c r="AL277" i="23"/>
  <c r="AL278" i="23"/>
  <c r="AL279" i="23"/>
  <c r="AL280" i="23"/>
  <c r="AL281" i="23"/>
  <c r="K8" i="23"/>
  <c r="N8" i="24" s="1"/>
  <c r="K9" i="23"/>
  <c r="N9" i="24" s="1"/>
  <c r="K10" i="23"/>
  <c r="N10" i="24" s="1"/>
  <c r="K11" i="23"/>
  <c r="N11" i="24" s="1"/>
  <c r="K12" i="23"/>
  <c r="N12" i="24" s="1"/>
  <c r="K13" i="23"/>
  <c r="N13" i="24" s="1"/>
  <c r="K14" i="23"/>
  <c r="N14" i="24" s="1"/>
  <c r="K15" i="23"/>
  <c r="N15" i="24" s="1"/>
  <c r="K16" i="23"/>
  <c r="N16" i="24" s="1"/>
  <c r="K17" i="23"/>
  <c r="N17" i="24" s="1"/>
  <c r="K18" i="23"/>
  <c r="N18" i="24" s="1"/>
  <c r="K19" i="23"/>
  <c r="N19" i="24" s="1"/>
  <c r="K20" i="23"/>
  <c r="N20" i="24" s="1"/>
  <c r="K21" i="23"/>
  <c r="N21" i="24" s="1"/>
  <c r="K22" i="23"/>
  <c r="N22" i="24" s="1"/>
  <c r="K23" i="23"/>
  <c r="N23" i="24" s="1"/>
  <c r="K24" i="23"/>
  <c r="N24" i="24" s="1"/>
  <c r="K25" i="23"/>
  <c r="N25" i="24" s="1"/>
  <c r="K26" i="23"/>
  <c r="N26" i="24" s="1"/>
  <c r="K27" i="23"/>
  <c r="N27" i="24" s="1"/>
  <c r="K28" i="23"/>
  <c r="N28" i="24" s="1"/>
  <c r="K29" i="23"/>
  <c r="N29" i="24" s="1"/>
  <c r="K30" i="23"/>
  <c r="N30" i="24" s="1"/>
  <c r="K31" i="23"/>
  <c r="N31" i="24" s="1"/>
  <c r="K32" i="23"/>
  <c r="N32" i="24" s="1"/>
  <c r="K33" i="23"/>
  <c r="N33" i="24" s="1"/>
  <c r="K34" i="23"/>
  <c r="N34" i="24" s="1"/>
  <c r="K35" i="23"/>
  <c r="N35" i="24" s="1"/>
  <c r="K36" i="23"/>
  <c r="N36" i="24" s="1"/>
  <c r="K37" i="23"/>
  <c r="N37" i="24" s="1"/>
  <c r="K38" i="23"/>
  <c r="N38" i="24" s="1"/>
  <c r="K39" i="23"/>
  <c r="N39" i="24" s="1"/>
  <c r="K40" i="23"/>
  <c r="N40" i="24" s="1"/>
  <c r="K41" i="23"/>
  <c r="N41" i="24" s="1"/>
  <c r="K42" i="23"/>
  <c r="N42" i="24" s="1"/>
  <c r="K43" i="23"/>
  <c r="N43" i="24" s="1"/>
  <c r="K44" i="23"/>
  <c r="N44" i="24" s="1"/>
  <c r="K45" i="23"/>
  <c r="N45" i="24" s="1"/>
  <c r="K46" i="23"/>
  <c r="N46" i="24" s="1"/>
  <c r="K47" i="23"/>
  <c r="N47" i="24" s="1"/>
  <c r="K48" i="23"/>
  <c r="N48" i="24" s="1"/>
  <c r="K49" i="23"/>
  <c r="N49" i="24" s="1"/>
  <c r="K50" i="23"/>
  <c r="N50" i="24" s="1"/>
  <c r="K51" i="23"/>
  <c r="N51" i="24" s="1"/>
  <c r="K52" i="23"/>
  <c r="N52" i="24" s="1"/>
  <c r="K53" i="23"/>
  <c r="N53" i="24" s="1"/>
  <c r="K54" i="23"/>
  <c r="N54" i="24" s="1"/>
  <c r="K55" i="23"/>
  <c r="N55" i="24" s="1"/>
  <c r="K56" i="23"/>
  <c r="N56" i="24" s="1"/>
  <c r="K57" i="23"/>
  <c r="N57" i="24" s="1"/>
  <c r="K58" i="23"/>
  <c r="N58" i="24" s="1"/>
  <c r="K59" i="23"/>
  <c r="N59" i="24" s="1"/>
  <c r="K60" i="23"/>
  <c r="N60" i="24" s="1"/>
  <c r="K61" i="23"/>
  <c r="N61" i="24" s="1"/>
  <c r="K62" i="23"/>
  <c r="N62" i="24" s="1"/>
  <c r="K63" i="23"/>
  <c r="N63" i="24" s="1"/>
  <c r="K64" i="23"/>
  <c r="N64" i="24" s="1"/>
  <c r="K65" i="23"/>
  <c r="N65" i="24" s="1"/>
  <c r="K66" i="23"/>
  <c r="N66" i="24" s="1"/>
  <c r="K67" i="23"/>
  <c r="N67" i="24" s="1"/>
  <c r="K68" i="23"/>
  <c r="N68" i="24" s="1"/>
  <c r="K69" i="23"/>
  <c r="N69" i="24" s="1"/>
  <c r="K70" i="23"/>
  <c r="N70" i="24" s="1"/>
  <c r="K71" i="23"/>
  <c r="N71" i="24" s="1"/>
  <c r="K72" i="23"/>
  <c r="N72" i="24" s="1"/>
  <c r="K73" i="23"/>
  <c r="N73" i="24" s="1"/>
  <c r="K74" i="23"/>
  <c r="N74" i="24" s="1"/>
  <c r="K75" i="23"/>
  <c r="N75" i="24" s="1"/>
  <c r="K76" i="23"/>
  <c r="N76" i="24" s="1"/>
  <c r="K77" i="23"/>
  <c r="N77" i="24" s="1"/>
  <c r="K78" i="23"/>
  <c r="N78" i="24" s="1"/>
  <c r="K79" i="23"/>
  <c r="N79" i="24" s="1"/>
  <c r="K80" i="23"/>
  <c r="N80" i="24" s="1"/>
  <c r="K81" i="23"/>
  <c r="N81" i="24" s="1"/>
  <c r="K82" i="23"/>
  <c r="N82" i="24" s="1"/>
  <c r="K83" i="23"/>
  <c r="N83" i="24" s="1"/>
  <c r="K84" i="23"/>
  <c r="N84" i="24" s="1"/>
  <c r="K85" i="23"/>
  <c r="N85" i="24" s="1"/>
  <c r="K86" i="23"/>
  <c r="N86" i="24" s="1"/>
  <c r="K87" i="23"/>
  <c r="N87" i="24" s="1"/>
  <c r="K88" i="23"/>
  <c r="N88" i="24" s="1"/>
  <c r="K89" i="23"/>
  <c r="N89" i="24" s="1"/>
  <c r="K90" i="23"/>
  <c r="N90" i="24" s="1"/>
  <c r="K91" i="23"/>
  <c r="N91" i="24" s="1"/>
  <c r="K92" i="23"/>
  <c r="N92" i="24" s="1"/>
  <c r="K93" i="23"/>
  <c r="N93" i="24" s="1"/>
  <c r="K94" i="23"/>
  <c r="N94" i="24" s="1"/>
  <c r="K95" i="23"/>
  <c r="N95" i="24" s="1"/>
  <c r="K96" i="23"/>
  <c r="N96" i="24" s="1"/>
  <c r="K97" i="23"/>
  <c r="N97" i="24" s="1"/>
  <c r="K98" i="23"/>
  <c r="N98" i="24" s="1"/>
  <c r="K99" i="23"/>
  <c r="N99" i="24" s="1"/>
  <c r="K100" i="23"/>
  <c r="N100" i="24" s="1"/>
  <c r="K101" i="23"/>
  <c r="N101" i="24" s="1"/>
  <c r="K102" i="23"/>
  <c r="N102" i="24" s="1"/>
  <c r="K103" i="23"/>
  <c r="N103" i="24" s="1"/>
  <c r="K104" i="23"/>
  <c r="N104" i="24" s="1"/>
  <c r="K105" i="23"/>
  <c r="N105" i="24" s="1"/>
  <c r="K106" i="23"/>
  <c r="N106" i="24" s="1"/>
  <c r="K107" i="23"/>
  <c r="N107" i="24" s="1"/>
  <c r="K108" i="23"/>
  <c r="N108" i="24" s="1"/>
  <c r="K109" i="23"/>
  <c r="N109" i="24" s="1"/>
  <c r="K110" i="23"/>
  <c r="N110" i="24" s="1"/>
  <c r="K111" i="23"/>
  <c r="N111" i="24" s="1"/>
  <c r="K112" i="23"/>
  <c r="N112" i="24" s="1"/>
  <c r="K113" i="23"/>
  <c r="N113" i="24" s="1"/>
  <c r="K114" i="23"/>
  <c r="N114" i="24" s="1"/>
  <c r="K115" i="23"/>
  <c r="N115" i="24" s="1"/>
  <c r="K116" i="23"/>
  <c r="N116" i="24" s="1"/>
  <c r="K117" i="23"/>
  <c r="N117" i="24" s="1"/>
  <c r="K118" i="23"/>
  <c r="N118" i="24" s="1"/>
  <c r="K119" i="23"/>
  <c r="N119" i="24" s="1"/>
  <c r="K120" i="23"/>
  <c r="N120" i="24" s="1"/>
  <c r="K121" i="23"/>
  <c r="N121" i="24" s="1"/>
  <c r="K122" i="23"/>
  <c r="N122" i="24" s="1"/>
  <c r="K123" i="23"/>
  <c r="N123" i="24" s="1"/>
  <c r="K124" i="23"/>
  <c r="N124" i="24" s="1"/>
  <c r="K125" i="23"/>
  <c r="N125" i="24" s="1"/>
  <c r="K126" i="23"/>
  <c r="N126" i="24" s="1"/>
  <c r="K127" i="23"/>
  <c r="N127" i="24" s="1"/>
  <c r="K128" i="23"/>
  <c r="N128" i="24" s="1"/>
  <c r="K129" i="23"/>
  <c r="N129" i="24" s="1"/>
  <c r="K130" i="23"/>
  <c r="N130" i="24" s="1"/>
  <c r="K131" i="23"/>
  <c r="N131" i="24" s="1"/>
  <c r="K132" i="23"/>
  <c r="N132" i="24" s="1"/>
  <c r="K133" i="23"/>
  <c r="N133" i="24" s="1"/>
  <c r="K134" i="23"/>
  <c r="N134" i="24" s="1"/>
  <c r="K135" i="23"/>
  <c r="N135" i="24" s="1"/>
  <c r="K136" i="23"/>
  <c r="N136" i="24" s="1"/>
  <c r="K137" i="23"/>
  <c r="N137" i="24" s="1"/>
  <c r="K138" i="23"/>
  <c r="N138" i="24" s="1"/>
  <c r="K139" i="23"/>
  <c r="N139" i="24" s="1"/>
  <c r="K140" i="23"/>
  <c r="N140" i="24" s="1"/>
  <c r="K141" i="23"/>
  <c r="K142" i="23"/>
  <c r="K143" i="23"/>
  <c r="N143" i="24" s="1"/>
  <c r="K144" i="23"/>
  <c r="N144" i="24" s="1"/>
  <c r="K145" i="23"/>
  <c r="N145" i="24" s="1"/>
  <c r="K146" i="23"/>
  <c r="N146" i="24" s="1"/>
  <c r="K147" i="23"/>
  <c r="N147" i="24" s="1"/>
  <c r="K148" i="23"/>
  <c r="N148" i="24" s="1"/>
  <c r="K149" i="23"/>
  <c r="N149" i="24" s="1"/>
  <c r="K150" i="23"/>
  <c r="N150" i="24" s="1"/>
  <c r="K151" i="23"/>
  <c r="N151" i="24" s="1"/>
  <c r="K152" i="23"/>
  <c r="N152" i="24" s="1"/>
  <c r="K153" i="23"/>
  <c r="N153" i="24" s="1"/>
  <c r="K154" i="23"/>
  <c r="N154" i="24" s="1"/>
  <c r="K155" i="23"/>
  <c r="N155" i="24" s="1"/>
  <c r="K156" i="23"/>
  <c r="N156" i="24" s="1"/>
  <c r="K157" i="23"/>
  <c r="N157" i="24" s="1"/>
  <c r="K158" i="23"/>
  <c r="N158" i="24" s="1"/>
  <c r="K159" i="23"/>
  <c r="N159" i="24" s="1"/>
  <c r="K160" i="23"/>
  <c r="N160" i="24" s="1"/>
  <c r="K161" i="23"/>
  <c r="N161" i="24" s="1"/>
  <c r="K162" i="23"/>
  <c r="N162" i="24" s="1"/>
  <c r="K163" i="23"/>
  <c r="N163" i="24" s="1"/>
  <c r="K164" i="23"/>
  <c r="N164" i="24" s="1"/>
  <c r="K165" i="23"/>
  <c r="N165" i="24" s="1"/>
  <c r="K166" i="23"/>
  <c r="N166" i="24" s="1"/>
  <c r="K167" i="23"/>
  <c r="N167" i="24" s="1"/>
  <c r="K168" i="23"/>
  <c r="N168" i="24" s="1"/>
  <c r="K169" i="23"/>
  <c r="N169" i="24" s="1"/>
  <c r="K170" i="23"/>
  <c r="N170" i="24" s="1"/>
  <c r="K171" i="23"/>
  <c r="N171" i="24" s="1"/>
  <c r="K172" i="23"/>
  <c r="N172" i="24" s="1"/>
  <c r="K173" i="23"/>
  <c r="N173" i="24" s="1"/>
  <c r="K174" i="23"/>
  <c r="N174" i="24" s="1"/>
  <c r="K175" i="23"/>
  <c r="N175" i="24" s="1"/>
  <c r="K176" i="23"/>
  <c r="N176" i="24" s="1"/>
  <c r="K177" i="23"/>
  <c r="N177" i="24" s="1"/>
  <c r="K178" i="23"/>
  <c r="N178" i="24" s="1"/>
  <c r="K179" i="23"/>
  <c r="N179" i="24" s="1"/>
  <c r="K180" i="23"/>
  <c r="N180" i="24" s="1"/>
  <c r="K181" i="23"/>
  <c r="N181" i="24" s="1"/>
  <c r="K182" i="23"/>
  <c r="N182" i="24" s="1"/>
  <c r="K183" i="23"/>
  <c r="N183" i="24" s="1"/>
  <c r="K184" i="23"/>
  <c r="N184" i="24" s="1"/>
  <c r="K185" i="23"/>
  <c r="K186" i="23"/>
  <c r="K187" i="23"/>
  <c r="K188" i="23"/>
  <c r="K189" i="23"/>
  <c r="K190" i="23"/>
  <c r="K191" i="23"/>
  <c r="K192" i="23"/>
  <c r="K193" i="23"/>
  <c r="K194" i="23"/>
  <c r="K195" i="23"/>
  <c r="K196" i="23"/>
  <c r="K197" i="23"/>
  <c r="K198" i="23"/>
  <c r="K199" i="23"/>
  <c r="K200" i="23"/>
  <c r="K201" i="23"/>
  <c r="K202" i="23"/>
  <c r="K203" i="23"/>
  <c r="K204" i="23"/>
  <c r="K205" i="23"/>
  <c r="K206" i="23"/>
  <c r="K207" i="23"/>
  <c r="K208" i="23"/>
  <c r="K209" i="23"/>
  <c r="K210" i="23"/>
  <c r="K211" i="23"/>
  <c r="K212" i="23"/>
  <c r="K213" i="23"/>
  <c r="K214" i="23"/>
  <c r="K215" i="23"/>
  <c r="K216" i="23"/>
  <c r="K217" i="23"/>
  <c r="K218" i="23"/>
  <c r="K219" i="23"/>
  <c r="K220" i="23"/>
  <c r="K221" i="23"/>
  <c r="K222" i="23"/>
  <c r="K223" i="23"/>
  <c r="K224" i="23"/>
  <c r="K225" i="23"/>
  <c r="K226" i="23"/>
  <c r="K227" i="23"/>
  <c r="K228" i="23"/>
  <c r="K229" i="23"/>
  <c r="K230" i="23"/>
  <c r="K231" i="23"/>
  <c r="K232" i="23"/>
  <c r="K233" i="23"/>
  <c r="K234" i="23"/>
  <c r="K235" i="23"/>
  <c r="K236" i="23"/>
  <c r="K237" i="23"/>
  <c r="K238" i="23"/>
  <c r="K239" i="23"/>
  <c r="K240" i="23"/>
  <c r="K241" i="23"/>
  <c r="K242" i="23"/>
  <c r="K243" i="23"/>
  <c r="K244" i="23"/>
  <c r="K245" i="23"/>
  <c r="K246" i="23"/>
  <c r="K247" i="23"/>
  <c r="K248" i="23"/>
  <c r="K249" i="23"/>
  <c r="K250" i="23"/>
  <c r="K251" i="23"/>
  <c r="K252" i="23"/>
  <c r="K253" i="23"/>
  <c r="K254" i="23"/>
  <c r="K255" i="23"/>
  <c r="K256" i="23"/>
  <c r="K257" i="23"/>
  <c r="K258" i="23"/>
  <c r="K259" i="23"/>
  <c r="K260" i="23"/>
  <c r="K261" i="23"/>
  <c r="K262" i="23"/>
  <c r="K263" i="23"/>
  <c r="K264" i="23"/>
  <c r="K265" i="23"/>
  <c r="K266" i="23"/>
  <c r="K267" i="23"/>
  <c r="K268" i="23"/>
  <c r="K269" i="23"/>
  <c r="K270" i="23"/>
  <c r="K271" i="23"/>
  <c r="K272" i="23"/>
  <c r="K273" i="23"/>
  <c r="K274" i="23"/>
  <c r="K275" i="23"/>
  <c r="K276" i="23"/>
  <c r="K277" i="23"/>
  <c r="K278" i="23"/>
  <c r="K279" i="23"/>
  <c r="K280" i="23"/>
  <c r="K281" i="23"/>
  <c r="Z8" i="23"/>
  <c r="AN8" i="24" s="1"/>
  <c r="Z9" i="23"/>
  <c r="AN9" i="24" s="1"/>
  <c r="Z10" i="23"/>
  <c r="AN10" i="24" s="1"/>
  <c r="Z11" i="23"/>
  <c r="AN11" i="24" s="1"/>
  <c r="Z12" i="23"/>
  <c r="AN12" i="24" s="1"/>
  <c r="Z13" i="23"/>
  <c r="AN13" i="24" s="1"/>
  <c r="Z14" i="23"/>
  <c r="AN14" i="24" s="1"/>
  <c r="Z15" i="23"/>
  <c r="AN15" i="24" s="1"/>
  <c r="Z16" i="23"/>
  <c r="AN16" i="24" s="1"/>
  <c r="Z17" i="23"/>
  <c r="AN17" i="24" s="1"/>
  <c r="Z18" i="23"/>
  <c r="AN18" i="24" s="1"/>
  <c r="Z19" i="23"/>
  <c r="AN19" i="24" s="1"/>
  <c r="Z20" i="23"/>
  <c r="AN20" i="24" s="1"/>
  <c r="Z21" i="23"/>
  <c r="AN21" i="24" s="1"/>
  <c r="Z22" i="23"/>
  <c r="AN22" i="24" s="1"/>
  <c r="Z23" i="23"/>
  <c r="AN23" i="24" s="1"/>
  <c r="Z24" i="23"/>
  <c r="AN24" i="24" s="1"/>
  <c r="Z25" i="23"/>
  <c r="AN25" i="24" s="1"/>
  <c r="Z26" i="23"/>
  <c r="AN26" i="24" s="1"/>
  <c r="Z27" i="23"/>
  <c r="AN27" i="24" s="1"/>
  <c r="Z28" i="23"/>
  <c r="AN28" i="24" s="1"/>
  <c r="Z29" i="23"/>
  <c r="AN29" i="24" s="1"/>
  <c r="Z30" i="23"/>
  <c r="AN30" i="24" s="1"/>
  <c r="Z31" i="23"/>
  <c r="AN31" i="24" s="1"/>
  <c r="Z32" i="23"/>
  <c r="AN32" i="24" s="1"/>
  <c r="Z33" i="23"/>
  <c r="AN33" i="24" s="1"/>
  <c r="Z34" i="23"/>
  <c r="AN34" i="24" s="1"/>
  <c r="Z35" i="23"/>
  <c r="AN35" i="24" s="1"/>
  <c r="Z36" i="23"/>
  <c r="AN36" i="24" s="1"/>
  <c r="Z37" i="23"/>
  <c r="AN37" i="24" s="1"/>
  <c r="Z38" i="23"/>
  <c r="AN38" i="24" s="1"/>
  <c r="Z39" i="23"/>
  <c r="AN39" i="24" s="1"/>
  <c r="Z40" i="23"/>
  <c r="AN40" i="24" s="1"/>
  <c r="Z41" i="23"/>
  <c r="AN41" i="24" s="1"/>
  <c r="Z42" i="23"/>
  <c r="AN42" i="24" s="1"/>
  <c r="Z43" i="23"/>
  <c r="AN43" i="24" s="1"/>
  <c r="Z44" i="23"/>
  <c r="AN44" i="24" s="1"/>
  <c r="Z45" i="23"/>
  <c r="AN45" i="24" s="1"/>
  <c r="Z46" i="23"/>
  <c r="AN46" i="24" s="1"/>
  <c r="Z47" i="23"/>
  <c r="AN47" i="24" s="1"/>
  <c r="Z48" i="23"/>
  <c r="AN48" i="24" s="1"/>
  <c r="Z49" i="23"/>
  <c r="AN49" i="24" s="1"/>
  <c r="Z50" i="23"/>
  <c r="AN50" i="24" s="1"/>
  <c r="Z51" i="23"/>
  <c r="AN51" i="24" s="1"/>
  <c r="Z52" i="23"/>
  <c r="AN52" i="24" s="1"/>
  <c r="Z53" i="23"/>
  <c r="AN53" i="24" s="1"/>
  <c r="Z54" i="23"/>
  <c r="AN54" i="24" s="1"/>
  <c r="Z55" i="23"/>
  <c r="AN55" i="24" s="1"/>
  <c r="Z56" i="23"/>
  <c r="AN56" i="24" s="1"/>
  <c r="Z57" i="23"/>
  <c r="AN57" i="24" s="1"/>
  <c r="Z58" i="23"/>
  <c r="AN58" i="24" s="1"/>
  <c r="Z59" i="23"/>
  <c r="AN59" i="24" s="1"/>
  <c r="Z60" i="23"/>
  <c r="AN60" i="24" s="1"/>
  <c r="Z61" i="23"/>
  <c r="AN61" i="24" s="1"/>
  <c r="Z62" i="23"/>
  <c r="AN62" i="24" s="1"/>
  <c r="Z63" i="23"/>
  <c r="AN63" i="24" s="1"/>
  <c r="Z64" i="23"/>
  <c r="AN64" i="24" s="1"/>
  <c r="Z65" i="23"/>
  <c r="AN65" i="24" s="1"/>
  <c r="Z66" i="23"/>
  <c r="AN66" i="24" s="1"/>
  <c r="Z67" i="23"/>
  <c r="AN67" i="24" s="1"/>
  <c r="Z68" i="23"/>
  <c r="AN68" i="24" s="1"/>
  <c r="Z69" i="23"/>
  <c r="AN69" i="24" s="1"/>
  <c r="Z70" i="23"/>
  <c r="AN70" i="24" s="1"/>
  <c r="Z71" i="23"/>
  <c r="AN71" i="24" s="1"/>
  <c r="Z72" i="23"/>
  <c r="AN72" i="24" s="1"/>
  <c r="Z73" i="23"/>
  <c r="AN73" i="24" s="1"/>
  <c r="Z74" i="23"/>
  <c r="AN74" i="24" s="1"/>
  <c r="Z75" i="23"/>
  <c r="AN75" i="24" s="1"/>
  <c r="Z76" i="23"/>
  <c r="AN76" i="24" s="1"/>
  <c r="Z77" i="23"/>
  <c r="AN77" i="24" s="1"/>
  <c r="Z78" i="23"/>
  <c r="AN78" i="24" s="1"/>
  <c r="Z79" i="23"/>
  <c r="AN79" i="24" s="1"/>
  <c r="Z80" i="23"/>
  <c r="AN80" i="24" s="1"/>
  <c r="Z81" i="23"/>
  <c r="AN81" i="24" s="1"/>
  <c r="Z82" i="23"/>
  <c r="AN82" i="24" s="1"/>
  <c r="Z83" i="23"/>
  <c r="AN83" i="24" s="1"/>
  <c r="Z84" i="23"/>
  <c r="AN84" i="24" s="1"/>
  <c r="Z85" i="23"/>
  <c r="AN85" i="24" s="1"/>
  <c r="Z86" i="23"/>
  <c r="AN86" i="24" s="1"/>
  <c r="Z87" i="23"/>
  <c r="AN87" i="24" s="1"/>
  <c r="Z88" i="23"/>
  <c r="AN88" i="24" s="1"/>
  <c r="Z89" i="23"/>
  <c r="AN89" i="24" s="1"/>
  <c r="Z90" i="23"/>
  <c r="AN90" i="24" s="1"/>
  <c r="Z91" i="23"/>
  <c r="AN91" i="24" s="1"/>
  <c r="Z92" i="23"/>
  <c r="AN92" i="24" s="1"/>
  <c r="Z93" i="23"/>
  <c r="AN93" i="24" s="1"/>
  <c r="Z94" i="23"/>
  <c r="AN94" i="24" s="1"/>
  <c r="Z95" i="23"/>
  <c r="AN95" i="24" s="1"/>
  <c r="Z96" i="23"/>
  <c r="AN96" i="24" s="1"/>
  <c r="Z97" i="23"/>
  <c r="AN97" i="24" s="1"/>
  <c r="Z98" i="23"/>
  <c r="AN98" i="24" s="1"/>
  <c r="Z99" i="23"/>
  <c r="AN99" i="24" s="1"/>
  <c r="Z100" i="23"/>
  <c r="AN100" i="24" s="1"/>
  <c r="Z101" i="23"/>
  <c r="AN101" i="24" s="1"/>
  <c r="Z102" i="23"/>
  <c r="AN102" i="24" s="1"/>
  <c r="Z103" i="23"/>
  <c r="AN103" i="24" s="1"/>
  <c r="Z104" i="23"/>
  <c r="AN104" i="24" s="1"/>
  <c r="Z105" i="23"/>
  <c r="AN105" i="24" s="1"/>
  <c r="Z106" i="23"/>
  <c r="AN106" i="24" s="1"/>
  <c r="Z107" i="23"/>
  <c r="AN107" i="24" s="1"/>
  <c r="Z108" i="23"/>
  <c r="AN108" i="24" s="1"/>
  <c r="Z109" i="23"/>
  <c r="AN109" i="24" s="1"/>
  <c r="Z110" i="23"/>
  <c r="AN110" i="24" s="1"/>
  <c r="Z111" i="23"/>
  <c r="AN111" i="24" s="1"/>
  <c r="Z112" i="23"/>
  <c r="AN112" i="24" s="1"/>
  <c r="Z113" i="23"/>
  <c r="AN113" i="24" s="1"/>
  <c r="Z114" i="23"/>
  <c r="AN114" i="24" s="1"/>
  <c r="Z115" i="23"/>
  <c r="AN115" i="24" s="1"/>
  <c r="Z116" i="23"/>
  <c r="AN116" i="24" s="1"/>
  <c r="Z117" i="23"/>
  <c r="AN117" i="24" s="1"/>
  <c r="Z118" i="23"/>
  <c r="AN118" i="24" s="1"/>
  <c r="Z119" i="23"/>
  <c r="AN119" i="24" s="1"/>
  <c r="Z120" i="23"/>
  <c r="AN120" i="24" s="1"/>
  <c r="Z121" i="23"/>
  <c r="AN121" i="24" s="1"/>
  <c r="Z122" i="23"/>
  <c r="AN122" i="24" s="1"/>
  <c r="Z123" i="23"/>
  <c r="AN123" i="24" s="1"/>
  <c r="Z124" i="23"/>
  <c r="AN124" i="24" s="1"/>
  <c r="Z125" i="23"/>
  <c r="AN125" i="24" s="1"/>
  <c r="Z126" i="23"/>
  <c r="AN126" i="24" s="1"/>
  <c r="Z127" i="23"/>
  <c r="AN127" i="24" s="1"/>
  <c r="Z128" i="23"/>
  <c r="AN128" i="24" s="1"/>
  <c r="Z129" i="23"/>
  <c r="AN129" i="24" s="1"/>
  <c r="Z130" i="23"/>
  <c r="AN130" i="24" s="1"/>
  <c r="Z131" i="23"/>
  <c r="AN131" i="24" s="1"/>
  <c r="Z132" i="23"/>
  <c r="AN132" i="24" s="1"/>
  <c r="Z133" i="23"/>
  <c r="AN133" i="24" s="1"/>
  <c r="Z134" i="23"/>
  <c r="AN134" i="24" s="1"/>
  <c r="Z135" i="23"/>
  <c r="AN135" i="24" s="1"/>
  <c r="Z136" i="23"/>
  <c r="AN136" i="24" s="1"/>
  <c r="Z137" i="23"/>
  <c r="AN137" i="24" s="1"/>
  <c r="Z138" i="23"/>
  <c r="AN138" i="24" s="1"/>
  <c r="Z139" i="23"/>
  <c r="AN139" i="24" s="1"/>
  <c r="Z140" i="23"/>
  <c r="Z141" i="23"/>
  <c r="Z142" i="23"/>
  <c r="Z143" i="23"/>
  <c r="AN143" i="24" s="1"/>
  <c r="Z144" i="23"/>
  <c r="AN144" i="24" s="1"/>
  <c r="Z145" i="23"/>
  <c r="AN145" i="24" s="1"/>
  <c r="Z146" i="23"/>
  <c r="AN146" i="24" s="1"/>
  <c r="Z147" i="23"/>
  <c r="AN147" i="24" s="1"/>
  <c r="Z148" i="23"/>
  <c r="AN148" i="24" s="1"/>
  <c r="Z149" i="23"/>
  <c r="AN149" i="24" s="1"/>
  <c r="Z150" i="23"/>
  <c r="AN150" i="24" s="1"/>
  <c r="Z151" i="23"/>
  <c r="AN151" i="24" s="1"/>
  <c r="Z152" i="23"/>
  <c r="AN152" i="24" s="1"/>
  <c r="Z153" i="23"/>
  <c r="AN153" i="24" s="1"/>
  <c r="Z154" i="23"/>
  <c r="AN154" i="24" s="1"/>
  <c r="Z155" i="23"/>
  <c r="AN155" i="24" s="1"/>
  <c r="Z156" i="23"/>
  <c r="AN156" i="24" s="1"/>
  <c r="Z157" i="23"/>
  <c r="AN157" i="24" s="1"/>
  <c r="Z158" i="23"/>
  <c r="AN158" i="24" s="1"/>
  <c r="Z159" i="23"/>
  <c r="AN159" i="24" s="1"/>
  <c r="Z160" i="23"/>
  <c r="AN160" i="24" s="1"/>
  <c r="Z161" i="23"/>
  <c r="AN161" i="24" s="1"/>
  <c r="Z162" i="23"/>
  <c r="AN162" i="24" s="1"/>
  <c r="Z163" i="23"/>
  <c r="AN163" i="24" s="1"/>
  <c r="Z164" i="23"/>
  <c r="AN164" i="24" s="1"/>
  <c r="Z165" i="23"/>
  <c r="AN165" i="24" s="1"/>
  <c r="Z166" i="23"/>
  <c r="AN166" i="24" s="1"/>
  <c r="Z167" i="23"/>
  <c r="AN167" i="24" s="1"/>
  <c r="Z168" i="23"/>
  <c r="AN168" i="24" s="1"/>
  <c r="Z169" i="23"/>
  <c r="AN169" i="24" s="1"/>
  <c r="Z170" i="23"/>
  <c r="AN170" i="24" s="1"/>
  <c r="Z171" i="23"/>
  <c r="AN171" i="24" s="1"/>
  <c r="Z172" i="23"/>
  <c r="AN172" i="24" s="1"/>
  <c r="Z173" i="23"/>
  <c r="AN173" i="24" s="1"/>
  <c r="Z174" i="23"/>
  <c r="AN174" i="24" s="1"/>
  <c r="Z175" i="23"/>
  <c r="AN175" i="24" s="1"/>
  <c r="Z176" i="23"/>
  <c r="AN176" i="24" s="1"/>
  <c r="Z177" i="23"/>
  <c r="AN177" i="24" s="1"/>
  <c r="Z178" i="23"/>
  <c r="AN178" i="24" s="1"/>
  <c r="Z179" i="23"/>
  <c r="AN179" i="24" s="1"/>
  <c r="Z180" i="23"/>
  <c r="AN180" i="24" s="1"/>
  <c r="Z181" i="23"/>
  <c r="AN181" i="24" s="1"/>
  <c r="Z182" i="23"/>
  <c r="AN182" i="24" s="1"/>
  <c r="Z183" i="23"/>
  <c r="AN183" i="24" s="1"/>
  <c r="Z184" i="23"/>
  <c r="AN184" i="24" s="1"/>
  <c r="Z185" i="23"/>
  <c r="Z186" i="23"/>
  <c r="Z187" i="23"/>
  <c r="Z188" i="23"/>
  <c r="Z189" i="23"/>
  <c r="Z190" i="23"/>
  <c r="Z191" i="23"/>
  <c r="Z192" i="23"/>
  <c r="Z193" i="23"/>
  <c r="Z194" i="23"/>
  <c r="Z195" i="23"/>
  <c r="Z196" i="23"/>
  <c r="Z197" i="23"/>
  <c r="Z198" i="23"/>
  <c r="Z199" i="23"/>
  <c r="Z200" i="23"/>
  <c r="Z201" i="23"/>
  <c r="Z202" i="23"/>
  <c r="Z203" i="23"/>
  <c r="Z204" i="23"/>
  <c r="Z205" i="23"/>
  <c r="Z206" i="23"/>
  <c r="Z207" i="23"/>
  <c r="Z208" i="23"/>
  <c r="Z209" i="23"/>
  <c r="Z210" i="23"/>
  <c r="Z211" i="23"/>
  <c r="Z212" i="23"/>
  <c r="Z213" i="23"/>
  <c r="Z214" i="23"/>
  <c r="Z215" i="23"/>
  <c r="Z216" i="23"/>
  <c r="Z217" i="23"/>
  <c r="Z218" i="23"/>
  <c r="Z219" i="23"/>
  <c r="Z220" i="23"/>
  <c r="Z221" i="23"/>
  <c r="Z222" i="23"/>
  <c r="Z223" i="23"/>
  <c r="Z224" i="23"/>
  <c r="Z225" i="23"/>
  <c r="Z226" i="23"/>
  <c r="Z227" i="23"/>
  <c r="Z228" i="23"/>
  <c r="Z229" i="23"/>
  <c r="Z230" i="23"/>
  <c r="Z231" i="23"/>
  <c r="Z232" i="23"/>
  <c r="Z233" i="23"/>
  <c r="Z234" i="23"/>
  <c r="Z235" i="23"/>
  <c r="Z236" i="23"/>
  <c r="Z237" i="23"/>
  <c r="Z238" i="23"/>
  <c r="Z239" i="23"/>
  <c r="Z240" i="23"/>
  <c r="Z241" i="23"/>
  <c r="Z242" i="23"/>
  <c r="Z243" i="23"/>
  <c r="Z244" i="23"/>
  <c r="Z245" i="23"/>
  <c r="Z246" i="23"/>
  <c r="Z247" i="23"/>
  <c r="Z248" i="23"/>
  <c r="Z249" i="23"/>
  <c r="Z250" i="23"/>
  <c r="Z251" i="23"/>
  <c r="Z252" i="23"/>
  <c r="Z253" i="23"/>
  <c r="Z254" i="23"/>
  <c r="Z255" i="23"/>
  <c r="Z256" i="23"/>
  <c r="Z257" i="23"/>
  <c r="Z258" i="23"/>
  <c r="Z259" i="23"/>
  <c r="Z260" i="23"/>
  <c r="Z261" i="23"/>
  <c r="Z262" i="23"/>
  <c r="Z263" i="23"/>
  <c r="Z264" i="23"/>
  <c r="Z265" i="23"/>
  <c r="Z266" i="23"/>
  <c r="Z267" i="23"/>
  <c r="Z268" i="23"/>
  <c r="Z269" i="23"/>
  <c r="Z270" i="23"/>
  <c r="Z271" i="23"/>
  <c r="Z272" i="23"/>
  <c r="Z273" i="23"/>
  <c r="Z274" i="23"/>
  <c r="Z275" i="23"/>
  <c r="Z276" i="23"/>
  <c r="Z277" i="23"/>
  <c r="Z278" i="23"/>
  <c r="Z279" i="23"/>
  <c r="Z280" i="23"/>
  <c r="Z281" i="23"/>
  <c r="E138" i="22"/>
  <c r="E139" i="22"/>
  <c r="AW159" i="24" l="1"/>
  <c r="AV159" i="24"/>
  <c r="AW27" i="24"/>
  <c r="AV27" i="24"/>
  <c r="Z109" i="24"/>
  <c r="X109" i="24"/>
  <c r="X37" i="24"/>
  <c r="Z37" i="24"/>
  <c r="BR155" i="24"/>
  <c r="BQ155" i="24"/>
  <c r="BR95" i="24"/>
  <c r="BQ95" i="24"/>
  <c r="BR23" i="24"/>
  <c r="BQ23" i="24"/>
  <c r="AV182" i="24"/>
  <c r="AW182" i="24"/>
  <c r="AV170" i="24"/>
  <c r="AW170" i="24"/>
  <c r="AV158" i="24"/>
  <c r="AW158" i="24"/>
  <c r="AV146" i="24"/>
  <c r="AW146" i="24"/>
  <c r="AW134" i="24"/>
  <c r="AV134" i="24"/>
  <c r="AV122" i="24"/>
  <c r="AW122" i="24"/>
  <c r="AW110" i="24"/>
  <c r="AV110" i="24"/>
  <c r="AV98" i="24"/>
  <c r="AW98" i="24"/>
  <c r="AW86" i="24"/>
  <c r="AV86" i="24"/>
  <c r="AV74" i="24"/>
  <c r="AW74" i="24"/>
  <c r="AV62" i="24"/>
  <c r="AW62" i="24"/>
  <c r="AV50" i="24"/>
  <c r="AW50" i="24"/>
  <c r="AV38" i="24"/>
  <c r="AW38" i="24"/>
  <c r="AV26" i="24"/>
  <c r="AW26" i="24"/>
  <c r="AV14" i="24"/>
  <c r="AW14" i="24"/>
  <c r="X180" i="24"/>
  <c r="Z180" i="24"/>
  <c r="X168" i="24"/>
  <c r="Z168" i="24"/>
  <c r="Z156" i="24"/>
  <c r="X156" i="24"/>
  <c r="X144" i="24"/>
  <c r="Z144" i="24"/>
  <c r="Z132" i="24"/>
  <c r="X132" i="24"/>
  <c r="Z120" i="24"/>
  <c r="X120" i="24"/>
  <c r="Z108" i="24"/>
  <c r="X108" i="24"/>
  <c r="X96" i="24"/>
  <c r="Z96" i="24"/>
  <c r="Z84" i="24"/>
  <c r="X84" i="24"/>
  <c r="X72" i="24"/>
  <c r="Z72" i="24"/>
  <c r="Z60" i="24"/>
  <c r="X60" i="24"/>
  <c r="Z48" i="24"/>
  <c r="X48" i="24"/>
  <c r="Z36" i="24"/>
  <c r="X36" i="24"/>
  <c r="X24" i="24"/>
  <c r="Z24" i="24"/>
  <c r="Z12" i="24"/>
  <c r="X12" i="24"/>
  <c r="BR178" i="24"/>
  <c r="BQ178" i="24"/>
  <c r="BR166" i="24"/>
  <c r="BQ166" i="24"/>
  <c r="BR154" i="24"/>
  <c r="BQ154" i="24"/>
  <c r="AN142" i="23"/>
  <c r="BI142" i="24"/>
  <c r="BR130" i="24"/>
  <c r="BQ130" i="24"/>
  <c r="BR118" i="24"/>
  <c r="BQ118" i="24"/>
  <c r="BR106" i="24"/>
  <c r="BQ106" i="24"/>
  <c r="BR94" i="24"/>
  <c r="BQ94" i="24"/>
  <c r="BR82" i="24"/>
  <c r="BQ82" i="24"/>
  <c r="BR70" i="24"/>
  <c r="BQ70" i="24"/>
  <c r="BR58" i="24"/>
  <c r="BQ58" i="24"/>
  <c r="BR46" i="24"/>
  <c r="BQ46" i="24"/>
  <c r="BR34" i="24"/>
  <c r="BQ34" i="24"/>
  <c r="BR22" i="24"/>
  <c r="BQ22" i="24"/>
  <c r="BR10" i="24"/>
  <c r="BQ10" i="24"/>
  <c r="AV87" i="24"/>
  <c r="AW87" i="24"/>
  <c r="X145" i="24"/>
  <c r="Z145" i="24"/>
  <c r="Z61" i="24"/>
  <c r="X61" i="24"/>
  <c r="BR167" i="24"/>
  <c r="BQ167" i="24"/>
  <c r="BR107" i="24"/>
  <c r="BQ107" i="24"/>
  <c r="BR11" i="24"/>
  <c r="BQ11" i="24"/>
  <c r="AW181" i="24"/>
  <c r="AV181" i="24"/>
  <c r="AW169" i="24"/>
  <c r="AV169" i="24"/>
  <c r="AW157" i="24"/>
  <c r="AV157" i="24"/>
  <c r="AW145" i="24"/>
  <c r="AV145" i="24"/>
  <c r="AV133" i="24"/>
  <c r="AW133" i="24"/>
  <c r="AV121" i="24"/>
  <c r="AW121" i="24"/>
  <c r="AV109" i="24"/>
  <c r="AW109" i="24"/>
  <c r="AV97" i="24"/>
  <c r="AW97" i="24"/>
  <c r="AV85" i="24"/>
  <c r="AW85" i="24"/>
  <c r="AV73" i="24"/>
  <c r="AW73" i="24"/>
  <c r="AW61" i="24"/>
  <c r="AV61" i="24"/>
  <c r="AV49" i="24"/>
  <c r="AW49" i="24"/>
  <c r="AW37" i="24"/>
  <c r="AV37" i="24"/>
  <c r="AW25" i="24"/>
  <c r="AV25" i="24"/>
  <c r="AW13" i="24"/>
  <c r="AV13" i="24"/>
  <c r="Z179" i="24"/>
  <c r="X179" i="24"/>
  <c r="X167" i="24"/>
  <c r="Z167" i="24"/>
  <c r="Z155" i="24"/>
  <c r="X155" i="24"/>
  <c r="Z143" i="24"/>
  <c r="X143" i="24"/>
  <c r="Z131" i="24"/>
  <c r="X131" i="24"/>
  <c r="Z119" i="24"/>
  <c r="X119" i="24"/>
  <c r="X107" i="24"/>
  <c r="Z107" i="24"/>
  <c r="Z95" i="24"/>
  <c r="X95" i="24"/>
  <c r="X83" i="24"/>
  <c r="Z83" i="24"/>
  <c r="Z71" i="24"/>
  <c r="X71" i="24"/>
  <c r="X59" i="24"/>
  <c r="Z59" i="24"/>
  <c r="X47" i="24"/>
  <c r="Z47" i="24"/>
  <c r="Z35" i="24"/>
  <c r="X35" i="24"/>
  <c r="X23" i="24"/>
  <c r="Z23" i="24"/>
  <c r="Z11" i="24"/>
  <c r="X11" i="24"/>
  <c r="BR177" i="24"/>
  <c r="BQ177" i="24"/>
  <c r="BR165" i="24"/>
  <c r="BQ165" i="24"/>
  <c r="BR153" i="24"/>
  <c r="BQ153" i="24"/>
  <c r="AN141" i="23"/>
  <c r="BI141" i="24"/>
  <c r="BR129" i="24"/>
  <c r="BQ129" i="24"/>
  <c r="BR117" i="24"/>
  <c r="BQ117" i="24"/>
  <c r="BR105" i="24"/>
  <c r="BQ105" i="24"/>
  <c r="BR93" i="24"/>
  <c r="BQ93" i="24"/>
  <c r="BR81" i="24"/>
  <c r="BQ81" i="24"/>
  <c r="BR69" i="24"/>
  <c r="BQ69" i="24"/>
  <c r="BR57" i="24"/>
  <c r="BQ57" i="24"/>
  <c r="BR45" i="24"/>
  <c r="BQ45" i="24"/>
  <c r="BR33" i="24"/>
  <c r="BQ33" i="24"/>
  <c r="BR21" i="24"/>
  <c r="BQ21" i="24"/>
  <c r="BR9" i="24"/>
  <c r="BQ9" i="24"/>
  <c r="AW147" i="24"/>
  <c r="AV147" i="24"/>
  <c r="AW180" i="24"/>
  <c r="AV180" i="24"/>
  <c r="AV168" i="24"/>
  <c r="AW168" i="24"/>
  <c r="AV156" i="24"/>
  <c r="AW156" i="24"/>
  <c r="AV144" i="24"/>
  <c r="AW144" i="24"/>
  <c r="AW132" i="24"/>
  <c r="AV132" i="24"/>
  <c r="AV120" i="24"/>
  <c r="AW120" i="24"/>
  <c r="AW108" i="24"/>
  <c r="AV108" i="24"/>
  <c r="AW96" i="24"/>
  <c r="AV96" i="24"/>
  <c r="AW84" i="24"/>
  <c r="AV84" i="24"/>
  <c r="AW72" i="24"/>
  <c r="AV72" i="24"/>
  <c r="AW60" i="24"/>
  <c r="AV60" i="24"/>
  <c r="AW48" i="24"/>
  <c r="AV48" i="24"/>
  <c r="AW36" i="24"/>
  <c r="AV36" i="24"/>
  <c r="AV24" i="24"/>
  <c r="AW24" i="24"/>
  <c r="AV12" i="24"/>
  <c r="AW12" i="24"/>
  <c r="X178" i="24"/>
  <c r="Z178" i="24"/>
  <c r="X166" i="24"/>
  <c r="Z166" i="24"/>
  <c r="X154" i="24"/>
  <c r="Z154" i="24"/>
  <c r="P142" i="23"/>
  <c r="N142" i="24"/>
  <c r="X130" i="24"/>
  <c r="Z130" i="24"/>
  <c r="Z118" i="24"/>
  <c r="X118" i="24"/>
  <c r="Z106" i="24"/>
  <c r="X106" i="24"/>
  <c r="Z94" i="24"/>
  <c r="X94" i="24"/>
  <c r="Z82" i="24"/>
  <c r="X82" i="24"/>
  <c r="Z70" i="24"/>
  <c r="X70" i="24"/>
  <c r="Z58" i="24"/>
  <c r="X58" i="24"/>
  <c r="Z46" i="24"/>
  <c r="X46" i="24"/>
  <c r="X34" i="24"/>
  <c r="Z34" i="24"/>
  <c r="X22" i="24"/>
  <c r="Z22" i="24"/>
  <c r="X10" i="24"/>
  <c r="Z10" i="24"/>
  <c r="BR176" i="24"/>
  <c r="BQ176" i="24"/>
  <c r="BR164" i="24"/>
  <c r="BQ164" i="24"/>
  <c r="BR152" i="24"/>
  <c r="BQ152" i="24"/>
  <c r="AN140" i="23"/>
  <c r="BI140" i="24"/>
  <c r="BR128" i="24"/>
  <c r="BQ128" i="24"/>
  <c r="BR116" i="24"/>
  <c r="BQ116" i="24"/>
  <c r="BR104" i="24"/>
  <c r="BQ104" i="24"/>
  <c r="BR92" i="24"/>
  <c r="BQ92" i="24"/>
  <c r="BR80" i="24"/>
  <c r="BQ80" i="24"/>
  <c r="BR68" i="24"/>
  <c r="BQ68" i="24"/>
  <c r="BR56" i="24"/>
  <c r="BQ56" i="24"/>
  <c r="BR44" i="24"/>
  <c r="BQ44" i="24"/>
  <c r="BR32" i="24"/>
  <c r="BQ32" i="24"/>
  <c r="BR20" i="24"/>
  <c r="BQ20" i="24"/>
  <c r="BR8" i="24"/>
  <c r="BQ8" i="24"/>
  <c r="AW183" i="24"/>
  <c r="AV183" i="24"/>
  <c r="AW63" i="24"/>
  <c r="AV63" i="24"/>
  <c r="Z121" i="24"/>
  <c r="X121" i="24"/>
  <c r="Z25" i="24"/>
  <c r="X25" i="24"/>
  <c r="BR143" i="24"/>
  <c r="BQ143" i="24"/>
  <c r="BR83" i="24"/>
  <c r="BQ83" i="24"/>
  <c r="BR35" i="24"/>
  <c r="BQ35" i="24"/>
  <c r="AW179" i="24"/>
  <c r="AV179" i="24"/>
  <c r="AW167" i="24"/>
  <c r="AV167" i="24"/>
  <c r="AW155" i="24"/>
  <c r="AV155" i="24"/>
  <c r="AV143" i="24"/>
  <c r="AW143" i="24"/>
  <c r="AW131" i="24"/>
  <c r="AV131" i="24"/>
  <c r="AW119" i="24"/>
  <c r="AV119" i="24"/>
  <c r="AW107" i="24"/>
  <c r="AV107" i="24"/>
  <c r="AV95" i="24"/>
  <c r="AW95" i="24"/>
  <c r="AW83" i="24"/>
  <c r="AV83" i="24"/>
  <c r="AV71" i="24"/>
  <c r="AW71" i="24"/>
  <c r="AW59" i="24"/>
  <c r="AV59" i="24"/>
  <c r="AV47" i="24"/>
  <c r="AW47" i="24"/>
  <c r="AW35" i="24"/>
  <c r="AV35" i="24"/>
  <c r="AW23" i="24"/>
  <c r="AV23" i="24"/>
  <c r="AW11" i="24"/>
  <c r="AV11" i="24"/>
  <c r="Z177" i="24"/>
  <c r="X177" i="24"/>
  <c r="Z165" i="24"/>
  <c r="X165" i="24"/>
  <c r="Z153" i="24"/>
  <c r="X153" i="24"/>
  <c r="P141" i="23"/>
  <c r="N141" i="24"/>
  <c r="Z129" i="24"/>
  <c r="X129" i="24"/>
  <c r="Z117" i="24"/>
  <c r="X117" i="24"/>
  <c r="Z105" i="24"/>
  <c r="X105" i="24"/>
  <c r="Z93" i="24"/>
  <c r="X93" i="24"/>
  <c r="Z81" i="24"/>
  <c r="X81" i="24"/>
  <c r="X69" i="24"/>
  <c r="Z69" i="24"/>
  <c r="X57" i="24"/>
  <c r="Z57" i="24"/>
  <c r="X45" i="24"/>
  <c r="Z45" i="24"/>
  <c r="Z33" i="24"/>
  <c r="X33" i="24"/>
  <c r="Z21" i="24"/>
  <c r="X21" i="24"/>
  <c r="Z9" i="24"/>
  <c r="X9" i="24"/>
  <c r="BR175" i="24"/>
  <c r="BQ175" i="24"/>
  <c r="BR163" i="24"/>
  <c r="BQ163" i="24"/>
  <c r="BR151" i="24"/>
  <c r="BQ151" i="24"/>
  <c r="BI139" i="24"/>
  <c r="BR127" i="24"/>
  <c r="BQ127" i="24"/>
  <c r="BR115" i="24"/>
  <c r="BQ115" i="24"/>
  <c r="BR103" i="24"/>
  <c r="BQ103" i="24"/>
  <c r="BR91" i="24"/>
  <c r="BQ91" i="24"/>
  <c r="BR79" i="24"/>
  <c r="BQ79" i="24"/>
  <c r="BR67" i="24"/>
  <c r="BQ67" i="24"/>
  <c r="BR55" i="24"/>
  <c r="BQ55" i="24"/>
  <c r="BR43" i="24"/>
  <c r="BQ43" i="24"/>
  <c r="BR31" i="24"/>
  <c r="BQ31" i="24"/>
  <c r="BR19" i="24"/>
  <c r="BQ19" i="24"/>
  <c r="AV99" i="24"/>
  <c r="AW99" i="24"/>
  <c r="Z157" i="24"/>
  <c r="X157" i="24"/>
  <c r="Z85" i="24"/>
  <c r="X85" i="24"/>
  <c r="BR131" i="24"/>
  <c r="BQ131" i="24"/>
  <c r="BR71" i="24"/>
  <c r="BQ71" i="24"/>
  <c r="BR47" i="24"/>
  <c r="BQ47" i="24"/>
  <c r="AW178" i="24"/>
  <c r="AV178" i="24"/>
  <c r="AW166" i="24"/>
  <c r="AV166" i="24"/>
  <c r="AW154" i="24"/>
  <c r="AV154" i="24"/>
  <c r="AB142" i="23"/>
  <c r="AN142" i="24"/>
  <c r="AW130" i="24"/>
  <c r="AV130" i="24"/>
  <c r="AW118" i="24"/>
  <c r="AV118" i="24"/>
  <c r="AW106" i="24"/>
  <c r="AV106" i="24"/>
  <c r="AV94" i="24"/>
  <c r="AW94" i="24"/>
  <c r="AW82" i="24"/>
  <c r="AV82" i="24"/>
  <c r="AW70" i="24"/>
  <c r="AV70" i="24"/>
  <c r="AV58" i="24"/>
  <c r="AW58" i="24"/>
  <c r="AV46" i="24"/>
  <c r="AW46" i="24"/>
  <c r="AW34" i="24"/>
  <c r="AV34" i="24"/>
  <c r="AW22" i="24"/>
  <c r="AV22" i="24"/>
  <c r="AW10" i="24"/>
  <c r="AV10" i="24"/>
  <c r="X176" i="24"/>
  <c r="Z176" i="24"/>
  <c r="Z164" i="24"/>
  <c r="X164" i="24"/>
  <c r="Z152" i="24"/>
  <c r="X152" i="24"/>
  <c r="X140" i="24"/>
  <c r="Z140" i="24"/>
  <c r="Z128" i="24"/>
  <c r="X128" i="24"/>
  <c r="Z116" i="24"/>
  <c r="X116" i="24"/>
  <c r="Z104" i="24"/>
  <c r="X104" i="24"/>
  <c r="Z92" i="24"/>
  <c r="X92" i="24"/>
  <c r="X80" i="24"/>
  <c r="Z80" i="24"/>
  <c r="X68" i="24"/>
  <c r="Z68" i="24"/>
  <c r="X56" i="24"/>
  <c r="Z56" i="24"/>
  <c r="X44" i="24"/>
  <c r="Z44" i="24"/>
  <c r="Z32" i="24"/>
  <c r="X32" i="24"/>
  <c r="X20" i="24"/>
  <c r="Z20" i="24"/>
  <c r="X8" i="24"/>
  <c r="Z8" i="24"/>
  <c r="BR174" i="24"/>
  <c r="BQ174" i="24"/>
  <c r="BR162" i="24"/>
  <c r="BQ162" i="24"/>
  <c r="BR150" i="24"/>
  <c r="BQ150" i="24"/>
  <c r="BR138" i="24"/>
  <c r="BQ138" i="24"/>
  <c r="BR126" i="24"/>
  <c r="BQ126" i="24"/>
  <c r="BR114" i="24"/>
  <c r="BQ114" i="24"/>
  <c r="BR102" i="24"/>
  <c r="BQ102" i="24"/>
  <c r="BR90" i="24"/>
  <c r="BQ90" i="24"/>
  <c r="BR78" i="24"/>
  <c r="BQ78" i="24"/>
  <c r="BR66" i="24"/>
  <c r="BQ66" i="24"/>
  <c r="BR54" i="24"/>
  <c r="BQ54" i="24"/>
  <c r="BR42" i="24"/>
  <c r="BQ42" i="24"/>
  <c r="BR30" i="24"/>
  <c r="BQ30" i="24"/>
  <c r="BR18" i="24"/>
  <c r="BQ18" i="24"/>
  <c r="AV111" i="24"/>
  <c r="AW111" i="24"/>
  <c r="Z97" i="24"/>
  <c r="X97" i="24"/>
  <c r="X13" i="24"/>
  <c r="Z13" i="24"/>
  <c r="BR179" i="24"/>
  <c r="BQ179" i="24"/>
  <c r="BR119" i="24"/>
  <c r="BQ119" i="24"/>
  <c r="BR59" i="24"/>
  <c r="BQ59" i="24"/>
  <c r="AW177" i="24"/>
  <c r="AV177" i="24"/>
  <c r="AW165" i="24"/>
  <c r="AV165" i="24"/>
  <c r="AW153" i="24"/>
  <c r="AV153" i="24"/>
  <c r="AB141" i="23"/>
  <c r="AN141" i="24"/>
  <c r="AV129" i="24"/>
  <c r="AW129" i="24"/>
  <c r="AW117" i="24"/>
  <c r="AV117" i="24"/>
  <c r="AV105" i="24"/>
  <c r="AW105" i="24"/>
  <c r="AW93" i="24"/>
  <c r="AV93" i="24"/>
  <c r="AV81" i="24"/>
  <c r="AW81" i="24"/>
  <c r="AW69" i="24"/>
  <c r="AV69" i="24"/>
  <c r="AV57" i="24"/>
  <c r="AW57" i="24"/>
  <c r="AW45" i="24"/>
  <c r="AV45" i="24"/>
  <c r="AW33" i="24"/>
  <c r="AV33" i="24"/>
  <c r="AV21" i="24"/>
  <c r="AW21" i="24"/>
  <c r="AW9" i="24"/>
  <c r="AV9" i="24"/>
  <c r="X175" i="24"/>
  <c r="Z175" i="24"/>
  <c r="Z163" i="24"/>
  <c r="X163" i="24"/>
  <c r="Z151" i="24"/>
  <c r="X151" i="24"/>
  <c r="X139" i="24"/>
  <c r="Z139" i="24"/>
  <c r="Z127" i="24"/>
  <c r="X127" i="24"/>
  <c r="Z115" i="24"/>
  <c r="X115" i="24"/>
  <c r="Z103" i="24"/>
  <c r="X103" i="24"/>
  <c r="X91" i="24"/>
  <c r="Z91" i="24"/>
  <c r="X79" i="24"/>
  <c r="Z79" i="24"/>
  <c r="X67" i="24"/>
  <c r="Z67" i="24"/>
  <c r="Z55" i="24"/>
  <c r="X55" i="24"/>
  <c r="X43" i="24"/>
  <c r="Z43" i="24"/>
  <c r="X31" i="24"/>
  <c r="Z31" i="24"/>
  <c r="X19" i="24"/>
  <c r="Z19" i="24"/>
  <c r="BR173" i="24"/>
  <c r="BQ173" i="24"/>
  <c r="BR161" i="24"/>
  <c r="BQ161" i="24"/>
  <c r="BR149" i="24"/>
  <c r="BQ149" i="24"/>
  <c r="BR137" i="24"/>
  <c r="BQ137" i="24"/>
  <c r="BR125" i="24"/>
  <c r="BQ125" i="24"/>
  <c r="BR113" i="24"/>
  <c r="BQ113" i="24"/>
  <c r="BR101" i="24"/>
  <c r="BQ101" i="24"/>
  <c r="BR89" i="24"/>
  <c r="BQ89" i="24"/>
  <c r="BR77" i="24"/>
  <c r="BQ77" i="24"/>
  <c r="BR65" i="24"/>
  <c r="BQ65" i="24"/>
  <c r="BR53" i="24"/>
  <c r="BQ53" i="24"/>
  <c r="BR41" i="24"/>
  <c r="BQ41" i="24"/>
  <c r="BR29" i="24"/>
  <c r="BQ29" i="24"/>
  <c r="BR17" i="24"/>
  <c r="BQ17" i="24"/>
  <c r="AW39" i="24"/>
  <c r="AV39" i="24"/>
  <c r="Z169" i="24"/>
  <c r="X169" i="24"/>
  <c r="AB140" i="23"/>
  <c r="AN140" i="24"/>
  <c r="AW128" i="24"/>
  <c r="AV128" i="24"/>
  <c r="AV116" i="24"/>
  <c r="AW116" i="24"/>
  <c r="AW104" i="24"/>
  <c r="AV104" i="24"/>
  <c r="AV92" i="24"/>
  <c r="AW92" i="24"/>
  <c r="AW80" i="24"/>
  <c r="AV80" i="24"/>
  <c r="AW68" i="24"/>
  <c r="AV68" i="24"/>
  <c r="AW56" i="24"/>
  <c r="AV56" i="24"/>
  <c r="AW44" i="24"/>
  <c r="AV44" i="24"/>
  <c r="AW32" i="24"/>
  <c r="AV32" i="24"/>
  <c r="AW20" i="24"/>
  <c r="AV20" i="24"/>
  <c r="AW8" i="24"/>
  <c r="AV8" i="24"/>
  <c r="Z174" i="24"/>
  <c r="X174" i="24"/>
  <c r="Z162" i="24"/>
  <c r="X162" i="24"/>
  <c r="Z150" i="24"/>
  <c r="X150" i="24"/>
  <c r="Z138" i="24"/>
  <c r="X138" i="24"/>
  <c r="X126" i="24"/>
  <c r="Z126" i="24"/>
  <c r="X114" i="24"/>
  <c r="Z114" i="24"/>
  <c r="X102" i="24"/>
  <c r="Z102" i="24"/>
  <c r="X90" i="24"/>
  <c r="Z90" i="24"/>
  <c r="X78" i="24"/>
  <c r="Z78" i="24"/>
  <c r="X66" i="24"/>
  <c r="Z66" i="24"/>
  <c r="Z54" i="24"/>
  <c r="X54" i="24"/>
  <c r="Z42" i="24"/>
  <c r="X42" i="24"/>
  <c r="Z30" i="24"/>
  <c r="X30" i="24"/>
  <c r="Z18" i="24"/>
  <c r="X18" i="24"/>
  <c r="BR184" i="24"/>
  <c r="BQ184" i="24"/>
  <c r="BR172" i="24"/>
  <c r="BQ172" i="24"/>
  <c r="BR160" i="24"/>
  <c r="BQ160" i="24"/>
  <c r="BR148" i="24"/>
  <c r="BQ148" i="24"/>
  <c r="BR136" i="24"/>
  <c r="BQ136" i="24"/>
  <c r="BR124" i="24"/>
  <c r="BQ124" i="24"/>
  <c r="BR112" i="24"/>
  <c r="BQ112" i="24"/>
  <c r="BR100" i="24"/>
  <c r="BQ100" i="24"/>
  <c r="BR88" i="24"/>
  <c r="BQ88" i="24"/>
  <c r="BR76" i="24"/>
  <c r="BQ76" i="24"/>
  <c r="BR64" i="24"/>
  <c r="BQ64" i="24"/>
  <c r="BR52" i="24"/>
  <c r="BQ52" i="24"/>
  <c r="BR40" i="24"/>
  <c r="BQ40" i="24"/>
  <c r="BR28" i="24"/>
  <c r="BQ28" i="24"/>
  <c r="BR16" i="24"/>
  <c r="BQ16" i="24"/>
  <c r="AV51" i="24"/>
  <c r="AW51" i="24"/>
  <c r="X181" i="24"/>
  <c r="Z181" i="24"/>
  <c r="AV139" i="24"/>
  <c r="AW139" i="24"/>
  <c r="AW103" i="24"/>
  <c r="AV103" i="24"/>
  <c r="AW79" i="24"/>
  <c r="AV79" i="24"/>
  <c r="AV67" i="24"/>
  <c r="AW67" i="24"/>
  <c r="AV55" i="24"/>
  <c r="AW55" i="24"/>
  <c r="AW43" i="24"/>
  <c r="AV43" i="24"/>
  <c r="AV31" i="24"/>
  <c r="AW31" i="24"/>
  <c r="AW19" i="24"/>
  <c r="AV19" i="24"/>
  <c r="Z173" i="24"/>
  <c r="X173" i="24"/>
  <c r="Z161" i="24"/>
  <c r="X161" i="24"/>
  <c r="X149" i="24"/>
  <c r="Z149" i="24"/>
  <c r="X137" i="24"/>
  <c r="Z137" i="24"/>
  <c r="X125" i="24"/>
  <c r="Z125" i="24"/>
  <c r="X113" i="24"/>
  <c r="Z113" i="24"/>
  <c r="X101" i="24"/>
  <c r="Z101" i="24"/>
  <c r="X89" i="24"/>
  <c r="Z89" i="24"/>
  <c r="X77" i="24"/>
  <c r="Z77" i="24"/>
  <c r="X65" i="24"/>
  <c r="Z65" i="24"/>
  <c r="X53" i="24"/>
  <c r="Z53" i="24"/>
  <c r="Z41" i="24"/>
  <c r="X41" i="24"/>
  <c r="Z29" i="24"/>
  <c r="X29" i="24"/>
  <c r="Z17" i="24"/>
  <c r="X17" i="24"/>
  <c r="BR183" i="24"/>
  <c r="BQ183" i="24"/>
  <c r="BR171" i="24"/>
  <c r="BQ171" i="24"/>
  <c r="BR159" i="24"/>
  <c r="BQ159" i="24"/>
  <c r="BR147" i="24"/>
  <c r="BQ147" i="24"/>
  <c r="BR135" i="24"/>
  <c r="BQ135" i="24"/>
  <c r="BR123" i="24"/>
  <c r="BQ123" i="24"/>
  <c r="BR111" i="24"/>
  <c r="BQ111" i="24"/>
  <c r="BR99" i="24"/>
  <c r="BQ99" i="24"/>
  <c r="BR87" i="24"/>
  <c r="BQ87" i="24"/>
  <c r="BR75" i="24"/>
  <c r="BQ75" i="24"/>
  <c r="BR63" i="24"/>
  <c r="BQ63" i="24"/>
  <c r="BR51" i="24"/>
  <c r="BQ51" i="24"/>
  <c r="BR39" i="24"/>
  <c r="BQ39" i="24"/>
  <c r="BR27" i="24"/>
  <c r="BQ27" i="24"/>
  <c r="BR15" i="24"/>
  <c r="BQ15" i="24"/>
  <c r="AV135" i="24"/>
  <c r="AW135" i="24"/>
  <c r="AW15" i="24"/>
  <c r="AV15" i="24"/>
  <c r="Z49" i="24"/>
  <c r="X49" i="24"/>
  <c r="AV152" i="24"/>
  <c r="AW152" i="24"/>
  <c r="AW163" i="24"/>
  <c r="AV163" i="24"/>
  <c r="AV115" i="24"/>
  <c r="AW115" i="24"/>
  <c r="AV174" i="24"/>
  <c r="AW174" i="24"/>
  <c r="AW162" i="24"/>
  <c r="AV162" i="24"/>
  <c r="AW150" i="24"/>
  <c r="AV150" i="24"/>
  <c r="AW138" i="24"/>
  <c r="AV138" i="24"/>
  <c r="AV126" i="24"/>
  <c r="AW126" i="24"/>
  <c r="AW114" i="24"/>
  <c r="AV114" i="24"/>
  <c r="AW102" i="24"/>
  <c r="AV102" i="24"/>
  <c r="AV90" i="24"/>
  <c r="AW90" i="24"/>
  <c r="AW78" i="24"/>
  <c r="AV78" i="24"/>
  <c r="AW66" i="24"/>
  <c r="AV66" i="24"/>
  <c r="AW54" i="24"/>
  <c r="AV54" i="24"/>
  <c r="AW42" i="24"/>
  <c r="AV42" i="24"/>
  <c r="AW30" i="24"/>
  <c r="AV30" i="24"/>
  <c r="AW18" i="24"/>
  <c r="AV18" i="24"/>
  <c r="Z184" i="24"/>
  <c r="X184" i="24"/>
  <c r="X172" i="24"/>
  <c r="Z172" i="24"/>
  <c r="X160" i="24"/>
  <c r="Z160" i="24"/>
  <c r="Z148" i="24"/>
  <c r="X148" i="24"/>
  <c r="Z136" i="24"/>
  <c r="X136" i="24"/>
  <c r="Z124" i="24"/>
  <c r="X124" i="24"/>
  <c r="Z112" i="24"/>
  <c r="X112" i="24"/>
  <c r="Z100" i="24"/>
  <c r="X100" i="24"/>
  <c r="X88" i="24"/>
  <c r="Z88" i="24"/>
  <c r="X76" i="24"/>
  <c r="Z76" i="24"/>
  <c r="Z64" i="24"/>
  <c r="X64" i="24"/>
  <c r="X52" i="24"/>
  <c r="Z52" i="24"/>
  <c r="Z40" i="24"/>
  <c r="X40" i="24"/>
  <c r="Z28" i="24"/>
  <c r="X28" i="24"/>
  <c r="Z16" i="24"/>
  <c r="X16" i="24"/>
  <c r="BR182" i="24"/>
  <c r="BQ182" i="24"/>
  <c r="BR170" i="24"/>
  <c r="BQ170" i="24"/>
  <c r="BR158" i="24"/>
  <c r="BQ158" i="24"/>
  <c r="BR146" i="24"/>
  <c r="BQ146" i="24"/>
  <c r="BR134" i="24"/>
  <c r="BQ134" i="24"/>
  <c r="BR122" i="24"/>
  <c r="BQ122" i="24"/>
  <c r="BR110" i="24"/>
  <c r="BQ110" i="24"/>
  <c r="BR98" i="24"/>
  <c r="BQ98" i="24"/>
  <c r="BR86" i="24"/>
  <c r="BQ86" i="24"/>
  <c r="BR74" i="24"/>
  <c r="BQ74" i="24"/>
  <c r="BR62" i="24"/>
  <c r="BQ62" i="24"/>
  <c r="BR50" i="24"/>
  <c r="BQ50" i="24"/>
  <c r="BR38" i="24"/>
  <c r="BQ38" i="24"/>
  <c r="BR26" i="24"/>
  <c r="BQ26" i="24"/>
  <c r="BR14" i="24"/>
  <c r="BQ14" i="24"/>
  <c r="AW123" i="24"/>
  <c r="AV123" i="24"/>
  <c r="X73" i="24"/>
  <c r="Z73" i="24"/>
  <c r="AV176" i="24"/>
  <c r="AW176" i="24"/>
  <c r="AV175" i="24"/>
  <c r="AW175" i="24"/>
  <c r="AV127" i="24"/>
  <c r="AW127" i="24"/>
  <c r="AV173" i="24"/>
  <c r="AW173" i="24"/>
  <c r="AW161" i="24"/>
  <c r="AV161" i="24"/>
  <c r="AV149" i="24"/>
  <c r="AW149" i="24"/>
  <c r="AW137" i="24"/>
  <c r="AV137" i="24"/>
  <c r="AW125" i="24"/>
  <c r="AV125" i="24"/>
  <c r="AW113" i="24"/>
  <c r="AV113" i="24"/>
  <c r="AW101" i="24"/>
  <c r="AV101" i="24"/>
  <c r="AW89" i="24"/>
  <c r="AV89" i="24"/>
  <c r="AW77" i="24"/>
  <c r="AV77" i="24"/>
  <c r="AW65" i="24"/>
  <c r="AV65" i="24"/>
  <c r="AW53" i="24"/>
  <c r="AV53" i="24"/>
  <c r="AW41" i="24"/>
  <c r="AV41" i="24"/>
  <c r="AV29" i="24"/>
  <c r="AW29" i="24"/>
  <c r="AW17" i="24"/>
  <c r="AV17" i="24"/>
  <c r="X183" i="24"/>
  <c r="Z183" i="24"/>
  <c r="Z171" i="24"/>
  <c r="X171" i="24"/>
  <c r="X159" i="24"/>
  <c r="Z159" i="24"/>
  <c r="Z147" i="24"/>
  <c r="X147" i="24"/>
  <c r="Z135" i="24"/>
  <c r="X135" i="24"/>
  <c r="Z123" i="24"/>
  <c r="X123" i="24"/>
  <c r="X111" i="24"/>
  <c r="Z111" i="24"/>
  <c r="X99" i="24"/>
  <c r="Z99" i="24"/>
  <c r="X87" i="24"/>
  <c r="Z87" i="24"/>
  <c r="X75" i="24"/>
  <c r="Z75" i="24"/>
  <c r="Z63" i="24"/>
  <c r="X63" i="24"/>
  <c r="Z51" i="24"/>
  <c r="X51" i="24"/>
  <c r="Z39" i="24"/>
  <c r="X39" i="24"/>
  <c r="X27" i="24"/>
  <c r="Z27" i="24"/>
  <c r="Z15" i="24"/>
  <c r="X15" i="24"/>
  <c r="BR181" i="24"/>
  <c r="BQ181" i="24"/>
  <c r="BR169" i="24"/>
  <c r="BQ169" i="24"/>
  <c r="BR157" i="24"/>
  <c r="BQ157" i="24"/>
  <c r="BR145" i="24"/>
  <c r="BQ145" i="24"/>
  <c r="BR133" i="24"/>
  <c r="BQ133" i="24"/>
  <c r="BR121" i="24"/>
  <c r="BQ121" i="24"/>
  <c r="BR109" i="24"/>
  <c r="BQ109" i="24"/>
  <c r="BR97" i="24"/>
  <c r="BQ97" i="24"/>
  <c r="BR85" i="24"/>
  <c r="BQ85" i="24"/>
  <c r="BR73" i="24"/>
  <c r="BQ73" i="24"/>
  <c r="BR61" i="24"/>
  <c r="BQ61" i="24"/>
  <c r="BR49" i="24"/>
  <c r="BQ49" i="24"/>
  <c r="BR37" i="24"/>
  <c r="BQ37" i="24"/>
  <c r="BR25" i="24"/>
  <c r="BQ25" i="24"/>
  <c r="BR13" i="24"/>
  <c r="BQ13" i="24"/>
  <c r="AV171" i="24"/>
  <c r="AW171" i="24"/>
  <c r="AW75" i="24"/>
  <c r="AV75" i="24"/>
  <c r="X133" i="24"/>
  <c r="Z133" i="24"/>
  <c r="AV164" i="24"/>
  <c r="AW164" i="24"/>
  <c r="AW151" i="24"/>
  <c r="AV151" i="24"/>
  <c r="AW91" i="24"/>
  <c r="AV91" i="24"/>
  <c r="AV184" i="24"/>
  <c r="AW184" i="24"/>
  <c r="AV172" i="24"/>
  <c r="AW172" i="24"/>
  <c r="AV160" i="24"/>
  <c r="AW160" i="24"/>
  <c r="AW148" i="24"/>
  <c r="AV148" i="24"/>
  <c r="AV136" i="24"/>
  <c r="AW136" i="24"/>
  <c r="AW124" i="24"/>
  <c r="AV124" i="24"/>
  <c r="AW112" i="24"/>
  <c r="AV112" i="24"/>
  <c r="AW100" i="24"/>
  <c r="AV100" i="24"/>
  <c r="AW88" i="24"/>
  <c r="AV88" i="24"/>
  <c r="AW76" i="24"/>
  <c r="AV76" i="24"/>
  <c r="AV64" i="24"/>
  <c r="AW64" i="24"/>
  <c r="AV52" i="24"/>
  <c r="AW52" i="24"/>
  <c r="AV40" i="24"/>
  <c r="AW40" i="24"/>
  <c r="AV28" i="24"/>
  <c r="AW28" i="24"/>
  <c r="AV16" i="24"/>
  <c r="AW16" i="24"/>
  <c r="X182" i="24"/>
  <c r="Z182" i="24"/>
  <c r="Z170" i="24"/>
  <c r="X170" i="24"/>
  <c r="Z158" i="24"/>
  <c r="X158" i="24"/>
  <c r="X146" i="24"/>
  <c r="Z146" i="24"/>
  <c r="X134" i="24"/>
  <c r="Z134" i="24"/>
  <c r="X122" i="24"/>
  <c r="Z122" i="24"/>
  <c r="Z110" i="24"/>
  <c r="X110" i="24"/>
  <c r="X98" i="24"/>
  <c r="Z98" i="24"/>
  <c r="Z86" i="24"/>
  <c r="X86" i="24"/>
  <c r="X74" i="24"/>
  <c r="Z74" i="24"/>
  <c r="Z62" i="24"/>
  <c r="X62" i="24"/>
  <c r="X50" i="24"/>
  <c r="Z50" i="24"/>
  <c r="Z38" i="24"/>
  <c r="X38" i="24"/>
  <c r="Z26" i="24"/>
  <c r="X26" i="24"/>
  <c r="Z14" i="24"/>
  <c r="X14" i="24"/>
  <c r="BR180" i="24"/>
  <c r="BQ180" i="24"/>
  <c r="BR168" i="24"/>
  <c r="BQ168" i="24"/>
  <c r="BR156" i="24"/>
  <c r="BQ156" i="24"/>
  <c r="BR144" i="24"/>
  <c r="BQ144" i="24"/>
  <c r="BR132" i="24"/>
  <c r="BQ132" i="24"/>
  <c r="BR120" i="24"/>
  <c r="BQ120" i="24"/>
  <c r="BR108" i="24"/>
  <c r="BQ108" i="24"/>
  <c r="BR96" i="24"/>
  <c r="BQ96" i="24"/>
  <c r="BR84" i="24"/>
  <c r="BQ84" i="24"/>
  <c r="BR72" i="24"/>
  <c r="BQ72" i="24"/>
  <c r="BR60" i="24"/>
  <c r="BQ60" i="24"/>
  <c r="BR48" i="24"/>
  <c r="BQ48" i="24"/>
  <c r="BR36" i="24"/>
  <c r="BQ36" i="24"/>
  <c r="BR24" i="24"/>
  <c r="BQ24" i="24"/>
  <c r="BR12" i="24"/>
  <c r="BQ12" i="24"/>
  <c r="AI124" i="24"/>
  <c r="AI132" i="24"/>
  <c r="AI135" i="24"/>
  <c r="AI134" i="24"/>
  <c r="BD141" i="24"/>
  <c r="E137" i="22"/>
  <c r="D137" i="24"/>
  <c r="E138" i="24" s="1"/>
  <c r="F139" i="24" s="1"/>
  <c r="AB139" i="23"/>
  <c r="P140" i="23"/>
  <c r="P139" i="23"/>
  <c r="I145" i="22"/>
  <c r="I129" i="22"/>
  <c r="I116" i="22"/>
  <c r="I117" i="22"/>
  <c r="I102" i="22"/>
  <c r="I81" i="22"/>
  <c r="I80" i="22"/>
  <c r="I79" i="22"/>
  <c r="I66" i="22"/>
  <c r="I174" i="22"/>
  <c r="I45" i="22"/>
  <c r="I162" i="22"/>
  <c r="I44" i="22"/>
  <c r="I150" i="22"/>
  <c r="I19" i="22"/>
  <c r="I9" i="22"/>
  <c r="I169" i="22"/>
  <c r="I78" i="22"/>
  <c r="I141" i="22"/>
  <c r="I8" i="22"/>
  <c r="I10" i="22"/>
  <c r="P37" i="22"/>
  <c r="P124" i="22"/>
  <c r="P103" i="22"/>
  <c r="P76" i="22"/>
  <c r="P51" i="22"/>
  <c r="P16" i="22"/>
  <c r="P176" i="22"/>
  <c r="P160" i="22"/>
  <c r="P142" i="22"/>
  <c r="P175" i="22"/>
  <c r="P158" i="22"/>
  <c r="P141" i="22"/>
  <c r="P123" i="22"/>
  <c r="P101" i="22"/>
  <c r="P75" i="22"/>
  <c r="P47" i="22"/>
  <c r="P15" i="22"/>
  <c r="P18" i="22"/>
  <c r="P172" i="22"/>
  <c r="P157" i="22"/>
  <c r="P140" i="22"/>
  <c r="P119" i="22"/>
  <c r="P100" i="22"/>
  <c r="P74" i="22"/>
  <c r="P46" i="22"/>
  <c r="P14" i="22"/>
  <c r="P20" i="22"/>
  <c r="P171" i="22"/>
  <c r="P155" i="22"/>
  <c r="P139" i="22"/>
  <c r="P118" i="22"/>
  <c r="P99" i="22"/>
  <c r="P73" i="22"/>
  <c r="P43" i="22"/>
  <c r="P13" i="22"/>
  <c r="P22" i="22"/>
  <c r="P170" i="22"/>
  <c r="P154" i="22"/>
  <c r="P137" i="22"/>
  <c r="P117" i="22"/>
  <c r="P97" i="22"/>
  <c r="P70" i="22"/>
  <c r="P41" i="22"/>
  <c r="P9" i="22"/>
  <c r="P184" i="22"/>
  <c r="P169" i="22"/>
  <c r="P153" i="22"/>
  <c r="P134" i="22"/>
  <c r="P116" i="22"/>
  <c r="P95" i="22"/>
  <c r="P68" i="22"/>
  <c r="P39" i="22"/>
  <c r="P183" i="22"/>
  <c r="P167" i="22"/>
  <c r="P152" i="22"/>
  <c r="P133" i="22"/>
  <c r="P115" i="22"/>
  <c r="P94" i="22"/>
  <c r="P67" i="22"/>
  <c r="P38" i="22"/>
  <c r="P182" i="22"/>
  <c r="P166" i="22"/>
  <c r="P151" i="22"/>
  <c r="P131" i="22"/>
  <c r="P113" i="22"/>
  <c r="P91" i="22"/>
  <c r="P61" i="22"/>
  <c r="P33" i="22"/>
  <c r="P181" i="22"/>
  <c r="P165" i="22"/>
  <c r="P148" i="22"/>
  <c r="P130" i="22"/>
  <c r="P111" i="22"/>
  <c r="P88" i="22"/>
  <c r="P58" i="22"/>
  <c r="P31" i="22"/>
  <c r="P179" i="22"/>
  <c r="P164" i="22"/>
  <c r="P147" i="22"/>
  <c r="P129" i="22"/>
  <c r="P110" i="22"/>
  <c r="P86" i="22"/>
  <c r="P57" i="22"/>
  <c r="P29" i="22"/>
  <c r="P178" i="22"/>
  <c r="P163" i="22"/>
  <c r="P146" i="22"/>
  <c r="P128" i="22"/>
  <c r="P105" i="22"/>
  <c r="P81" i="22"/>
  <c r="P56" i="22"/>
  <c r="P28" i="22"/>
  <c r="P177" i="22"/>
  <c r="P161" i="22"/>
  <c r="P145" i="22"/>
  <c r="P125" i="22"/>
  <c r="P104" i="22"/>
  <c r="P80" i="22"/>
  <c r="P53" i="22"/>
  <c r="P17" i="22"/>
  <c r="P173" i="22"/>
  <c r="P159" i="22"/>
  <c r="P143" i="22"/>
  <c r="P127" i="22"/>
  <c r="P109" i="22"/>
  <c r="P87" i="22"/>
  <c r="P59" i="22"/>
  <c r="U138" i="22"/>
  <c r="BB138" i="24" s="1"/>
  <c r="BC139" i="24" s="1"/>
  <c r="BD140" i="24" s="1"/>
  <c r="I140" i="22"/>
  <c r="I49" i="22"/>
  <c r="I43" i="22"/>
  <c r="I176" i="22"/>
  <c r="I115" i="22"/>
  <c r="I32" i="22"/>
  <c r="I175" i="22"/>
  <c r="I114" i="22"/>
  <c r="I164" i="22"/>
  <c r="I138" i="22"/>
  <c r="I104" i="22"/>
  <c r="I68" i="22"/>
  <c r="I37" i="22"/>
  <c r="I163" i="22"/>
  <c r="I133" i="22"/>
  <c r="I103" i="22"/>
  <c r="I67" i="22"/>
  <c r="I33" i="22"/>
  <c r="I57" i="22"/>
  <c r="I153" i="22"/>
  <c r="I56" i="22"/>
  <c r="I181" i="22"/>
  <c r="I152" i="22"/>
  <c r="I126" i="22"/>
  <c r="I91" i="22"/>
  <c r="I55" i="22"/>
  <c r="I20" i="22"/>
  <c r="I157" i="22"/>
  <c r="I128" i="22"/>
  <c r="I93" i="22"/>
  <c r="I30" i="22"/>
  <c r="I127" i="22"/>
  <c r="I92" i="22"/>
  <c r="I25" i="22"/>
  <c r="I177" i="22"/>
  <c r="I151" i="22"/>
  <c r="I121" i="22"/>
  <c r="I90" i="22"/>
  <c r="I54" i="22"/>
  <c r="I18" i="22"/>
  <c r="I165" i="22"/>
  <c r="I139" i="22"/>
  <c r="I105" i="22"/>
  <c r="I69" i="22"/>
  <c r="I31" i="22"/>
  <c r="I21" i="22"/>
  <c r="I173" i="22"/>
  <c r="I161" i="22"/>
  <c r="I149" i="22"/>
  <c r="I137" i="22"/>
  <c r="I125" i="22"/>
  <c r="I113" i="22"/>
  <c r="I101" i="22"/>
  <c r="I89" i="22"/>
  <c r="I77" i="22"/>
  <c r="I65" i="22"/>
  <c r="I53" i="22"/>
  <c r="I41" i="22"/>
  <c r="I29" i="22"/>
  <c r="I17" i="22"/>
  <c r="I184" i="22"/>
  <c r="I172" i="22"/>
  <c r="I160" i="22"/>
  <c r="I148" i="22"/>
  <c r="I136" i="22"/>
  <c r="I124" i="22"/>
  <c r="I112" i="22"/>
  <c r="I100" i="22"/>
  <c r="I88" i="22"/>
  <c r="I76" i="22"/>
  <c r="I64" i="22"/>
  <c r="I52" i="22"/>
  <c r="I40" i="22"/>
  <c r="I28" i="22"/>
  <c r="I16" i="22"/>
  <c r="I183" i="22"/>
  <c r="I171" i="22"/>
  <c r="I159" i="22"/>
  <c r="I147" i="22"/>
  <c r="I135" i="22"/>
  <c r="I123" i="22"/>
  <c r="I111" i="22"/>
  <c r="I99" i="22"/>
  <c r="I87" i="22"/>
  <c r="I75" i="22"/>
  <c r="I63" i="22"/>
  <c r="I51" i="22"/>
  <c r="I39" i="22"/>
  <c r="I27" i="22"/>
  <c r="I15" i="22"/>
  <c r="I182" i="22"/>
  <c r="I170" i="22"/>
  <c r="I158" i="22"/>
  <c r="I146" i="22"/>
  <c r="I134" i="22"/>
  <c r="I122" i="22"/>
  <c r="I110" i="22"/>
  <c r="I98" i="22"/>
  <c r="I86" i="22"/>
  <c r="I74" i="22"/>
  <c r="I62" i="22"/>
  <c r="I50" i="22"/>
  <c r="I38" i="22"/>
  <c r="I26" i="22"/>
  <c r="I14" i="22"/>
  <c r="I109" i="22"/>
  <c r="I97" i="22"/>
  <c r="I85" i="22"/>
  <c r="I73" i="22"/>
  <c r="I61" i="22"/>
  <c r="I13" i="22"/>
  <c r="I180" i="22"/>
  <c r="I168" i="22"/>
  <c r="I156" i="22"/>
  <c r="I144" i="22"/>
  <c r="I132" i="22"/>
  <c r="I120" i="22"/>
  <c r="I108" i="22"/>
  <c r="I96" i="22"/>
  <c r="I84" i="22"/>
  <c r="I72" i="22"/>
  <c r="I60" i="22"/>
  <c r="I48" i="22"/>
  <c r="I36" i="22"/>
  <c r="I24" i="22"/>
  <c r="I12" i="22"/>
  <c r="I179" i="22"/>
  <c r="I167" i="22"/>
  <c r="I155" i="22"/>
  <c r="I143" i="22"/>
  <c r="I131" i="22"/>
  <c r="I119" i="22"/>
  <c r="I107" i="22"/>
  <c r="I95" i="22"/>
  <c r="I83" i="22"/>
  <c r="I71" i="22"/>
  <c r="I59" i="22"/>
  <c r="I47" i="22"/>
  <c r="I35" i="22"/>
  <c r="I23" i="22"/>
  <c r="I11" i="22"/>
  <c r="I178" i="22"/>
  <c r="I166" i="22"/>
  <c r="I154" i="22"/>
  <c r="I142" i="22"/>
  <c r="I130" i="22"/>
  <c r="I118" i="22"/>
  <c r="I106" i="22"/>
  <c r="I94" i="22"/>
  <c r="I82" i="22"/>
  <c r="I70" i="22"/>
  <c r="I58" i="22"/>
  <c r="I46" i="22"/>
  <c r="I34" i="22"/>
  <c r="I22" i="22"/>
  <c r="W36" i="22"/>
  <c r="W108" i="22"/>
  <c r="W157" i="22"/>
  <c r="W180" i="22"/>
  <c r="W60" i="22"/>
  <c r="W156" i="22"/>
  <c r="W121" i="22"/>
  <c r="W120" i="22"/>
  <c r="W84" i="22"/>
  <c r="W49" i="22"/>
  <c r="W37" i="22"/>
  <c r="W48" i="22"/>
  <c r="W85" i="22"/>
  <c r="W181" i="22"/>
  <c r="W169" i="22"/>
  <c r="W167" i="22"/>
  <c r="W109" i="22"/>
  <c r="W132" i="22"/>
  <c r="W12" i="22"/>
  <c r="W96" i="22"/>
  <c r="W168" i="22"/>
  <c r="W97" i="22"/>
  <c r="W24" i="22"/>
  <c r="W145" i="22"/>
  <c r="W73" i="22"/>
  <c r="W144" i="22"/>
  <c r="W72" i="22"/>
  <c r="W133" i="22"/>
  <c r="W61" i="22"/>
  <c r="W13" i="22"/>
  <c r="W178" i="22"/>
  <c r="W166" i="22"/>
  <c r="W154" i="22"/>
  <c r="W142" i="22"/>
  <c r="W130" i="22"/>
  <c r="W118" i="22"/>
  <c r="W106" i="22"/>
  <c r="W94" i="22"/>
  <c r="W82" i="22"/>
  <c r="W70" i="22"/>
  <c r="W58" i="22"/>
  <c r="W46" i="22"/>
  <c r="W34" i="22"/>
  <c r="W22" i="22"/>
  <c r="W10" i="22"/>
  <c r="W155" i="22"/>
  <c r="W119" i="22"/>
  <c r="W107" i="22"/>
  <c r="W95" i="22"/>
  <c r="W83" i="22"/>
  <c r="W71" i="22"/>
  <c r="W59" i="22"/>
  <c r="W47" i="22"/>
  <c r="W35" i="22"/>
  <c r="W23" i="22"/>
  <c r="W11" i="22"/>
  <c r="W177" i="22"/>
  <c r="W165" i="22"/>
  <c r="W153" i="22"/>
  <c r="W141" i="22"/>
  <c r="W129" i="22"/>
  <c r="W117" i="22"/>
  <c r="W105" i="22"/>
  <c r="W93" i="22"/>
  <c r="W81" i="22"/>
  <c r="W69" i="22"/>
  <c r="W57" i="22"/>
  <c r="W45" i="22"/>
  <c r="W33" i="22"/>
  <c r="W21" i="22"/>
  <c r="W9" i="22"/>
  <c r="W179" i="22"/>
  <c r="W176" i="22"/>
  <c r="W164" i="22"/>
  <c r="W152" i="22"/>
  <c r="W140" i="22"/>
  <c r="W128" i="22"/>
  <c r="W116" i="22"/>
  <c r="W104" i="22"/>
  <c r="W92" i="22"/>
  <c r="W80" i="22"/>
  <c r="W68" i="22"/>
  <c r="W56" i="22"/>
  <c r="W44" i="22"/>
  <c r="W32" i="22"/>
  <c r="W20" i="22"/>
  <c r="W8" i="22"/>
  <c r="W175" i="22"/>
  <c r="W163" i="22"/>
  <c r="W151" i="22"/>
  <c r="W139" i="22"/>
  <c r="W127" i="22"/>
  <c r="W115" i="22"/>
  <c r="W103" i="22"/>
  <c r="W91" i="22"/>
  <c r="W79" i="22"/>
  <c r="W67" i="22"/>
  <c r="W55" i="22"/>
  <c r="W43" i="22"/>
  <c r="W31" i="22"/>
  <c r="W19" i="22"/>
  <c r="W143" i="22"/>
  <c r="W174" i="22"/>
  <c r="W162" i="22"/>
  <c r="W150" i="22"/>
  <c r="W138" i="22"/>
  <c r="W126" i="22"/>
  <c r="W114" i="22"/>
  <c r="W102" i="22"/>
  <c r="W90" i="22"/>
  <c r="W78" i="22"/>
  <c r="W66" i="22"/>
  <c r="W54" i="22"/>
  <c r="W42" i="22"/>
  <c r="W30" i="22"/>
  <c r="W18" i="22"/>
  <c r="W131" i="22"/>
  <c r="W173" i="22"/>
  <c r="W161" i="22"/>
  <c r="W149" i="22"/>
  <c r="W137" i="22"/>
  <c r="W125" i="22"/>
  <c r="W113" i="22"/>
  <c r="W101" i="22"/>
  <c r="W89" i="22"/>
  <c r="W77" i="22"/>
  <c r="W65" i="22"/>
  <c r="W53" i="22"/>
  <c r="W41" i="22"/>
  <c r="W29" i="22"/>
  <c r="W17" i="22"/>
  <c r="W184" i="22"/>
  <c r="W172" i="22"/>
  <c r="W160" i="22"/>
  <c r="W148" i="22"/>
  <c r="W136" i="22"/>
  <c r="W124" i="22"/>
  <c r="W112" i="22"/>
  <c r="W100" i="22"/>
  <c r="W88" i="22"/>
  <c r="W76" i="22"/>
  <c r="W64" i="22"/>
  <c r="W52" i="22"/>
  <c r="W40" i="22"/>
  <c r="W28" i="22"/>
  <c r="W16" i="22"/>
  <c r="W183" i="22"/>
  <c r="W171" i="22"/>
  <c r="W159" i="22"/>
  <c r="W147" i="22"/>
  <c r="W135" i="22"/>
  <c r="W123" i="22"/>
  <c r="W111" i="22"/>
  <c r="W99" i="22"/>
  <c r="W87" i="22"/>
  <c r="W75" i="22"/>
  <c r="W63" i="22"/>
  <c r="W51" i="22"/>
  <c r="W39" i="22"/>
  <c r="W27" i="22"/>
  <c r="W15" i="22"/>
  <c r="W182" i="22"/>
  <c r="W170" i="22"/>
  <c r="W158" i="22"/>
  <c r="W146" i="22"/>
  <c r="W134" i="22"/>
  <c r="W122" i="22"/>
  <c r="W110" i="22"/>
  <c r="W98" i="22"/>
  <c r="W86" i="22"/>
  <c r="W74" i="22"/>
  <c r="W62" i="22"/>
  <c r="W50" i="22"/>
  <c r="W38" i="22"/>
  <c r="W26" i="22"/>
  <c r="W14" i="22"/>
  <c r="W25" i="22"/>
  <c r="P89" i="22"/>
  <c r="P71" i="22"/>
  <c r="P52" i="22"/>
  <c r="P32" i="22"/>
  <c r="P11" i="22"/>
  <c r="P85" i="22"/>
  <c r="P65" i="22"/>
  <c r="P45" i="22"/>
  <c r="P27" i="22"/>
  <c r="P82" i="22"/>
  <c r="P62" i="22"/>
  <c r="P44" i="22"/>
  <c r="P25" i="22"/>
  <c r="P112" i="22"/>
  <c r="P98" i="22"/>
  <c r="P83" i="22"/>
  <c r="P69" i="22"/>
  <c r="P55" i="22"/>
  <c r="P40" i="22"/>
  <c r="P26" i="22"/>
  <c r="P10" i="22"/>
  <c r="P23" i="22"/>
  <c r="P8" i="22"/>
  <c r="P136" i="22"/>
  <c r="P122" i="22"/>
  <c r="P107" i="22"/>
  <c r="P93" i="22"/>
  <c r="P79" i="22"/>
  <c r="P64" i="22"/>
  <c r="P50" i="22"/>
  <c r="P35" i="22"/>
  <c r="P21" i="22"/>
  <c r="P149" i="22"/>
  <c r="P135" i="22"/>
  <c r="P121" i="22"/>
  <c r="P106" i="22"/>
  <c r="P92" i="22"/>
  <c r="P77" i="22"/>
  <c r="P63" i="22"/>
  <c r="P49" i="22"/>
  <c r="P34" i="22"/>
  <c r="P180" i="22"/>
  <c r="P168" i="22"/>
  <c r="P156" i="22"/>
  <c r="P144" i="22"/>
  <c r="P132" i="22"/>
  <c r="P120" i="22"/>
  <c r="P108" i="22"/>
  <c r="P96" i="22"/>
  <c r="P84" i="22"/>
  <c r="P72" i="22"/>
  <c r="P60" i="22"/>
  <c r="P48" i="22"/>
  <c r="P36" i="22"/>
  <c r="P24" i="22"/>
  <c r="P12" i="22"/>
  <c r="P19" i="22"/>
  <c r="P174" i="22"/>
  <c r="P162" i="22"/>
  <c r="P150" i="22"/>
  <c r="P138" i="22"/>
  <c r="P126" i="22"/>
  <c r="P114" i="22"/>
  <c r="P102" i="22"/>
  <c r="P90" i="22"/>
  <c r="P78" i="22"/>
  <c r="P66" i="22"/>
  <c r="P54" i="22"/>
  <c r="P42" i="22"/>
  <c r="P30" i="22"/>
  <c r="E138" i="23"/>
  <c r="P138" i="23" s="1"/>
  <c r="D134" i="22"/>
  <c r="D134" i="24" s="1"/>
  <c r="D135" i="22"/>
  <c r="D135" i="24" s="1"/>
  <c r="D136" i="24"/>
  <c r="E137" i="24" s="1"/>
  <c r="F138" i="24" s="1"/>
  <c r="BR142" i="24" l="1"/>
  <c r="BQ142" i="24"/>
  <c r="BR139" i="24"/>
  <c r="BQ139" i="24"/>
  <c r="BR140" i="24"/>
  <c r="BQ140" i="24"/>
  <c r="X142" i="24"/>
  <c r="Z142" i="24"/>
  <c r="AW140" i="24"/>
  <c r="AV140" i="24"/>
  <c r="AW141" i="24"/>
  <c r="AV141" i="24"/>
  <c r="BR141" i="24"/>
  <c r="BQ141" i="24"/>
  <c r="AW142" i="24"/>
  <c r="AV142" i="24"/>
  <c r="Z141" i="24"/>
  <c r="X141" i="24"/>
  <c r="E136" i="24"/>
  <c r="F137" i="24" s="1"/>
  <c r="E135" i="24"/>
  <c r="F136" i="24" s="1"/>
  <c r="E137" i="23"/>
  <c r="P137" i="23" s="1"/>
  <c r="F138" i="23"/>
  <c r="V139" i="22"/>
  <c r="U139" i="23"/>
  <c r="V138" i="22"/>
  <c r="AG138" i="23"/>
  <c r="AH139" i="23" s="1"/>
  <c r="AN139" i="23" s="1"/>
  <c r="S136" i="23"/>
  <c r="S137" i="23"/>
  <c r="T138" i="23" s="1"/>
  <c r="S135" i="23"/>
  <c r="D63" i="23"/>
  <c r="D64" i="23"/>
  <c r="D65" i="23"/>
  <c r="D66" i="23"/>
  <c r="D67" i="23"/>
  <c r="D68" i="23"/>
  <c r="D69" i="23"/>
  <c r="D70" i="23"/>
  <c r="D71" i="23"/>
  <c r="D72" i="23"/>
  <c r="D73" i="23"/>
  <c r="D74" i="23"/>
  <c r="D75" i="23"/>
  <c r="D76" i="23"/>
  <c r="D77" i="23"/>
  <c r="D78" i="23"/>
  <c r="D79" i="23"/>
  <c r="D80" i="23"/>
  <c r="D81" i="23"/>
  <c r="D82" i="23"/>
  <c r="D83" i="23"/>
  <c r="D84" i="23"/>
  <c r="D85" i="23"/>
  <c r="D86" i="23"/>
  <c r="D87" i="23"/>
  <c r="D88" i="23"/>
  <c r="D89" i="23"/>
  <c r="D90" i="23"/>
  <c r="D91" i="23"/>
  <c r="D92" i="23"/>
  <c r="D93" i="23"/>
  <c r="D94" i="23"/>
  <c r="D95" i="23"/>
  <c r="D96" i="23"/>
  <c r="D97" i="23"/>
  <c r="D98" i="23"/>
  <c r="D99" i="23"/>
  <c r="D100" i="23"/>
  <c r="D101" i="23"/>
  <c r="D102" i="23"/>
  <c r="D103" i="23"/>
  <c r="D104" i="23"/>
  <c r="D105" i="23"/>
  <c r="D106" i="23"/>
  <c r="D107" i="23"/>
  <c r="D108" i="23"/>
  <c r="D109" i="23"/>
  <c r="D110" i="23"/>
  <c r="D111" i="23"/>
  <c r="D112" i="23"/>
  <c r="D113" i="23"/>
  <c r="D114" i="23"/>
  <c r="D115" i="23"/>
  <c r="D116" i="23"/>
  <c r="D117" i="23"/>
  <c r="D118" i="23"/>
  <c r="D119" i="23"/>
  <c r="D120" i="23"/>
  <c r="D121" i="23"/>
  <c r="D122" i="23"/>
  <c r="D123" i="23"/>
  <c r="D124" i="23"/>
  <c r="D125" i="23"/>
  <c r="D126" i="23"/>
  <c r="D127" i="23"/>
  <c r="D128" i="23"/>
  <c r="D129" i="23"/>
  <c r="D130" i="23"/>
  <c r="D131" i="23"/>
  <c r="D132" i="23"/>
  <c r="D133" i="23"/>
  <c r="D134" i="23"/>
  <c r="D135" i="23"/>
  <c r="E136" i="23" s="1"/>
  <c r="P136" i="23" s="1"/>
  <c r="D62" i="23"/>
  <c r="D63" i="22"/>
  <c r="D64" i="22"/>
  <c r="D65" i="22"/>
  <c r="D66" i="22"/>
  <c r="D67" i="22"/>
  <c r="D68" i="22"/>
  <c r="D69" i="22"/>
  <c r="D70" i="22"/>
  <c r="D71" i="22"/>
  <c r="D72" i="22"/>
  <c r="D73" i="22"/>
  <c r="D74" i="22"/>
  <c r="D75" i="22"/>
  <c r="D76" i="22"/>
  <c r="D77" i="22"/>
  <c r="D78" i="22"/>
  <c r="D79" i="22"/>
  <c r="D80" i="22"/>
  <c r="D81" i="22"/>
  <c r="D82" i="22"/>
  <c r="D83" i="22"/>
  <c r="D84" i="22"/>
  <c r="D85" i="22"/>
  <c r="D86" i="22"/>
  <c r="D87" i="22"/>
  <c r="D88" i="22"/>
  <c r="D89" i="22"/>
  <c r="D90" i="22"/>
  <c r="D91" i="22"/>
  <c r="D92" i="22"/>
  <c r="D93" i="22"/>
  <c r="D94" i="22"/>
  <c r="D95" i="22"/>
  <c r="D96" i="22"/>
  <c r="D97" i="22"/>
  <c r="D98" i="22"/>
  <c r="D99" i="22"/>
  <c r="D100" i="22"/>
  <c r="D101" i="22"/>
  <c r="D102" i="22"/>
  <c r="D103" i="22"/>
  <c r="D104" i="22"/>
  <c r="D105" i="22"/>
  <c r="D106" i="22"/>
  <c r="D107" i="22"/>
  <c r="D108" i="22"/>
  <c r="D109" i="22"/>
  <c r="D110" i="22"/>
  <c r="D111" i="22"/>
  <c r="D112" i="22"/>
  <c r="D113" i="22"/>
  <c r="D114" i="22"/>
  <c r="D115" i="22"/>
  <c r="D116" i="22"/>
  <c r="D117" i="22"/>
  <c r="D118" i="22"/>
  <c r="D119" i="22"/>
  <c r="D120" i="22"/>
  <c r="D121" i="22"/>
  <c r="D122" i="22"/>
  <c r="D122" i="24" s="1"/>
  <c r="D123" i="22"/>
  <c r="D123" i="24" s="1"/>
  <c r="D124" i="22"/>
  <c r="D124" i="24" s="1"/>
  <c r="D125" i="22"/>
  <c r="D125" i="24" s="1"/>
  <c r="D126" i="22"/>
  <c r="D126" i="24" s="1"/>
  <c r="D127" i="22"/>
  <c r="D127" i="24" s="1"/>
  <c r="E128" i="24" s="1"/>
  <c r="D128" i="22"/>
  <c r="D128" i="24" s="1"/>
  <c r="D129" i="22"/>
  <c r="D129" i="24" s="1"/>
  <c r="D130" i="22"/>
  <c r="D130" i="24" s="1"/>
  <c r="E131" i="24" s="1"/>
  <c r="D131" i="22"/>
  <c r="D131" i="24" s="1"/>
  <c r="D132" i="22"/>
  <c r="D132" i="24" s="1"/>
  <c r="D133" i="22"/>
  <c r="D133" i="24" s="1"/>
  <c r="E134" i="24" s="1"/>
  <c r="F135" i="24" s="1"/>
  <c r="D62" i="22"/>
  <c r="N76" i="22"/>
  <c r="N67" i="22"/>
  <c r="N78" i="22"/>
  <c r="N62" i="22"/>
  <c r="N82" i="22"/>
  <c r="N63" i="22"/>
  <c r="N72" i="22"/>
  <c r="N97" i="22"/>
  <c r="N93" i="22"/>
  <c r="N73" i="22"/>
  <c r="N87" i="22"/>
  <c r="N71" i="22"/>
  <c r="N81" i="22"/>
  <c r="N64" i="22"/>
  <c r="N90" i="22"/>
  <c r="N74" i="22"/>
  <c r="N86" i="22"/>
  <c r="N65" i="22"/>
  <c r="N101" i="22"/>
  <c r="N96" i="22"/>
  <c r="N70" i="22"/>
  <c r="N99" i="22"/>
  <c r="N95" i="22"/>
  <c r="N89" i="22"/>
  <c r="N85" i="22"/>
  <c r="N79" i="22"/>
  <c r="N92" i="22"/>
  <c r="N66" i="22"/>
  <c r="N88" i="22"/>
  <c r="N102" i="22"/>
  <c r="N84" i="22"/>
  <c r="N103" i="22"/>
  <c r="N83" i="22"/>
  <c r="N91" i="22"/>
  <c r="N94" i="22"/>
  <c r="N69" i="22"/>
  <c r="N100" i="22"/>
  <c r="N68" i="22"/>
  <c r="N75" i="22"/>
  <c r="N77" i="22"/>
  <c r="N80" i="22"/>
  <c r="N98" i="22"/>
  <c r="AB138" i="23" l="1"/>
  <c r="V142" i="23"/>
  <c r="AD23" i="22"/>
  <c r="E133" i="24"/>
  <c r="F134" i="24" s="1"/>
  <c r="E130" i="24"/>
  <c r="F131" i="24" s="1"/>
  <c r="E123" i="24"/>
  <c r="E132" i="24"/>
  <c r="F133" i="24" s="1"/>
  <c r="E127" i="24"/>
  <c r="F128" i="24" s="1"/>
  <c r="E126" i="24"/>
  <c r="F127" i="24" s="1"/>
  <c r="AD45" i="22"/>
  <c r="E129" i="24"/>
  <c r="F130" i="24" s="1"/>
  <c r="E125" i="24"/>
  <c r="F126" i="24" s="1"/>
  <c r="E124" i="24"/>
  <c r="E129" i="23"/>
  <c r="E117" i="23"/>
  <c r="E105" i="23"/>
  <c r="E93" i="23"/>
  <c r="E112" i="23"/>
  <c r="E100" i="23"/>
  <c r="E124" i="23"/>
  <c r="T137" i="23"/>
  <c r="V141" i="23" s="1"/>
  <c r="W141" i="23" s="1"/>
  <c r="E126" i="23"/>
  <c r="E125" i="23"/>
  <c r="E114" i="23"/>
  <c r="E102" i="23"/>
  <c r="E90" i="23"/>
  <c r="E135" i="23"/>
  <c r="P135" i="23" s="1"/>
  <c r="E123" i="23"/>
  <c r="E111" i="23"/>
  <c r="E99" i="23"/>
  <c r="E134" i="23"/>
  <c r="P134" i="23" s="1"/>
  <c r="E122" i="23"/>
  <c r="E110" i="23"/>
  <c r="E98" i="23"/>
  <c r="E128" i="23"/>
  <c r="E116" i="23"/>
  <c r="E104" i="23"/>
  <c r="E92" i="23"/>
  <c r="S134" i="23"/>
  <c r="T135" i="23" s="1"/>
  <c r="V139" i="23" s="1"/>
  <c r="S133" i="23"/>
  <c r="S132" i="23"/>
  <c r="T136" i="23"/>
  <c r="S125" i="23"/>
  <c r="S129" i="23"/>
  <c r="S120" i="23"/>
  <c r="S119" i="23"/>
  <c r="S117" i="23"/>
  <c r="S128" i="23"/>
  <c r="S121" i="23"/>
  <c r="S127" i="23"/>
  <c r="S118" i="23"/>
  <c r="S131" i="23"/>
  <c r="S123" i="23"/>
  <c r="S126" i="23"/>
  <c r="S130" i="23"/>
  <c r="S124" i="23"/>
  <c r="S122" i="23"/>
  <c r="U136" i="22"/>
  <c r="U135" i="22"/>
  <c r="U134" i="22"/>
  <c r="U133" i="22"/>
  <c r="U132" i="22"/>
  <c r="U131" i="22"/>
  <c r="U137" i="22"/>
  <c r="U130" i="22"/>
  <c r="U129" i="22"/>
  <c r="U128" i="22"/>
  <c r="U127" i="22"/>
  <c r="E132" i="23"/>
  <c r="P132" i="23" s="1"/>
  <c r="E120" i="23"/>
  <c r="E108" i="23"/>
  <c r="E96" i="23"/>
  <c r="E121" i="23"/>
  <c r="E131" i="23"/>
  <c r="E119" i="23"/>
  <c r="E107" i="23"/>
  <c r="E95" i="23"/>
  <c r="E113" i="23"/>
  <c r="E130" i="23"/>
  <c r="E118" i="23"/>
  <c r="E106" i="23"/>
  <c r="E94" i="23"/>
  <c r="E109" i="23"/>
  <c r="E101" i="23"/>
  <c r="E97" i="23"/>
  <c r="E127" i="23"/>
  <c r="E115" i="23"/>
  <c r="E103" i="23"/>
  <c r="E91" i="23"/>
  <c r="E133" i="23"/>
  <c r="P133" i="23" s="1"/>
  <c r="F8" i="23"/>
  <c r="W142" i="23" l="1"/>
  <c r="AD142" i="23"/>
  <c r="AB136" i="23"/>
  <c r="V140" i="23"/>
  <c r="AB137" i="23"/>
  <c r="F125" i="24"/>
  <c r="F129" i="24"/>
  <c r="AG131" i="23"/>
  <c r="BB131" i="24"/>
  <c r="AG132" i="23"/>
  <c r="AH133" i="23" s="1"/>
  <c r="AI133" i="23" s="1"/>
  <c r="BB132" i="24"/>
  <c r="AG134" i="23"/>
  <c r="BB134" i="24"/>
  <c r="AG135" i="23"/>
  <c r="BB135" i="24"/>
  <c r="AG136" i="23"/>
  <c r="BB136" i="24"/>
  <c r="AG133" i="23"/>
  <c r="BB133" i="24"/>
  <c r="AG137" i="23"/>
  <c r="AH138" i="23" s="1"/>
  <c r="AN138" i="23" s="1"/>
  <c r="BB137" i="24"/>
  <c r="BC138" i="24" s="1"/>
  <c r="BD139" i="24" s="1"/>
  <c r="AG127" i="23"/>
  <c r="BB127" i="24"/>
  <c r="F124" i="24"/>
  <c r="AG128" i="23"/>
  <c r="BB128" i="24"/>
  <c r="AG129" i="23"/>
  <c r="BB129" i="24"/>
  <c r="F132" i="24"/>
  <c r="AG130" i="23"/>
  <c r="BB130" i="24"/>
  <c r="AB135" i="23"/>
  <c r="AI139" i="23"/>
  <c r="U138" i="23"/>
  <c r="T120" i="23"/>
  <c r="AH131" i="23"/>
  <c r="AI131" i="23" s="1"/>
  <c r="T122" i="23"/>
  <c r="T133" i="23"/>
  <c r="T130" i="23"/>
  <c r="T121" i="23"/>
  <c r="T132" i="23"/>
  <c r="T134" i="23"/>
  <c r="V138" i="23" s="1"/>
  <c r="T127" i="23"/>
  <c r="T126" i="23"/>
  <c r="T124" i="23"/>
  <c r="T119" i="23"/>
  <c r="T123" i="23"/>
  <c r="T128" i="23"/>
  <c r="T125" i="23"/>
  <c r="T129" i="23"/>
  <c r="T131" i="23"/>
  <c r="T118" i="23"/>
  <c r="AH135" i="23" l="1"/>
  <c r="AI135" i="23" s="1"/>
  <c r="AH134" i="23"/>
  <c r="AI134" i="23" s="1"/>
  <c r="BC132" i="24"/>
  <c r="AD141" i="23"/>
  <c r="BC130" i="24"/>
  <c r="V137" i="23"/>
  <c r="AH130" i="23"/>
  <c r="AN130" i="23" s="1"/>
  <c r="W140" i="23"/>
  <c r="AD140" i="23"/>
  <c r="AH137" i="23"/>
  <c r="AN137" i="23" s="1"/>
  <c r="AI138" i="23"/>
  <c r="AH129" i="23"/>
  <c r="AI129" i="23" s="1"/>
  <c r="AH128" i="23"/>
  <c r="AN128" i="23" s="1"/>
  <c r="AH136" i="23"/>
  <c r="AN136" i="23" s="1"/>
  <c r="BC131" i="24"/>
  <c r="BC134" i="24"/>
  <c r="AH132" i="23"/>
  <c r="AI132" i="23" s="1"/>
  <c r="BC136" i="24"/>
  <c r="BD131" i="24"/>
  <c r="BD132" i="24"/>
  <c r="BC129" i="24"/>
  <c r="BD130" i="24" s="1"/>
  <c r="BC137" i="24"/>
  <c r="BD138" i="24" s="1"/>
  <c r="BC135" i="24"/>
  <c r="BD135" i="24" s="1"/>
  <c r="BC128" i="24"/>
  <c r="BD129" i="24" s="1"/>
  <c r="BC133" i="24"/>
  <c r="V124" i="23"/>
  <c r="W124" i="23" s="1"/>
  <c r="V122" i="23"/>
  <c r="W122" i="23" s="1"/>
  <c r="V125" i="23"/>
  <c r="AD125" i="23" s="1"/>
  <c r="V135" i="23"/>
  <c r="V129" i="23"/>
  <c r="V133" i="23"/>
  <c r="W138" i="23"/>
  <c r="AD138" i="23"/>
  <c r="V127" i="23"/>
  <c r="V123" i="23"/>
  <c r="V126" i="23"/>
  <c r="V132" i="23"/>
  <c r="V130" i="23"/>
  <c r="W139" i="23"/>
  <c r="AD139" i="23"/>
  <c r="V136" i="23"/>
  <c r="V134" i="23"/>
  <c r="V128" i="23"/>
  <c r="V131" i="23"/>
  <c r="AB133" i="23"/>
  <c r="AB134" i="23"/>
  <c r="AN133" i="23"/>
  <c r="AI130" i="23"/>
  <c r="AN131" i="23"/>
  <c r="AN135" i="23"/>
  <c r="AN134" i="23"/>
  <c r="U126" i="22"/>
  <c r="BB126" i="24" s="1"/>
  <c r="BC127" i="24" s="1"/>
  <c r="F125" i="23"/>
  <c r="BK8" i="24"/>
  <c r="BK9" i="24"/>
  <c r="BK10" i="24"/>
  <c r="BK11" i="24"/>
  <c r="BK12" i="24"/>
  <c r="BK13" i="24"/>
  <c r="BK14" i="24"/>
  <c r="BK15" i="24"/>
  <c r="BK16" i="24"/>
  <c r="BK17" i="24"/>
  <c r="BK18" i="24"/>
  <c r="BK19" i="24"/>
  <c r="BK20" i="24"/>
  <c r="BK21" i="24"/>
  <c r="BK22" i="24"/>
  <c r="BK23" i="24"/>
  <c r="BK24" i="24"/>
  <c r="BK25" i="24"/>
  <c r="BK26" i="24"/>
  <c r="BK27" i="24"/>
  <c r="BK28" i="24"/>
  <c r="BK29" i="24"/>
  <c r="BK30" i="24"/>
  <c r="BK31" i="24"/>
  <c r="BK32" i="24"/>
  <c r="BK33" i="24"/>
  <c r="BK34" i="24"/>
  <c r="BK35" i="24"/>
  <c r="BK36" i="24"/>
  <c r="BK37" i="24"/>
  <c r="BK38" i="24"/>
  <c r="BK39" i="24"/>
  <c r="BK40" i="24"/>
  <c r="BK41" i="24"/>
  <c r="BK42" i="24"/>
  <c r="BK43" i="24"/>
  <c r="BK44" i="24"/>
  <c r="BK45" i="24"/>
  <c r="BK46" i="24"/>
  <c r="BK47" i="24"/>
  <c r="BK48" i="24"/>
  <c r="BK49" i="24"/>
  <c r="BK50" i="24"/>
  <c r="BK51" i="24"/>
  <c r="BK52" i="24"/>
  <c r="BK53" i="24"/>
  <c r="BK54" i="24"/>
  <c r="BK55" i="24"/>
  <c r="BK56" i="24"/>
  <c r="BK57" i="24"/>
  <c r="BK58" i="24"/>
  <c r="BK59" i="24"/>
  <c r="BK60" i="24"/>
  <c r="BK61" i="24"/>
  <c r="BK62" i="24"/>
  <c r="BK63" i="24"/>
  <c r="BK64" i="24"/>
  <c r="BK65" i="24"/>
  <c r="BK66" i="24"/>
  <c r="BK67" i="24"/>
  <c r="BK68" i="24"/>
  <c r="BK69" i="24"/>
  <c r="BK70" i="24"/>
  <c r="BK71" i="24"/>
  <c r="BK72" i="24"/>
  <c r="BK73" i="24"/>
  <c r="BK74" i="24"/>
  <c r="BK75" i="24"/>
  <c r="BK76" i="24"/>
  <c r="BK77" i="24"/>
  <c r="BK78" i="24"/>
  <c r="BK79" i="24"/>
  <c r="BK80" i="24"/>
  <c r="BK81" i="24"/>
  <c r="BK82" i="24"/>
  <c r="BK83" i="24"/>
  <c r="BK84" i="24"/>
  <c r="BK85" i="24"/>
  <c r="BK86" i="24"/>
  <c r="BK87" i="24"/>
  <c r="BK88" i="24"/>
  <c r="BK89" i="24"/>
  <c r="BK90" i="24"/>
  <c r="BK91" i="24"/>
  <c r="BK92" i="24"/>
  <c r="BK93" i="24"/>
  <c r="BK94" i="24"/>
  <c r="BK95" i="24"/>
  <c r="BK96" i="24"/>
  <c r="BK97" i="24"/>
  <c r="BK98" i="24"/>
  <c r="BK99" i="24"/>
  <c r="BK100" i="24"/>
  <c r="BK101" i="24"/>
  <c r="BK102" i="24"/>
  <c r="BK103" i="24"/>
  <c r="BK104" i="24"/>
  <c r="BK105" i="24"/>
  <c r="BK106" i="24"/>
  <c r="BK107" i="24"/>
  <c r="BK108" i="24"/>
  <c r="BK109" i="24"/>
  <c r="BK110" i="24"/>
  <c r="BK111" i="24"/>
  <c r="BK112" i="24"/>
  <c r="BK113" i="24"/>
  <c r="BK114" i="24"/>
  <c r="BK115" i="24"/>
  <c r="BK116" i="24"/>
  <c r="BK117" i="24"/>
  <c r="BK118" i="24"/>
  <c r="BK119" i="24"/>
  <c r="BK120" i="24"/>
  <c r="BK121" i="24"/>
  <c r="BK122" i="24"/>
  <c r="BK123" i="24"/>
  <c r="BK124" i="24"/>
  <c r="BK125" i="24"/>
  <c r="BK126" i="24"/>
  <c r="BK127" i="24"/>
  <c r="BK128" i="24"/>
  <c r="BK129" i="24"/>
  <c r="BK130" i="24"/>
  <c r="BK131" i="24"/>
  <c r="BK132" i="24"/>
  <c r="BK133" i="24"/>
  <c r="BK134" i="24"/>
  <c r="BK135" i="24"/>
  <c r="BK136" i="24"/>
  <c r="BK137" i="24"/>
  <c r="BK138" i="24"/>
  <c r="BK139" i="24"/>
  <c r="BK140" i="24"/>
  <c r="BK141" i="24"/>
  <c r="BK142" i="24"/>
  <c r="BK143" i="24"/>
  <c r="BK144" i="24"/>
  <c r="BK145" i="24"/>
  <c r="BK146" i="24"/>
  <c r="BK147" i="24"/>
  <c r="BK148" i="24"/>
  <c r="BK149" i="24"/>
  <c r="BK150" i="24"/>
  <c r="BK151" i="24"/>
  <c r="BK152" i="24"/>
  <c r="BK153" i="24"/>
  <c r="BK154" i="24"/>
  <c r="BK155" i="24"/>
  <c r="BK156" i="24"/>
  <c r="BK157" i="24"/>
  <c r="BK158" i="24"/>
  <c r="BK159" i="24"/>
  <c r="BK160" i="24"/>
  <c r="BK161" i="24"/>
  <c r="BK162" i="24"/>
  <c r="BK163" i="24"/>
  <c r="BK164" i="24"/>
  <c r="BK165" i="24"/>
  <c r="BK166" i="24"/>
  <c r="BK167" i="24"/>
  <c r="BK168" i="24"/>
  <c r="BK169" i="24"/>
  <c r="BK170" i="24"/>
  <c r="BK171" i="24"/>
  <c r="BK172" i="24"/>
  <c r="BK173" i="24"/>
  <c r="BK174" i="24"/>
  <c r="BK175" i="24"/>
  <c r="BK176" i="24"/>
  <c r="BK177" i="24"/>
  <c r="BK178" i="24"/>
  <c r="BK179" i="24"/>
  <c r="BK180" i="24"/>
  <c r="BK181" i="24"/>
  <c r="BK182" i="24"/>
  <c r="BK183" i="24"/>
  <c r="BK184" i="24"/>
  <c r="AP8" i="24"/>
  <c r="AP9" i="24"/>
  <c r="AP10" i="24"/>
  <c r="AP11" i="24"/>
  <c r="AP12" i="24"/>
  <c r="AP13" i="24"/>
  <c r="AP14" i="24"/>
  <c r="AP15" i="24"/>
  <c r="AP16" i="24"/>
  <c r="AP17" i="24"/>
  <c r="AP18" i="24"/>
  <c r="AP19" i="24"/>
  <c r="AP20" i="24"/>
  <c r="AP21" i="24"/>
  <c r="AP22" i="24"/>
  <c r="AP23" i="24"/>
  <c r="AP24" i="24"/>
  <c r="AP25" i="24"/>
  <c r="AP26" i="24"/>
  <c r="AP27" i="24"/>
  <c r="AP28" i="24"/>
  <c r="AP29" i="24"/>
  <c r="AP30" i="24"/>
  <c r="AP31" i="24"/>
  <c r="AP32" i="24"/>
  <c r="AP33" i="24"/>
  <c r="AP34" i="24"/>
  <c r="AP35" i="24"/>
  <c r="AP36" i="24"/>
  <c r="AP37" i="24"/>
  <c r="AP38" i="24"/>
  <c r="AP39" i="24"/>
  <c r="AP40" i="24"/>
  <c r="AP41" i="24"/>
  <c r="AP42" i="24"/>
  <c r="AP43" i="24"/>
  <c r="AP44" i="24"/>
  <c r="AP45" i="24"/>
  <c r="AP46" i="24"/>
  <c r="AP47" i="24"/>
  <c r="AP48" i="24"/>
  <c r="AP49" i="24"/>
  <c r="AP50" i="24"/>
  <c r="AP51" i="24"/>
  <c r="AP52" i="24"/>
  <c r="AP53" i="24"/>
  <c r="AP54" i="24"/>
  <c r="AP55" i="24"/>
  <c r="AP56" i="24"/>
  <c r="AP57" i="24"/>
  <c r="AP58" i="24"/>
  <c r="AP59" i="24"/>
  <c r="AP60" i="24"/>
  <c r="AP61" i="24"/>
  <c r="AP62" i="24"/>
  <c r="AP63" i="24"/>
  <c r="AP64" i="24"/>
  <c r="AP65" i="24"/>
  <c r="AP66" i="24"/>
  <c r="AP67" i="24"/>
  <c r="AP68" i="24"/>
  <c r="AP69" i="24"/>
  <c r="AP70" i="24"/>
  <c r="AP71" i="24"/>
  <c r="AP72" i="24"/>
  <c r="AP73" i="24"/>
  <c r="AP74" i="24"/>
  <c r="AP75" i="24"/>
  <c r="AP76" i="24"/>
  <c r="AP77" i="24"/>
  <c r="AP78" i="24"/>
  <c r="AP79" i="24"/>
  <c r="AP80" i="24"/>
  <c r="AP81" i="24"/>
  <c r="AP82" i="24"/>
  <c r="AP83" i="24"/>
  <c r="AP84" i="24"/>
  <c r="AP85" i="24"/>
  <c r="AP86" i="24"/>
  <c r="AP87" i="24"/>
  <c r="AP88" i="24"/>
  <c r="AP89" i="24"/>
  <c r="AP90" i="24"/>
  <c r="AP91" i="24"/>
  <c r="AP92" i="24"/>
  <c r="AP93" i="24"/>
  <c r="AP94" i="24"/>
  <c r="AP95" i="24"/>
  <c r="AP96" i="24"/>
  <c r="AP97" i="24"/>
  <c r="AP98" i="24"/>
  <c r="AP99" i="24"/>
  <c r="AP100" i="24"/>
  <c r="AP101" i="24"/>
  <c r="AP102" i="24"/>
  <c r="AP103" i="24"/>
  <c r="AP104" i="24"/>
  <c r="AP105" i="24"/>
  <c r="AP106" i="24"/>
  <c r="AP107" i="24"/>
  <c r="AP108" i="24"/>
  <c r="AP109" i="24"/>
  <c r="AP110" i="24"/>
  <c r="AP111" i="24"/>
  <c r="AP112" i="24"/>
  <c r="AP113" i="24"/>
  <c r="AP114" i="24"/>
  <c r="AP115" i="24"/>
  <c r="AP116" i="24"/>
  <c r="AP117" i="24"/>
  <c r="AP118" i="24"/>
  <c r="AP119" i="24"/>
  <c r="AP120" i="24"/>
  <c r="AP121" i="24"/>
  <c r="AP122" i="24"/>
  <c r="AP123" i="24"/>
  <c r="AP124" i="24"/>
  <c r="AP125" i="24"/>
  <c r="AP126" i="24"/>
  <c r="AP127" i="24"/>
  <c r="AP128" i="24"/>
  <c r="AP129" i="24"/>
  <c r="AP130" i="24"/>
  <c r="AP131" i="24"/>
  <c r="AP132" i="24"/>
  <c r="AP133" i="24"/>
  <c r="AP134" i="24"/>
  <c r="AP135" i="24"/>
  <c r="AP136" i="24"/>
  <c r="AP137" i="24"/>
  <c r="AP138" i="24"/>
  <c r="AP139" i="24"/>
  <c r="AP140" i="24"/>
  <c r="AP141" i="24"/>
  <c r="AP142" i="24"/>
  <c r="AP143" i="24"/>
  <c r="AP144" i="24"/>
  <c r="AP145" i="24"/>
  <c r="AP146" i="24"/>
  <c r="AP147" i="24"/>
  <c r="AP148" i="24"/>
  <c r="AP149" i="24"/>
  <c r="AP150" i="24"/>
  <c r="AP151" i="24"/>
  <c r="AP152" i="24"/>
  <c r="AP153" i="24"/>
  <c r="AP154" i="24"/>
  <c r="AP155" i="24"/>
  <c r="AP156" i="24"/>
  <c r="AP157" i="24"/>
  <c r="AP158" i="24"/>
  <c r="AP159" i="24"/>
  <c r="AP160" i="24"/>
  <c r="AP161" i="24"/>
  <c r="AP162" i="24"/>
  <c r="AP163" i="24"/>
  <c r="AP164" i="24"/>
  <c r="AP165" i="24"/>
  <c r="AP166" i="24"/>
  <c r="AP167" i="24"/>
  <c r="AP168" i="24"/>
  <c r="AP169" i="24"/>
  <c r="AP170" i="24"/>
  <c r="AP171" i="24"/>
  <c r="AP172" i="24"/>
  <c r="AP173" i="24"/>
  <c r="AP174" i="24"/>
  <c r="AP175" i="24"/>
  <c r="AP176" i="24"/>
  <c r="AP177" i="24"/>
  <c r="AP178" i="24"/>
  <c r="AP179" i="24"/>
  <c r="AP180" i="24"/>
  <c r="AP181" i="24"/>
  <c r="AP182" i="24"/>
  <c r="AP183" i="24"/>
  <c r="AP184" i="24"/>
  <c r="AN129" i="23" l="1"/>
  <c r="BD134" i="24"/>
  <c r="AI136" i="23"/>
  <c r="AI137" i="23"/>
  <c r="BD137" i="24"/>
  <c r="AI128" i="23"/>
  <c r="BD136" i="24"/>
  <c r="BD133" i="24"/>
  <c r="BD128" i="24"/>
  <c r="AN132" i="23"/>
  <c r="W125" i="23"/>
  <c r="AD124" i="23"/>
  <c r="AD122" i="23"/>
  <c r="W123" i="23"/>
  <c r="AD123" i="23"/>
  <c r="W131" i="23"/>
  <c r="AD131" i="23"/>
  <c r="W127" i="23"/>
  <c r="AD127" i="23"/>
  <c r="W128" i="23"/>
  <c r="AD128" i="23"/>
  <c r="W136" i="23"/>
  <c r="AD136" i="23"/>
  <c r="W137" i="23"/>
  <c r="AD137" i="23"/>
  <c r="W133" i="23"/>
  <c r="AD133" i="23"/>
  <c r="W134" i="23"/>
  <c r="AD134" i="23"/>
  <c r="W130" i="23"/>
  <c r="AD130" i="23"/>
  <c r="W132" i="23"/>
  <c r="AD132" i="23"/>
  <c r="W129" i="23"/>
  <c r="AD129" i="23"/>
  <c r="W135" i="23"/>
  <c r="AD135" i="23"/>
  <c r="W126" i="23"/>
  <c r="AD126" i="23"/>
  <c r="AG126" i="23"/>
  <c r="AH127" i="23" s="1"/>
  <c r="F124" i="23"/>
  <c r="F123" i="23"/>
  <c r="F122" i="23"/>
  <c r="U125" i="22"/>
  <c r="U124" i="22"/>
  <c r="BB124" i="24" s="1"/>
  <c r="BE127" i="24"/>
  <c r="BE128" i="24"/>
  <c r="BE129" i="24"/>
  <c r="BE130" i="24"/>
  <c r="BE131" i="24"/>
  <c r="BE132" i="24"/>
  <c r="BE133" i="24"/>
  <c r="BE134" i="24"/>
  <c r="BE135" i="24"/>
  <c r="BE136" i="24"/>
  <c r="BE137" i="24"/>
  <c r="BE138" i="24"/>
  <c r="BE139" i="24"/>
  <c r="BE140" i="24"/>
  <c r="BE141" i="24"/>
  <c r="BE142" i="24"/>
  <c r="BE143" i="24"/>
  <c r="BE144" i="24"/>
  <c r="BE145" i="24"/>
  <c r="BE146" i="24"/>
  <c r="BE147" i="24"/>
  <c r="BE148" i="24"/>
  <c r="BE149" i="24"/>
  <c r="BE150" i="24"/>
  <c r="BE151" i="24"/>
  <c r="BE152" i="24"/>
  <c r="BE153" i="24"/>
  <c r="BE154" i="24"/>
  <c r="BE155" i="24"/>
  <c r="BE156" i="24"/>
  <c r="BE157" i="24"/>
  <c r="BE158" i="24"/>
  <c r="BE159" i="24"/>
  <c r="BE160" i="24"/>
  <c r="BE161" i="24"/>
  <c r="BE162" i="24"/>
  <c r="BE163" i="24"/>
  <c r="BE164" i="24"/>
  <c r="BE165" i="24"/>
  <c r="BE166" i="24"/>
  <c r="BE167" i="24"/>
  <c r="BE168" i="24"/>
  <c r="BE169" i="24"/>
  <c r="BE170" i="24"/>
  <c r="BE171" i="24"/>
  <c r="BE172" i="24"/>
  <c r="BE173" i="24"/>
  <c r="BE174" i="24"/>
  <c r="BE175" i="24"/>
  <c r="BE176" i="24"/>
  <c r="BE177" i="24"/>
  <c r="BE178" i="24"/>
  <c r="BE179" i="24"/>
  <c r="BE180" i="24"/>
  <c r="BE181" i="24"/>
  <c r="BE182" i="24"/>
  <c r="BE183" i="24"/>
  <c r="BE184" i="24"/>
  <c r="BP8" i="24"/>
  <c r="BP9" i="24"/>
  <c r="BP10" i="24"/>
  <c r="BP11" i="24"/>
  <c r="BP12" i="24"/>
  <c r="BP13" i="24"/>
  <c r="BP14" i="24"/>
  <c r="BP15" i="24"/>
  <c r="BP16" i="24"/>
  <c r="BP17" i="24"/>
  <c r="BP18" i="24"/>
  <c r="BP19" i="24"/>
  <c r="BP20" i="24"/>
  <c r="BP21" i="24"/>
  <c r="BP22" i="24"/>
  <c r="BP23" i="24"/>
  <c r="BP24" i="24"/>
  <c r="BP25" i="24"/>
  <c r="BP26" i="24"/>
  <c r="BP27" i="24"/>
  <c r="BP28" i="24"/>
  <c r="BP29" i="24"/>
  <c r="BP30" i="24"/>
  <c r="BP31" i="24"/>
  <c r="BP32" i="24"/>
  <c r="BP33" i="24"/>
  <c r="BP34" i="24"/>
  <c r="BP35" i="24"/>
  <c r="BP36" i="24"/>
  <c r="BP37" i="24"/>
  <c r="BP38" i="24"/>
  <c r="BP39" i="24"/>
  <c r="BP40" i="24"/>
  <c r="BP41" i="24"/>
  <c r="BP42" i="24"/>
  <c r="BP43" i="24"/>
  <c r="BP44" i="24"/>
  <c r="BP45" i="24"/>
  <c r="BP46" i="24"/>
  <c r="BP47" i="24"/>
  <c r="BP48" i="24"/>
  <c r="BP49" i="24"/>
  <c r="BP50" i="24"/>
  <c r="BP51" i="24"/>
  <c r="BP52" i="24"/>
  <c r="BP53" i="24"/>
  <c r="BP54" i="24"/>
  <c r="BP55" i="24"/>
  <c r="BP56" i="24"/>
  <c r="BP57" i="24"/>
  <c r="BP58" i="24"/>
  <c r="BP59" i="24"/>
  <c r="BP60" i="24"/>
  <c r="BP61" i="24"/>
  <c r="BP62" i="24"/>
  <c r="BP63" i="24"/>
  <c r="BP64" i="24"/>
  <c r="BP65" i="24"/>
  <c r="BP66" i="24"/>
  <c r="BP67" i="24"/>
  <c r="BP68" i="24"/>
  <c r="BP69" i="24"/>
  <c r="BP70" i="24"/>
  <c r="BP71" i="24"/>
  <c r="BP72" i="24"/>
  <c r="BP73" i="24"/>
  <c r="BP74" i="24"/>
  <c r="BP75" i="24"/>
  <c r="BP76" i="24"/>
  <c r="BP77" i="24"/>
  <c r="BP78" i="24"/>
  <c r="BP79" i="24"/>
  <c r="BP80" i="24"/>
  <c r="BP81" i="24"/>
  <c r="BP82" i="24"/>
  <c r="BP83" i="24"/>
  <c r="BP84" i="24"/>
  <c r="BP85" i="24"/>
  <c r="BP86" i="24"/>
  <c r="BP87" i="24"/>
  <c r="BP88" i="24"/>
  <c r="BP89" i="24"/>
  <c r="BP90" i="24"/>
  <c r="BP91" i="24"/>
  <c r="BP92" i="24"/>
  <c r="BP93" i="24"/>
  <c r="BP94" i="24"/>
  <c r="BP95" i="24"/>
  <c r="BP96" i="24"/>
  <c r="BP97" i="24"/>
  <c r="BP98" i="24"/>
  <c r="BP99" i="24"/>
  <c r="BP100" i="24"/>
  <c r="BP101" i="24"/>
  <c r="BP102" i="24"/>
  <c r="BP103" i="24"/>
  <c r="BP104" i="24"/>
  <c r="BP105" i="24"/>
  <c r="BP106" i="24"/>
  <c r="BP107" i="24"/>
  <c r="BP108" i="24"/>
  <c r="BP109" i="24"/>
  <c r="BP110" i="24"/>
  <c r="BP111" i="24"/>
  <c r="BP112" i="24"/>
  <c r="BP113" i="24"/>
  <c r="BP114" i="24"/>
  <c r="BP115" i="24"/>
  <c r="BP116" i="24"/>
  <c r="BP117" i="24"/>
  <c r="BP118" i="24"/>
  <c r="BP119" i="24"/>
  <c r="BP120" i="24"/>
  <c r="BP121" i="24"/>
  <c r="BP122" i="24"/>
  <c r="BP123" i="24"/>
  <c r="BP124" i="24"/>
  <c r="BP125" i="24"/>
  <c r="BP126" i="24"/>
  <c r="BP127" i="24"/>
  <c r="BP128" i="24"/>
  <c r="BP129" i="24"/>
  <c r="BP130" i="24"/>
  <c r="BP131" i="24"/>
  <c r="BP132" i="24"/>
  <c r="BP133" i="24"/>
  <c r="BP134" i="24"/>
  <c r="BP135" i="24"/>
  <c r="BP136" i="24"/>
  <c r="BP137" i="24"/>
  <c r="BP138" i="24"/>
  <c r="BP139" i="24"/>
  <c r="BP140" i="24"/>
  <c r="BP141" i="24"/>
  <c r="BP142" i="24"/>
  <c r="BP143" i="24"/>
  <c r="BP144" i="24"/>
  <c r="BP145" i="24"/>
  <c r="BP146" i="24"/>
  <c r="BP147" i="24"/>
  <c r="BP148" i="24"/>
  <c r="BP149" i="24"/>
  <c r="BP150" i="24"/>
  <c r="BP151" i="24"/>
  <c r="BP152" i="24"/>
  <c r="BP153" i="24"/>
  <c r="BP154" i="24"/>
  <c r="BP155" i="24"/>
  <c r="BP156" i="24"/>
  <c r="BP157" i="24"/>
  <c r="BP158" i="24"/>
  <c r="BP159" i="24"/>
  <c r="BP160" i="24"/>
  <c r="BP161" i="24"/>
  <c r="BP162" i="24"/>
  <c r="BP163" i="24"/>
  <c r="BP164" i="24"/>
  <c r="BP165" i="24"/>
  <c r="BP166" i="24"/>
  <c r="BP167" i="24"/>
  <c r="BP168" i="24"/>
  <c r="BP169" i="24"/>
  <c r="BP170" i="24"/>
  <c r="BP171" i="24"/>
  <c r="BP172" i="24"/>
  <c r="BP173" i="24"/>
  <c r="BP174" i="24"/>
  <c r="BP175" i="24"/>
  <c r="BP176" i="24"/>
  <c r="BP177" i="24"/>
  <c r="BP178" i="24"/>
  <c r="BP179" i="24"/>
  <c r="BP180" i="24"/>
  <c r="BP181" i="24"/>
  <c r="BP182" i="24"/>
  <c r="BP183" i="24"/>
  <c r="BP184" i="24"/>
  <c r="V8" i="24"/>
  <c r="V9" i="24"/>
  <c r="V10" i="24"/>
  <c r="V11" i="24"/>
  <c r="V12" i="24"/>
  <c r="V13" i="24"/>
  <c r="V14" i="24"/>
  <c r="V15" i="24"/>
  <c r="V16" i="24"/>
  <c r="V17" i="24"/>
  <c r="V18" i="24"/>
  <c r="V19" i="24"/>
  <c r="V20" i="24"/>
  <c r="V21" i="24"/>
  <c r="V22" i="24"/>
  <c r="V23" i="24"/>
  <c r="V24" i="24"/>
  <c r="V25" i="24"/>
  <c r="V26" i="24"/>
  <c r="V27" i="24"/>
  <c r="V28" i="24"/>
  <c r="V29" i="24"/>
  <c r="V30" i="24"/>
  <c r="V31" i="24"/>
  <c r="V32" i="24"/>
  <c r="V33" i="24"/>
  <c r="V34" i="24"/>
  <c r="V35" i="24"/>
  <c r="V36" i="24"/>
  <c r="V37" i="24"/>
  <c r="V38" i="24"/>
  <c r="V39" i="24"/>
  <c r="V40" i="24"/>
  <c r="V41" i="24"/>
  <c r="V42" i="24"/>
  <c r="V43" i="24"/>
  <c r="V44" i="24"/>
  <c r="V45" i="24"/>
  <c r="V46" i="24"/>
  <c r="V47" i="24"/>
  <c r="V48" i="24"/>
  <c r="V49" i="24"/>
  <c r="V50" i="24"/>
  <c r="V51" i="24"/>
  <c r="V52" i="24"/>
  <c r="V53" i="24"/>
  <c r="V54" i="24"/>
  <c r="V55" i="24"/>
  <c r="V56" i="24"/>
  <c r="V57" i="24"/>
  <c r="V58" i="24"/>
  <c r="V59" i="24"/>
  <c r="V60" i="24"/>
  <c r="V61" i="24"/>
  <c r="V62" i="24"/>
  <c r="V63" i="24"/>
  <c r="V64" i="24"/>
  <c r="V65" i="24"/>
  <c r="V66" i="24"/>
  <c r="V67" i="24"/>
  <c r="V68" i="24"/>
  <c r="V69" i="24"/>
  <c r="V70" i="24"/>
  <c r="V71" i="24"/>
  <c r="V72" i="24"/>
  <c r="V73" i="24"/>
  <c r="V74" i="24"/>
  <c r="V75" i="24"/>
  <c r="V76" i="24"/>
  <c r="V77" i="24"/>
  <c r="V78" i="24"/>
  <c r="V79" i="24"/>
  <c r="V80" i="24"/>
  <c r="V81" i="24"/>
  <c r="V82" i="24"/>
  <c r="V83" i="24"/>
  <c r="V84" i="24"/>
  <c r="V85" i="24"/>
  <c r="V86" i="24"/>
  <c r="V87" i="24"/>
  <c r="V88" i="24"/>
  <c r="V89" i="24"/>
  <c r="V90" i="24"/>
  <c r="V91" i="24"/>
  <c r="V92" i="24"/>
  <c r="V93" i="24"/>
  <c r="V94" i="24"/>
  <c r="V95" i="24"/>
  <c r="V96" i="24"/>
  <c r="V97" i="24"/>
  <c r="V98" i="24"/>
  <c r="V99" i="24"/>
  <c r="V100" i="24"/>
  <c r="V101" i="24"/>
  <c r="V102" i="24"/>
  <c r="V103" i="24"/>
  <c r="V104" i="24"/>
  <c r="V105" i="24"/>
  <c r="V106" i="24"/>
  <c r="V107" i="24"/>
  <c r="V108" i="24"/>
  <c r="V109" i="24"/>
  <c r="V110" i="24"/>
  <c r="V111" i="24"/>
  <c r="V112" i="24"/>
  <c r="V113" i="24"/>
  <c r="V114" i="24"/>
  <c r="V115" i="24"/>
  <c r="V116" i="24"/>
  <c r="V117" i="24"/>
  <c r="V118" i="24"/>
  <c r="V119" i="24"/>
  <c r="V120" i="24"/>
  <c r="V121" i="24"/>
  <c r="V122" i="24"/>
  <c r="V123" i="24"/>
  <c r="V124" i="24"/>
  <c r="V125" i="24"/>
  <c r="V126" i="24"/>
  <c r="V127" i="24"/>
  <c r="V128" i="24"/>
  <c r="V129" i="24"/>
  <c r="V130" i="24"/>
  <c r="V131" i="24"/>
  <c r="V132" i="24"/>
  <c r="V133" i="24"/>
  <c r="V134" i="24"/>
  <c r="V135" i="24"/>
  <c r="V136" i="24"/>
  <c r="V137" i="24"/>
  <c r="V138" i="24"/>
  <c r="V139" i="24"/>
  <c r="V140" i="24"/>
  <c r="V141" i="24"/>
  <c r="V142" i="24"/>
  <c r="V143" i="24"/>
  <c r="V144" i="24"/>
  <c r="V145" i="24"/>
  <c r="V146" i="24"/>
  <c r="V147" i="24"/>
  <c r="V148" i="24"/>
  <c r="V149" i="24"/>
  <c r="V150" i="24"/>
  <c r="V151" i="24"/>
  <c r="V152" i="24"/>
  <c r="V153" i="24"/>
  <c r="V154" i="24"/>
  <c r="V155" i="24"/>
  <c r="V156" i="24"/>
  <c r="V157" i="24"/>
  <c r="V158" i="24"/>
  <c r="V159" i="24"/>
  <c r="V160" i="24"/>
  <c r="V161" i="24"/>
  <c r="V162" i="24"/>
  <c r="V163" i="24"/>
  <c r="V164" i="24"/>
  <c r="V165" i="24"/>
  <c r="V166" i="24"/>
  <c r="V167" i="24"/>
  <c r="V168" i="24"/>
  <c r="V169" i="24"/>
  <c r="V170" i="24"/>
  <c r="V171" i="24"/>
  <c r="V172" i="24"/>
  <c r="V173" i="24"/>
  <c r="V174" i="24"/>
  <c r="V175" i="24"/>
  <c r="V176" i="24"/>
  <c r="V177" i="24"/>
  <c r="V178" i="24"/>
  <c r="V179" i="24"/>
  <c r="V180" i="24"/>
  <c r="V181" i="24"/>
  <c r="V182" i="24"/>
  <c r="V183" i="24"/>
  <c r="V184" i="24"/>
  <c r="AU8" i="24"/>
  <c r="AU9" i="24"/>
  <c r="AU10" i="24"/>
  <c r="AU11" i="24"/>
  <c r="AU12" i="24"/>
  <c r="AU13" i="24"/>
  <c r="AU14" i="24"/>
  <c r="AU15" i="24"/>
  <c r="AU16" i="24"/>
  <c r="AU17" i="24"/>
  <c r="AU18" i="24"/>
  <c r="AU19" i="24"/>
  <c r="AU20" i="24"/>
  <c r="AU21" i="24"/>
  <c r="AU22" i="24"/>
  <c r="AU23" i="24"/>
  <c r="AU24" i="24"/>
  <c r="AU25" i="24"/>
  <c r="AU26" i="24"/>
  <c r="AU27" i="24"/>
  <c r="AU28" i="24"/>
  <c r="AU29" i="24"/>
  <c r="AU30" i="24"/>
  <c r="AU31" i="24"/>
  <c r="AU32" i="24"/>
  <c r="AU33" i="24"/>
  <c r="AU34" i="24"/>
  <c r="AU35" i="24"/>
  <c r="AU36" i="24"/>
  <c r="AU37" i="24"/>
  <c r="AU38" i="24"/>
  <c r="AU39" i="24"/>
  <c r="AU40" i="24"/>
  <c r="AU41" i="24"/>
  <c r="AU42" i="24"/>
  <c r="AU43" i="24"/>
  <c r="AU44" i="24"/>
  <c r="AU45" i="24"/>
  <c r="AU46" i="24"/>
  <c r="AU47" i="24"/>
  <c r="AU48" i="24"/>
  <c r="AU49" i="24"/>
  <c r="AU50" i="24"/>
  <c r="AU51" i="24"/>
  <c r="AU52" i="24"/>
  <c r="AU53" i="24"/>
  <c r="AU54" i="24"/>
  <c r="AU55" i="24"/>
  <c r="AU56" i="24"/>
  <c r="AU57" i="24"/>
  <c r="AU58" i="24"/>
  <c r="AU59" i="24"/>
  <c r="AU60" i="24"/>
  <c r="AU61" i="24"/>
  <c r="AU62" i="24"/>
  <c r="AU63" i="24"/>
  <c r="AU64" i="24"/>
  <c r="AU65" i="24"/>
  <c r="AU66" i="24"/>
  <c r="AU67" i="24"/>
  <c r="AU68" i="24"/>
  <c r="AU69" i="24"/>
  <c r="AU70" i="24"/>
  <c r="AU71" i="24"/>
  <c r="AU72" i="24"/>
  <c r="AU73" i="24"/>
  <c r="AU74" i="24"/>
  <c r="AU75" i="24"/>
  <c r="AU76" i="24"/>
  <c r="AU77" i="24"/>
  <c r="AU78" i="24"/>
  <c r="AU79" i="24"/>
  <c r="AU80" i="24"/>
  <c r="AU81" i="24"/>
  <c r="AU82" i="24"/>
  <c r="AU83" i="24"/>
  <c r="AU84" i="24"/>
  <c r="AU85" i="24"/>
  <c r="AU86" i="24"/>
  <c r="AU87" i="24"/>
  <c r="AU88" i="24"/>
  <c r="AU89" i="24"/>
  <c r="AU90" i="24"/>
  <c r="AU91" i="24"/>
  <c r="AU92" i="24"/>
  <c r="AU93" i="24"/>
  <c r="AU94" i="24"/>
  <c r="AU95" i="24"/>
  <c r="AU96" i="24"/>
  <c r="AU97" i="24"/>
  <c r="AU98" i="24"/>
  <c r="AU99" i="24"/>
  <c r="AU100" i="24"/>
  <c r="AU101" i="24"/>
  <c r="AU102" i="24"/>
  <c r="AU103" i="24"/>
  <c r="AU104" i="24"/>
  <c r="AU105" i="24"/>
  <c r="AU106" i="24"/>
  <c r="AU107" i="24"/>
  <c r="AU108" i="24"/>
  <c r="AU109" i="24"/>
  <c r="AU110" i="24"/>
  <c r="AU111" i="24"/>
  <c r="AU112" i="24"/>
  <c r="AU113" i="24"/>
  <c r="AU114" i="24"/>
  <c r="AU115" i="24"/>
  <c r="AU116" i="24"/>
  <c r="AU117" i="24"/>
  <c r="AU118" i="24"/>
  <c r="AU119" i="24"/>
  <c r="AU120" i="24"/>
  <c r="AU121" i="24"/>
  <c r="AU122" i="24"/>
  <c r="AU123" i="24"/>
  <c r="AU124" i="24"/>
  <c r="AU125" i="24"/>
  <c r="AU126" i="24"/>
  <c r="AU127" i="24"/>
  <c r="AU128" i="24"/>
  <c r="AU129" i="24"/>
  <c r="AU130" i="24"/>
  <c r="AU131" i="24"/>
  <c r="AU132" i="24"/>
  <c r="AU133" i="24"/>
  <c r="AU134" i="24"/>
  <c r="AU135" i="24"/>
  <c r="AU136" i="24"/>
  <c r="AU137" i="24"/>
  <c r="AU138" i="24"/>
  <c r="AU139" i="24"/>
  <c r="AU140" i="24"/>
  <c r="AU141" i="24"/>
  <c r="AU142" i="24"/>
  <c r="AU143" i="24"/>
  <c r="AU144" i="24"/>
  <c r="AU145" i="24"/>
  <c r="AU146" i="24"/>
  <c r="AU147" i="24"/>
  <c r="AU148" i="24"/>
  <c r="AU149" i="24"/>
  <c r="AU150" i="24"/>
  <c r="AU151" i="24"/>
  <c r="AU152" i="24"/>
  <c r="AU153" i="24"/>
  <c r="AU154" i="24"/>
  <c r="AU155" i="24"/>
  <c r="AU156" i="24"/>
  <c r="AU157" i="24"/>
  <c r="AU158" i="24"/>
  <c r="AU159" i="24"/>
  <c r="AU160" i="24"/>
  <c r="AU161" i="24"/>
  <c r="AU162" i="24"/>
  <c r="AU163" i="24"/>
  <c r="AU164" i="24"/>
  <c r="AU165" i="24"/>
  <c r="AU166" i="24"/>
  <c r="AU167" i="24"/>
  <c r="AU168" i="24"/>
  <c r="AU169" i="24"/>
  <c r="AU170" i="24"/>
  <c r="AU171" i="24"/>
  <c r="AU172" i="24"/>
  <c r="AU173" i="24"/>
  <c r="AU174" i="24"/>
  <c r="AU175" i="24"/>
  <c r="AU176" i="24"/>
  <c r="AU177" i="24"/>
  <c r="AU178" i="24"/>
  <c r="AU179" i="24"/>
  <c r="AU180" i="24"/>
  <c r="AU181" i="24"/>
  <c r="AU182" i="24"/>
  <c r="AU183" i="24"/>
  <c r="AU184" i="24"/>
  <c r="H9" i="24"/>
  <c r="H10" i="24"/>
  <c r="H11" i="24"/>
  <c r="H12" i="24"/>
  <c r="H13" i="24"/>
  <c r="H14" i="24"/>
  <c r="H15" i="24"/>
  <c r="H16" i="24"/>
  <c r="H17" i="24"/>
  <c r="H18" i="24"/>
  <c r="H19" i="24"/>
  <c r="H20" i="24"/>
  <c r="H21" i="24"/>
  <c r="H22" i="24"/>
  <c r="H23" i="24"/>
  <c r="H24" i="24"/>
  <c r="H25" i="24"/>
  <c r="H26" i="24"/>
  <c r="H27" i="24"/>
  <c r="H28" i="24"/>
  <c r="H29" i="24"/>
  <c r="H30" i="24"/>
  <c r="H31" i="24"/>
  <c r="H32" i="24"/>
  <c r="H33" i="24"/>
  <c r="H34" i="24"/>
  <c r="H35" i="24"/>
  <c r="H36" i="24"/>
  <c r="H37" i="24"/>
  <c r="H38" i="24"/>
  <c r="H39" i="24"/>
  <c r="H40" i="24"/>
  <c r="H41" i="24"/>
  <c r="H42" i="24"/>
  <c r="H43" i="24"/>
  <c r="H44" i="24"/>
  <c r="H45" i="24"/>
  <c r="H46" i="24"/>
  <c r="H47" i="24"/>
  <c r="H48" i="24"/>
  <c r="H49" i="24"/>
  <c r="H50" i="24"/>
  <c r="H51" i="24"/>
  <c r="H52" i="24"/>
  <c r="H53" i="24"/>
  <c r="H54" i="24"/>
  <c r="H55" i="24"/>
  <c r="H56" i="24"/>
  <c r="H57" i="24"/>
  <c r="H58" i="24"/>
  <c r="H59" i="24"/>
  <c r="H60" i="24"/>
  <c r="H61" i="24"/>
  <c r="H62" i="24"/>
  <c r="H63" i="24"/>
  <c r="H64" i="24"/>
  <c r="H65" i="24"/>
  <c r="H66" i="24"/>
  <c r="H67" i="24"/>
  <c r="H68" i="24"/>
  <c r="H69" i="24"/>
  <c r="H70" i="24"/>
  <c r="H71" i="24"/>
  <c r="H72" i="24"/>
  <c r="H73" i="24"/>
  <c r="H74" i="24"/>
  <c r="H75" i="24"/>
  <c r="H76" i="24"/>
  <c r="H77" i="24"/>
  <c r="H78" i="24"/>
  <c r="H79" i="24"/>
  <c r="H80" i="24"/>
  <c r="H81" i="24"/>
  <c r="H82" i="24"/>
  <c r="H83" i="24"/>
  <c r="H84" i="24"/>
  <c r="H85" i="24"/>
  <c r="H86" i="24"/>
  <c r="H87" i="24"/>
  <c r="H88" i="24"/>
  <c r="H89" i="24"/>
  <c r="H90" i="24"/>
  <c r="H91" i="24"/>
  <c r="H92" i="24"/>
  <c r="H93" i="24"/>
  <c r="H94" i="24"/>
  <c r="H95" i="24"/>
  <c r="H96" i="24"/>
  <c r="H97" i="24"/>
  <c r="H98" i="24"/>
  <c r="H99" i="24"/>
  <c r="H100" i="24"/>
  <c r="H101" i="24"/>
  <c r="H102" i="24"/>
  <c r="H103" i="24"/>
  <c r="H104" i="24"/>
  <c r="H105" i="24"/>
  <c r="H106" i="24"/>
  <c r="H107" i="24"/>
  <c r="H108" i="24"/>
  <c r="H109" i="24"/>
  <c r="H110" i="24"/>
  <c r="H111" i="24"/>
  <c r="H112" i="24"/>
  <c r="H113" i="24"/>
  <c r="H114" i="24"/>
  <c r="H115" i="24"/>
  <c r="H116" i="24"/>
  <c r="H117" i="24"/>
  <c r="H118" i="24"/>
  <c r="H119" i="24"/>
  <c r="H120" i="24"/>
  <c r="H121" i="24"/>
  <c r="H122" i="24"/>
  <c r="H123" i="24"/>
  <c r="H124" i="24"/>
  <c r="H125" i="24"/>
  <c r="H126" i="24"/>
  <c r="H127" i="24"/>
  <c r="H128" i="24"/>
  <c r="H129" i="24"/>
  <c r="H130" i="24"/>
  <c r="H131" i="24"/>
  <c r="H132" i="24"/>
  <c r="H133" i="24"/>
  <c r="H134" i="24"/>
  <c r="H135" i="24"/>
  <c r="H136" i="24"/>
  <c r="H137" i="24"/>
  <c r="H138" i="24"/>
  <c r="H139" i="24"/>
  <c r="H140" i="24"/>
  <c r="H141" i="24"/>
  <c r="H142" i="24"/>
  <c r="H143" i="24"/>
  <c r="H144" i="24"/>
  <c r="H145" i="24"/>
  <c r="H146" i="24"/>
  <c r="H147" i="24"/>
  <c r="H148" i="24"/>
  <c r="H149" i="24"/>
  <c r="H150" i="24"/>
  <c r="H151" i="24"/>
  <c r="H152" i="24"/>
  <c r="H153" i="24"/>
  <c r="H154" i="24"/>
  <c r="H155" i="24"/>
  <c r="H156" i="24"/>
  <c r="H157" i="24"/>
  <c r="H158" i="24"/>
  <c r="H159" i="24"/>
  <c r="H160" i="24"/>
  <c r="H161" i="24"/>
  <c r="H162" i="24"/>
  <c r="H163" i="24"/>
  <c r="H164" i="24"/>
  <c r="H165" i="24"/>
  <c r="H166" i="24"/>
  <c r="H167" i="24"/>
  <c r="H168" i="24"/>
  <c r="H169" i="24"/>
  <c r="H170" i="24"/>
  <c r="H171" i="24"/>
  <c r="H172" i="24"/>
  <c r="H173" i="24"/>
  <c r="H174" i="24"/>
  <c r="H175" i="24"/>
  <c r="H176" i="24"/>
  <c r="H177" i="24"/>
  <c r="H178" i="24"/>
  <c r="H179" i="24"/>
  <c r="H180" i="24"/>
  <c r="H181" i="24"/>
  <c r="H182" i="24"/>
  <c r="H183" i="24"/>
  <c r="H184" i="24"/>
  <c r="AG125" i="23" l="1"/>
  <c r="BB125" i="24"/>
  <c r="BC126" i="24" s="1"/>
  <c r="AH126" i="23"/>
  <c r="AI126" i="23" s="1"/>
  <c r="AN127" i="23"/>
  <c r="AI127" i="23"/>
  <c r="V124" i="22"/>
  <c r="V125" i="22"/>
  <c r="BO178" i="24"/>
  <c r="BM178" i="24" s="1"/>
  <c r="BN178" i="24"/>
  <c r="BL178" i="24" s="1"/>
  <c r="BO154" i="24"/>
  <c r="BM154" i="24" s="1"/>
  <c r="BN154" i="24"/>
  <c r="BL154" i="24" s="1"/>
  <c r="BO118" i="24"/>
  <c r="BM118" i="24" s="1"/>
  <c r="BN118" i="24"/>
  <c r="BL118" i="24" s="1"/>
  <c r="BO94" i="24"/>
  <c r="BM94" i="24" s="1"/>
  <c r="BN94" i="24"/>
  <c r="BL94" i="24" s="1"/>
  <c r="BO70" i="24"/>
  <c r="BM70" i="24" s="1"/>
  <c r="BN70" i="24"/>
  <c r="BL70" i="24" s="1"/>
  <c r="BN46" i="24"/>
  <c r="BL46" i="24" s="1"/>
  <c r="BO46" i="24"/>
  <c r="BM46" i="24" s="1"/>
  <c r="BN22" i="24"/>
  <c r="BL22" i="24" s="1"/>
  <c r="BO22" i="24"/>
  <c r="BM22" i="24" s="1"/>
  <c r="BO177" i="24"/>
  <c r="BM177" i="24" s="1"/>
  <c r="BN177" i="24"/>
  <c r="BL177" i="24" s="1"/>
  <c r="BO165" i="24"/>
  <c r="BM165" i="24" s="1"/>
  <c r="BN165" i="24"/>
  <c r="BL165" i="24" s="1"/>
  <c r="BO153" i="24"/>
  <c r="BM153" i="24" s="1"/>
  <c r="BN153" i="24"/>
  <c r="BL153" i="24" s="1"/>
  <c r="BN141" i="24"/>
  <c r="BL141" i="24" s="1"/>
  <c r="BO141" i="24"/>
  <c r="BM141" i="24" s="1"/>
  <c r="BN129" i="24"/>
  <c r="BL129" i="24" s="1"/>
  <c r="BO129" i="24"/>
  <c r="BM129" i="24" s="1"/>
  <c r="BN117" i="24"/>
  <c r="BL117" i="24" s="1"/>
  <c r="BO117" i="24"/>
  <c r="BM117" i="24" s="1"/>
  <c r="BO105" i="24"/>
  <c r="BM105" i="24" s="1"/>
  <c r="BN105" i="24"/>
  <c r="BL105" i="24" s="1"/>
  <c r="BO93" i="24"/>
  <c r="BM93" i="24" s="1"/>
  <c r="BN93" i="24"/>
  <c r="BL93" i="24" s="1"/>
  <c r="BO81" i="24"/>
  <c r="BM81" i="24" s="1"/>
  <c r="BN81" i="24"/>
  <c r="BL81" i="24" s="1"/>
  <c r="BO69" i="24"/>
  <c r="BM69" i="24" s="1"/>
  <c r="BN69" i="24"/>
  <c r="BL69" i="24" s="1"/>
  <c r="BO57" i="24"/>
  <c r="BM57" i="24" s="1"/>
  <c r="BN57" i="24"/>
  <c r="BL57" i="24" s="1"/>
  <c r="BO45" i="24"/>
  <c r="BM45" i="24" s="1"/>
  <c r="BN45" i="24"/>
  <c r="BL45" i="24" s="1"/>
  <c r="BO33" i="24"/>
  <c r="BM33" i="24" s="1"/>
  <c r="BN33" i="24"/>
  <c r="BL33" i="24" s="1"/>
  <c r="BO21" i="24"/>
  <c r="BM21" i="24" s="1"/>
  <c r="BN21" i="24"/>
  <c r="BL21" i="24" s="1"/>
  <c r="BO9" i="24"/>
  <c r="BM9" i="24" s="1"/>
  <c r="BN9" i="24"/>
  <c r="BL9" i="24" s="1"/>
  <c r="BO166" i="24"/>
  <c r="BM166" i="24" s="1"/>
  <c r="BN166" i="24"/>
  <c r="BL166" i="24" s="1"/>
  <c r="BO142" i="24"/>
  <c r="BM142" i="24" s="1"/>
  <c r="BN142" i="24"/>
  <c r="BL142" i="24" s="1"/>
  <c r="BO130" i="24"/>
  <c r="BM130" i="24" s="1"/>
  <c r="BN130" i="24"/>
  <c r="BL130" i="24" s="1"/>
  <c r="BO106" i="24"/>
  <c r="BM106" i="24" s="1"/>
  <c r="BN106" i="24"/>
  <c r="BL106" i="24" s="1"/>
  <c r="BO82" i="24"/>
  <c r="BM82" i="24" s="1"/>
  <c r="BN82" i="24"/>
  <c r="BL82" i="24" s="1"/>
  <c r="BN58" i="24"/>
  <c r="BL58" i="24" s="1"/>
  <c r="BO58" i="24"/>
  <c r="BM58" i="24" s="1"/>
  <c r="BN34" i="24"/>
  <c r="BL34" i="24" s="1"/>
  <c r="BO34" i="24"/>
  <c r="BM34" i="24" s="1"/>
  <c r="BN10" i="24"/>
  <c r="BL10" i="24" s="1"/>
  <c r="BO10" i="24"/>
  <c r="BM10" i="24" s="1"/>
  <c r="BO176" i="24"/>
  <c r="BM176" i="24" s="1"/>
  <c r="BN176" i="24"/>
  <c r="BL176" i="24" s="1"/>
  <c r="BO164" i="24"/>
  <c r="BM164" i="24" s="1"/>
  <c r="BN164" i="24"/>
  <c r="BL164" i="24" s="1"/>
  <c r="BO152" i="24"/>
  <c r="BM152" i="24" s="1"/>
  <c r="BN152" i="24"/>
  <c r="BL152" i="24" s="1"/>
  <c r="BO140" i="24"/>
  <c r="BM140" i="24" s="1"/>
  <c r="BN140" i="24"/>
  <c r="BL140" i="24" s="1"/>
  <c r="BO128" i="24"/>
  <c r="BM128" i="24" s="1"/>
  <c r="BN128" i="24"/>
  <c r="BL128" i="24" s="1"/>
  <c r="BO116" i="24"/>
  <c r="BM116" i="24" s="1"/>
  <c r="BN116" i="24"/>
  <c r="BL116" i="24" s="1"/>
  <c r="BO104" i="24"/>
  <c r="BM104" i="24" s="1"/>
  <c r="BN104" i="24"/>
  <c r="BL104" i="24" s="1"/>
  <c r="BO92" i="24"/>
  <c r="BM92" i="24" s="1"/>
  <c r="BN92" i="24"/>
  <c r="BL92" i="24" s="1"/>
  <c r="BO80" i="24"/>
  <c r="BM80" i="24" s="1"/>
  <c r="BN80" i="24"/>
  <c r="BL80" i="24" s="1"/>
  <c r="BO68" i="24"/>
  <c r="BM68" i="24" s="1"/>
  <c r="BN68" i="24"/>
  <c r="BL68" i="24" s="1"/>
  <c r="BO56" i="24"/>
  <c r="BM56" i="24" s="1"/>
  <c r="BN56" i="24"/>
  <c r="BL56" i="24" s="1"/>
  <c r="BO44" i="24"/>
  <c r="BM44" i="24" s="1"/>
  <c r="BN44" i="24"/>
  <c r="BL44" i="24" s="1"/>
  <c r="BO32" i="24"/>
  <c r="BM32" i="24" s="1"/>
  <c r="BN32" i="24"/>
  <c r="BL32" i="24" s="1"/>
  <c r="BO20" i="24"/>
  <c r="BM20" i="24" s="1"/>
  <c r="BN20" i="24"/>
  <c r="BL20" i="24" s="1"/>
  <c r="BO8" i="24"/>
  <c r="BM8" i="24" s="1"/>
  <c r="BN8" i="24"/>
  <c r="BL8" i="24" s="1"/>
  <c r="BN175" i="24"/>
  <c r="BL175" i="24" s="1"/>
  <c r="BO175" i="24"/>
  <c r="BM175" i="24" s="1"/>
  <c r="BO163" i="24"/>
  <c r="BM163" i="24" s="1"/>
  <c r="BN163" i="24"/>
  <c r="BL163" i="24" s="1"/>
  <c r="BO151" i="24"/>
  <c r="BM151" i="24" s="1"/>
  <c r="BN151" i="24"/>
  <c r="BL151" i="24" s="1"/>
  <c r="BO139" i="24"/>
  <c r="BM139" i="24" s="1"/>
  <c r="BN139" i="24"/>
  <c r="BL139" i="24" s="1"/>
  <c r="BN127" i="24"/>
  <c r="BL127" i="24" s="1"/>
  <c r="BO127" i="24"/>
  <c r="BM127" i="24" s="1"/>
  <c r="BN115" i="24"/>
  <c r="BL115" i="24" s="1"/>
  <c r="BO115" i="24"/>
  <c r="BM115" i="24" s="1"/>
  <c r="BN103" i="24"/>
  <c r="BL103" i="24" s="1"/>
  <c r="BO103" i="24"/>
  <c r="BM103" i="24" s="1"/>
  <c r="BO91" i="24"/>
  <c r="BM91" i="24" s="1"/>
  <c r="BN91" i="24"/>
  <c r="BL91" i="24" s="1"/>
  <c r="BO79" i="24"/>
  <c r="BM79" i="24" s="1"/>
  <c r="BN79" i="24"/>
  <c r="BL79" i="24" s="1"/>
  <c r="BO67" i="24"/>
  <c r="BM67" i="24" s="1"/>
  <c r="BN67" i="24"/>
  <c r="BL67" i="24" s="1"/>
  <c r="BO55" i="24"/>
  <c r="BM55" i="24" s="1"/>
  <c r="BN55" i="24"/>
  <c r="BL55" i="24" s="1"/>
  <c r="BO43" i="24"/>
  <c r="BM43" i="24" s="1"/>
  <c r="BN43" i="24"/>
  <c r="BL43" i="24" s="1"/>
  <c r="BO31" i="24"/>
  <c r="BM31" i="24" s="1"/>
  <c r="BN31" i="24"/>
  <c r="BL31" i="24" s="1"/>
  <c r="BO19" i="24"/>
  <c r="BM19" i="24" s="1"/>
  <c r="BN19" i="24"/>
  <c r="BL19" i="24" s="1"/>
  <c r="BN174" i="24"/>
  <c r="BL174" i="24" s="1"/>
  <c r="BO174" i="24"/>
  <c r="BM174" i="24" s="1"/>
  <c r="BO162" i="24"/>
  <c r="BM162" i="24" s="1"/>
  <c r="BN162" i="24"/>
  <c r="BL162" i="24" s="1"/>
  <c r="BO150" i="24"/>
  <c r="BM150" i="24" s="1"/>
  <c r="BN150" i="24"/>
  <c r="BL150" i="24" s="1"/>
  <c r="BO138" i="24"/>
  <c r="BM138" i="24" s="1"/>
  <c r="BN138" i="24"/>
  <c r="BL138" i="24" s="1"/>
  <c r="BN126" i="24"/>
  <c r="BL126" i="24" s="1"/>
  <c r="BO126" i="24"/>
  <c r="BM126" i="24" s="1"/>
  <c r="BN114" i="24"/>
  <c r="BL114" i="24" s="1"/>
  <c r="BO114" i="24"/>
  <c r="BM114" i="24" s="1"/>
  <c r="BN102" i="24"/>
  <c r="BL102" i="24" s="1"/>
  <c r="BO102" i="24"/>
  <c r="BM102" i="24" s="1"/>
  <c r="BO90" i="24"/>
  <c r="BM90" i="24" s="1"/>
  <c r="BN90" i="24"/>
  <c r="BL90" i="24" s="1"/>
  <c r="BO78" i="24"/>
  <c r="BM78" i="24" s="1"/>
  <c r="BN78" i="24"/>
  <c r="BL78" i="24" s="1"/>
  <c r="BO66" i="24"/>
  <c r="BM66" i="24" s="1"/>
  <c r="BN66" i="24"/>
  <c r="BL66" i="24" s="1"/>
  <c r="BO54" i="24"/>
  <c r="BM54" i="24" s="1"/>
  <c r="BN54" i="24"/>
  <c r="BL54" i="24" s="1"/>
  <c r="BO42" i="24"/>
  <c r="BM42" i="24" s="1"/>
  <c r="BN42" i="24"/>
  <c r="BL42" i="24" s="1"/>
  <c r="BO30" i="24"/>
  <c r="BM30" i="24" s="1"/>
  <c r="BN30" i="24"/>
  <c r="BL30" i="24" s="1"/>
  <c r="BO18" i="24"/>
  <c r="BM18" i="24" s="1"/>
  <c r="BN18" i="24"/>
  <c r="BL18" i="24" s="1"/>
  <c r="BN173" i="24"/>
  <c r="BL173" i="24" s="1"/>
  <c r="BO173" i="24"/>
  <c r="BM173" i="24" s="1"/>
  <c r="BN161" i="24"/>
  <c r="BL161" i="24" s="1"/>
  <c r="BO161" i="24"/>
  <c r="BM161" i="24" s="1"/>
  <c r="BO149" i="24"/>
  <c r="BM149" i="24" s="1"/>
  <c r="BN149" i="24"/>
  <c r="BL149" i="24" s="1"/>
  <c r="BO137" i="24"/>
  <c r="BM137" i="24" s="1"/>
  <c r="BN137" i="24"/>
  <c r="BL137" i="24" s="1"/>
  <c r="BN125" i="24"/>
  <c r="BL125" i="24" s="1"/>
  <c r="BO125" i="24"/>
  <c r="BM125" i="24" s="1"/>
  <c r="BN113" i="24"/>
  <c r="BL113" i="24" s="1"/>
  <c r="BO113" i="24"/>
  <c r="BM113" i="24" s="1"/>
  <c r="BN101" i="24"/>
  <c r="BL101" i="24" s="1"/>
  <c r="BO101" i="24"/>
  <c r="BM101" i="24" s="1"/>
  <c r="BN89" i="24"/>
  <c r="BL89" i="24" s="1"/>
  <c r="BO89" i="24"/>
  <c r="BM89" i="24" s="1"/>
  <c r="BO77" i="24"/>
  <c r="BM77" i="24" s="1"/>
  <c r="BN77" i="24"/>
  <c r="BL77" i="24" s="1"/>
  <c r="BO65" i="24"/>
  <c r="BM65" i="24" s="1"/>
  <c r="BN65" i="24"/>
  <c r="BL65" i="24" s="1"/>
  <c r="BO53" i="24"/>
  <c r="BM53" i="24" s="1"/>
  <c r="BN53" i="24"/>
  <c r="BL53" i="24" s="1"/>
  <c r="BO41" i="24"/>
  <c r="BM41" i="24" s="1"/>
  <c r="BN41" i="24"/>
  <c r="BL41" i="24" s="1"/>
  <c r="BO29" i="24"/>
  <c r="BM29" i="24" s="1"/>
  <c r="BN29" i="24"/>
  <c r="BL29" i="24" s="1"/>
  <c r="BO17" i="24"/>
  <c r="BM17" i="24" s="1"/>
  <c r="BN17" i="24"/>
  <c r="BL17" i="24" s="1"/>
  <c r="BO184" i="24"/>
  <c r="BM184" i="24" s="1"/>
  <c r="BN184" i="24"/>
  <c r="BL184" i="24" s="1"/>
  <c r="BO172" i="24"/>
  <c r="BM172" i="24" s="1"/>
  <c r="BN172" i="24"/>
  <c r="BL172" i="24" s="1"/>
  <c r="BO160" i="24"/>
  <c r="BM160" i="24" s="1"/>
  <c r="BN160" i="24"/>
  <c r="BL160" i="24" s="1"/>
  <c r="BO148" i="24"/>
  <c r="BM148" i="24" s="1"/>
  <c r="BN148" i="24"/>
  <c r="BL148" i="24" s="1"/>
  <c r="BO136" i="24"/>
  <c r="BM136" i="24" s="1"/>
  <c r="BN136" i="24"/>
  <c r="BL136" i="24" s="1"/>
  <c r="BO124" i="24"/>
  <c r="BM124" i="24" s="1"/>
  <c r="BN124" i="24"/>
  <c r="BL124" i="24" s="1"/>
  <c r="BO112" i="24"/>
  <c r="BM112" i="24" s="1"/>
  <c r="BN112" i="24"/>
  <c r="BL112" i="24" s="1"/>
  <c r="BO100" i="24"/>
  <c r="BM100" i="24" s="1"/>
  <c r="BN100" i="24"/>
  <c r="BL100" i="24" s="1"/>
  <c r="BO88" i="24"/>
  <c r="BM88" i="24" s="1"/>
  <c r="BN88" i="24"/>
  <c r="BL88" i="24" s="1"/>
  <c r="BO76" i="24"/>
  <c r="BM76" i="24" s="1"/>
  <c r="BN76" i="24"/>
  <c r="BL76" i="24" s="1"/>
  <c r="BO64" i="24"/>
  <c r="BM64" i="24" s="1"/>
  <c r="BN64" i="24"/>
  <c r="BL64" i="24" s="1"/>
  <c r="BO52" i="24"/>
  <c r="BM52" i="24" s="1"/>
  <c r="BN52" i="24"/>
  <c r="BL52" i="24" s="1"/>
  <c r="BO40" i="24"/>
  <c r="BM40" i="24" s="1"/>
  <c r="BN40" i="24"/>
  <c r="BL40" i="24" s="1"/>
  <c r="BO28" i="24"/>
  <c r="BM28" i="24" s="1"/>
  <c r="BN28" i="24"/>
  <c r="BL28" i="24" s="1"/>
  <c r="BO16" i="24"/>
  <c r="BM16" i="24" s="1"/>
  <c r="BN16" i="24"/>
  <c r="BL16" i="24" s="1"/>
  <c r="BN183" i="24"/>
  <c r="BL183" i="24" s="1"/>
  <c r="BO183" i="24"/>
  <c r="BM183" i="24" s="1"/>
  <c r="BN171" i="24"/>
  <c r="BL171" i="24" s="1"/>
  <c r="BO171" i="24"/>
  <c r="BM171" i="24" s="1"/>
  <c r="BN159" i="24"/>
  <c r="BL159" i="24" s="1"/>
  <c r="BO159" i="24"/>
  <c r="BM159" i="24" s="1"/>
  <c r="BO147" i="24"/>
  <c r="BM147" i="24" s="1"/>
  <c r="BN147" i="24"/>
  <c r="BL147" i="24" s="1"/>
  <c r="BO135" i="24"/>
  <c r="BM135" i="24" s="1"/>
  <c r="BN135" i="24"/>
  <c r="BL135" i="24" s="1"/>
  <c r="BN123" i="24"/>
  <c r="BL123" i="24" s="1"/>
  <c r="BO123" i="24"/>
  <c r="BM123" i="24" s="1"/>
  <c r="BN111" i="24"/>
  <c r="BL111" i="24" s="1"/>
  <c r="BO111" i="24"/>
  <c r="BM111" i="24" s="1"/>
  <c r="BN99" i="24"/>
  <c r="BL99" i="24" s="1"/>
  <c r="BO99" i="24"/>
  <c r="BM99" i="24" s="1"/>
  <c r="BN87" i="24"/>
  <c r="BL87" i="24" s="1"/>
  <c r="BO87" i="24"/>
  <c r="BM87" i="24" s="1"/>
  <c r="BN75" i="24"/>
  <c r="BL75" i="24" s="1"/>
  <c r="BO75" i="24"/>
  <c r="BM75" i="24" s="1"/>
  <c r="BO63" i="24"/>
  <c r="BM63" i="24" s="1"/>
  <c r="BN63" i="24"/>
  <c r="BL63" i="24" s="1"/>
  <c r="BO51" i="24"/>
  <c r="BM51" i="24" s="1"/>
  <c r="BN51" i="24"/>
  <c r="BL51" i="24" s="1"/>
  <c r="BO39" i="24"/>
  <c r="BM39" i="24" s="1"/>
  <c r="BN39" i="24"/>
  <c r="BL39" i="24" s="1"/>
  <c r="BO27" i="24"/>
  <c r="BM27" i="24" s="1"/>
  <c r="BN27" i="24"/>
  <c r="BL27" i="24" s="1"/>
  <c r="BO15" i="24"/>
  <c r="BM15" i="24" s="1"/>
  <c r="BN15" i="24"/>
  <c r="BL15" i="24" s="1"/>
  <c r="BN182" i="24"/>
  <c r="BL182" i="24" s="1"/>
  <c r="BO182" i="24"/>
  <c r="BM182" i="24" s="1"/>
  <c r="BN170" i="24"/>
  <c r="BL170" i="24" s="1"/>
  <c r="BO170" i="24"/>
  <c r="BM170" i="24" s="1"/>
  <c r="BN158" i="24"/>
  <c r="BL158" i="24" s="1"/>
  <c r="BO158" i="24"/>
  <c r="BM158" i="24" s="1"/>
  <c r="BN146" i="24"/>
  <c r="BL146" i="24" s="1"/>
  <c r="BO146" i="24"/>
  <c r="BM146" i="24" s="1"/>
  <c r="BO134" i="24"/>
  <c r="BM134" i="24" s="1"/>
  <c r="BN134" i="24"/>
  <c r="BL134" i="24" s="1"/>
  <c r="BN122" i="24"/>
  <c r="BL122" i="24" s="1"/>
  <c r="BO122" i="24"/>
  <c r="BM122" i="24" s="1"/>
  <c r="BN110" i="24"/>
  <c r="BL110" i="24" s="1"/>
  <c r="BO110" i="24"/>
  <c r="BM110" i="24" s="1"/>
  <c r="BN98" i="24"/>
  <c r="BL98" i="24" s="1"/>
  <c r="BO98" i="24"/>
  <c r="BM98" i="24" s="1"/>
  <c r="BN86" i="24"/>
  <c r="BL86" i="24" s="1"/>
  <c r="BO86" i="24"/>
  <c r="BM86" i="24" s="1"/>
  <c r="BN74" i="24"/>
  <c r="BL74" i="24" s="1"/>
  <c r="BO74" i="24"/>
  <c r="BM74" i="24" s="1"/>
  <c r="BN62" i="24"/>
  <c r="BL62" i="24" s="1"/>
  <c r="BO62" i="24"/>
  <c r="BM62" i="24" s="1"/>
  <c r="BN50" i="24"/>
  <c r="BL50" i="24" s="1"/>
  <c r="BO50" i="24"/>
  <c r="BM50" i="24" s="1"/>
  <c r="BN38" i="24"/>
  <c r="BL38" i="24" s="1"/>
  <c r="BO38" i="24"/>
  <c r="BM38" i="24" s="1"/>
  <c r="BN26" i="24"/>
  <c r="BL26" i="24" s="1"/>
  <c r="BO26" i="24"/>
  <c r="BM26" i="24" s="1"/>
  <c r="BN14" i="24"/>
  <c r="BL14" i="24" s="1"/>
  <c r="BO14" i="24"/>
  <c r="BM14" i="24" s="1"/>
  <c r="BN181" i="24"/>
  <c r="BL181" i="24" s="1"/>
  <c r="BO181" i="24"/>
  <c r="BM181" i="24" s="1"/>
  <c r="BN169" i="24"/>
  <c r="BL169" i="24" s="1"/>
  <c r="BO169" i="24"/>
  <c r="BM169" i="24" s="1"/>
  <c r="BN157" i="24"/>
  <c r="BL157" i="24" s="1"/>
  <c r="BO157" i="24"/>
  <c r="BM157" i="24" s="1"/>
  <c r="BN145" i="24"/>
  <c r="BL145" i="24" s="1"/>
  <c r="BO145" i="24"/>
  <c r="BM145" i="24" s="1"/>
  <c r="BO133" i="24"/>
  <c r="BM133" i="24" s="1"/>
  <c r="BN133" i="24"/>
  <c r="BL133" i="24" s="1"/>
  <c r="BN121" i="24"/>
  <c r="BL121" i="24" s="1"/>
  <c r="BO121" i="24"/>
  <c r="BM121" i="24" s="1"/>
  <c r="BN109" i="24"/>
  <c r="BL109" i="24" s="1"/>
  <c r="BO109" i="24"/>
  <c r="BM109" i="24" s="1"/>
  <c r="BN97" i="24"/>
  <c r="BL97" i="24" s="1"/>
  <c r="BO97" i="24"/>
  <c r="BM97" i="24" s="1"/>
  <c r="BN85" i="24"/>
  <c r="BL85" i="24" s="1"/>
  <c r="BO85" i="24"/>
  <c r="BM85" i="24" s="1"/>
  <c r="BN73" i="24"/>
  <c r="BL73" i="24" s="1"/>
  <c r="BO73" i="24"/>
  <c r="BM73" i="24" s="1"/>
  <c r="BN61" i="24"/>
  <c r="BL61" i="24" s="1"/>
  <c r="BO61" i="24"/>
  <c r="BM61" i="24" s="1"/>
  <c r="BN49" i="24"/>
  <c r="BL49" i="24" s="1"/>
  <c r="BO49" i="24"/>
  <c r="BM49" i="24" s="1"/>
  <c r="BN37" i="24"/>
  <c r="BL37" i="24" s="1"/>
  <c r="BO37" i="24"/>
  <c r="BM37" i="24" s="1"/>
  <c r="BN25" i="24"/>
  <c r="BL25" i="24" s="1"/>
  <c r="BO25" i="24"/>
  <c r="BM25" i="24" s="1"/>
  <c r="BN13" i="24"/>
  <c r="BL13" i="24" s="1"/>
  <c r="BO13" i="24"/>
  <c r="BM13" i="24" s="1"/>
  <c r="BO180" i="24"/>
  <c r="BM180" i="24" s="1"/>
  <c r="BN180" i="24"/>
  <c r="BL180" i="24" s="1"/>
  <c r="BO168" i="24"/>
  <c r="BM168" i="24" s="1"/>
  <c r="BN168" i="24"/>
  <c r="BL168" i="24" s="1"/>
  <c r="BO156" i="24"/>
  <c r="BM156" i="24" s="1"/>
  <c r="BN156" i="24"/>
  <c r="BL156" i="24" s="1"/>
  <c r="BO144" i="24"/>
  <c r="BM144" i="24" s="1"/>
  <c r="BN144" i="24"/>
  <c r="BL144" i="24" s="1"/>
  <c r="BN132" i="24"/>
  <c r="BL132" i="24" s="1"/>
  <c r="BO132" i="24"/>
  <c r="BM132" i="24" s="1"/>
  <c r="BO120" i="24"/>
  <c r="BM120" i="24" s="1"/>
  <c r="BN120" i="24"/>
  <c r="BL120" i="24" s="1"/>
  <c r="BO108" i="24"/>
  <c r="BM108" i="24" s="1"/>
  <c r="BN108" i="24"/>
  <c r="BL108" i="24" s="1"/>
  <c r="BO96" i="24"/>
  <c r="BM96" i="24" s="1"/>
  <c r="BN96" i="24"/>
  <c r="BL96" i="24" s="1"/>
  <c r="BO84" i="24"/>
  <c r="BM84" i="24" s="1"/>
  <c r="BN84" i="24"/>
  <c r="BL84" i="24" s="1"/>
  <c r="BO72" i="24"/>
  <c r="BM72" i="24" s="1"/>
  <c r="BN72" i="24"/>
  <c r="BL72" i="24" s="1"/>
  <c r="BO60" i="24"/>
  <c r="BM60" i="24" s="1"/>
  <c r="BN60" i="24"/>
  <c r="BL60" i="24" s="1"/>
  <c r="BO48" i="24"/>
  <c r="BM48" i="24" s="1"/>
  <c r="BN48" i="24"/>
  <c r="BL48" i="24" s="1"/>
  <c r="BO36" i="24"/>
  <c r="BM36" i="24" s="1"/>
  <c r="BN36" i="24"/>
  <c r="BL36" i="24" s="1"/>
  <c r="BO24" i="24"/>
  <c r="BM24" i="24" s="1"/>
  <c r="BN24" i="24"/>
  <c r="BL24" i="24" s="1"/>
  <c r="BO12" i="24"/>
  <c r="BM12" i="24" s="1"/>
  <c r="BN12" i="24"/>
  <c r="BL12" i="24" s="1"/>
  <c r="BO179" i="24"/>
  <c r="BM179" i="24" s="1"/>
  <c r="BN179" i="24"/>
  <c r="BL179" i="24" s="1"/>
  <c r="BO167" i="24"/>
  <c r="BM167" i="24" s="1"/>
  <c r="BN167" i="24"/>
  <c r="BL167" i="24" s="1"/>
  <c r="BO155" i="24"/>
  <c r="BM155" i="24" s="1"/>
  <c r="BN155" i="24"/>
  <c r="BL155" i="24" s="1"/>
  <c r="BO143" i="24"/>
  <c r="BM143" i="24" s="1"/>
  <c r="BN143" i="24"/>
  <c r="BL143" i="24" s="1"/>
  <c r="BO131" i="24"/>
  <c r="BM131" i="24" s="1"/>
  <c r="BN131" i="24"/>
  <c r="BL131" i="24" s="1"/>
  <c r="BO119" i="24"/>
  <c r="BM119" i="24" s="1"/>
  <c r="BN119" i="24"/>
  <c r="BL119" i="24" s="1"/>
  <c r="BO107" i="24"/>
  <c r="BM107" i="24" s="1"/>
  <c r="BN107" i="24"/>
  <c r="BL107" i="24" s="1"/>
  <c r="BO95" i="24"/>
  <c r="BM95" i="24" s="1"/>
  <c r="BN95" i="24"/>
  <c r="BL95" i="24" s="1"/>
  <c r="BO83" i="24"/>
  <c r="BM83" i="24" s="1"/>
  <c r="BN83" i="24"/>
  <c r="BL83" i="24" s="1"/>
  <c r="BN71" i="24"/>
  <c r="BL71" i="24" s="1"/>
  <c r="BO71" i="24"/>
  <c r="BM71" i="24" s="1"/>
  <c r="BO59" i="24"/>
  <c r="BM59" i="24" s="1"/>
  <c r="BN59" i="24"/>
  <c r="BL59" i="24" s="1"/>
  <c r="BO47" i="24"/>
  <c r="BM47" i="24" s="1"/>
  <c r="BN47" i="24"/>
  <c r="BL47" i="24" s="1"/>
  <c r="BO35" i="24"/>
  <c r="BM35" i="24" s="1"/>
  <c r="BN35" i="24"/>
  <c r="BL35" i="24" s="1"/>
  <c r="BO23" i="24"/>
  <c r="BM23" i="24" s="1"/>
  <c r="BN23" i="24"/>
  <c r="BL23" i="24" s="1"/>
  <c r="BO11" i="24"/>
  <c r="BM11" i="24" s="1"/>
  <c r="BN11" i="24"/>
  <c r="BL11" i="24" s="1"/>
  <c r="AT146" i="24"/>
  <c r="AR146" i="24" s="1"/>
  <c r="AS146" i="24"/>
  <c r="AQ146" i="24" s="1"/>
  <c r="AT184" i="24"/>
  <c r="AR184" i="24" s="1"/>
  <c r="AS184" i="24"/>
  <c r="AQ184" i="24" s="1"/>
  <c r="AT160" i="24"/>
  <c r="AR160" i="24" s="1"/>
  <c r="AS160" i="24"/>
  <c r="AQ160" i="24" s="1"/>
  <c r="AT136" i="24"/>
  <c r="AR136" i="24" s="1"/>
  <c r="AS136" i="24"/>
  <c r="AQ136" i="24" s="1"/>
  <c r="AT112" i="24"/>
  <c r="AR112" i="24" s="1"/>
  <c r="AS112" i="24"/>
  <c r="AQ112" i="24" s="1"/>
  <c r="AT88" i="24"/>
  <c r="AR88" i="24" s="1"/>
  <c r="AS88" i="24"/>
  <c r="AQ88" i="24" s="1"/>
  <c r="AT76" i="24"/>
  <c r="AR76" i="24" s="1"/>
  <c r="AS76" i="24"/>
  <c r="AQ76" i="24" s="1"/>
  <c r="AT52" i="24"/>
  <c r="AR52" i="24" s="1"/>
  <c r="AS52" i="24"/>
  <c r="AQ52" i="24" s="1"/>
  <c r="AT40" i="24"/>
  <c r="AR40" i="24" s="1"/>
  <c r="AS40" i="24"/>
  <c r="AQ40" i="24" s="1"/>
  <c r="AT28" i="24"/>
  <c r="AR28" i="24" s="1"/>
  <c r="AS28" i="24"/>
  <c r="AQ28" i="24" s="1"/>
  <c r="AT16" i="24"/>
  <c r="AR16" i="24" s="1"/>
  <c r="AS16" i="24"/>
  <c r="AQ16" i="24" s="1"/>
  <c r="AT50" i="24"/>
  <c r="AR50" i="24" s="1"/>
  <c r="AS50" i="24"/>
  <c r="AQ50" i="24" s="1"/>
  <c r="AT172" i="24"/>
  <c r="AR172" i="24" s="1"/>
  <c r="AS172" i="24"/>
  <c r="AQ172" i="24" s="1"/>
  <c r="AT148" i="24"/>
  <c r="AR148" i="24" s="1"/>
  <c r="AS148" i="24"/>
  <c r="AQ148" i="24" s="1"/>
  <c r="AT124" i="24"/>
  <c r="AR124" i="24" s="1"/>
  <c r="AS124" i="24"/>
  <c r="AQ124" i="24" s="1"/>
  <c r="AT100" i="24"/>
  <c r="AR100" i="24" s="1"/>
  <c r="AS100" i="24"/>
  <c r="AQ100" i="24" s="1"/>
  <c r="AT64" i="24"/>
  <c r="AR64" i="24" s="1"/>
  <c r="AS64" i="24"/>
  <c r="AQ64" i="24" s="1"/>
  <c r="AT183" i="24"/>
  <c r="AR183" i="24" s="1"/>
  <c r="AS183" i="24"/>
  <c r="AQ183" i="24" s="1"/>
  <c r="AT171" i="24"/>
  <c r="AR171" i="24" s="1"/>
  <c r="AS171" i="24"/>
  <c r="AQ171" i="24" s="1"/>
  <c r="AT159" i="24"/>
  <c r="AR159" i="24" s="1"/>
  <c r="AS159" i="24"/>
  <c r="AQ159" i="24" s="1"/>
  <c r="AT147" i="24"/>
  <c r="AR147" i="24" s="1"/>
  <c r="AS147" i="24"/>
  <c r="AQ147" i="24" s="1"/>
  <c r="AT135" i="24"/>
  <c r="AR135" i="24" s="1"/>
  <c r="AS135" i="24"/>
  <c r="AQ135" i="24" s="1"/>
  <c r="AT123" i="24"/>
  <c r="AR123" i="24" s="1"/>
  <c r="AS123" i="24"/>
  <c r="AQ123" i="24" s="1"/>
  <c r="AT111" i="24"/>
  <c r="AR111" i="24" s="1"/>
  <c r="AS111" i="24"/>
  <c r="AQ111" i="24" s="1"/>
  <c r="AT99" i="24"/>
  <c r="AR99" i="24" s="1"/>
  <c r="AS99" i="24"/>
  <c r="AQ99" i="24" s="1"/>
  <c r="AT87" i="24"/>
  <c r="AR87" i="24" s="1"/>
  <c r="AS87" i="24"/>
  <c r="AQ87" i="24" s="1"/>
  <c r="AT75" i="24"/>
  <c r="AR75" i="24" s="1"/>
  <c r="AS75" i="24"/>
  <c r="AQ75" i="24" s="1"/>
  <c r="AT63" i="24"/>
  <c r="AR63" i="24" s="1"/>
  <c r="AS63" i="24"/>
  <c r="AQ63" i="24" s="1"/>
  <c r="AT51" i="24"/>
  <c r="AR51" i="24" s="1"/>
  <c r="AS51" i="24"/>
  <c r="AQ51" i="24" s="1"/>
  <c r="AT39" i="24"/>
  <c r="AR39" i="24" s="1"/>
  <c r="AS39" i="24"/>
  <c r="AQ39" i="24" s="1"/>
  <c r="AT27" i="24"/>
  <c r="AR27" i="24" s="1"/>
  <c r="AS27" i="24"/>
  <c r="AQ27" i="24" s="1"/>
  <c r="AT15" i="24"/>
  <c r="AR15" i="24" s="1"/>
  <c r="AS15" i="24"/>
  <c r="AQ15" i="24" s="1"/>
  <c r="AT110" i="24"/>
  <c r="AR110" i="24" s="1"/>
  <c r="AS110" i="24"/>
  <c r="AQ110" i="24" s="1"/>
  <c r="AS109" i="24"/>
  <c r="AQ109" i="24" s="1"/>
  <c r="AT109" i="24"/>
  <c r="AR109" i="24" s="1"/>
  <c r="AS180" i="24"/>
  <c r="AQ180" i="24" s="1"/>
  <c r="AT180" i="24"/>
  <c r="AR180" i="24" s="1"/>
  <c r="AS168" i="24"/>
  <c r="AQ168" i="24" s="1"/>
  <c r="AT168" i="24"/>
  <c r="AR168" i="24" s="1"/>
  <c r="AS156" i="24"/>
  <c r="AQ156" i="24" s="1"/>
  <c r="AT156" i="24"/>
  <c r="AR156" i="24" s="1"/>
  <c r="AS144" i="24"/>
  <c r="AQ144" i="24" s="1"/>
  <c r="AT144" i="24"/>
  <c r="AR144" i="24" s="1"/>
  <c r="AS132" i="24"/>
  <c r="AQ132" i="24" s="1"/>
  <c r="AT132" i="24"/>
  <c r="AR132" i="24" s="1"/>
  <c r="AS120" i="24"/>
  <c r="AQ120" i="24" s="1"/>
  <c r="AT120" i="24"/>
  <c r="AR120" i="24" s="1"/>
  <c r="AS108" i="24"/>
  <c r="AQ108" i="24" s="1"/>
  <c r="AT108" i="24"/>
  <c r="AR108" i="24" s="1"/>
  <c r="AS96" i="24"/>
  <c r="AQ96" i="24" s="1"/>
  <c r="AT96" i="24"/>
  <c r="AR96" i="24" s="1"/>
  <c r="AS84" i="24"/>
  <c r="AQ84" i="24" s="1"/>
  <c r="AT84" i="24"/>
  <c r="AR84" i="24" s="1"/>
  <c r="AS72" i="24"/>
  <c r="AQ72" i="24" s="1"/>
  <c r="AT72" i="24"/>
  <c r="AR72" i="24" s="1"/>
  <c r="AS60" i="24"/>
  <c r="AQ60" i="24" s="1"/>
  <c r="AT60" i="24"/>
  <c r="AR60" i="24" s="1"/>
  <c r="AS48" i="24"/>
  <c r="AQ48" i="24" s="1"/>
  <c r="AT48" i="24"/>
  <c r="AR48" i="24" s="1"/>
  <c r="AS36" i="24"/>
  <c r="AQ36" i="24" s="1"/>
  <c r="AT36" i="24"/>
  <c r="AR36" i="24" s="1"/>
  <c r="AS24" i="24"/>
  <c r="AQ24" i="24" s="1"/>
  <c r="AT24" i="24"/>
  <c r="AR24" i="24" s="1"/>
  <c r="AS12" i="24"/>
  <c r="AQ12" i="24" s="1"/>
  <c r="AT12" i="24"/>
  <c r="AR12" i="24" s="1"/>
  <c r="AT98" i="24"/>
  <c r="AR98" i="24" s="1"/>
  <c r="AS98" i="24"/>
  <c r="AQ98" i="24" s="1"/>
  <c r="AS85" i="24"/>
  <c r="AQ85" i="24" s="1"/>
  <c r="AT85" i="24"/>
  <c r="AR85" i="24" s="1"/>
  <c r="AS179" i="24"/>
  <c r="AQ179" i="24" s="1"/>
  <c r="AT179" i="24"/>
  <c r="AR179" i="24" s="1"/>
  <c r="AS167" i="24"/>
  <c r="AQ167" i="24" s="1"/>
  <c r="AT167" i="24"/>
  <c r="AR167" i="24" s="1"/>
  <c r="AS155" i="24"/>
  <c r="AQ155" i="24" s="1"/>
  <c r="AT155" i="24"/>
  <c r="AR155" i="24" s="1"/>
  <c r="AS143" i="24"/>
  <c r="AQ143" i="24" s="1"/>
  <c r="AT143" i="24"/>
  <c r="AR143" i="24" s="1"/>
  <c r="AS131" i="24"/>
  <c r="AQ131" i="24" s="1"/>
  <c r="AT131" i="24"/>
  <c r="AR131" i="24" s="1"/>
  <c r="AS119" i="24"/>
  <c r="AQ119" i="24" s="1"/>
  <c r="AT119" i="24"/>
  <c r="AR119" i="24" s="1"/>
  <c r="AS107" i="24"/>
  <c r="AQ107" i="24" s="1"/>
  <c r="AT107" i="24"/>
  <c r="AR107" i="24" s="1"/>
  <c r="AS95" i="24"/>
  <c r="AQ95" i="24" s="1"/>
  <c r="AT95" i="24"/>
  <c r="AR95" i="24" s="1"/>
  <c r="AS83" i="24"/>
  <c r="AQ83" i="24" s="1"/>
  <c r="AT83" i="24"/>
  <c r="AR83" i="24" s="1"/>
  <c r="AS71" i="24"/>
  <c r="AQ71" i="24" s="1"/>
  <c r="AT71" i="24"/>
  <c r="AR71" i="24" s="1"/>
  <c r="AS59" i="24"/>
  <c r="AQ59" i="24" s="1"/>
  <c r="AT59" i="24"/>
  <c r="AR59" i="24" s="1"/>
  <c r="AS47" i="24"/>
  <c r="AQ47" i="24" s="1"/>
  <c r="AT47" i="24"/>
  <c r="AR47" i="24" s="1"/>
  <c r="AS35" i="24"/>
  <c r="AQ35" i="24" s="1"/>
  <c r="AT35" i="24"/>
  <c r="AR35" i="24" s="1"/>
  <c r="AS23" i="24"/>
  <c r="AQ23" i="24" s="1"/>
  <c r="AT23" i="24"/>
  <c r="AR23" i="24" s="1"/>
  <c r="AS11" i="24"/>
  <c r="AQ11" i="24" s="1"/>
  <c r="AT11" i="24"/>
  <c r="AR11" i="24" s="1"/>
  <c r="AT14" i="24"/>
  <c r="AR14" i="24" s="1"/>
  <c r="AS14" i="24"/>
  <c r="AQ14" i="24" s="1"/>
  <c r="AS169" i="24"/>
  <c r="AQ169" i="24" s="1"/>
  <c r="AT169" i="24"/>
  <c r="AR169" i="24" s="1"/>
  <c r="AS61" i="24"/>
  <c r="AQ61" i="24" s="1"/>
  <c r="AT61" i="24"/>
  <c r="AR61" i="24" s="1"/>
  <c r="AS178" i="24"/>
  <c r="AQ178" i="24" s="1"/>
  <c r="AT178" i="24"/>
  <c r="AR178" i="24" s="1"/>
  <c r="AS94" i="24"/>
  <c r="AQ94" i="24" s="1"/>
  <c r="AT94" i="24"/>
  <c r="AR94" i="24" s="1"/>
  <c r="AS22" i="24"/>
  <c r="AQ22" i="24" s="1"/>
  <c r="AT22" i="24"/>
  <c r="AR22" i="24" s="1"/>
  <c r="AT182" i="24"/>
  <c r="AR182" i="24" s="1"/>
  <c r="AS182" i="24"/>
  <c r="AQ182" i="24" s="1"/>
  <c r="AT86" i="24"/>
  <c r="AR86" i="24" s="1"/>
  <c r="AS86" i="24"/>
  <c r="AQ86" i="24" s="1"/>
  <c r="AS157" i="24"/>
  <c r="AQ157" i="24" s="1"/>
  <c r="AT157" i="24"/>
  <c r="AR157" i="24" s="1"/>
  <c r="AS73" i="24"/>
  <c r="AQ73" i="24" s="1"/>
  <c r="AT73" i="24"/>
  <c r="AR73" i="24" s="1"/>
  <c r="AS118" i="24"/>
  <c r="AQ118" i="24" s="1"/>
  <c r="AT118" i="24"/>
  <c r="AR118" i="24" s="1"/>
  <c r="AS46" i="24"/>
  <c r="AQ46" i="24" s="1"/>
  <c r="AT46" i="24"/>
  <c r="AR46" i="24" s="1"/>
  <c r="AS177" i="24"/>
  <c r="AQ177" i="24" s="1"/>
  <c r="AT177" i="24"/>
  <c r="AR177" i="24" s="1"/>
  <c r="AS165" i="24"/>
  <c r="AQ165" i="24" s="1"/>
  <c r="AT165" i="24"/>
  <c r="AR165" i="24" s="1"/>
  <c r="AS153" i="24"/>
  <c r="AQ153" i="24" s="1"/>
  <c r="AT153" i="24"/>
  <c r="AR153" i="24" s="1"/>
  <c r="AS141" i="24"/>
  <c r="AQ141" i="24" s="1"/>
  <c r="AT141" i="24"/>
  <c r="AR141" i="24" s="1"/>
  <c r="AS129" i="24"/>
  <c r="AQ129" i="24" s="1"/>
  <c r="AT129" i="24"/>
  <c r="AR129" i="24" s="1"/>
  <c r="AS117" i="24"/>
  <c r="AQ117" i="24" s="1"/>
  <c r="AT117" i="24"/>
  <c r="AR117" i="24" s="1"/>
  <c r="AS105" i="24"/>
  <c r="AQ105" i="24" s="1"/>
  <c r="AT105" i="24"/>
  <c r="AR105" i="24" s="1"/>
  <c r="AS93" i="24"/>
  <c r="AQ93" i="24" s="1"/>
  <c r="AT93" i="24"/>
  <c r="AR93" i="24" s="1"/>
  <c r="AS81" i="24"/>
  <c r="AQ81" i="24" s="1"/>
  <c r="AT81" i="24"/>
  <c r="AR81" i="24" s="1"/>
  <c r="AS69" i="24"/>
  <c r="AQ69" i="24" s="1"/>
  <c r="AT69" i="24"/>
  <c r="AR69" i="24" s="1"/>
  <c r="AS57" i="24"/>
  <c r="AQ57" i="24" s="1"/>
  <c r="AT57" i="24"/>
  <c r="AR57" i="24" s="1"/>
  <c r="AS45" i="24"/>
  <c r="AQ45" i="24" s="1"/>
  <c r="AT45" i="24"/>
  <c r="AR45" i="24" s="1"/>
  <c r="AS33" i="24"/>
  <c r="AQ33" i="24" s="1"/>
  <c r="AT33" i="24"/>
  <c r="AR33" i="24" s="1"/>
  <c r="AS21" i="24"/>
  <c r="AQ21" i="24" s="1"/>
  <c r="AT21" i="24"/>
  <c r="AR21" i="24" s="1"/>
  <c r="AS9" i="24"/>
  <c r="AQ9" i="24" s="1"/>
  <c r="AT9" i="24"/>
  <c r="AR9" i="24" s="1"/>
  <c r="AT134" i="24"/>
  <c r="AR134" i="24" s="1"/>
  <c r="AS134" i="24"/>
  <c r="AQ134" i="24" s="1"/>
  <c r="AT38" i="24"/>
  <c r="AR38" i="24" s="1"/>
  <c r="AS38" i="24"/>
  <c r="AQ38" i="24" s="1"/>
  <c r="AS181" i="24"/>
  <c r="AQ181" i="24" s="1"/>
  <c r="AT181" i="24"/>
  <c r="AR181" i="24" s="1"/>
  <c r="AS97" i="24"/>
  <c r="AQ97" i="24" s="1"/>
  <c r="AT97" i="24"/>
  <c r="AR97" i="24" s="1"/>
  <c r="AS13" i="24"/>
  <c r="AQ13" i="24" s="1"/>
  <c r="AT13" i="24"/>
  <c r="AR13" i="24" s="1"/>
  <c r="AS142" i="24"/>
  <c r="AQ142" i="24" s="1"/>
  <c r="AT142" i="24"/>
  <c r="AR142" i="24" s="1"/>
  <c r="AS70" i="24"/>
  <c r="AQ70" i="24" s="1"/>
  <c r="AT70" i="24"/>
  <c r="AR70" i="24" s="1"/>
  <c r="AT176" i="24"/>
  <c r="AR176" i="24" s="1"/>
  <c r="AS176" i="24"/>
  <c r="AQ176" i="24" s="1"/>
  <c r="AS164" i="24"/>
  <c r="AQ164" i="24" s="1"/>
  <c r="AT164" i="24"/>
  <c r="AR164" i="24" s="1"/>
  <c r="AS152" i="24"/>
  <c r="AQ152" i="24" s="1"/>
  <c r="AT152" i="24"/>
  <c r="AR152" i="24" s="1"/>
  <c r="AS140" i="24"/>
  <c r="AQ140" i="24" s="1"/>
  <c r="AT140" i="24"/>
  <c r="AR140" i="24" s="1"/>
  <c r="AS128" i="24"/>
  <c r="AQ128" i="24" s="1"/>
  <c r="AT128" i="24"/>
  <c r="AR128" i="24" s="1"/>
  <c r="AS116" i="24"/>
  <c r="AQ116" i="24" s="1"/>
  <c r="AT116" i="24"/>
  <c r="AR116" i="24" s="1"/>
  <c r="AS104" i="24"/>
  <c r="AQ104" i="24" s="1"/>
  <c r="AT104" i="24"/>
  <c r="AR104" i="24" s="1"/>
  <c r="AS92" i="24"/>
  <c r="AQ92" i="24" s="1"/>
  <c r="AT92" i="24"/>
  <c r="AR92" i="24" s="1"/>
  <c r="AS80" i="24"/>
  <c r="AQ80" i="24" s="1"/>
  <c r="AT80" i="24"/>
  <c r="AR80" i="24" s="1"/>
  <c r="AS68" i="24"/>
  <c r="AQ68" i="24" s="1"/>
  <c r="AT68" i="24"/>
  <c r="AR68" i="24" s="1"/>
  <c r="AS56" i="24"/>
  <c r="AQ56" i="24" s="1"/>
  <c r="AT56" i="24"/>
  <c r="AR56" i="24" s="1"/>
  <c r="AS44" i="24"/>
  <c r="AQ44" i="24" s="1"/>
  <c r="AT44" i="24"/>
  <c r="AR44" i="24" s="1"/>
  <c r="AS32" i="24"/>
  <c r="AQ32" i="24" s="1"/>
  <c r="AT32" i="24"/>
  <c r="AR32" i="24" s="1"/>
  <c r="AS20" i="24"/>
  <c r="AQ20" i="24" s="1"/>
  <c r="AT20" i="24"/>
  <c r="AR20" i="24" s="1"/>
  <c r="AS8" i="24"/>
  <c r="AQ8" i="24" s="1"/>
  <c r="AT8" i="24"/>
  <c r="AR8" i="24" s="1"/>
  <c r="AT170" i="24"/>
  <c r="AR170" i="24" s="1"/>
  <c r="AS170" i="24"/>
  <c r="AQ170" i="24" s="1"/>
  <c r="AT74" i="24"/>
  <c r="AR74" i="24" s="1"/>
  <c r="AS74" i="24"/>
  <c r="AQ74" i="24" s="1"/>
  <c r="AS133" i="24"/>
  <c r="AQ133" i="24" s="1"/>
  <c r="AT133" i="24"/>
  <c r="AR133" i="24" s="1"/>
  <c r="AS25" i="24"/>
  <c r="AQ25" i="24" s="1"/>
  <c r="AT25" i="24"/>
  <c r="AR25" i="24" s="1"/>
  <c r="AS166" i="24"/>
  <c r="AQ166" i="24" s="1"/>
  <c r="AT166" i="24"/>
  <c r="AR166" i="24" s="1"/>
  <c r="AS106" i="24"/>
  <c r="AQ106" i="24" s="1"/>
  <c r="AT106" i="24"/>
  <c r="AR106" i="24" s="1"/>
  <c r="AS34" i="24"/>
  <c r="AQ34" i="24" s="1"/>
  <c r="AT34" i="24"/>
  <c r="AR34" i="24" s="1"/>
  <c r="AS10" i="24"/>
  <c r="AQ10" i="24" s="1"/>
  <c r="AT10" i="24"/>
  <c r="AR10" i="24" s="1"/>
  <c r="AT175" i="24"/>
  <c r="AR175" i="24" s="1"/>
  <c r="AS175" i="24"/>
  <c r="AQ175" i="24" s="1"/>
  <c r="AT163" i="24"/>
  <c r="AR163" i="24" s="1"/>
  <c r="AS163" i="24"/>
  <c r="AQ163" i="24" s="1"/>
  <c r="AT151" i="24"/>
  <c r="AR151" i="24" s="1"/>
  <c r="AS151" i="24"/>
  <c r="AQ151" i="24" s="1"/>
  <c r="AS139" i="24"/>
  <c r="AQ139" i="24" s="1"/>
  <c r="AT139" i="24"/>
  <c r="AR139" i="24" s="1"/>
  <c r="AS127" i="24"/>
  <c r="AQ127" i="24" s="1"/>
  <c r="AT127" i="24"/>
  <c r="AR127" i="24" s="1"/>
  <c r="AS115" i="24"/>
  <c r="AQ115" i="24" s="1"/>
  <c r="AT115" i="24"/>
  <c r="AR115" i="24" s="1"/>
  <c r="AS103" i="24"/>
  <c r="AQ103" i="24" s="1"/>
  <c r="AT103" i="24"/>
  <c r="AR103" i="24" s="1"/>
  <c r="AS91" i="24"/>
  <c r="AQ91" i="24" s="1"/>
  <c r="AT91" i="24"/>
  <c r="AR91" i="24" s="1"/>
  <c r="AS79" i="24"/>
  <c r="AQ79" i="24" s="1"/>
  <c r="AT79" i="24"/>
  <c r="AR79" i="24" s="1"/>
  <c r="AS67" i="24"/>
  <c r="AQ67" i="24" s="1"/>
  <c r="AT67" i="24"/>
  <c r="AR67" i="24" s="1"/>
  <c r="AS55" i="24"/>
  <c r="AQ55" i="24" s="1"/>
  <c r="AT55" i="24"/>
  <c r="AR55" i="24" s="1"/>
  <c r="AS43" i="24"/>
  <c r="AQ43" i="24" s="1"/>
  <c r="AT43" i="24"/>
  <c r="AR43" i="24" s="1"/>
  <c r="AS31" i="24"/>
  <c r="AQ31" i="24" s="1"/>
  <c r="AT31" i="24"/>
  <c r="AR31" i="24" s="1"/>
  <c r="AS19" i="24"/>
  <c r="AQ19" i="24" s="1"/>
  <c r="AT19" i="24"/>
  <c r="AR19" i="24" s="1"/>
  <c r="AT158" i="24"/>
  <c r="AR158" i="24" s="1"/>
  <c r="AS158" i="24"/>
  <c r="AQ158" i="24" s="1"/>
  <c r="AT62" i="24"/>
  <c r="AR62" i="24" s="1"/>
  <c r="AS62" i="24"/>
  <c r="AQ62" i="24" s="1"/>
  <c r="AS145" i="24"/>
  <c r="AQ145" i="24" s="1"/>
  <c r="AT145" i="24"/>
  <c r="AR145" i="24" s="1"/>
  <c r="AS49" i="24"/>
  <c r="AQ49" i="24" s="1"/>
  <c r="AT49" i="24"/>
  <c r="AR49" i="24" s="1"/>
  <c r="AS154" i="24"/>
  <c r="AQ154" i="24" s="1"/>
  <c r="AT154" i="24"/>
  <c r="AR154" i="24" s="1"/>
  <c r="AS82" i="24"/>
  <c r="AQ82" i="24" s="1"/>
  <c r="AT82" i="24"/>
  <c r="AR82" i="24" s="1"/>
  <c r="AT174" i="24"/>
  <c r="AR174" i="24" s="1"/>
  <c r="AS174" i="24"/>
  <c r="AQ174" i="24" s="1"/>
  <c r="AT162" i="24"/>
  <c r="AR162" i="24" s="1"/>
  <c r="AS162" i="24"/>
  <c r="AQ162" i="24" s="1"/>
  <c r="AT150" i="24"/>
  <c r="AR150" i="24" s="1"/>
  <c r="AS150" i="24"/>
  <c r="AQ150" i="24" s="1"/>
  <c r="AT138" i="24"/>
  <c r="AR138" i="24" s="1"/>
  <c r="AS138" i="24"/>
  <c r="AQ138" i="24" s="1"/>
  <c r="AS126" i="24"/>
  <c r="AQ126" i="24" s="1"/>
  <c r="AT126" i="24"/>
  <c r="AR126" i="24" s="1"/>
  <c r="AS114" i="24"/>
  <c r="AQ114" i="24" s="1"/>
  <c r="AT114" i="24"/>
  <c r="AR114" i="24" s="1"/>
  <c r="AS102" i="24"/>
  <c r="AQ102" i="24" s="1"/>
  <c r="AT102" i="24"/>
  <c r="AR102" i="24" s="1"/>
  <c r="AS90" i="24"/>
  <c r="AQ90" i="24" s="1"/>
  <c r="AT90" i="24"/>
  <c r="AR90" i="24" s="1"/>
  <c r="AS78" i="24"/>
  <c r="AQ78" i="24" s="1"/>
  <c r="AT78" i="24"/>
  <c r="AR78" i="24" s="1"/>
  <c r="AS66" i="24"/>
  <c r="AQ66" i="24" s="1"/>
  <c r="AT66" i="24"/>
  <c r="AR66" i="24" s="1"/>
  <c r="AS54" i="24"/>
  <c r="AQ54" i="24" s="1"/>
  <c r="AT54" i="24"/>
  <c r="AR54" i="24" s="1"/>
  <c r="AS42" i="24"/>
  <c r="AQ42" i="24" s="1"/>
  <c r="AT42" i="24"/>
  <c r="AR42" i="24" s="1"/>
  <c r="AS30" i="24"/>
  <c r="AQ30" i="24" s="1"/>
  <c r="AT30" i="24"/>
  <c r="AR30" i="24" s="1"/>
  <c r="AS18" i="24"/>
  <c r="AQ18" i="24" s="1"/>
  <c r="AT18" i="24"/>
  <c r="AR18" i="24" s="1"/>
  <c r="AT122" i="24"/>
  <c r="AR122" i="24" s="1"/>
  <c r="AS122" i="24"/>
  <c r="AQ122" i="24" s="1"/>
  <c r="AT26" i="24"/>
  <c r="AR26" i="24" s="1"/>
  <c r="AS26" i="24"/>
  <c r="AQ26" i="24" s="1"/>
  <c r="AS121" i="24"/>
  <c r="AQ121" i="24" s="1"/>
  <c r="AT121" i="24"/>
  <c r="AR121" i="24" s="1"/>
  <c r="AS37" i="24"/>
  <c r="AQ37" i="24" s="1"/>
  <c r="AT37" i="24"/>
  <c r="AR37" i="24" s="1"/>
  <c r="AS130" i="24"/>
  <c r="AQ130" i="24" s="1"/>
  <c r="AT130" i="24"/>
  <c r="AR130" i="24" s="1"/>
  <c r="AS58" i="24"/>
  <c r="AQ58" i="24" s="1"/>
  <c r="AT58" i="24"/>
  <c r="AR58" i="24" s="1"/>
  <c r="AS173" i="24"/>
  <c r="AQ173" i="24" s="1"/>
  <c r="AT173" i="24"/>
  <c r="AR173" i="24" s="1"/>
  <c r="AS161" i="24"/>
  <c r="AQ161" i="24" s="1"/>
  <c r="AT161" i="24"/>
  <c r="AR161" i="24" s="1"/>
  <c r="AS149" i="24"/>
  <c r="AQ149" i="24" s="1"/>
  <c r="AT149" i="24"/>
  <c r="AR149" i="24" s="1"/>
  <c r="AS137" i="24"/>
  <c r="AQ137" i="24" s="1"/>
  <c r="AT137" i="24"/>
  <c r="AR137" i="24" s="1"/>
  <c r="AS125" i="24"/>
  <c r="AQ125" i="24" s="1"/>
  <c r="AT125" i="24"/>
  <c r="AR125" i="24" s="1"/>
  <c r="AS113" i="24"/>
  <c r="AQ113" i="24" s="1"/>
  <c r="AT113" i="24"/>
  <c r="AR113" i="24" s="1"/>
  <c r="AS101" i="24"/>
  <c r="AQ101" i="24" s="1"/>
  <c r="AT101" i="24"/>
  <c r="AR101" i="24" s="1"/>
  <c r="AS89" i="24"/>
  <c r="AQ89" i="24" s="1"/>
  <c r="AT89" i="24"/>
  <c r="AR89" i="24" s="1"/>
  <c r="AS77" i="24"/>
  <c r="AQ77" i="24" s="1"/>
  <c r="AT77" i="24"/>
  <c r="AR77" i="24" s="1"/>
  <c r="AS65" i="24"/>
  <c r="AQ65" i="24" s="1"/>
  <c r="AT65" i="24"/>
  <c r="AR65" i="24" s="1"/>
  <c r="AS53" i="24"/>
  <c r="AQ53" i="24" s="1"/>
  <c r="AT53" i="24"/>
  <c r="AR53" i="24" s="1"/>
  <c r="AS41" i="24"/>
  <c r="AQ41" i="24" s="1"/>
  <c r="AT41" i="24"/>
  <c r="AR41" i="24" s="1"/>
  <c r="AS29" i="24"/>
  <c r="AQ29" i="24" s="1"/>
  <c r="AT29" i="24"/>
  <c r="AR29" i="24" s="1"/>
  <c r="AS17" i="24"/>
  <c r="AQ17" i="24" s="1"/>
  <c r="AT17" i="24"/>
  <c r="AR17" i="24" s="1"/>
  <c r="U145" i="24"/>
  <c r="T145" i="24"/>
  <c r="U49" i="24"/>
  <c r="T49" i="24"/>
  <c r="U13" i="24"/>
  <c r="T13" i="24"/>
  <c r="U180" i="24"/>
  <c r="T180" i="24"/>
  <c r="U168" i="24"/>
  <c r="T168" i="24"/>
  <c r="U156" i="24"/>
  <c r="T156" i="24"/>
  <c r="U144" i="24"/>
  <c r="T144" i="24"/>
  <c r="U132" i="24"/>
  <c r="T132" i="24"/>
  <c r="U120" i="24"/>
  <c r="T120" i="24"/>
  <c r="U108" i="24"/>
  <c r="T108" i="24"/>
  <c r="U96" i="24"/>
  <c r="T96" i="24"/>
  <c r="U84" i="24"/>
  <c r="T84" i="24"/>
  <c r="U72" i="24"/>
  <c r="T72" i="24"/>
  <c r="U60" i="24"/>
  <c r="T60" i="24"/>
  <c r="U48" i="24"/>
  <c r="T48" i="24"/>
  <c r="U36" i="24"/>
  <c r="T36" i="24"/>
  <c r="U24" i="24"/>
  <c r="T24" i="24"/>
  <c r="U12" i="24"/>
  <c r="T12" i="24"/>
  <c r="U179" i="24"/>
  <c r="T179" i="24"/>
  <c r="U167" i="24"/>
  <c r="T167" i="24"/>
  <c r="U155" i="24"/>
  <c r="T155" i="24"/>
  <c r="U143" i="24"/>
  <c r="T143" i="24"/>
  <c r="U131" i="24"/>
  <c r="T131" i="24"/>
  <c r="U119" i="24"/>
  <c r="T119" i="24"/>
  <c r="U107" i="24"/>
  <c r="T107" i="24"/>
  <c r="U95" i="24"/>
  <c r="T95" i="24"/>
  <c r="U83" i="24"/>
  <c r="T83" i="24"/>
  <c r="U71" i="24"/>
  <c r="T71" i="24"/>
  <c r="U59" i="24"/>
  <c r="T59" i="24"/>
  <c r="U47" i="24"/>
  <c r="T47" i="24"/>
  <c r="U35" i="24"/>
  <c r="T35" i="24"/>
  <c r="U23" i="24"/>
  <c r="T23" i="24"/>
  <c r="U11" i="24"/>
  <c r="T11" i="24"/>
  <c r="U73" i="24"/>
  <c r="T73" i="24"/>
  <c r="U178" i="24"/>
  <c r="T178" i="24"/>
  <c r="U118" i="24"/>
  <c r="T118" i="24"/>
  <c r="U70" i="24"/>
  <c r="T70" i="24"/>
  <c r="U10" i="24"/>
  <c r="T10" i="24"/>
  <c r="U109" i="24"/>
  <c r="T109" i="24"/>
  <c r="U130" i="24"/>
  <c r="T130" i="24"/>
  <c r="U58" i="24"/>
  <c r="T58" i="24"/>
  <c r="U177" i="24"/>
  <c r="T177" i="24"/>
  <c r="U165" i="24"/>
  <c r="T165" i="24"/>
  <c r="U153" i="24"/>
  <c r="T153" i="24"/>
  <c r="U141" i="24"/>
  <c r="T141" i="24"/>
  <c r="U129" i="24"/>
  <c r="T129" i="24"/>
  <c r="U117" i="24"/>
  <c r="T117" i="24"/>
  <c r="U105" i="24"/>
  <c r="T105" i="24"/>
  <c r="U93" i="24"/>
  <c r="T93" i="24"/>
  <c r="U81" i="24"/>
  <c r="T81" i="24"/>
  <c r="U69" i="24"/>
  <c r="T69" i="24"/>
  <c r="U57" i="24"/>
  <c r="T57" i="24"/>
  <c r="U45" i="24"/>
  <c r="T45" i="24"/>
  <c r="U33" i="24"/>
  <c r="T33" i="24"/>
  <c r="U21" i="24"/>
  <c r="T21" i="24"/>
  <c r="U9" i="24"/>
  <c r="T9" i="24"/>
  <c r="U157" i="24"/>
  <c r="T157" i="24"/>
  <c r="U61" i="24"/>
  <c r="T61" i="24"/>
  <c r="U154" i="24"/>
  <c r="T154" i="24"/>
  <c r="U94" i="24"/>
  <c r="T94" i="24"/>
  <c r="U34" i="24"/>
  <c r="T34" i="24"/>
  <c r="U176" i="24"/>
  <c r="T176" i="24"/>
  <c r="U164" i="24"/>
  <c r="T164" i="24"/>
  <c r="U152" i="24"/>
  <c r="T152" i="24"/>
  <c r="U140" i="24"/>
  <c r="T140" i="24"/>
  <c r="U128" i="24"/>
  <c r="T128" i="24"/>
  <c r="U116" i="24"/>
  <c r="T116" i="24"/>
  <c r="U104" i="24"/>
  <c r="T104" i="24"/>
  <c r="U92" i="24"/>
  <c r="T92" i="24"/>
  <c r="U80" i="24"/>
  <c r="T80" i="24"/>
  <c r="U68" i="24"/>
  <c r="T68" i="24"/>
  <c r="U56" i="24"/>
  <c r="T56" i="24"/>
  <c r="U44" i="24"/>
  <c r="T44" i="24"/>
  <c r="U32" i="24"/>
  <c r="T32" i="24"/>
  <c r="U20" i="24"/>
  <c r="T20" i="24"/>
  <c r="U8" i="24"/>
  <c r="T8" i="24"/>
  <c r="U121" i="24"/>
  <c r="T121" i="24"/>
  <c r="U166" i="24"/>
  <c r="T166" i="24"/>
  <c r="U106" i="24"/>
  <c r="T106" i="24"/>
  <c r="U46" i="24"/>
  <c r="T46" i="24"/>
  <c r="U175" i="24"/>
  <c r="T175" i="24"/>
  <c r="U163" i="24"/>
  <c r="T163" i="24"/>
  <c r="U151" i="24"/>
  <c r="T151" i="24"/>
  <c r="U139" i="24"/>
  <c r="T139" i="24"/>
  <c r="U127" i="24"/>
  <c r="T127" i="24"/>
  <c r="U115" i="24"/>
  <c r="T115" i="24"/>
  <c r="U103" i="24"/>
  <c r="T103" i="24"/>
  <c r="U91" i="24"/>
  <c r="T91" i="24"/>
  <c r="U79" i="24"/>
  <c r="T79" i="24"/>
  <c r="U67" i="24"/>
  <c r="T67" i="24"/>
  <c r="U55" i="24"/>
  <c r="T55" i="24"/>
  <c r="U43" i="24"/>
  <c r="T43" i="24"/>
  <c r="U31" i="24"/>
  <c r="T31" i="24"/>
  <c r="U19" i="24"/>
  <c r="T19" i="24"/>
  <c r="U85" i="24"/>
  <c r="T85" i="24"/>
  <c r="U142" i="24"/>
  <c r="T142" i="24"/>
  <c r="U82" i="24"/>
  <c r="T82" i="24"/>
  <c r="U22" i="24"/>
  <c r="T22" i="24"/>
  <c r="U174" i="24"/>
  <c r="T174" i="24"/>
  <c r="U162" i="24"/>
  <c r="T162" i="24"/>
  <c r="U150" i="24"/>
  <c r="T150" i="24"/>
  <c r="U138" i="24"/>
  <c r="T138" i="24"/>
  <c r="U126" i="24"/>
  <c r="T126" i="24"/>
  <c r="U114" i="24"/>
  <c r="T114" i="24"/>
  <c r="U102" i="24"/>
  <c r="T102" i="24"/>
  <c r="U90" i="24"/>
  <c r="T90" i="24"/>
  <c r="U78" i="24"/>
  <c r="T78" i="24"/>
  <c r="U66" i="24"/>
  <c r="T66" i="24"/>
  <c r="U54" i="24"/>
  <c r="T54" i="24"/>
  <c r="U42" i="24"/>
  <c r="T42" i="24"/>
  <c r="U30" i="24"/>
  <c r="T30" i="24"/>
  <c r="U18" i="24"/>
  <c r="T18" i="24"/>
  <c r="U97" i="24"/>
  <c r="T97" i="24"/>
  <c r="U173" i="24"/>
  <c r="T173" i="24"/>
  <c r="U161" i="24"/>
  <c r="T161" i="24"/>
  <c r="U149" i="24"/>
  <c r="T149" i="24"/>
  <c r="U137" i="24"/>
  <c r="T137" i="24"/>
  <c r="U125" i="24"/>
  <c r="T125" i="24"/>
  <c r="U113" i="24"/>
  <c r="T113" i="24"/>
  <c r="U101" i="24"/>
  <c r="T101" i="24"/>
  <c r="U89" i="24"/>
  <c r="T89" i="24"/>
  <c r="U77" i="24"/>
  <c r="T77" i="24"/>
  <c r="U65" i="24"/>
  <c r="T65" i="24"/>
  <c r="U53" i="24"/>
  <c r="T53" i="24"/>
  <c r="U41" i="24"/>
  <c r="T41" i="24"/>
  <c r="U29" i="24"/>
  <c r="T29" i="24"/>
  <c r="U17" i="24"/>
  <c r="T17" i="24"/>
  <c r="U133" i="24"/>
  <c r="T133" i="24"/>
  <c r="U184" i="24"/>
  <c r="T184" i="24"/>
  <c r="U172" i="24"/>
  <c r="T172" i="24"/>
  <c r="U160" i="24"/>
  <c r="T160" i="24"/>
  <c r="U148" i="24"/>
  <c r="T148" i="24"/>
  <c r="U136" i="24"/>
  <c r="T136" i="24"/>
  <c r="U124" i="24"/>
  <c r="T124" i="24"/>
  <c r="U112" i="24"/>
  <c r="T112" i="24"/>
  <c r="U100" i="24"/>
  <c r="T100" i="24"/>
  <c r="U88" i="24"/>
  <c r="T88" i="24"/>
  <c r="U76" i="24"/>
  <c r="T76" i="24"/>
  <c r="U64" i="24"/>
  <c r="T64" i="24"/>
  <c r="U52" i="24"/>
  <c r="T52" i="24"/>
  <c r="U40" i="24"/>
  <c r="T40" i="24"/>
  <c r="U28" i="24"/>
  <c r="T28" i="24"/>
  <c r="U16" i="24"/>
  <c r="T16" i="24"/>
  <c r="U169" i="24"/>
  <c r="T169" i="24"/>
  <c r="U37" i="24"/>
  <c r="T37" i="24"/>
  <c r="U183" i="24"/>
  <c r="T183" i="24"/>
  <c r="U171" i="24"/>
  <c r="T171" i="24"/>
  <c r="U159" i="24"/>
  <c r="T159" i="24"/>
  <c r="U147" i="24"/>
  <c r="T147" i="24"/>
  <c r="U135" i="24"/>
  <c r="T135" i="24"/>
  <c r="U123" i="24"/>
  <c r="T123" i="24"/>
  <c r="U111" i="24"/>
  <c r="T111" i="24"/>
  <c r="U99" i="24"/>
  <c r="T99" i="24"/>
  <c r="U87" i="24"/>
  <c r="T87" i="24"/>
  <c r="U75" i="24"/>
  <c r="T75" i="24"/>
  <c r="U63" i="24"/>
  <c r="T63" i="24"/>
  <c r="U51" i="24"/>
  <c r="T51" i="24"/>
  <c r="U39" i="24"/>
  <c r="T39" i="24"/>
  <c r="U27" i="24"/>
  <c r="T27" i="24"/>
  <c r="U15" i="24"/>
  <c r="T15" i="24"/>
  <c r="U181" i="24"/>
  <c r="T181" i="24"/>
  <c r="U25" i="24"/>
  <c r="T25" i="24"/>
  <c r="U182" i="24"/>
  <c r="T182" i="24"/>
  <c r="U170" i="24"/>
  <c r="T170" i="24"/>
  <c r="U158" i="24"/>
  <c r="T158" i="24"/>
  <c r="U146" i="24"/>
  <c r="T146" i="24"/>
  <c r="U134" i="24"/>
  <c r="T134" i="24"/>
  <c r="U122" i="24"/>
  <c r="T122" i="24"/>
  <c r="U110" i="24"/>
  <c r="T110" i="24"/>
  <c r="U98" i="24"/>
  <c r="T98" i="24"/>
  <c r="U86" i="24"/>
  <c r="T86" i="24"/>
  <c r="U74" i="24"/>
  <c r="T74" i="24"/>
  <c r="U62" i="24"/>
  <c r="T62" i="24"/>
  <c r="U50" i="24"/>
  <c r="T50" i="24"/>
  <c r="U38" i="24"/>
  <c r="T38" i="24"/>
  <c r="U26" i="24"/>
  <c r="T26" i="24"/>
  <c r="U14" i="24"/>
  <c r="T14" i="24"/>
  <c r="P29" i="24"/>
  <c r="P183" i="24"/>
  <c r="P27" i="24"/>
  <c r="P164" i="24"/>
  <c r="P40" i="24"/>
  <c r="P37" i="24"/>
  <c r="P175" i="24"/>
  <c r="P163" i="24"/>
  <c r="P151" i="24"/>
  <c r="P139" i="24"/>
  <c r="P127" i="24"/>
  <c r="P115" i="24"/>
  <c r="P103" i="24"/>
  <c r="P91" i="24"/>
  <c r="P67" i="24"/>
  <c r="P55" i="24"/>
  <c r="P43" i="24"/>
  <c r="P31" i="24"/>
  <c r="P19" i="24"/>
  <c r="P145" i="24"/>
  <c r="P25" i="24"/>
  <c r="P126" i="24"/>
  <c r="P24" i="24"/>
  <c r="P111" i="24"/>
  <c r="P15" i="24"/>
  <c r="P96" i="24"/>
  <c r="P14" i="24"/>
  <c r="P81" i="24"/>
  <c r="P11" i="24"/>
  <c r="P65" i="24"/>
  <c r="P54" i="24"/>
  <c r="P51" i="24"/>
  <c r="P182" i="24"/>
  <c r="P161" i="24"/>
  <c r="P144" i="24"/>
  <c r="P125" i="24"/>
  <c r="P110" i="24"/>
  <c r="P95" i="24"/>
  <c r="P80" i="24"/>
  <c r="P64" i="24"/>
  <c r="P50" i="24"/>
  <c r="P36" i="24"/>
  <c r="P23" i="24"/>
  <c r="P10" i="24"/>
  <c r="P162" i="24"/>
  <c r="P150" i="24"/>
  <c r="P102" i="24"/>
  <c r="P180" i="24"/>
  <c r="P160" i="24"/>
  <c r="P141" i="24"/>
  <c r="P124" i="24"/>
  <c r="P109" i="24"/>
  <c r="P94" i="24"/>
  <c r="P78" i="24"/>
  <c r="P63" i="24"/>
  <c r="P49" i="24"/>
  <c r="P35" i="24"/>
  <c r="P22" i="24"/>
  <c r="P9" i="24"/>
  <c r="P149" i="24"/>
  <c r="P89" i="24"/>
  <c r="P179" i="24"/>
  <c r="P159" i="24"/>
  <c r="P140" i="24"/>
  <c r="P122" i="24"/>
  <c r="P108" i="24"/>
  <c r="P93" i="24"/>
  <c r="P77" i="24"/>
  <c r="P62" i="24"/>
  <c r="P48" i="24"/>
  <c r="P34" i="24"/>
  <c r="P21" i="24"/>
  <c r="P8" i="24"/>
  <c r="P136" i="24"/>
  <c r="P76" i="24"/>
  <c r="P174" i="24"/>
  <c r="P158" i="24"/>
  <c r="P138" i="24"/>
  <c r="P121" i="24"/>
  <c r="P107" i="24"/>
  <c r="P92" i="24"/>
  <c r="P75" i="24"/>
  <c r="P61" i="24"/>
  <c r="P47" i="24"/>
  <c r="P33" i="24"/>
  <c r="P20" i="24"/>
  <c r="P123" i="24"/>
  <c r="P173" i="24"/>
  <c r="P157" i="24"/>
  <c r="P137" i="24"/>
  <c r="P120" i="24"/>
  <c r="P106" i="24"/>
  <c r="P90" i="24"/>
  <c r="P74" i="24"/>
  <c r="P60" i="24"/>
  <c r="P46" i="24"/>
  <c r="P32" i="24"/>
  <c r="P18" i="24"/>
  <c r="P172" i="24"/>
  <c r="P154" i="24"/>
  <c r="P135" i="24"/>
  <c r="P119" i="24"/>
  <c r="P105" i="24"/>
  <c r="P88" i="24"/>
  <c r="P73" i="24"/>
  <c r="P59" i="24"/>
  <c r="P44" i="24"/>
  <c r="P30" i="24"/>
  <c r="P17" i="24"/>
  <c r="P181" i="24"/>
  <c r="P169" i="24"/>
  <c r="P97" i="24"/>
  <c r="P171" i="24"/>
  <c r="P153" i="24"/>
  <c r="P134" i="24"/>
  <c r="P118" i="24"/>
  <c r="P104" i="24"/>
  <c r="P87" i="24"/>
  <c r="P72" i="24"/>
  <c r="P57" i="24"/>
  <c r="P42" i="24"/>
  <c r="P16" i="24"/>
  <c r="P168" i="24"/>
  <c r="P156" i="24"/>
  <c r="P84" i="24"/>
  <c r="P170" i="24"/>
  <c r="P152" i="24"/>
  <c r="P133" i="24"/>
  <c r="P117" i="24"/>
  <c r="P101" i="24"/>
  <c r="P86" i="24"/>
  <c r="P70" i="24"/>
  <c r="P56" i="24"/>
  <c r="P41" i="24"/>
  <c r="P28" i="24"/>
  <c r="P155" i="24"/>
  <c r="P143" i="24"/>
  <c r="P71" i="24"/>
  <c r="P167" i="24"/>
  <c r="P148" i="24"/>
  <c r="P132" i="24"/>
  <c r="P114" i="24"/>
  <c r="P100" i="24"/>
  <c r="P85" i="24"/>
  <c r="P69" i="24"/>
  <c r="P178" i="24"/>
  <c r="P142" i="24"/>
  <c r="P130" i="24"/>
  <c r="P58" i="24"/>
  <c r="P79" i="24"/>
  <c r="P166" i="24"/>
  <c r="P147" i="24"/>
  <c r="P131" i="24"/>
  <c r="P113" i="24"/>
  <c r="P99" i="24"/>
  <c r="P83" i="24"/>
  <c r="P68" i="24"/>
  <c r="P53" i="24"/>
  <c r="P39" i="24"/>
  <c r="P26" i="24"/>
  <c r="P13" i="24"/>
  <c r="P177" i="24"/>
  <c r="P129" i="24"/>
  <c r="P45" i="24"/>
  <c r="P184" i="24"/>
  <c r="P165" i="24"/>
  <c r="P146" i="24"/>
  <c r="P128" i="24"/>
  <c r="P112" i="24"/>
  <c r="P98" i="24"/>
  <c r="P82" i="24"/>
  <c r="P66" i="24"/>
  <c r="P52" i="24"/>
  <c r="P38" i="24"/>
  <c r="P12" i="24"/>
  <c r="P176" i="24"/>
  <c r="P116" i="24"/>
  <c r="X185" i="23"/>
  <c r="X186" i="23"/>
  <c r="X187" i="23"/>
  <c r="X188" i="23"/>
  <c r="X189" i="23"/>
  <c r="X190" i="23"/>
  <c r="X191" i="23"/>
  <c r="X192" i="23"/>
  <c r="X193" i="23"/>
  <c r="X194" i="23"/>
  <c r="X195" i="23"/>
  <c r="X196" i="23"/>
  <c r="X197" i="23"/>
  <c r="X198" i="23"/>
  <c r="X199" i="23"/>
  <c r="X200" i="23"/>
  <c r="X201" i="23"/>
  <c r="X202" i="23"/>
  <c r="X203" i="23"/>
  <c r="X204" i="23"/>
  <c r="X205" i="23"/>
  <c r="X206" i="23"/>
  <c r="X207" i="23"/>
  <c r="X208" i="23"/>
  <c r="X209" i="23"/>
  <c r="X210" i="23"/>
  <c r="X211" i="23"/>
  <c r="X212" i="23"/>
  <c r="X213" i="23"/>
  <c r="X214" i="23"/>
  <c r="X215" i="23"/>
  <c r="X216" i="23"/>
  <c r="X217" i="23"/>
  <c r="X218" i="23"/>
  <c r="X219" i="23"/>
  <c r="X220" i="23"/>
  <c r="X221" i="23"/>
  <c r="X222" i="23"/>
  <c r="X223" i="23"/>
  <c r="X224" i="23"/>
  <c r="X225" i="23"/>
  <c r="X226" i="23"/>
  <c r="X227" i="23"/>
  <c r="X228" i="23"/>
  <c r="X229" i="23"/>
  <c r="X230" i="23"/>
  <c r="X231" i="23"/>
  <c r="X232" i="23"/>
  <c r="X233" i="23"/>
  <c r="X234" i="23"/>
  <c r="X235" i="23"/>
  <c r="X236" i="23"/>
  <c r="X237" i="23"/>
  <c r="X238" i="23"/>
  <c r="X239" i="23"/>
  <c r="X240" i="23"/>
  <c r="X241" i="23"/>
  <c r="X242" i="23"/>
  <c r="X243" i="23"/>
  <c r="X244" i="23"/>
  <c r="X245" i="23"/>
  <c r="X246" i="23"/>
  <c r="X247" i="23"/>
  <c r="X248" i="23"/>
  <c r="X249" i="23"/>
  <c r="X250" i="23"/>
  <c r="X251" i="23"/>
  <c r="X252" i="23"/>
  <c r="X253" i="23"/>
  <c r="X254" i="23"/>
  <c r="X255" i="23"/>
  <c r="X256" i="23"/>
  <c r="X257" i="23"/>
  <c r="X258" i="23"/>
  <c r="X259" i="23"/>
  <c r="X260" i="23"/>
  <c r="X261" i="23"/>
  <c r="X262" i="23"/>
  <c r="X263" i="23"/>
  <c r="X264" i="23"/>
  <c r="X265" i="23"/>
  <c r="X266" i="23"/>
  <c r="X267" i="23"/>
  <c r="X268" i="23"/>
  <c r="X269" i="23"/>
  <c r="X270" i="23"/>
  <c r="X271" i="23"/>
  <c r="X272" i="23"/>
  <c r="X273" i="23"/>
  <c r="X274" i="23"/>
  <c r="X275" i="23"/>
  <c r="X276" i="23"/>
  <c r="X277" i="23"/>
  <c r="X278" i="23"/>
  <c r="X279" i="23"/>
  <c r="X280" i="23"/>
  <c r="X281" i="23"/>
  <c r="G19" i="24"/>
  <c r="D61" i="24"/>
  <c r="D30" i="24"/>
  <c r="D31" i="24"/>
  <c r="D32" i="24"/>
  <c r="D33" i="24"/>
  <c r="D34" i="24"/>
  <c r="D35" i="24"/>
  <c r="D36" i="24"/>
  <c r="D37" i="24"/>
  <c r="D38" i="24"/>
  <c r="D39" i="24"/>
  <c r="D40" i="24"/>
  <c r="D41" i="24"/>
  <c r="D42" i="24"/>
  <c r="D43" i="24"/>
  <c r="D44" i="24"/>
  <c r="D45" i="24"/>
  <c r="D46" i="24"/>
  <c r="D47" i="24"/>
  <c r="D48" i="24"/>
  <c r="D49" i="24"/>
  <c r="D50" i="24"/>
  <c r="D51" i="24"/>
  <c r="D52" i="24"/>
  <c r="D53" i="24"/>
  <c r="D54" i="24"/>
  <c r="D55" i="24"/>
  <c r="D56" i="24"/>
  <c r="D57" i="24"/>
  <c r="D58" i="24"/>
  <c r="D59" i="24"/>
  <c r="D60" i="24"/>
  <c r="D29" i="24"/>
  <c r="G8" i="24"/>
  <c r="G9" i="24"/>
  <c r="G10" i="24"/>
  <c r="G11" i="24"/>
  <c r="G12" i="24"/>
  <c r="G13" i="24"/>
  <c r="G14" i="24"/>
  <c r="G15" i="24"/>
  <c r="G16" i="24"/>
  <c r="G17" i="24"/>
  <c r="K9" i="24"/>
  <c r="AJ8" i="24"/>
  <c r="AJ9" i="24"/>
  <c r="AJ10" i="24"/>
  <c r="AJ11" i="24"/>
  <c r="AJ12" i="24"/>
  <c r="AJ13" i="24"/>
  <c r="AJ14" i="24"/>
  <c r="AJ15" i="24"/>
  <c r="AJ16" i="24"/>
  <c r="AJ17" i="24"/>
  <c r="AK8" i="24"/>
  <c r="AK9" i="24"/>
  <c r="AK10" i="24"/>
  <c r="AK11" i="24"/>
  <c r="AK12" i="24"/>
  <c r="AK13" i="24"/>
  <c r="AK14" i="24"/>
  <c r="AK15" i="24"/>
  <c r="AK16" i="24"/>
  <c r="AK17" i="24"/>
  <c r="BE8" i="24"/>
  <c r="BE9" i="24"/>
  <c r="BE10" i="24"/>
  <c r="BE11" i="24"/>
  <c r="BE12" i="24"/>
  <c r="BE13" i="24"/>
  <c r="BE14" i="24"/>
  <c r="BE15" i="24"/>
  <c r="BE16" i="24"/>
  <c r="BE17" i="24"/>
  <c r="BF8" i="24"/>
  <c r="BF9" i="24"/>
  <c r="BF10" i="24"/>
  <c r="BF11" i="24"/>
  <c r="BF12" i="24"/>
  <c r="BF13" i="24"/>
  <c r="BF14" i="24"/>
  <c r="BF15" i="24"/>
  <c r="BF16" i="24"/>
  <c r="BF17" i="24"/>
  <c r="AJ18" i="24"/>
  <c r="AK18" i="24"/>
  <c r="BE18" i="24"/>
  <c r="BF18" i="24"/>
  <c r="G20" i="24"/>
  <c r="G21" i="24"/>
  <c r="G22" i="24"/>
  <c r="G23" i="24"/>
  <c r="G24" i="24"/>
  <c r="G25" i="24"/>
  <c r="G26" i="24"/>
  <c r="G27" i="24"/>
  <c r="AJ19" i="24"/>
  <c r="AJ20" i="24"/>
  <c r="AJ21" i="24"/>
  <c r="AJ22" i="24"/>
  <c r="AJ23" i="24"/>
  <c r="AJ24" i="24"/>
  <c r="AJ25" i="24"/>
  <c r="AJ26" i="24"/>
  <c r="AJ27" i="24"/>
  <c r="AJ28" i="24"/>
  <c r="AJ29" i="24"/>
  <c r="AJ30" i="24"/>
  <c r="AJ31" i="24"/>
  <c r="AJ32" i="24"/>
  <c r="AJ33" i="24"/>
  <c r="AJ34" i="24"/>
  <c r="AJ35" i="24"/>
  <c r="AJ36" i="24"/>
  <c r="AJ37" i="24"/>
  <c r="AJ38" i="24"/>
  <c r="AJ39" i="24"/>
  <c r="AK19" i="24"/>
  <c r="AK20" i="24"/>
  <c r="AK21" i="24"/>
  <c r="AK22" i="24"/>
  <c r="AK23" i="24"/>
  <c r="AK24" i="24"/>
  <c r="AK25" i="24"/>
  <c r="AK26" i="24"/>
  <c r="AK27" i="24"/>
  <c r="AK28" i="24"/>
  <c r="AK29" i="24"/>
  <c r="AK30" i="24"/>
  <c r="AK31" i="24"/>
  <c r="AK32" i="24"/>
  <c r="AK33" i="24"/>
  <c r="AK34" i="24"/>
  <c r="AK35" i="24"/>
  <c r="AK36" i="24"/>
  <c r="AK37" i="24"/>
  <c r="AK38" i="24"/>
  <c r="AK39" i="24"/>
  <c r="BE19" i="24"/>
  <c r="BE20" i="24"/>
  <c r="BE21" i="24"/>
  <c r="BE22" i="24"/>
  <c r="BE23" i="24"/>
  <c r="BE24" i="24"/>
  <c r="BE25" i="24"/>
  <c r="BE26" i="24"/>
  <c r="BE27" i="24"/>
  <c r="BE28" i="24"/>
  <c r="BE29" i="24"/>
  <c r="BE30" i="24"/>
  <c r="BE31" i="24"/>
  <c r="BE32" i="24"/>
  <c r="BE33" i="24"/>
  <c r="BE34" i="24"/>
  <c r="BE35" i="24"/>
  <c r="BE36" i="24"/>
  <c r="BE37" i="24"/>
  <c r="BE38" i="24"/>
  <c r="BE39" i="24"/>
  <c r="BF19" i="24"/>
  <c r="BF20" i="24"/>
  <c r="BF21" i="24"/>
  <c r="BF22" i="24"/>
  <c r="BF23" i="24"/>
  <c r="BF24" i="24"/>
  <c r="BF25" i="24"/>
  <c r="BF26" i="24"/>
  <c r="BF27" i="24"/>
  <c r="BF28" i="24"/>
  <c r="BF29" i="24"/>
  <c r="BF30" i="24"/>
  <c r="BF31" i="24"/>
  <c r="BF32" i="24"/>
  <c r="BF33" i="24"/>
  <c r="BF34" i="24"/>
  <c r="BF35" i="24"/>
  <c r="BF36" i="24"/>
  <c r="BF37" i="24"/>
  <c r="BF38" i="24"/>
  <c r="BF39" i="24"/>
  <c r="AJ40" i="24"/>
  <c r="AJ41" i="24"/>
  <c r="AJ42" i="24"/>
  <c r="AJ43" i="24"/>
  <c r="AJ44" i="24"/>
  <c r="AJ45" i="24"/>
  <c r="AJ46" i="24"/>
  <c r="AJ47" i="24"/>
  <c r="AJ48" i="24"/>
  <c r="AJ49" i="24"/>
  <c r="AJ50" i="24"/>
  <c r="AJ51" i="24"/>
  <c r="AJ52" i="24"/>
  <c r="AJ53" i="24"/>
  <c r="AJ54" i="24"/>
  <c r="AJ55" i="24"/>
  <c r="AJ56" i="24"/>
  <c r="AJ57" i="24"/>
  <c r="AJ58" i="24"/>
  <c r="AJ59" i="24"/>
  <c r="AK40" i="24"/>
  <c r="AK41" i="24"/>
  <c r="AK42" i="24"/>
  <c r="AK43" i="24"/>
  <c r="AK44" i="24"/>
  <c r="AK45" i="24"/>
  <c r="AK46" i="24"/>
  <c r="AK47" i="24"/>
  <c r="AK48" i="24"/>
  <c r="AK49" i="24"/>
  <c r="AK50" i="24"/>
  <c r="AK51" i="24"/>
  <c r="AK52" i="24"/>
  <c r="AK53" i="24"/>
  <c r="AK54" i="24"/>
  <c r="AK55" i="24"/>
  <c r="AK56" i="24"/>
  <c r="AK57" i="24"/>
  <c r="AK58" i="24"/>
  <c r="AK59" i="24"/>
  <c r="BE40" i="24"/>
  <c r="BE41" i="24"/>
  <c r="BE42" i="24"/>
  <c r="BE43" i="24"/>
  <c r="BE44" i="24"/>
  <c r="BE45" i="24"/>
  <c r="BE46" i="24"/>
  <c r="BE47" i="24"/>
  <c r="BE48" i="24"/>
  <c r="BE49" i="24"/>
  <c r="BE50" i="24"/>
  <c r="BE51" i="24"/>
  <c r="BE52" i="24"/>
  <c r="BE53" i="24"/>
  <c r="BE54" i="24"/>
  <c r="BE55" i="24"/>
  <c r="BE56" i="24"/>
  <c r="BE57" i="24"/>
  <c r="BE58" i="24"/>
  <c r="BE59" i="24"/>
  <c r="BF40" i="24"/>
  <c r="BF41" i="24"/>
  <c r="BF42" i="24"/>
  <c r="BF43" i="24"/>
  <c r="BF44" i="24"/>
  <c r="BF45" i="24"/>
  <c r="BF46" i="24"/>
  <c r="BF47" i="24"/>
  <c r="BF48" i="24"/>
  <c r="BF49" i="24"/>
  <c r="BF50" i="24"/>
  <c r="BF51" i="24"/>
  <c r="BF52" i="24"/>
  <c r="BF53" i="24"/>
  <c r="BF54" i="24"/>
  <c r="BF55" i="24"/>
  <c r="BF56" i="24"/>
  <c r="BF57" i="24"/>
  <c r="BF58" i="24"/>
  <c r="BF59" i="24"/>
  <c r="AJ60" i="24"/>
  <c r="AK60" i="24"/>
  <c r="BE60" i="24"/>
  <c r="BF60" i="24"/>
  <c r="AJ61" i="24"/>
  <c r="AK61" i="24"/>
  <c r="BE61" i="24"/>
  <c r="BF61" i="24"/>
  <c r="F280" i="23"/>
  <c r="G280" i="23"/>
  <c r="U280" i="23"/>
  <c r="AI280" i="23"/>
  <c r="AJ280" i="23"/>
  <c r="F281" i="23"/>
  <c r="G281" i="23"/>
  <c r="U281" i="23"/>
  <c r="AI281" i="23"/>
  <c r="AJ281" i="23"/>
  <c r="F247" i="23"/>
  <c r="G247" i="23"/>
  <c r="U247" i="23"/>
  <c r="AI247" i="23"/>
  <c r="AJ247" i="23"/>
  <c r="F248" i="23"/>
  <c r="G248" i="23"/>
  <c r="U248" i="23"/>
  <c r="AI248" i="23"/>
  <c r="AJ248" i="23"/>
  <c r="F249" i="23"/>
  <c r="G249" i="23"/>
  <c r="U249" i="23"/>
  <c r="AI249" i="23"/>
  <c r="AJ249" i="23"/>
  <c r="F250" i="23"/>
  <c r="G250" i="23"/>
  <c r="U250" i="23"/>
  <c r="AI250" i="23"/>
  <c r="AJ250" i="23"/>
  <c r="F251" i="23"/>
  <c r="G251" i="23"/>
  <c r="U251" i="23"/>
  <c r="AI251" i="23"/>
  <c r="AJ251" i="23"/>
  <c r="F252" i="23"/>
  <c r="G252" i="23"/>
  <c r="U252" i="23"/>
  <c r="AI252" i="23"/>
  <c r="AJ252" i="23"/>
  <c r="F253" i="23"/>
  <c r="G253" i="23"/>
  <c r="U253" i="23"/>
  <c r="AI253" i="23"/>
  <c r="AJ253" i="23"/>
  <c r="F254" i="23"/>
  <c r="G254" i="23"/>
  <c r="U254" i="23"/>
  <c r="AI254" i="23"/>
  <c r="AJ254" i="23"/>
  <c r="F255" i="23"/>
  <c r="G255" i="23"/>
  <c r="U255" i="23"/>
  <c r="AI255" i="23"/>
  <c r="AJ255" i="23"/>
  <c r="F256" i="23"/>
  <c r="G256" i="23"/>
  <c r="U256" i="23"/>
  <c r="AI256" i="23"/>
  <c r="AJ256" i="23"/>
  <c r="F257" i="23"/>
  <c r="G257" i="23"/>
  <c r="U257" i="23"/>
  <c r="AI257" i="23"/>
  <c r="AJ257" i="23"/>
  <c r="F258" i="23"/>
  <c r="G258" i="23"/>
  <c r="U258" i="23"/>
  <c r="AI258" i="23"/>
  <c r="AJ258" i="23"/>
  <c r="F259" i="23"/>
  <c r="G259" i="23"/>
  <c r="U259" i="23"/>
  <c r="AI259" i="23"/>
  <c r="AJ259" i="23"/>
  <c r="F260" i="23"/>
  <c r="G260" i="23"/>
  <c r="U260" i="23"/>
  <c r="AI260" i="23"/>
  <c r="AJ260" i="23"/>
  <c r="F261" i="23"/>
  <c r="G261" i="23"/>
  <c r="H261" i="23" s="1"/>
  <c r="U261" i="23"/>
  <c r="AI261" i="23"/>
  <c r="AJ261" i="23"/>
  <c r="F262" i="23"/>
  <c r="G262" i="23"/>
  <c r="U262" i="23"/>
  <c r="AI262" i="23"/>
  <c r="AJ262" i="23"/>
  <c r="F263" i="23"/>
  <c r="G263" i="23"/>
  <c r="U263" i="23"/>
  <c r="AI263" i="23"/>
  <c r="AJ263" i="23"/>
  <c r="F264" i="23"/>
  <c r="G264" i="23"/>
  <c r="U264" i="23"/>
  <c r="AI264" i="23"/>
  <c r="AJ264" i="23"/>
  <c r="F265" i="23"/>
  <c r="G265" i="23"/>
  <c r="H265" i="23"/>
  <c r="U265" i="23"/>
  <c r="AI265" i="23"/>
  <c r="AJ265" i="23"/>
  <c r="F266" i="23"/>
  <c r="G266" i="23"/>
  <c r="U266" i="23"/>
  <c r="AI266" i="23"/>
  <c r="AJ266" i="23"/>
  <c r="F267" i="23"/>
  <c r="G267" i="23"/>
  <c r="U267" i="23"/>
  <c r="AI267" i="23"/>
  <c r="AJ267" i="23"/>
  <c r="F268" i="23"/>
  <c r="G268" i="23"/>
  <c r="U268" i="23"/>
  <c r="AI268" i="23"/>
  <c r="AJ268" i="23"/>
  <c r="F269" i="23"/>
  <c r="G269" i="23"/>
  <c r="U269" i="23"/>
  <c r="AI269" i="23"/>
  <c r="AJ269" i="23"/>
  <c r="F270" i="23"/>
  <c r="G270" i="23"/>
  <c r="U270" i="23"/>
  <c r="AI270" i="23"/>
  <c r="AJ270" i="23"/>
  <c r="F271" i="23"/>
  <c r="G271" i="23"/>
  <c r="U271" i="23"/>
  <c r="AI271" i="23"/>
  <c r="AJ271" i="23"/>
  <c r="F272" i="23"/>
  <c r="G272" i="23"/>
  <c r="U272" i="23"/>
  <c r="AI272" i="23"/>
  <c r="AJ272" i="23"/>
  <c r="F273" i="23"/>
  <c r="G273" i="23"/>
  <c r="U273" i="23"/>
  <c r="AI273" i="23"/>
  <c r="AJ273" i="23"/>
  <c r="F274" i="23"/>
  <c r="G274" i="23"/>
  <c r="U274" i="23"/>
  <c r="AI274" i="23"/>
  <c r="AJ274" i="23"/>
  <c r="F275" i="23"/>
  <c r="G275" i="23"/>
  <c r="U275" i="23"/>
  <c r="AI275" i="23"/>
  <c r="AJ275" i="23"/>
  <c r="F276" i="23"/>
  <c r="G276" i="23"/>
  <c r="U276" i="23"/>
  <c r="AI276" i="23"/>
  <c r="AJ276" i="23"/>
  <c r="F277" i="23"/>
  <c r="G277" i="23"/>
  <c r="U277" i="23"/>
  <c r="AI277" i="23"/>
  <c r="AJ277" i="23"/>
  <c r="F278" i="23"/>
  <c r="G278" i="23"/>
  <c r="U278" i="23"/>
  <c r="AI278" i="23"/>
  <c r="AJ278" i="23"/>
  <c r="F279" i="23"/>
  <c r="G279" i="23"/>
  <c r="U279" i="23"/>
  <c r="AI279" i="23"/>
  <c r="AJ279" i="23"/>
  <c r="F222" i="23"/>
  <c r="G222" i="23"/>
  <c r="H222" i="23" s="1"/>
  <c r="U222" i="23"/>
  <c r="AI222" i="23"/>
  <c r="AJ222" i="23"/>
  <c r="F223" i="23"/>
  <c r="G223" i="23"/>
  <c r="U223" i="23"/>
  <c r="AI223" i="23"/>
  <c r="AJ223" i="23"/>
  <c r="F224" i="23"/>
  <c r="G224" i="23"/>
  <c r="U224" i="23"/>
  <c r="AI224" i="23"/>
  <c r="AJ224" i="23"/>
  <c r="F225" i="23"/>
  <c r="G225" i="23"/>
  <c r="U225" i="23"/>
  <c r="AI225" i="23"/>
  <c r="AJ225" i="23"/>
  <c r="F226" i="23"/>
  <c r="G226" i="23"/>
  <c r="H226" i="23"/>
  <c r="U226" i="23"/>
  <c r="AI226" i="23"/>
  <c r="AJ226" i="23"/>
  <c r="F227" i="23"/>
  <c r="G227" i="23"/>
  <c r="U227" i="23"/>
  <c r="AI227" i="23"/>
  <c r="AJ227" i="23"/>
  <c r="F228" i="23"/>
  <c r="G228" i="23"/>
  <c r="U228" i="23"/>
  <c r="AI228" i="23"/>
  <c r="AJ228" i="23"/>
  <c r="F229" i="23"/>
  <c r="G229" i="23"/>
  <c r="U229" i="23"/>
  <c r="AI229" i="23"/>
  <c r="AJ229" i="23"/>
  <c r="F230" i="23"/>
  <c r="G230" i="23"/>
  <c r="U230" i="23"/>
  <c r="AI230" i="23"/>
  <c r="AJ230" i="23"/>
  <c r="F231" i="23"/>
  <c r="G231" i="23"/>
  <c r="U231" i="23"/>
  <c r="AI231" i="23"/>
  <c r="AJ231" i="23"/>
  <c r="F232" i="23"/>
  <c r="G232" i="23"/>
  <c r="U232" i="23"/>
  <c r="AI232" i="23"/>
  <c r="AJ232" i="23"/>
  <c r="F233" i="23"/>
  <c r="G233" i="23"/>
  <c r="U233" i="23"/>
  <c r="AI233" i="23"/>
  <c r="AJ233" i="23"/>
  <c r="F234" i="23"/>
  <c r="G234" i="23"/>
  <c r="U234" i="23"/>
  <c r="AI234" i="23"/>
  <c r="AJ234" i="23"/>
  <c r="F235" i="23"/>
  <c r="G235" i="23"/>
  <c r="U235" i="23"/>
  <c r="AI235" i="23"/>
  <c r="AJ235" i="23"/>
  <c r="F236" i="23"/>
  <c r="G236" i="23"/>
  <c r="U236" i="23"/>
  <c r="AI236" i="23"/>
  <c r="AJ236" i="23"/>
  <c r="F237" i="23"/>
  <c r="G237" i="23"/>
  <c r="U237" i="23"/>
  <c r="AI237" i="23"/>
  <c r="AJ237" i="23"/>
  <c r="F238" i="23"/>
  <c r="G238" i="23"/>
  <c r="H238" i="23" s="1"/>
  <c r="U238" i="23"/>
  <c r="AI238" i="23"/>
  <c r="AJ238" i="23"/>
  <c r="F239" i="23"/>
  <c r="G239" i="23"/>
  <c r="H239" i="23" s="1"/>
  <c r="U239" i="23"/>
  <c r="AI239" i="23"/>
  <c r="AJ239" i="23"/>
  <c r="F240" i="23"/>
  <c r="G240" i="23"/>
  <c r="U240" i="23"/>
  <c r="AI240" i="23"/>
  <c r="AJ240" i="23"/>
  <c r="F241" i="23"/>
  <c r="G241" i="23"/>
  <c r="U241" i="23"/>
  <c r="AI241" i="23"/>
  <c r="AJ241" i="23"/>
  <c r="F242" i="23"/>
  <c r="G242" i="23"/>
  <c r="U242" i="23"/>
  <c r="AI242" i="23"/>
  <c r="AJ242" i="23"/>
  <c r="F243" i="23"/>
  <c r="G243" i="23"/>
  <c r="U243" i="23"/>
  <c r="AI243" i="23"/>
  <c r="AJ243" i="23"/>
  <c r="F244" i="23"/>
  <c r="G244" i="23"/>
  <c r="H244" i="23" s="1"/>
  <c r="U244" i="23"/>
  <c r="AI244" i="23"/>
  <c r="AJ244" i="23"/>
  <c r="F245" i="23"/>
  <c r="G245" i="23"/>
  <c r="U245" i="23"/>
  <c r="AI245" i="23"/>
  <c r="AJ245" i="23"/>
  <c r="F246" i="23"/>
  <c r="G246" i="23"/>
  <c r="U246" i="23"/>
  <c r="AI246" i="23"/>
  <c r="AJ246" i="23"/>
  <c r="G183" i="23"/>
  <c r="G184" i="23"/>
  <c r="G185" i="23"/>
  <c r="G186" i="23"/>
  <c r="G187" i="23"/>
  <c r="G188" i="23"/>
  <c r="G189" i="23"/>
  <c r="G190" i="23"/>
  <c r="G191" i="23"/>
  <c r="G192" i="23"/>
  <c r="G193" i="23"/>
  <c r="G194" i="23"/>
  <c r="G195" i="23"/>
  <c r="G196" i="23"/>
  <c r="G197" i="23"/>
  <c r="G198" i="23"/>
  <c r="G199" i="23"/>
  <c r="G200" i="23"/>
  <c r="G201" i="23"/>
  <c r="G202" i="23"/>
  <c r="G203" i="23"/>
  <c r="H203" i="23" s="1"/>
  <c r="G204" i="23"/>
  <c r="G205" i="23"/>
  <c r="G206" i="23"/>
  <c r="G207" i="23"/>
  <c r="G208" i="23"/>
  <c r="G209" i="23"/>
  <c r="G210" i="23"/>
  <c r="G211" i="23"/>
  <c r="G212" i="23"/>
  <c r="H212" i="23" s="1"/>
  <c r="G213" i="23"/>
  <c r="G214" i="23"/>
  <c r="G215" i="23"/>
  <c r="H215" i="23" s="1"/>
  <c r="G216" i="23"/>
  <c r="G217" i="23"/>
  <c r="G218" i="23"/>
  <c r="H218" i="23" s="1"/>
  <c r="G219" i="23"/>
  <c r="H219" i="23" s="1"/>
  <c r="G220" i="23"/>
  <c r="H220" i="23" s="1"/>
  <c r="G221" i="23"/>
  <c r="F185" i="23"/>
  <c r="U185" i="23"/>
  <c r="AI185" i="23"/>
  <c r="AJ185" i="23"/>
  <c r="F186" i="23"/>
  <c r="U186" i="23"/>
  <c r="AI186" i="23"/>
  <c r="AJ186" i="23"/>
  <c r="F187" i="23"/>
  <c r="U187" i="23"/>
  <c r="AI187" i="23"/>
  <c r="AJ187" i="23"/>
  <c r="F188" i="23"/>
  <c r="U188" i="23"/>
  <c r="AI188" i="23"/>
  <c r="AJ188" i="23"/>
  <c r="F189" i="23"/>
  <c r="U189" i="23"/>
  <c r="AI189" i="23"/>
  <c r="AJ189" i="23"/>
  <c r="F190" i="23"/>
  <c r="U190" i="23"/>
  <c r="AI190" i="23"/>
  <c r="AJ190" i="23"/>
  <c r="F191" i="23"/>
  <c r="U191" i="23"/>
  <c r="AI191" i="23"/>
  <c r="AJ191" i="23"/>
  <c r="F192" i="23"/>
  <c r="U192" i="23"/>
  <c r="AI192" i="23"/>
  <c r="AJ192" i="23"/>
  <c r="F193" i="23"/>
  <c r="U193" i="23"/>
  <c r="AI193" i="23"/>
  <c r="AJ193" i="23"/>
  <c r="F194" i="23"/>
  <c r="U194" i="23"/>
  <c r="AI194" i="23"/>
  <c r="AJ194" i="23"/>
  <c r="F195" i="23"/>
  <c r="U195" i="23"/>
  <c r="AI195" i="23"/>
  <c r="AJ195" i="23"/>
  <c r="F196" i="23"/>
  <c r="U196" i="23"/>
  <c r="AI196" i="23"/>
  <c r="AJ196" i="23"/>
  <c r="F197" i="23"/>
  <c r="U197" i="23"/>
  <c r="AI197" i="23"/>
  <c r="AJ197" i="23"/>
  <c r="F198" i="23"/>
  <c r="U198" i="23"/>
  <c r="AI198" i="23"/>
  <c r="AJ198" i="23"/>
  <c r="F199" i="23"/>
  <c r="U199" i="23"/>
  <c r="AI199" i="23"/>
  <c r="AJ199" i="23"/>
  <c r="F200" i="23"/>
  <c r="U200" i="23"/>
  <c r="AI200" i="23"/>
  <c r="AJ200" i="23"/>
  <c r="F201" i="23"/>
  <c r="U201" i="23"/>
  <c r="AI201" i="23"/>
  <c r="AJ201" i="23"/>
  <c r="F202" i="23"/>
  <c r="U202" i="23"/>
  <c r="AI202" i="23"/>
  <c r="AJ202" i="23"/>
  <c r="F203" i="23"/>
  <c r="U203" i="23"/>
  <c r="AI203" i="23"/>
  <c r="AJ203" i="23"/>
  <c r="F204" i="23"/>
  <c r="U204" i="23"/>
  <c r="AI204" i="23"/>
  <c r="AJ204" i="23"/>
  <c r="F205" i="23"/>
  <c r="U205" i="23"/>
  <c r="AI205" i="23"/>
  <c r="AJ205" i="23"/>
  <c r="F206" i="23"/>
  <c r="U206" i="23"/>
  <c r="AI206" i="23"/>
  <c r="AJ206" i="23"/>
  <c r="F207" i="23"/>
  <c r="U207" i="23"/>
  <c r="AI207" i="23"/>
  <c r="AJ207" i="23"/>
  <c r="F208" i="23"/>
  <c r="U208" i="23"/>
  <c r="AI208" i="23"/>
  <c r="AJ208" i="23"/>
  <c r="F209" i="23"/>
  <c r="U209" i="23"/>
  <c r="AI209" i="23"/>
  <c r="AJ209" i="23"/>
  <c r="F210" i="23"/>
  <c r="U210" i="23"/>
  <c r="AI210" i="23"/>
  <c r="AJ210" i="23"/>
  <c r="F211" i="23"/>
  <c r="U211" i="23"/>
  <c r="AI211" i="23"/>
  <c r="AJ211" i="23"/>
  <c r="F212" i="23"/>
  <c r="U212" i="23"/>
  <c r="AI212" i="23"/>
  <c r="AJ212" i="23"/>
  <c r="F213" i="23"/>
  <c r="U213" i="23"/>
  <c r="AI213" i="23"/>
  <c r="AJ213" i="23"/>
  <c r="F214" i="23"/>
  <c r="U214" i="23"/>
  <c r="AI214" i="23"/>
  <c r="AJ214" i="23"/>
  <c r="F215" i="23"/>
  <c r="U215" i="23"/>
  <c r="AI215" i="23"/>
  <c r="AJ215" i="23"/>
  <c r="F216" i="23"/>
  <c r="U216" i="23"/>
  <c r="AI216" i="23"/>
  <c r="AJ216" i="23"/>
  <c r="F217" i="23"/>
  <c r="U217" i="23"/>
  <c r="AI217" i="23"/>
  <c r="AJ217" i="23"/>
  <c r="F218" i="23"/>
  <c r="U218" i="23"/>
  <c r="AI218" i="23"/>
  <c r="AJ218" i="23"/>
  <c r="F219" i="23"/>
  <c r="U219" i="23"/>
  <c r="AI219" i="23"/>
  <c r="AJ219" i="23"/>
  <c r="F220" i="23"/>
  <c r="U220" i="23"/>
  <c r="AI220" i="23"/>
  <c r="AJ220" i="23"/>
  <c r="F221" i="23"/>
  <c r="U221" i="23"/>
  <c r="AI221" i="23"/>
  <c r="AJ221" i="23"/>
  <c r="K11" i="24"/>
  <c r="AI15" i="23"/>
  <c r="AI19" i="23"/>
  <c r="AI27" i="23"/>
  <c r="AI31" i="23"/>
  <c r="AI43" i="23"/>
  <c r="AI44" i="23"/>
  <c r="AI45" i="23"/>
  <c r="AI55" i="23"/>
  <c r="AI56" i="23"/>
  <c r="AI57" i="23"/>
  <c r="U8" i="23"/>
  <c r="U19" i="23"/>
  <c r="U20" i="23"/>
  <c r="U31" i="23"/>
  <c r="U32" i="23"/>
  <c r="U43" i="23"/>
  <c r="U55" i="23"/>
  <c r="F17" i="23"/>
  <c r="F19" i="23"/>
  <c r="F29" i="23"/>
  <c r="F34" i="23"/>
  <c r="F32" i="23"/>
  <c r="F33" i="23"/>
  <c r="F44" i="23"/>
  <c r="F54" i="23"/>
  <c r="F57" i="23"/>
  <c r="F58" i="23"/>
  <c r="F9" i="23"/>
  <c r="F10" i="23"/>
  <c r="F11" i="23"/>
  <c r="F12" i="23"/>
  <c r="F13" i="23"/>
  <c r="F14" i="23"/>
  <c r="F15" i="23"/>
  <c r="F16" i="23"/>
  <c r="F18" i="23"/>
  <c r="F20" i="23"/>
  <c r="F21" i="23"/>
  <c r="F22" i="23"/>
  <c r="F23" i="23"/>
  <c r="F24" i="23"/>
  <c r="F25" i="23"/>
  <c r="F26" i="23"/>
  <c r="F27" i="23"/>
  <c r="F28" i="23"/>
  <c r="U9" i="23"/>
  <c r="U10" i="23"/>
  <c r="U11" i="23"/>
  <c r="U12" i="23"/>
  <c r="U13" i="23"/>
  <c r="U14" i="23"/>
  <c r="U15" i="23"/>
  <c r="U16" i="23"/>
  <c r="U17" i="23"/>
  <c r="U18" i="23"/>
  <c r="U21" i="23"/>
  <c r="U22" i="23"/>
  <c r="U23" i="23"/>
  <c r="U24" i="23"/>
  <c r="U25" i="23"/>
  <c r="U26" i="23"/>
  <c r="U27" i="23"/>
  <c r="U28" i="23"/>
  <c r="U29" i="23"/>
  <c r="U30" i="23"/>
  <c r="U33" i="23"/>
  <c r="X8" i="23"/>
  <c r="X9" i="23"/>
  <c r="X10" i="23"/>
  <c r="X11" i="23"/>
  <c r="X12" i="23"/>
  <c r="X13" i="23"/>
  <c r="X14" i="23"/>
  <c r="X15" i="23"/>
  <c r="X16" i="23"/>
  <c r="X17" i="23"/>
  <c r="X18" i="23"/>
  <c r="X19" i="23"/>
  <c r="X20" i="23"/>
  <c r="X21" i="23"/>
  <c r="X22" i="23"/>
  <c r="X23" i="23"/>
  <c r="X24" i="23"/>
  <c r="X25" i="23"/>
  <c r="X26" i="23"/>
  <c r="X27" i="23"/>
  <c r="X28" i="23"/>
  <c r="X29" i="23"/>
  <c r="X30" i="23"/>
  <c r="X31" i="23"/>
  <c r="X32" i="23"/>
  <c r="X33" i="23"/>
  <c r="AI8" i="23"/>
  <c r="AI9" i="23"/>
  <c r="AI10" i="23"/>
  <c r="AI11" i="23"/>
  <c r="AI12" i="23"/>
  <c r="AI13" i="23"/>
  <c r="AI14" i="23"/>
  <c r="AI16" i="23"/>
  <c r="AI17" i="23"/>
  <c r="AI18" i="23"/>
  <c r="AI20" i="23"/>
  <c r="AI21" i="23"/>
  <c r="AI22" i="23"/>
  <c r="AI23" i="23"/>
  <c r="AI24" i="23"/>
  <c r="AI25" i="23"/>
  <c r="AI26" i="23"/>
  <c r="AI28" i="23"/>
  <c r="AI29" i="23"/>
  <c r="AI30" i="23"/>
  <c r="AI32" i="23"/>
  <c r="AI33" i="23"/>
  <c r="AJ8" i="23"/>
  <c r="AJ9" i="23"/>
  <c r="AJ10" i="23"/>
  <c r="AJ11" i="23"/>
  <c r="AJ12" i="23"/>
  <c r="AJ13" i="23"/>
  <c r="AJ14" i="23"/>
  <c r="AJ15" i="23"/>
  <c r="AJ16" i="23"/>
  <c r="AJ17" i="23"/>
  <c r="AJ18" i="23"/>
  <c r="AJ19" i="23"/>
  <c r="AJ20" i="23"/>
  <c r="AJ21" i="23"/>
  <c r="AJ22" i="23"/>
  <c r="AJ23" i="23"/>
  <c r="AJ24" i="23"/>
  <c r="AJ25" i="23"/>
  <c r="AJ26" i="23"/>
  <c r="AJ27" i="23"/>
  <c r="AJ28" i="23"/>
  <c r="AJ29" i="23"/>
  <c r="AJ30" i="23"/>
  <c r="AJ31" i="23"/>
  <c r="AJ32" i="23"/>
  <c r="AJ33" i="23"/>
  <c r="U34" i="23"/>
  <c r="U35" i="23"/>
  <c r="U36" i="23"/>
  <c r="U37" i="23"/>
  <c r="U38" i="23"/>
  <c r="U39" i="23"/>
  <c r="U40" i="23"/>
  <c r="U41" i="23"/>
  <c r="U42" i="23"/>
  <c r="U44" i="23"/>
  <c r="U45" i="23"/>
  <c r="U46" i="23"/>
  <c r="U47" i="23"/>
  <c r="U48" i="23"/>
  <c r="U49" i="23"/>
  <c r="U50" i="23"/>
  <c r="U51" i="23"/>
  <c r="U52" i="23"/>
  <c r="U53" i="23"/>
  <c r="U54" i="23"/>
  <c r="U56" i="23"/>
  <c r="U57" i="23"/>
  <c r="U58" i="23"/>
  <c r="U59" i="23"/>
  <c r="U60" i="23"/>
  <c r="U61" i="23"/>
  <c r="X34" i="23"/>
  <c r="X35" i="23"/>
  <c r="X36" i="23"/>
  <c r="X37" i="23"/>
  <c r="X38" i="23"/>
  <c r="X39" i="23"/>
  <c r="X40" i="23"/>
  <c r="X41" i="23"/>
  <c r="X42" i="23"/>
  <c r="X43" i="23"/>
  <c r="X44" i="23"/>
  <c r="X45" i="23"/>
  <c r="X46" i="23"/>
  <c r="X47" i="23"/>
  <c r="X48" i="23"/>
  <c r="X49" i="23"/>
  <c r="X50" i="23"/>
  <c r="X51" i="23"/>
  <c r="X52" i="23"/>
  <c r="X53" i="23"/>
  <c r="X54" i="23"/>
  <c r="X55" i="23"/>
  <c r="X56" i="23"/>
  <c r="X57" i="23"/>
  <c r="X58" i="23"/>
  <c r="X59" i="23"/>
  <c r="X60" i="23"/>
  <c r="X61" i="23"/>
  <c r="AI34" i="23"/>
  <c r="AI35" i="23"/>
  <c r="AI36" i="23"/>
  <c r="AI37" i="23"/>
  <c r="AI38" i="23"/>
  <c r="AI39" i="23"/>
  <c r="AI40" i="23"/>
  <c r="AI41" i="23"/>
  <c r="AI42" i="23"/>
  <c r="AI46" i="23"/>
  <c r="AI47" i="23"/>
  <c r="AI48" i="23"/>
  <c r="AI49" i="23"/>
  <c r="AI50" i="23"/>
  <c r="AI51" i="23"/>
  <c r="AI52" i="23"/>
  <c r="AI53" i="23"/>
  <c r="AI54" i="23"/>
  <c r="AI58" i="23"/>
  <c r="AI59" i="23"/>
  <c r="AI60" i="23"/>
  <c r="AI61" i="23"/>
  <c r="AJ34" i="23"/>
  <c r="AJ35" i="23"/>
  <c r="AJ36" i="23"/>
  <c r="AJ37" i="23"/>
  <c r="AJ38" i="23"/>
  <c r="AJ39" i="23"/>
  <c r="AJ40" i="23"/>
  <c r="AJ41" i="23"/>
  <c r="AJ42" i="23"/>
  <c r="AJ43" i="23"/>
  <c r="AJ44" i="23"/>
  <c r="AJ45" i="23"/>
  <c r="AJ46" i="23"/>
  <c r="AJ47" i="23"/>
  <c r="AJ48" i="23"/>
  <c r="AJ49" i="23"/>
  <c r="AJ50" i="23"/>
  <c r="AJ51" i="23"/>
  <c r="AJ52" i="23"/>
  <c r="AJ53" i="23"/>
  <c r="AJ54" i="23"/>
  <c r="AJ55" i="23"/>
  <c r="AJ56" i="23"/>
  <c r="AJ57" i="23"/>
  <c r="AJ58" i="23"/>
  <c r="AJ59" i="23"/>
  <c r="AJ60" i="23"/>
  <c r="AJ61" i="23"/>
  <c r="X9" i="22"/>
  <c r="X10" i="22"/>
  <c r="X11" i="22"/>
  <c r="X12" i="22"/>
  <c r="X13" i="22"/>
  <c r="X14" i="22"/>
  <c r="X15" i="22"/>
  <c r="X16" i="22"/>
  <c r="X17" i="22"/>
  <c r="X18" i="22"/>
  <c r="X19" i="22"/>
  <c r="X20" i="22"/>
  <c r="X21" i="22"/>
  <c r="X22" i="22"/>
  <c r="X23" i="22"/>
  <c r="X24" i="22"/>
  <c r="X25" i="22"/>
  <c r="X26" i="22"/>
  <c r="X27" i="22"/>
  <c r="X28" i="22"/>
  <c r="X29" i="22"/>
  <c r="X30" i="22"/>
  <c r="X31" i="22"/>
  <c r="X32" i="22"/>
  <c r="X33" i="22"/>
  <c r="X34" i="22"/>
  <c r="X35" i="22"/>
  <c r="X36" i="22"/>
  <c r="X37" i="22"/>
  <c r="X38" i="22"/>
  <c r="X39" i="22"/>
  <c r="X40" i="22"/>
  <c r="X41" i="22"/>
  <c r="X42" i="22"/>
  <c r="X43" i="22"/>
  <c r="X44" i="22"/>
  <c r="X45" i="22"/>
  <c r="X46" i="22"/>
  <c r="X47" i="22"/>
  <c r="X48" i="22"/>
  <c r="X49" i="22"/>
  <c r="X50" i="22"/>
  <c r="X51" i="22"/>
  <c r="X52" i="22"/>
  <c r="X53" i="22"/>
  <c r="X54" i="22"/>
  <c r="X55" i="22"/>
  <c r="X56" i="22"/>
  <c r="X57" i="22"/>
  <c r="X58" i="22"/>
  <c r="X59" i="22"/>
  <c r="X60" i="22"/>
  <c r="X61" i="22"/>
  <c r="X62" i="22"/>
  <c r="X63" i="22"/>
  <c r="X64" i="22"/>
  <c r="X65" i="22"/>
  <c r="X66" i="22"/>
  <c r="X67" i="22"/>
  <c r="X68" i="22"/>
  <c r="X69" i="22"/>
  <c r="X70" i="22"/>
  <c r="X71" i="22"/>
  <c r="X72" i="22"/>
  <c r="X73" i="22"/>
  <c r="X74" i="22"/>
  <c r="X75" i="22"/>
  <c r="X76" i="22"/>
  <c r="X77" i="22"/>
  <c r="X78" i="22"/>
  <c r="X79" i="22"/>
  <c r="X80" i="22"/>
  <c r="X81" i="22"/>
  <c r="X82" i="22"/>
  <c r="X83" i="22"/>
  <c r="X84" i="22"/>
  <c r="X85" i="22"/>
  <c r="X86" i="22"/>
  <c r="X87" i="22"/>
  <c r="X88" i="22"/>
  <c r="X89" i="22"/>
  <c r="X90" i="22"/>
  <c r="X91" i="22"/>
  <c r="X92" i="22"/>
  <c r="X93" i="22"/>
  <c r="X94" i="22"/>
  <c r="X95" i="22"/>
  <c r="X96" i="22"/>
  <c r="X97" i="22"/>
  <c r="X98" i="22"/>
  <c r="X99" i="22"/>
  <c r="X100" i="22"/>
  <c r="X101" i="22"/>
  <c r="X102" i="22"/>
  <c r="X103" i="22"/>
  <c r="X104" i="22"/>
  <c r="X105" i="22"/>
  <c r="X106" i="22"/>
  <c r="X107" i="22"/>
  <c r="X108" i="22"/>
  <c r="X109" i="22"/>
  <c r="X110" i="22"/>
  <c r="X111" i="22"/>
  <c r="X112" i="22"/>
  <c r="X113" i="22"/>
  <c r="X114" i="22"/>
  <c r="X115" i="22"/>
  <c r="X116" i="22"/>
  <c r="X117" i="22"/>
  <c r="X118" i="22"/>
  <c r="X119" i="22"/>
  <c r="X120" i="22"/>
  <c r="X121" i="22"/>
  <c r="X122" i="22"/>
  <c r="X123" i="22"/>
  <c r="X124" i="22"/>
  <c r="X125" i="22"/>
  <c r="X126" i="22"/>
  <c r="X127" i="22"/>
  <c r="X128" i="22"/>
  <c r="X129" i="22"/>
  <c r="X130" i="22"/>
  <c r="X131" i="22"/>
  <c r="X132" i="22"/>
  <c r="X133" i="22"/>
  <c r="X134" i="22"/>
  <c r="X135" i="22"/>
  <c r="X136" i="22"/>
  <c r="X137" i="22"/>
  <c r="X138" i="22"/>
  <c r="X139" i="22"/>
  <c r="X140" i="22"/>
  <c r="X141" i="22"/>
  <c r="X142" i="22"/>
  <c r="X143" i="22"/>
  <c r="X144" i="22"/>
  <c r="X145" i="22"/>
  <c r="X146" i="22"/>
  <c r="X147" i="22"/>
  <c r="X148" i="22"/>
  <c r="X149" i="22"/>
  <c r="X150" i="22"/>
  <c r="X151" i="22"/>
  <c r="X152" i="22"/>
  <c r="X153" i="22"/>
  <c r="X154" i="22"/>
  <c r="X155" i="22"/>
  <c r="X156" i="22"/>
  <c r="X157" i="22"/>
  <c r="X158" i="22"/>
  <c r="X159" i="22"/>
  <c r="X160" i="22"/>
  <c r="X161" i="22"/>
  <c r="X162" i="22"/>
  <c r="X163" i="22"/>
  <c r="X164" i="22"/>
  <c r="X165" i="22"/>
  <c r="X166" i="22"/>
  <c r="X167" i="22"/>
  <c r="X168" i="22"/>
  <c r="X169" i="22"/>
  <c r="X170" i="22"/>
  <c r="X171" i="22"/>
  <c r="X172" i="22"/>
  <c r="X173" i="22"/>
  <c r="X174" i="22"/>
  <c r="X175" i="22"/>
  <c r="X176" i="22"/>
  <c r="X177" i="22"/>
  <c r="X178" i="22"/>
  <c r="X179" i="22"/>
  <c r="X180" i="22"/>
  <c r="X181" i="22"/>
  <c r="X182" i="22"/>
  <c r="X183" i="22"/>
  <c r="X184" i="22"/>
  <c r="D121" i="24"/>
  <c r="E122" i="24" s="1"/>
  <c r="F123" i="24" s="1"/>
  <c r="AR32" i="22"/>
  <c r="AR31" i="22"/>
  <c r="AR30" i="22"/>
  <c r="AR29" i="22"/>
  <c r="BJ49" i="24" l="1"/>
  <c r="BG49" i="24"/>
  <c r="BJ37" i="24"/>
  <c r="BG37" i="24"/>
  <c r="BJ25" i="24"/>
  <c r="BG25" i="24"/>
  <c r="BJ15" i="24"/>
  <c r="BG15" i="24"/>
  <c r="BJ16" i="24"/>
  <c r="BG16" i="24"/>
  <c r="BJ48" i="24"/>
  <c r="BG48" i="24"/>
  <c r="BJ36" i="24"/>
  <c r="BG36" i="24"/>
  <c r="BJ24" i="24"/>
  <c r="BG24" i="24"/>
  <c r="BJ14" i="24"/>
  <c r="BG14" i="24"/>
  <c r="BJ59" i="24"/>
  <c r="BG59" i="24"/>
  <c r="BJ47" i="24"/>
  <c r="BG47" i="24"/>
  <c r="BJ35" i="24"/>
  <c r="BG35" i="24"/>
  <c r="BJ23" i="24"/>
  <c r="BG23" i="24"/>
  <c r="BJ13" i="24"/>
  <c r="BG13" i="24"/>
  <c r="BJ50" i="24"/>
  <c r="BG50" i="24"/>
  <c r="BJ58" i="24"/>
  <c r="BG58" i="24"/>
  <c r="BJ46" i="24"/>
  <c r="BG46" i="24"/>
  <c r="BJ34" i="24"/>
  <c r="BG34" i="24"/>
  <c r="BJ22" i="24"/>
  <c r="BG22" i="24"/>
  <c r="BJ12" i="24"/>
  <c r="BG12" i="24"/>
  <c r="BJ57" i="24"/>
  <c r="BG57" i="24"/>
  <c r="BJ45" i="24"/>
  <c r="BG45" i="24"/>
  <c r="BJ33" i="24"/>
  <c r="BG33" i="24"/>
  <c r="BJ21" i="24"/>
  <c r="BG21" i="24"/>
  <c r="BJ11" i="24"/>
  <c r="BG11" i="24"/>
  <c r="BJ56" i="24"/>
  <c r="BG56" i="24"/>
  <c r="BJ44" i="24"/>
  <c r="BG44" i="24"/>
  <c r="BJ32" i="24"/>
  <c r="BG32" i="24"/>
  <c r="BJ20" i="24"/>
  <c r="BG20" i="24"/>
  <c r="BJ10" i="24"/>
  <c r="BG10" i="24"/>
  <c r="BJ61" i="24"/>
  <c r="BG61" i="24"/>
  <c r="BJ55" i="24"/>
  <c r="BG55" i="24"/>
  <c r="BJ43" i="24"/>
  <c r="BG43" i="24"/>
  <c r="BJ31" i="24"/>
  <c r="BG31" i="24"/>
  <c r="BJ19" i="24"/>
  <c r="BG19" i="24"/>
  <c r="BJ18" i="24"/>
  <c r="BG18" i="24"/>
  <c r="BJ9" i="24"/>
  <c r="BG9" i="24"/>
  <c r="BJ54" i="24"/>
  <c r="BG54" i="24"/>
  <c r="BJ42" i="24"/>
  <c r="BG42" i="24"/>
  <c r="BJ30" i="24"/>
  <c r="BG30" i="24"/>
  <c r="BJ8" i="24"/>
  <c r="BG8" i="24"/>
  <c r="BJ53" i="24"/>
  <c r="BG53" i="24"/>
  <c r="BJ41" i="24"/>
  <c r="BG41" i="24"/>
  <c r="BJ29" i="24"/>
  <c r="BG29" i="24"/>
  <c r="BJ26" i="24"/>
  <c r="BG26" i="24"/>
  <c r="BJ52" i="24"/>
  <c r="BG52" i="24"/>
  <c r="BJ40" i="24"/>
  <c r="BG40" i="24"/>
  <c r="BJ28" i="24"/>
  <c r="BG28" i="24"/>
  <c r="BJ38" i="24"/>
  <c r="BG38" i="24"/>
  <c r="BJ60" i="24"/>
  <c r="BG60" i="24"/>
  <c r="BJ51" i="24"/>
  <c r="BG51" i="24"/>
  <c r="BJ39" i="24"/>
  <c r="BG39" i="24"/>
  <c r="BJ27" i="24"/>
  <c r="BG27" i="24"/>
  <c r="BJ17" i="24"/>
  <c r="BG17" i="24"/>
  <c r="BE126" i="24"/>
  <c r="BD127" i="24"/>
  <c r="J129" i="24"/>
  <c r="J141" i="24"/>
  <c r="J153" i="24"/>
  <c r="J165" i="24"/>
  <c r="J177" i="24"/>
  <c r="J130" i="24"/>
  <c r="J142" i="24"/>
  <c r="J154" i="24"/>
  <c r="J166" i="24"/>
  <c r="J178" i="24"/>
  <c r="J131" i="24"/>
  <c r="J143" i="24"/>
  <c r="J155" i="24"/>
  <c r="J167" i="24"/>
  <c r="J179" i="24"/>
  <c r="J139" i="24"/>
  <c r="J140" i="24"/>
  <c r="J132" i="24"/>
  <c r="J144" i="24"/>
  <c r="J156" i="24"/>
  <c r="J168" i="24"/>
  <c r="J180" i="24"/>
  <c r="J151" i="24"/>
  <c r="J133" i="24"/>
  <c r="J145" i="24"/>
  <c r="J157" i="24"/>
  <c r="J169" i="24"/>
  <c r="J181" i="24"/>
  <c r="J163" i="24"/>
  <c r="J176" i="24"/>
  <c r="J134" i="24"/>
  <c r="J146" i="24"/>
  <c r="J158" i="24"/>
  <c r="J170" i="24"/>
  <c r="J182" i="24"/>
  <c r="J135" i="24"/>
  <c r="J147" i="24"/>
  <c r="J159" i="24"/>
  <c r="J171" i="24"/>
  <c r="J183" i="24"/>
  <c r="J127" i="24"/>
  <c r="J152" i="24"/>
  <c r="J136" i="24"/>
  <c r="J148" i="24"/>
  <c r="J160" i="24"/>
  <c r="J172" i="24"/>
  <c r="J184" i="24"/>
  <c r="J137" i="24"/>
  <c r="J149" i="24"/>
  <c r="J161" i="24"/>
  <c r="J173" i="24"/>
  <c r="J175" i="24"/>
  <c r="J164" i="24"/>
  <c r="J126" i="24"/>
  <c r="J138" i="24"/>
  <c r="J150" i="24"/>
  <c r="J162" i="24"/>
  <c r="J174" i="24"/>
  <c r="J128" i="24"/>
  <c r="J121" i="24"/>
  <c r="J47" i="24"/>
  <c r="J89" i="24"/>
  <c r="J57" i="24"/>
  <c r="J69" i="24"/>
  <c r="J106" i="24"/>
  <c r="J118" i="24"/>
  <c r="J111" i="24"/>
  <c r="J23" i="24"/>
  <c r="J113" i="24"/>
  <c r="J95" i="24"/>
  <c r="J36" i="24"/>
  <c r="J61" i="24"/>
  <c r="J73" i="24"/>
  <c r="J98" i="24"/>
  <c r="J9" i="24"/>
  <c r="J107" i="24"/>
  <c r="J32" i="24"/>
  <c r="J21" i="24"/>
  <c r="J110" i="24"/>
  <c r="J104" i="24"/>
  <c r="J10" i="24"/>
  <c r="J38" i="24"/>
  <c r="J114" i="24"/>
  <c r="J39" i="24"/>
  <c r="BC125" i="24"/>
  <c r="BE125" i="24" s="1"/>
  <c r="F53" i="23"/>
  <c r="F41" i="23"/>
  <c r="F42" i="23"/>
  <c r="F59" i="23"/>
  <c r="F46" i="23"/>
  <c r="F31" i="23"/>
  <c r="K61" i="24"/>
  <c r="H198" i="23"/>
  <c r="H216" i="23"/>
  <c r="H204" i="23"/>
  <c r="H192" i="23"/>
  <c r="K49" i="24"/>
  <c r="H191" i="23"/>
  <c r="K33" i="24"/>
  <c r="H232" i="23"/>
  <c r="H262" i="23"/>
  <c r="K32" i="24"/>
  <c r="F43" i="23"/>
  <c r="F52" i="23"/>
  <c r="F51" i="23"/>
  <c r="H213" i="23"/>
  <c r="K27" i="24"/>
  <c r="F40" i="23"/>
  <c r="H209" i="23"/>
  <c r="F39" i="23"/>
  <c r="F56" i="23"/>
  <c r="F50" i="23"/>
  <c r="F38" i="23"/>
  <c r="H211" i="23"/>
  <c r="H197" i="23"/>
  <c r="H243" i="23"/>
  <c r="H229" i="23"/>
  <c r="F60" i="23"/>
  <c r="F47" i="23"/>
  <c r="F35" i="23"/>
  <c r="F55" i="23"/>
  <c r="F30" i="23"/>
  <c r="F45" i="23"/>
  <c r="H208" i="23"/>
  <c r="G24" i="23"/>
  <c r="H24" i="23" s="1"/>
  <c r="H221" i="23"/>
  <c r="F61" i="23"/>
  <c r="F49" i="23"/>
  <c r="F37" i="23"/>
  <c r="G12" i="23"/>
  <c r="H12" i="23" s="1"/>
  <c r="G39" i="23"/>
  <c r="H39" i="23" s="1"/>
  <c r="G49" i="23"/>
  <c r="H49" i="23" s="1"/>
  <c r="G32" i="23"/>
  <c r="H32" i="23" s="1"/>
  <c r="G20" i="23"/>
  <c r="H20" i="23" s="1"/>
  <c r="G8" i="23"/>
  <c r="H8" i="23" s="1"/>
  <c r="G61" i="23"/>
  <c r="H61" i="23" s="1"/>
  <c r="G29" i="23"/>
  <c r="H29" i="23" s="1"/>
  <c r="G17" i="23"/>
  <c r="H17" i="23" s="1"/>
  <c r="G51" i="23"/>
  <c r="H51" i="23" s="1"/>
  <c r="G37" i="23"/>
  <c r="H37" i="23" s="1"/>
  <c r="F48" i="23"/>
  <c r="F36" i="23"/>
  <c r="G27" i="23"/>
  <c r="H27" i="23" s="1"/>
  <c r="G15" i="23"/>
  <c r="H15" i="23" s="1"/>
  <c r="H207" i="23"/>
  <c r="H196" i="23"/>
  <c r="H189" i="23"/>
  <c r="H202" i="23"/>
  <c r="H190" i="23"/>
  <c r="H233" i="23"/>
  <c r="H258" i="23"/>
  <c r="K19" i="24"/>
  <c r="H245" i="23"/>
  <c r="H234" i="23"/>
  <c r="H230" i="23"/>
  <c r="H227" i="23"/>
  <c r="K54" i="24"/>
  <c r="H194" i="23"/>
  <c r="H187" i="23"/>
  <c r="H235" i="23"/>
  <c r="H259" i="23"/>
  <c r="H280" i="23"/>
  <c r="K51" i="24"/>
  <c r="H186" i="23"/>
  <c r="H246" i="23"/>
  <c r="H240" i="23"/>
  <c r="H263" i="23"/>
  <c r="K48" i="24"/>
  <c r="H256" i="23"/>
  <c r="H253" i="23"/>
  <c r="H248" i="23"/>
  <c r="K47" i="24"/>
  <c r="H241" i="23"/>
  <c r="H236" i="23"/>
  <c r="H231" i="23"/>
  <c r="H266" i="23"/>
  <c r="K41" i="24"/>
  <c r="K23" i="24"/>
  <c r="K35" i="24"/>
  <c r="K44" i="24"/>
  <c r="K57" i="24"/>
  <c r="H249" i="23"/>
  <c r="K8" i="24"/>
  <c r="K24" i="24"/>
  <c r="K36" i="24"/>
  <c r="K45" i="24"/>
  <c r="K58" i="24"/>
  <c r="K13" i="24"/>
  <c r="K28" i="24"/>
  <c r="K20" i="24"/>
  <c r="K50" i="24"/>
  <c r="K16" i="24"/>
  <c r="K18" i="24"/>
  <c r="K31" i="24"/>
  <c r="K53" i="24"/>
  <c r="K15" i="24"/>
  <c r="K21" i="24"/>
  <c r="K39" i="24"/>
  <c r="K55" i="24"/>
  <c r="H247" i="23"/>
  <c r="H269" i="23"/>
  <c r="H270" i="23"/>
  <c r="H274" i="23"/>
  <c r="K10" i="24"/>
  <c r="K22" i="24"/>
  <c r="K56" i="24"/>
  <c r="H272" i="23"/>
  <c r="H273" i="23"/>
  <c r="H275" i="23"/>
  <c r="H278" i="23"/>
  <c r="H224" i="23"/>
  <c r="H201" i="23"/>
  <c r="K17" i="24"/>
  <c r="K25" i="24"/>
  <c r="K59" i="24"/>
  <c r="H281" i="23"/>
  <c r="H271" i="23"/>
  <c r="H276" i="23"/>
  <c r="H277" i="23"/>
  <c r="K26" i="24"/>
  <c r="K40" i="24"/>
  <c r="K42" i="24"/>
  <c r="K60" i="24"/>
  <c r="H279" i="23"/>
  <c r="H223" i="23"/>
  <c r="H200" i="23"/>
  <c r="K29" i="24"/>
  <c r="K43" i="24"/>
  <c r="H250" i="23"/>
  <c r="H251" i="23"/>
  <c r="H255" i="23"/>
  <c r="K30" i="24"/>
  <c r="K46" i="24"/>
  <c r="H252" i="23"/>
  <c r="H254" i="23"/>
  <c r="H185" i="23"/>
  <c r="H199" i="23"/>
  <c r="H206" i="23"/>
  <c r="H210" i="23"/>
  <c r="H214" i="23"/>
  <c r="K12" i="24"/>
  <c r="K37" i="24"/>
  <c r="K52" i="24"/>
  <c r="H268" i="23"/>
  <c r="H217" i="23"/>
  <c r="H195" i="23"/>
  <c r="H188" i="23"/>
  <c r="H228" i="23"/>
  <c r="H260" i="23"/>
  <c r="K38" i="24"/>
  <c r="H242" i="23"/>
  <c r="H237" i="23"/>
  <c r="H225" i="23"/>
  <c r="H267" i="23"/>
  <c r="H264" i="23"/>
  <c r="H257" i="23"/>
  <c r="K34" i="24"/>
  <c r="K14" i="24"/>
  <c r="H205" i="23"/>
  <c r="H193" i="23"/>
  <c r="J87" i="24"/>
  <c r="J22" i="24"/>
  <c r="J48" i="24"/>
  <c r="J92" i="24"/>
  <c r="J117" i="24"/>
  <c r="J70" i="24"/>
  <c r="J120" i="24"/>
  <c r="J13" i="24"/>
  <c r="J122" i="24"/>
  <c r="J43" i="24"/>
  <c r="J82" i="24"/>
  <c r="J80" i="24"/>
  <c r="J25" i="24"/>
  <c r="J115" i="24"/>
  <c r="J52" i="24"/>
  <c r="J30" i="24"/>
  <c r="J94" i="24"/>
  <c r="J11" i="24"/>
  <c r="J50" i="24"/>
  <c r="J37" i="24"/>
  <c r="J15" i="24"/>
  <c r="J88" i="24"/>
  <c r="J54" i="24"/>
  <c r="J27" i="24"/>
  <c r="J124" i="24"/>
  <c r="J103" i="24"/>
  <c r="J78" i="24"/>
  <c r="J33" i="24"/>
  <c r="J59" i="24"/>
  <c r="J68" i="24"/>
  <c r="J85" i="24"/>
  <c r="J51" i="24"/>
  <c r="J17" i="24"/>
  <c r="J90" i="24"/>
  <c r="J45" i="24"/>
  <c r="J71" i="24"/>
  <c r="J24" i="24"/>
  <c r="J109" i="24"/>
  <c r="J62" i="24"/>
  <c r="J63" i="24"/>
  <c r="J79" i="24"/>
  <c r="J65" i="24"/>
  <c r="J102" i="24"/>
  <c r="J81" i="24"/>
  <c r="J34" i="24"/>
  <c r="J119" i="24"/>
  <c r="J60" i="24"/>
  <c r="J125" i="24"/>
  <c r="J19" i="24"/>
  <c r="J93" i="24"/>
  <c r="J46" i="24"/>
  <c r="J72" i="24"/>
  <c r="J20" i="24"/>
  <c r="J16" i="24"/>
  <c r="J44" i="24"/>
  <c r="J105" i="24"/>
  <c r="J58" i="24"/>
  <c r="J67" i="24"/>
  <c r="J96" i="24"/>
  <c r="J14" i="24"/>
  <c r="J76" i="24"/>
  <c r="J8" i="24"/>
  <c r="J35" i="24"/>
  <c r="J84" i="24"/>
  <c r="J49" i="24"/>
  <c r="J116" i="24"/>
  <c r="J75" i="24"/>
  <c r="J100" i="24"/>
  <c r="J28" i="24"/>
  <c r="J29" i="24"/>
  <c r="J40" i="24"/>
  <c r="J41" i="24"/>
  <c r="J56" i="24"/>
  <c r="J108" i="24"/>
  <c r="J97" i="24"/>
  <c r="J74" i="24"/>
  <c r="J99" i="24"/>
  <c r="J64" i="24"/>
  <c r="J53" i="24"/>
  <c r="J18" i="24"/>
  <c r="P4" i="24"/>
  <c r="W184" i="24" s="1"/>
  <c r="J83" i="24"/>
  <c r="J86" i="24"/>
  <c r="J123" i="24"/>
  <c r="J112" i="24"/>
  <c r="J77" i="24"/>
  <c r="J42" i="24"/>
  <c r="J12" i="24"/>
  <c r="J55" i="24"/>
  <c r="J26" i="24"/>
  <c r="J31" i="24"/>
  <c r="J101" i="24"/>
  <c r="J66" i="24"/>
  <c r="J91" i="24"/>
  <c r="U123" i="22"/>
  <c r="BB123" i="24" s="1"/>
  <c r="AO61" i="24"/>
  <c r="AO16" i="24"/>
  <c r="AO21" i="24"/>
  <c r="AO45" i="24"/>
  <c r="AO10" i="24"/>
  <c r="AO56" i="24"/>
  <c r="AO18" i="24"/>
  <c r="AO53" i="24"/>
  <c r="AO41" i="24"/>
  <c r="AO29" i="24"/>
  <c r="AO17" i="24"/>
  <c r="AO28" i="24"/>
  <c r="AO30" i="24"/>
  <c r="AO57" i="24"/>
  <c r="AO22" i="24"/>
  <c r="AO14" i="24"/>
  <c r="AO40" i="24"/>
  <c r="AO42" i="24"/>
  <c r="AO19" i="24"/>
  <c r="AO34" i="24"/>
  <c r="AO26" i="24"/>
  <c r="AO52" i="24"/>
  <c r="AO31" i="24"/>
  <c r="AO54" i="24"/>
  <c r="AO43" i="24"/>
  <c r="AO47" i="24"/>
  <c r="AO46" i="24"/>
  <c r="AO35" i="24"/>
  <c r="AO38" i="24"/>
  <c r="AO55" i="24"/>
  <c r="AO58" i="24"/>
  <c r="AO11" i="24"/>
  <c r="AO50" i="24"/>
  <c r="AO15" i="24"/>
  <c r="AO59" i="24"/>
  <c r="AO48" i="24"/>
  <c r="AO23" i="24"/>
  <c r="AO27" i="24"/>
  <c r="AO60" i="24"/>
  <c r="AO36" i="24"/>
  <c r="AO39" i="24"/>
  <c r="AO25" i="24"/>
  <c r="AO51" i="24"/>
  <c r="AO24" i="24"/>
  <c r="AO12" i="24"/>
  <c r="AO37" i="24"/>
  <c r="AO8" i="24"/>
  <c r="AO9" i="24"/>
  <c r="AO13" i="24"/>
  <c r="AO20" i="24"/>
  <c r="AO44" i="24"/>
  <c r="AO32" i="24"/>
  <c r="AO49" i="24"/>
  <c r="AO33" i="24"/>
  <c r="E49" i="24"/>
  <c r="G49" i="24" s="1"/>
  <c r="E58" i="24"/>
  <c r="G58" i="24" s="1"/>
  <c r="E46" i="24"/>
  <c r="G46" i="24" s="1"/>
  <c r="E34" i="24"/>
  <c r="E56" i="24"/>
  <c r="G56" i="24" s="1"/>
  <c r="E44" i="24"/>
  <c r="G44" i="24" s="1"/>
  <c r="E32" i="24"/>
  <c r="G32" i="24" s="1"/>
  <c r="E60" i="24"/>
  <c r="E48" i="24"/>
  <c r="E36" i="24"/>
  <c r="E61" i="24"/>
  <c r="E53" i="24"/>
  <c r="G53" i="24" s="1"/>
  <c r="E41" i="24"/>
  <c r="G41" i="24" s="1"/>
  <c r="E51" i="24"/>
  <c r="G51" i="24" s="1"/>
  <c r="E39" i="24"/>
  <c r="E55" i="24"/>
  <c r="G55" i="24" s="1"/>
  <c r="E43" i="24"/>
  <c r="G43" i="24" s="1"/>
  <c r="E31" i="24"/>
  <c r="G31" i="24" s="1"/>
  <c r="E57" i="24"/>
  <c r="E52" i="24"/>
  <c r="G52" i="24" s="1"/>
  <c r="E40" i="24"/>
  <c r="G40" i="24" s="1"/>
  <c r="E30" i="24"/>
  <c r="E50" i="24"/>
  <c r="G50" i="24" s="1"/>
  <c r="E38" i="24"/>
  <c r="G38" i="24" s="1"/>
  <c r="E45" i="24"/>
  <c r="G45" i="24" s="1"/>
  <c r="E37" i="24"/>
  <c r="E59" i="24"/>
  <c r="E47" i="24"/>
  <c r="G47" i="24" s="1"/>
  <c r="E35" i="24"/>
  <c r="E33" i="24"/>
  <c r="E54" i="24"/>
  <c r="E42" i="24"/>
  <c r="G29" i="24"/>
  <c r="G28" i="24"/>
  <c r="G18" i="24"/>
  <c r="G26" i="23"/>
  <c r="H26" i="23" s="1"/>
  <c r="G14" i="23"/>
  <c r="H14" i="23" s="1"/>
  <c r="G25" i="23"/>
  <c r="H25" i="23" s="1"/>
  <c r="G13" i="23"/>
  <c r="H13" i="23" s="1"/>
  <c r="G59" i="23"/>
  <c r="H59" i="23" s="1"/>
  <c r="G47" i="23"/>
  <c r="H47" i="23" s="1"/>
  <c r="G35" i="23"/>
  <c r="H35" i="23" s="1"/>
  <c r="G23" i="23"/>
  <c r="H23" i="23" s="1"/>
  <c r="G11" i="23"/>
  <c r="H11" i="23" s="1"/>
  <c r="G58" i="23"/>
  <c r="H58" i="23" s="1"/>
  <c r="G46" i="23"/>
  <c r="H46" i="23" s="1"/>
  <c r="G34" i="23"/>
  <c r="H34" i="23" s="1"/>
  <c r="G22" i="23"/>
  <c r="H22" i="23" s="1"/>
  <c r="G10" i="23"/>
  <c r="H10" i="23" s="1"/>
  <c r="G33" i="23"/>
  <c r="H33" i="23" s="1"/>
  <c r="G21" i="23"/>
  <c r="H21" i="23" s="1"/>
  <c r="G9" i="23"/>
  <c r="H9" i="23" s="1"/>
  <c r="G31" i="23"/>
  <c r="H31" i="23" s="1"/>
  <c r="G19" i="23"/>
  <c r="H19" i="23" s="1"/>
  <c r="G30" i="23"/>
  <c r="H30" i="23" s="1"/>
  <c r="G18" i="23"/>
  <c r="H18" i="23" s="1"/>
  <c r="G52" i="23"/>
  <c r="H52" i="23" s="1"/>
  <c r="G40" i="23"/>
  <c r="H40" i="23" s="1"/>
  <c r="G28" i="23"/>
  <c r="H28" i="23" s="1"/>
  <c r="G16" i="23"/>
  <c r="H16" i="23" s="1"/>
  <c r="G60" i="23"/>
  <c r="H60" i="23" s="1"/>
  <c r="G48" i="23"/>
  <c r="H48" i="23" s="1"/>
  <c r="G36" i="23"/>
  <c r="H36" i="23" s="1"/>
  <c r="G45" i="23"/>
  <c r="H45" i="23" s="1"/>
  <c r="G57" i="23"/>
  <c r="H57" i="23" s="1"/>
  <c r="G56" i="23"/>
  <c r="H56" i="23" s="1"/>
  <c r="G44" i="23"/>
  <c r="H44" i="23" s="1"/>
  <c r="G55" i="23"/>
  <c r="H55" i="23" s="1"/>
  <c r="G43" i="23"/>
  <c r="H43" i="23" s="1"/>
  <c r="G54" i="23"/>
  <c r="H54" i="23" s="1"/>
  <c r="G42" i="23"/>
  <c r="H42" i="23" s="1"/>
  <c r="G53" i="23"/>
  <c r="H53" i="23" s="1"/>
  <c r="G41" i="23"/>
  <c r="H41" i="23" s="1"/>
  <c r="G50" i="23"/>
  <c r="H50" i="23" s="1"/>
  <c r="G38" i="23"/>
  <c r="H38" i="23" s="1"/>
  <c r="W113" i="24" l="1"/>
  <c r="W86" i="24"/>
  <c r="BD126" i="24"/>
  <c r="W30" i="24"/>
  <c r="W160" i="24"/>
  <c r="W74" i="24"/>
  <c r="W22" i="24"/>
  <c r="W144" i="24"/>
  <c r="W115" i="24"/>
  <c r="W128" i="24"/>
  <c r="W42" i="24"/>
  <c r="W183" i="24"/>
  <c r="W36" i="24"/>
  <c r="W27" i="24"/>
  <c r="W122" i="24"/>
  <c r="W88" i="24"/>
  <c r="W134" i="24"/>
  <c r="W48" i="24"/>
  <c r="W102" i="24"/>
  <c r="W111" i="24"/>
  <c r="W23" i="24"/>
  <c r="W56" i="24"/>
  <c r="W91" i="24"/>
  <c r="W54" i="24"/>
  <c r="W14" i="24"/>
  <c r="W158" i="24"/>
  <c r="W118" i="24"/>
  <c r="W75" i="24"/>
  <c r="W9" i="24"/>
  <c r="W180" i="24"/>
  <c r="W129" i="24"/>
  <c r="W69" i="24"/>
  <c r="W96" i="24"/>
  <c r="W124" i="24"/>
  <c r="W55" i="24"/>
  <c r="W135" i="24"/>
  <c r="W148" i="24"/>
  <c r="W61" i="24"/>
  <c r="W149" i="24"/>
  <c r="W29" i="24"/>
  <c r="W68" i="24"/>
  <c r="W95" i="24"/>
  <c r="W76" i="24"/>
  <c r="W140" i="24"/>
  <c r="W58" i="24"/>
  <c r="W79" i="24"/>
  <c r="W87" i="24"/>
  <c r="W60" i="24"/>
  <c r="W21" i="24"/>
  <c r="W103" i="24"/>
  <c r="W112" i="24"/>
  <c r="W179" i="24"/>
  <c r="W123" i="24"/>
  <c r="W173" i="24"/>
  <c r="W52" i="24"/>
  <c r="W151" i="24"/>
  <c r="W101" i="24"/>
  <c r="W44" i="24"/>
  <c r="W47" i="24"/>
  <c r="W15" i="24"/>
  <c r="W37" i="24"/>
  <c r="W20" i="24"/>
  <c r="W172" i="24"/>
  <c r="W97" i="24"/>
  <c r="W108" i="24"/>
  <c r="W182" i="24"/>
  <c r="W114" i="24"/>
  <c r="W72" i="24"/>
  <c r="W46" i="24"/>
  <c r="W110" i="24"/>
  <c r="W78" i="24"/>
  <c r="W18" i="24"/>
  <c r="W168" i="24"/>
  <c r="W156" i="24"/>
  <c r="W177" i="24"/>
  <c r="W162" i="24"/>
  <c r="W181" i="24"/>
  <c r="W142" i="24"/>
  <c r="W155" i="24"/>
  <c r="W175" i="24"/>
  <c r="W35" i="24"/>
  <c r="W139" i="24"/>
  <c r="W165" i="24"/>
  <c r="W100" i="24"/>
  <c r="W57" i="24"/>
  <c r="W89" i="24"/>
  <c r="W137" i="24"/>
  <c r="W41" i="24"/>
  <c r="W82" i="24"/>
  <c r="W26" i="24"/>
  <c r="W152" i="24"/>
  <c r="W92" i="24"/>
  <c r="W126" i="24"/>
  <c r="W170" i="24"/>
  <c r="W99" i="24"/>
  <c r="W70" i="24"/>
  <c r="W8" i="24"/>
  <c r="W38" i="24"/>
  <c r="W178" i="24"/>
  <c r="W119" i="24"/>
  <c r="W40" i="24"/>
  <c r="W10" i="24"/>
  <c r="W117" i="24"/>
  <c r="W161" i="24"/>
  <c r="W93" i="24"/>
  <c r="W127" i="24"/>
  <c r="W146" i="24"/>
  <c r="W85" i="24"/>
  <c r="W33" i="24"/>
  <c r="W19" i="24"/>
  <c r="W53" i="24"/>
  <c r="W11" i="24"/>
  <c r="W77" i="24"/>
  <c r="W131" i="24"/>
  <c r="W150" i="24"/>
  <c r="W24" i="24"/>
  <c r="W166" i="24"/>
  <c r="W83" i="24"/>
  <c r="W32" i="24"/>
  <c r="W12" i="24"/>
  <c r="W98" i="24"/>
  <c r="W94" i="24"/>
  <c r="W106" i="24"/>
  <c r="W116" i="24"/>
  <c r="W169" i="24"/>
  <c r="W164" i="24"/>
  <c r="W130" i="24"/>
  <c r="W157" i="24"/>
  <c r="W63" i="24"/>
  <c r="W133" i="24"/>
  <c r="W62" i="24"/>
  <c r="W141" i="24"/>
  <c r="W71" i="24"/>
  <c r="W28" i="24"/>
  <c r="W81" i="24"/>
  <c r="W66" i="24"/>
  <c r="W171" i="24"/>
  <c r="W163" i="24"/>
  <c r="W147" i="24"/>
  <c r="W90" i="24"/>
  <c r="W64" i="24"/>
  <c r="W138" i="24"/>
  <c r="W84" i="24"/>
  <c r="W145" i="24"/>
  <c r="W45" i="24"/>
  <c r="W73" i="24"/>
  <c r="W136" i="24"/>
  <c r="W167" i="24"/>
  <c r="W67" i="24"/>
  <c r="W39" i="24"/>
  <c r="W109" i="24"/>
  <c r="W105" i="24"/>
  <c r="W143" i="24"/>
  <c r="W51" i="24"/>
  <c r="W176" i="24"/>
  <c r="W104" i="24"/>
  <c r="W80" i="24"/>
  <c r="W65" i="24"/>
  <c r="W174" i="24"/>
  <c r="W43" i="24"/>
  <c r="W13" i="24"/>
  <c r="W49" i="24"/>
  <c r="W120" i="24"/>
  <c r="W132" i="24"/>
  <c r="W59" i="24"/>
  <c r="W34" i="24"/>
  <c r="W125" i="24"/>
  <c r="W153" i="24"/>
  <c r="W17" i="24"/>
  <c r="W121" i="24"/>
  <c r="W16" i="24"/>
  <c r="W159" i="24"/>
  <c r="W154" i="24"/>
  <c r="W50" i="24"/>
  <c r="W31" i="24"/>
  <c r="W107" i="24"/>
  <c r="W25" i="24"/>
  <c r="V123" i="22"/>
  <c r="BC124" i="24"/>
  <c r="BD125" i="24" s="1"/>
  <c r="AG124" i="23"/>
  <c r="AH125" i="23" s="1"/>
  <c r="G36" i="24"/>
  <c r="F36" i="24"/>
  <c r="G57" i="24"/>
  <c r="F54" i="24"/>
  <c r="F58" i="24"/>
  <c r="F32" i="24"/>
  <c r="F49" i="24"/>
  <c r="F48" i="24"/>
  <c r="G48" i="24"/>
  <c r="F44" i="24"/>
  <c r="G34" i="24"/>
  <c r="F57" i="24"/>
  <c r="F56" i="24"/>
  <c r="F46" i="24"/>
  <c r="G61" i="24"/>
  <c r="F33" i="24"/>
  <c r="G33" i="24"/>
  <c r="F34" i="24"/>
  <c r="F38" i="24"/>
  <c r="G37" i="24"/>
  <c r="G60" i="24"/>
  <c r="F61" i="24"/>
  <c r="F60" i="24"/>
  <c r="F50" i="24"/>
  <c r="F42" i="24"/>
  <c r="F39" i="24"/>
  <c r="G39" i="24"/>
  <c r="F53" i="24"/>
  <c r="F37" i="24"/>
  <c r="G35" i="24"/>
  <c r="F35" i="24"/>
  <c r="F51" i="24"/>
  <c r="G59" i="24"/>
  <c r="F31" i="24"/>
  <c r="F59" i="24"/>
  <c r="G30" i="24"/>
  <c r="F52" i="24"/>
  <c r="F47" i="24"/>
  <c r="F40" i="24"/>
  <c r="F41" i="24"/>
  <c r="F45" i="24"/>
  <c r="G42" i="24"/>
  <c r="F43" i="24"/>
  <c r="G54" i="24"/>
  <c r="F55" i="24"/>
  <c r="AR22" i="22" l="1"/>
  <c r="AR21" i="22"/>
  <c r="AR20" i="22"/>
  <c r="AR19" i="22"/>
  <c r="AR42" i="22"/>
  <c r="AR41" i="22"/>
  <c r="AR40" i="22"/>
  <c r="AR39" i="22"/>
  <c r="AR43" i="22" l="1"/>
  <c r="V11" i="22"/>
  <c r="V16" i="22"/>
  <c r="V17" i="22"/>
  <c r="V18" i="22"/>
  <c r="V23" i="22"/>
  <c r="V30" i="22"/>
  <c r="V31" i="22"/>
  <c r="V34" i="22"/>
  <c r="V41" i="22"/>
  <c r="V42" i="22"/>
  <c r="V43" i="22"/>
  <c r="V45" i="22"/>
  <c r="V47" i="22"/>
  <c r="V48" i="22"/>
  <c r="V52" i="22"/>
  <c r="V54" i="22"/>
  <c r="V55" i="22"/>
  <c r="V58" i="22"/>
  <c r="V60" i="22"/>
  <c r="H6" i="22"/>
  <c r="E29" i="22"/>
  <c r="O29" i="22"/>
  <c r="V29" i="22"/>
  <c r="E30" i="22"/>
  <c r="O30" i="22"/>
  <c r="Q30" i="22"/>
  <c r="E31" i="22"/>
  <c r="O31" i="22"/>
  <c r="Q31" i="22"/>
  <c r="E32" i="22"/>
  <c r="O32" i="22"/>
  <c r="V32" i="22"/>
  <c r="E33" i="22"/>
  <c r="O33" i="22"/>
  <c r="V33" i="22"/>
  <c r="E34" i="22"/>
  <c r="O34" i="22"/>
  <c r="E35" i="22"/>
  <c r="O35" i="22"/>
  <c r="V35" i="22"/>
  <c r="E36" i="22"/>
  <c r="O36" i="22"/>
  <c r="V36" i="22"/>
  <c r="E37" i="22"/>
  <c r="O37" i="22"/>
  <c r="R37" i="22"/>
  <c r="V37" i="22"/>
  <c r="E38" i="22"/>
  <c r="O38" i="22"/>
  <c r="Q38" i="22"/>
  <c r="V38" i="22"/>
  <c r="E39" i="22"/>
  <c r="O39" i="22"/>
  <c r="V39" i="22"/>
  <c r="E40" i="22"/>
  <c r="O40" i="22"/>
  <c r="V40" i="22"/>
  <c r="E41" i="22"/>
  <c r="O41" i="22"/>
  <c r="E42" i="22"/>
  <c r="O42" i="22"/>
  <c r="E43" i="22"/>
  <c r="O43" i="22"/>
  <c r="Q43" i="22"/>
  <c r="E44" i="22"/>
  <c r="O44" i="22"/>
  <c r="R44" i="22"/>
  <c r="V44" i="22"/>
  <c r="E45" i="22"/>
  <c r="O45" i="22"/>
  <c r="E46" i="22"/>
  <c r="O46" i="22"/>
  <c r="V46" i="22"/>
  <c r="E47" i="22"/>
  <c r="O47" i="22"/>
  <c r="Q47" i="22"/>
  <c r="E48" i="22"/>
  <c r="O48" i="22"/>
  <c r="E49" i="22"/>
  <c r="O49" i="22"/>
  <c r="Q49" i="22"/>
  <c r="V49" i="22"/>
  <c r="Y49" i="22"/>
  <c r="E50" i="22"/>
  <c r="O50" i="22"/>
  <c r="Q50" i="22"/>
  <c r="V50" i="22"/>
  <c r="Y50" i="22"/>
  <c r="E51" i="22"/>
  <c r="O51" i="22"/>
  <c r="V51" i="22"/>
  <c r="Y51" i="22"/>
  <c r="E52" i="22"/>
  <c r="O52" i="22"/>
  <c r="Y52" i="22"/>
  <c r="E53" i="22"/>
  <c r="O53" i="22"/>
  <c r="V53" i="22"/>
  <c r="E54" i="22"/>
  <c r="O54" i="22"/>
  <c r="E55" i="22"/>
  <c r="O55" i="22"/>
  <c r="R55" i="22"/>
  <c r="E56" i="22"/>
  <c r="O56" i="22"/>
  <c r="V56" i="22"/>
  <c r="Y56" i="22"/>
  <c r="E57" i="22"/>
  <c r="O57" i="22"/>
  <c r="V57" i="22"/>
  <c r="E58" i="22"/>
  <c r="O58" i="22"/>
  <c r="R58" i="22"/>
  <c r="E59" i="22"/>
  <c r="O59" i="22"/>
  <c r="V59" i="22"/>
  <c r="E60" i="22"/>
  <c r="O60" i="22"/>
  <c r="R60" i="22"/>
  <c r="E61" i="22"/>
  <c r="O61" i="22"/>
  <c r="R61" i="22"/>
  <c r="V61" i="22"/>
  <c r="E28" i="22"/>
  <c r="E8" i="22"/>
  <c r="E9" i="22"/>
  <c r="E10" i="22"/>
  <c r="E11" i="22"/>
  <c r="E12" i="22"/>
  <c r="E13" i="22"/>
  <c r="E14" i="22"/>
  <c r="E15" i="22"/>
  <c r="E16" i="22"/>
  <c r="E17" i="22"/>
  <c r="E18" i="22"/>
  <c r="E19" i="22"/>
  <c r="E20" i="22"/>
  <c r="E21" i="22"/>
  <c r="E22" i="22"/>
  <c r="E23" i="22"/>
  <c r="E24" i="22"/>
  <c r="E25" i="22"/>
  <c r="O8" i="22"/>
  <c r="O9" i="22"/>
  <c r="O10" i="22"/>
  <c r="O11" i="22"/>
  <c r="O12" i="22"/>
  <c r="O13" i="22"/>
  <c r="O14" i="22"/>
  <c r="O15" i="22"/>
  <c r="O16" i="22"/>
  <c r="O17" i="22"/>
  <c r="O18" i="22"/>
  <c r="O19" i="22"/>
  <c r="O20" i="22"/>
  <c r="O21" i="22"/>
  <c r="O22" i="22"/>
  <c r="O23" i="22"/>
  <c r="O24" i="22"/>
  <c r="O25" i="22"/>
  <c r="R8" i="22"/>
  <c r="Q11" i="22"/>
  <c r="R13" i="22"/>
  <c r="Q14" i="22"/>
  <c r="R15" i="22"/>
  <c r="Q18" i="22"/>
  <c r="R19" i="22"/>
  <c r="R20" i="22"/>
  <c r="R23" i="22"/>
  <c r="R25" i="22"/>
  <c r="V8" i="22"/>
  <c r="V9" i="22"/>
  <c r="V10" i="22"/>
  <c r="V12" i="22"/>
  <c r="V13" i="22"/>
  <c r="V14" i="22"/>
  <c r="V15" i="22"/>
  <c r="V20" i="22"/>
  <c r="V21" i="22"/>
  <c r="V22" i="22"/>
  <c r="V24" i="22"/>
  <c r="V25" i="22"/>
  <c r="Y8" i="22"/>
  <c r="Y9" i="22"/>
  <c r="Y13" i="22"/>
  <c r="Y14" i="22"/>
  <c r="Y17" i="22"/>
  <c r="Y20" i="22"/>
  <c r="Y21" i="22"/>
  <c r="Y25" i="22"/>
  <c r="E26" i="22"/>
  <c r="E27" i="22"/>
  <c r="O26" i="22"/>
  <c r="O27" i="22"/>
  <c r="O28" i="22"/>
  <c r="V26" i="22"/>
  <c r="V27" i="22"/>
  <c r="V28" i="22"/>
  <c r="Y28" i="22"/>
  <c r="E62" i="22" l="1"/>
  <c r="D62" i="24"/>
  <c r="J37" i="22"/>
  <c r="J49" i="22"/>
  <c r="K61" i="22"/>
  <c r="J50" i="22"/>
  <c r="J38" i="22"/>
  <c r="J39" i="22"/>
  <c r="J51" i="22"/>
  <c r="J40" i="22"/>
  <c r="J52" i="22"/>
  <c r="J29" i="22"/>
  <c r="K53" i="22"/>
  <c r="J30" i="22"/>
  <c r="J54" i="22"/>
  <c r="J31" i="22"/>
  <c r="J55" i="22"/>
  <c r="J32" i="22"/>
  <c r="J44" i="22"/>
  <c r="J56" i="22"/>
  <c r="K57" i="22"/>
  <c r="K34" i="22"/>
  <c r="J46" i="22"/>
  <c r="J58" i="22"/>
  <c r="J35" i="22"/>
  <c r="J59" i="22"/>
  <c r="J36" i="22"/>
  <c r="K48" i="22"/>
  <c r="Y44" i="22"/>
  <c r="F41" i="22"/>
  <c r="H41" i="22" s="1"/>
  <c r="F33" i="22"/>
  <c r="H33" i="22" s="1"/>
  <c r="F34" i="22"/>
  <c r="H34" i="22" s="1"/>
  <c r="Y40" i="22"/>
  <c r="Y34" i="22"/>
  <c r="F26" i="22"/>
  <c r="H26" i="22" s="1"/>
  <c r="F29" i="22"/>
  <c r="H29" i="22" s="1"/>
  <c r="Y29" i="22"/>
  <c r="Y33" i="22"/>
  <c r="F12" i="22"/>
  <c r="H12" i="22" s="1"/>
  <c r="F57" i="22"/>
  <c r="H57" i="22" s="1"/>
  <c r="Y27" i="22"/>
  <c r="F53" i="22"/>
  <c r="H53" i="22" s="1"/>
  <c r="Y26" i="22"/>
  <c r="F51" i="22"/>
  <c r="H51" i="22" s="1"/>
  <c r="F46" i="22"/>
  <c r="H46" i="22" s="1"/>
  <c r="F24" i="22"/>
  <c r="H24" i="22" s="1"/>
  <c r="F52" i="22"/>
  <c r="H52" i="22" s="1"/>
  <c r="Q37" i="22"/>
  <c r="Q55" i="22"/>
  <c r="Q33" i="22"/>
  <c r="Q25" i="22"/>
  <c r="R11" i="22"/>
  <c r="R51" i="22"/>
  <c r="R49" i="22"/>
  <c r="Q52" i="22"/>
  <c r="Q23" i="22"/>
  <c r="R47" i="22"/>
  <c r="Q26" i="22"/>
  <c r="Q19" i="22"/>
  <c r="R46" i="22"/>
  <c r="Q13" i="22"/>
  <c r="F50" i="22"/>
  <c r="H50" i="22" s="1"/>
  <c r="Q42" i="22"/>
  <c r="R36" i="22"/>
  <c r="R12" i="22"/>
  <c r="Q40" i="22"/>
  <c r="Q28" i="22"/>
  <c r="Q16" i="22"/>
  <c r="R34" i="22"/>
  <c r="R22" i="22"/>
  <c r="R10" i="22"/>
  <c r="Q51" i="22"/>
  <c r="Q39" i="22"/>
  <c r="Q27" i="22"/>
  <c r="Q15" i="22"/>
  <c r="R57" i="22"/>
  <c r="R45" i="22"/>
  <c r="R33" i="22"/>
  <c r="R21" i="22"/>
  <c r="R9" i="22"/>
  <c r="Q61" i="22"/>
  <c r="R43" i="22"/>
  <c r="R31" i="22"/>
  <c r="Q60" i="22"/>
  <c r="Q48" i="22"/>
  <c r="Q36" i="22"/>
  <c r="Q24" i="22"/>
  <c r="Q12" i="22"/>
  <c r="R54" i="22"/>
  <c r="R42" i="22"/>
  <c r="R30" i="22"/>
  <c r="R18" i="22"/>
  <c r="R32" i="22"/>
  <c r="F39" i="22"/>
  <c r="H39" i="22" s="1"/>
  <c r="R29" i="22"/>
  <c r="R56" i="22"/>
  <c r="Q59" i="22"/>
  <c r="Q35" i="22"/>
  <c r="R53" i="22"/>
  <c r="R41" i="22"/>
  <c r="R17" i="22"/>
  <c r="Q58" i="22"/>
  <c r="Q46" i="22"/>
  <c r="Q34" i="22"/>
  <c r="Q22" i="22"/>
  <c r="Q10" i="22"/>
  <c r="R52" i="22"/>
  <c r="R40" i="22"/>
  <c r="R28" i="22"/>
  <c r="R16" i="22"/>
  <c r="Q57" i="22"/>
  <c r="Q45" i="22"/>
  <c r="Q21" i="22"/>
  <c r="Q9" i="22"/>
  <c r="R39" i="22"/>
  <c r="R27" i="22"/>
  <c r="F32" i="22"/>
  <c r="H32" i="22" s="1"/>
  <c r="Q56" i="22"/>
  <c r="Q44" i="22"/>
  <c r="Q32" i="22"/>
  <c r="Q20" i="22"/>
  <c r="Q8" i="22"/>
  <c r="R50" i="22"/>
  <c r="R38" i="22"/>
  <c r="R26" i="22"/>
  <c r="R14" i="22"/>
  <c r="Q54" i="22"/>
  <c r="R48" i="22"/>
  <c r="R24" i="22"/>
  <c r="Q53" i="22"/>
  <c r="Q41" i="22"/>
  <c r="Q29" i="22"/>
  <c r="Q17" i="22"/>
  <c r="R59" i="22"/>
  <c r="R35" i="22"/>
  <c r="Y24" i="22"/>
  <c r="Y12" i="22"/>
  <c r="Y60" i="22"/>
  <c r="Y41" i="22"/>
  <c r="V19" i="22"/>
  <c r="Y23" i="22"/>
  <c r="Y11" i="22"/>
  <c r="Y22" i="22"/>
  <c r="Y10" i="22"/>
  <c r="F19" i="22"/>
  <c r="H19" i="22" s="1"/>
  <c r="F54" i="22"/>
  <c r="Y45" i="22"/>
  <c r="F56" i="22"/>
  <c r="F55" i="22"/>
  <c r="H55" i="22" s="1"/>
  <c r="Y55" i="22"/>
  <c r="Y54" i="22"/>
  <c r="F35" i="22"/>
  <c r="H35" i="22" s="1"/>
  <c r="F61" i="22"/>
  <c r="H61" i="22" s="1"/>
  <c r="Y47" i="22"/>
  <c r="F58" i="22"/>
  <c r="F38" i="22"/>
  <c r="F59" i="22"/>
  <c r="H59" i="22" s="1"/>
  <c r="F60" i="22"/>
  <c r="F48" i="22"/>
  <c r="H48" i="22" s="1"/>
  <c r="F43" i="22"/>
  <c r="Y58" i="22"/>
  <c r="Y38" i="22"/>
  <c r="Y37" i="22"/>
  <c r="Y31" i="22"/>
  <c r="Y59" i="22"/>
  <c r="F42" i="22"/>
  <c r="H42" i="22" s="1"/>
  <c r="F36" i="22"/>
  <c r="H36" i="22" s="1"/>
  <c r="Y32" i="22"/>
  <c r="F45" i="22"/>
  <c r="Y35" i="22"/>
  <c r="F31" i="22"/>
  <c r="F47" i="22"/>
  <c r="F37" i="22"/>
  <c r="Y61" i="22"/>
  <c r="Y57" i="22"/>
  <c r="Y53" i="22"/>
  <c r="F44" i="22"/>
  <c r="F40" i="22"/>
  <c r="Y30" i="22"/>
  <c r="F49" i="22"/>
  <c r="F30" i="22"/>
  <c r="Y43" i="22"/>
  <c r="Y39" i="22"/>
  <c r="Y46" i="22"/>
  <c r="Y36" i="22"/>
  <c r="Y48" i="22"/>
  <c r="Y42" i="22"/>
  <c r="F18" i="22"/>
  <c r="H18" i="22" s="1"/>
  <c r="Y19" i="22"/>
  <c r="F20" i="22"/>
  <c r="H20" i="22" s="1"/>
  <c r="Y16" i="22"/>
  <c r="F23" i="22"/>
  <c r="H23" i="22" s="1"/>
  <c r="F11" i="22"/>
  <c r="H11" i="22" s="1"/>
  <c r="F8" i="22"/>
  <c r="H8" i="22" s="1"/>
  <c r="X8" i="22"/>
  <c r="F14" i="22"/>
  <c r="H14" i="22" s="1"/>
  <c r="F21" i="22"/>
  <c r="H21" i="22" s="1"/>
  <c r="F9" i="22"/>
  <c r="H9" i="22" s="1"/>
  <c r="F17" i="22"/>
  <c r="H17" i="22" s="1"/>
  <c r="Y18" i="22"/>
  <c r="F16" i="22"/>
  <c r="H16" i="22" s="1"/>
  <c r="F15" i="22"/>
  <c r="H15" i="22" s="1"/>
  <c r="Y15" i="22"/>
  <c r="F25" i="22"/>
  <c r="H25" i="22" s="1"/>
  <c r="F13" i="22"/>
  <c r="H13" i="22" s="1"/>
  <c r="F27" i="22"/>
  <c r="H27" i="22" s="1"/>
  <c r="F22" i="22"/>
  <c r="H22" i="22" s="1"/>
  <c r="F10" i="22"/>
  <c r="H10" i="22" s="1"/>
  <c r="F28" i="22"/>
  <c r="H28" i="22" s="1"/>
  <c r="O62" i="22"/>
  <c r="R62" i="22"/>
  <c r="U62" i="22"/>
  <c r="B63" i="22"/>
  <c r="D63" i="24"/>
  <c r="E63" i="24" l="1"/>
  <c r="E62" i="24"/>
  <c r="K39" i="22"/>
  <c r="E63" i="22"/>
  <c r="V62" i="22"/>
  <c r="H38" i="22"/>
  <c r="K46" i="22"/>
  <c r="J61" i="22"/>
  <c r="K59" i="22"/>
  <c r="J34" i="22"/>
  <c r="K31" i="22"/>
  <c r="K49" i="22"/>
  <c r="K52" i="22"/>
  <c r="K40" i="22"/>
  <c r="J48" i="22"/>
  <c r="K58" i="22"/>
  <c r="K38" i="22"/>
  <c r="K51" i="22"/>
  <c r="J57" i="22"/>
  <c r="K55" i="22"/>
  <c r="K30" i="22"/>
  <c r="J53" i="22"/>
  <c r="K56" i="22"/>
  <c r="K37" i="22"/>
  <c r="K29" i="22"/>
  <c r="K35" i="22"/>
  <c r="K32" i="22"/>
  <c r="K42" i="22"/>
  <c r="J42" i="22"/>
  <c r="K43" i="22"/>
  <c r="J43" i="22"/>
  <c r="K45" i="22"/>
  <c r="J45" i="22"/>
  <c r="J47" i="22"/>
  <c r="K47" i="22"/>
  <c r="K50" i="22"/>
  <c r="K44" i="22"/>
  <c r="K41" i="22"/>
  <c r="J41" i="22"/>
  <c r="K33" i="22"/>
  <c r="J33" i="22"/>
  <c r="K36" i="22"/>
  <c r="K54" i="22"/>
  <c r="J60" i="22"/>
  <c r="K60" i="22"/>
  <c r="H60" i="22"/>
  <c r="H43" i="22"/>
  <c r="H54" i="22"/>
  <c r="H56" i="22"/>
  <c r="H58" i="22"/>
  <c r="H40" i="22"/>
  <c r="H49" i="22"/>
  <c r="H44" i="22"/>
  <c r="H45" i="22"/>
  <c r="H37" i="22"/>
  <c r="H30" i="22"/>
  <c r="H47" i="22"/>
  <c r="H31" i="22"/>
  <c r="F62" i="22"/>
  <c r="Y62" i="22"/>
  <c r="Q62" i="22"/>
  <c r="O63" i="22"/>
  <c r="R63" i="22"/>
  <c r="U63" i="22"/>
  <c r="V63" i="22" s="1"/>
  <c r="D64" i="24"/>
  <c r="E64" i="24" s="1"/>
  <c r="F64" i="24" l="1"/>
  <c r="F63" i="24"/>
  <c r="F62" i="24"/>
  <c r="E64" i="22"/>
  <c r="Y63" i="22"/>
  <c r="H62" i="22"/>
  <c r="F63" i="22"/>
  <c r="Q63" i="22"/>
  <c r="O64" i="22"/>
  <c r="R64" i="22"/>
  <c r="U64" i="22"/>
  <c r="D65" i="24"/>
  <c r="E65" i="22" l="1"/>
  <c r="E65" i="24"/>
  <c r="V64" i="22"/>
  <c r="Q64" i="22"/>
  <c r="Y64" i="22"/>
  <c r="H63" i="22"/>
  <c r="F64" i="22"/>
  <c r="O65" i="22"/>
  <c r="U65" i="22"/>
  <c r="V65" i="22" s="1"/>
  <c r="D66" i="24"/>
  <c r="E66" i="24" s="1"/>
  <c r="E66" i="22" l="1"/>
  <c r="F66" i="24"/>
  <c r="F65" i="24"/>
  <c r="F65" i="22"/>
  <c r="Y65" i="22"/>
  <c r="H64" i="22"/>
  <c r="R65" i="22"/>
  <c r="Q65" i="22"/>
  <c r="O66" i="22"/>
  <c r="U66" i="22"/>
  <c r="D67" i="24"/>
  <c r="E67" i="24" l="1"/>
  <c r="E67" i="22"/>
  <c r="V66" i="22"/>
  <c r="H65" i="22"/>
  <c r="F66" i="22"/>
  <c r="R66" i="22"/>
  <c r="Y66" i="22"/>
  <c r="Q66" i="22"/>
  <c r="O67" i="22"/>
  <c r="U67" i="22"/>
  <c r="V67" i="22" s="1"/>
  <c r="E68" i="22" l="1"/>
  <c r="D68" i="24"/>
  <c r="F67" i="22"/>
  <c r="H67" i="22" s="1"/>
  <c r="Y67" i="22"/>
  <c r="Q67" i="22"/>
  <c r="R67" i="22"/>
  <c r="H66" i="22"/>
  <c r="O68" i="22"/>
  <c r="Q68" i="22"/>
  <c r="U68" i="22"/>
  <c r="Y68" i="22" s="1"/>
  <c r="E69" i="22" l="1"/>
  <c r="D69" i="24"/>
  <c r="E68" i="24"/>
  <c r="V68" i="22"/>
  <c r="R68" i="22"/>
  <c r="F68" i="22"/>
  <c r="O69" i="22"/>
  <c r="U69" i="22"/>
  <c r="V69" i="22" s="1"/>
  <c r="E69" i="24" l="1"/>
  <c r="E70" i="22"/>
  <c r="D70" i="24"/>
  <c r="E70" i="24" s="1"/>
  <c r="F69" i="22"/>
  <c r="H69" i="22" s="1"/>
  <c r="R69" i="22"/>
  <c r="Q69" i="22"/>
  <c r="Y69" i="22"/>
  <c r="H68" i="22"/>
  <c r="O70" i="22"/>
  <c r="Q70" i="22"/>
  <c r="U70" i="22"/>
  <c r="Y70" i="22" s="1"/>
  <c r="E71" i="22" l="1"/>
  <c r="D71" i="24"/>
  <c r="E71" i="24" s="1"/>
  <c r="V70" i="22"/>
  <c r="R70" i="22"/>
  <c r="F70" i="22"/>
  <c r="O71" i="22"/>
  <c r="Q71" i="22"/>
  <c r="U71" i="22"/>
  <c r="V71" i="22" s="1"/>
  <c r="E72" i="22" l="1"/>
  <c r="D72" i="24"/>
  <c r="R71" i="22"/>
  <c r="H70" i="22"/>
  <c r="F71" i="22"/>
  <c r="Y71" i="22"/>
  <c r="O72" i="22"/>
  <c r="Q72" i="22"/>
  <c r="U72" i="22"/>
  <c r="V72" i="22" s="1"/>
  <c r="D73" i="24"/>
  <c r="E73" i="22" l="1"/>
  <c r="Y72" i="22"/>
  <c r="H71" i="22"/>
  <c r="R72" i="22"/>
  <c r="F72" i="22"/>
  <c r="O73" i="22"/>
  <c r="U73" i="22"/>
  <c r="V73" i="22" s="1"/>
  <c r="E74" i="22" l="1"/>
  <c r="D74" i="24"/>
  <c r="F73" i="22"/>
  <c r="H73" i="22" s="1"/>
  <c r="H72" i="22"/>
  <c r="Q73" i="22"/>
  <c r="Y73" i="22"/>
  <c r="R73" i="22"/>
  <c r="O74" i="22"/>
  <c r="Q74" i="22"/>
  <c r="U74" i="22"/>
  <c r="V74" i="22" s="1"/>
  <c r="D75" i="24"/>
  <c r="E75" i="22" l="1"/>
  <c r="R74" i="22"/>
  <c r="F74" i="22"/>
  <c r="Y74" i="22"/>
  <c r="O75" i="22"/>
  <c r="U75" i="22"/>
  <c r="V75" i="22" s="1"/>
  <c r="E76" i="22" l="1"/>
  <c r="D76" i="24"/>
  <c r="Y75" i="22"/>
  <c r="F75" i="22"/>
  <c r="H75" i="22" s="1"/>
  <c r="R75" i="22"/>
  <c r="Q75" i="22"/>
  <c r="H74" i="22"/>
  <c r="O76" i="22"/>
  <c r="Q76" i="22"/>
  <c r="U76" i="22"/>
  <c r="V76" i="22" s="1"/>
  <c r="E77" i="22" l="1"/>
  <c r="D77" i="24"/>
  <c r="R76" i="22"/>
  <c r="Y76" i="22"/>
  <c r="F76" i="22"/>
  <c r="O77" i="22"/>
  <c r="U77" i="22"/>
  <c r="V77" i="22" s="1"/>
  <c r="D78" i="24"/>
  <c r="E78" i="22" l="1"/>
  <c r="F77" i="22"/>
  <c r="H76" i="22"/>
  <c r="R77" i="22"/>
  <c r="Q77" i="22"/>
  <c r="Y77" i="22"/>
  <c r="O78" i="22"/>
  <c r="R78" i="22"/>
  <c r="U78" i="22"/>
  <c r="V78" i="22" s="1"/>
  <c r="D79" i="24"/>
  <c r="E79" i="22" l="1"/>
  <c r="H77" i="22"/>
  <c r="Y78" i="22"/>
  <c r="F78" i="22"/>
  <c r="Q78" i="22"/>
  <c r="O79" i="22"/>
  <c r="U79" i="22"/>
  <c r="V79" i="22" s="1"/>
  <c r="E80" i="22" l="1"/>
  <c r="D80" i="24"/>
  <c r="F79" i="22"/>
  <c r="H79" i="22" s="1"/>
  <c r="Y79" i="22"/>
  <c r="R79" i="22"/>
  <c r="H78" i="22"/>
  <c r="Q79" i="22"/>
  <c r="O80" i="22"/>
  <c r="U80" i="22"/>
  <c r="V80" i="22" s="1"/>
  <c r="D81" i="24"/>
  <c r="E81" i="22" l="1"/>
  <c r="Y80" i="22"/>
  <c r="F80" i="22"/>
  <c r="R80" i="22"/>
  <c r="Q80" i="22"/>
  <c r="O81" i="22"/>
  <c r="R81" i="22"/>
  <c r="U81" i="22"/>
  <c r="V81" i="22" s="1"/>
  <c r="E82" i="22" l="1"/>
  <c r="D82" i="24"/>
  <c r="F81" i="22"/>
  <c r="H81" i="22" s="1"/>
  <c r="Q81" i="22"/>
  <c r="Y81" i="22"/>
  <c r="H80" i="22"/>
  <c r="O82" i="22"/>
  <c r="R82" i="22"/>
  <c r="U82" i="22"/>
  <c r="V82" i="22" s="1"/>
  <c r="E83" i="22" l="1"/>
  <c r="D83" i="24"/>
  <c r="Y82" i="22"/>
  <c r="F82" i="22"/>
  <c r="Q82" i="22"/>
  <c r="O83" i="22"/>
  <c r="U83" i="22"/>
  <c r="V83" i="22" s="1"/>
  <c r="D84" i="24"/>
  <c r="E84" i="22" l="1"/>
  <c r="F83" i="22"/>
  <c r="H83" i="22" s="1"/>
  <c r="R83" i="22"/>
  <c r="Q83" i="22"/>
  <c r="Y83" i="22"/>
  <c r="H82" i="22"/>
  <c r="O84" i="22"/>
  <c r="U84" i="22"/>
  <c r="V84" i="22" s="1"/>
  <c r="E85" i="22" l="1"/>
  <c r="D85" i="24"/>
  <c r="F84" i="22"/>
  <c r="R84" i="22"/>
  <c r="Q84" i="22"/>
  <c r="Y84" i="22"/>
  <c r="O85" i="22"/>
  <c r="U85" i="22"/>
  <c r="V85" i="22" s="1"/>
  <c r="E86" i="22" l="1"/>
  <c r="D86" i="24"/>
  <c r="F85" i="22"/>
  <c r="H85" i="22" s="1"/>
  <c r="H84" i="22"/>
  <c r="Y85" i="22"/>
  <c r="Q85" i="22"/>
  <c r="R85" i="22"/>
  <c r="O86" i="22"/>
  <c r="R86" i="22"/>
  <c r="U86" i="22"/>
  <c r="V86" i="22" s="1"/>
  <c r="E87" i="22" l="1"/>
  <c r="D87" i="24"/>
  <c r="Y86" i="22"/>
  <c r="F86" i="22"/>
  <c r="Q86" i="22"/>
  <c r="O87" i="22"/>
  <c r="U87" i="22"/>
  <c r="V87" i="22" s="1"/>
  <c r="E88" i="22" l="1"/>
  <c r="D88" i="24"/>
  <c r="Y87" i="22"/>
  <c r="F87" i="22"/>
  <c r="R87" i="22"/>
  <c r="H86" i="22"/>
  <c r="Q87" i="22"/>
  <c r="O88" i="22"/>
  <c r="Q88" i="22"/>
  <c r="U88" i="22"/>
  <c r="V88" i="22" s="1"/>
  <c r="E89" i="22" l="1"/>
  <c r="D89" i="24"/>
  <c r="R88" i="22"/>
  <c r="H87" i="22"/>
  <c r="Y88" i="22"/>
  <c r="F88" i="22"/>
  <c r="O89" i="22"/>
  <c r="U89" i="22"/>
  <c r="V89" i="22" s="1"/>
  <c r="D90" i="24"/>
  <c r="E90" i="22" l="1"/>
  <c r="F89" i="22"/>
  <c r="H89" i="22" s="1"/>
  <c r="Q89" i="22"/>
  <c r="Y89" i="22"/>
  <c r="H88" i="22"/>
  <c r="R89" i="22"/>
  <c r="O90" i="22"/>
  <c r="U90" i="22"/>
  <c r="V90" i="22" s="1"/>
  <c r="E91" i="22" l="1"/>
  <c r="D91" i="24"/>
  <c r="F90" i="22"/>
  <c r="H90" i="22" s="1"/>
  <c r="Q90" i="22"/>
  <c r="Y90" i="22"/>
  <c r="R90" i="22"/>
  <c r="O91" i="22"/>
  <c r="U91" i="22"/>
  <c r="V91" i="22" s="1"/>
  <c r="E92" i="22" l="1"/>
  <c r="D92" i="24"/>
  <c r="F91" i="22"/>
  <c r="H91" i="22" s="1"/>
  <c r="Y91" i="22"/>
  <c r="Q91" i="22"/>
  <c r="R91" i="22"/>
  <c r="O92" i="22"/>
  <c r="U92" i="22"/>
  <c r="V92" i="22" s="1"/>
  <c r="E93" i="22" l="1"/>
  <c r="D93" i="24"/>
  <c r="Y92" i="22"/>
  <c r="F92" i="22"/>
  <c r="H92" i="22" s="1"/>
  <c r="Q92" i="22"/>
  <c r="R92" i="22"/>
  <c r="O93" i="22"/>
  <c r="R93" i="22"/>
  <c r="U93" i="22"/>
  <c r="V93" i="22" s="1"/>
  <c r="E94" i="22" l="1"/>
  <c r="D94" i="24"/>
  <c r="Y93" i="22"/>
  <c r="F93" i="22"/>
  <c r="Q93" i="22"/>
  <c r="O94" i="22"/>
  <c r="U94" i="22"/>
  <c r="V94" i="22" s="1"/>
  <c r="E95" i="22" l="1"/>
  <c r="D95" i="24"/>
  <c r="F94" i="22"/>
  <c r="H94" i="22" s="1"/>
  <c r="H93" i="22"/>
  <c r="Y94" i="22"/>
  <c r="R94" i="22"/>
  <c r="Q94" i="22"/>
  <c r="O95" i="22"/>
  <c r="Q95" i="22"/>
  <c r="U95" i="22"/>
  <c r="V95" i="22" s="1"/>
  <c r="E96" i="22" l="1"/>
  <c r="D96" i="24"/>
  <c r="Y95" i="22"/>
  <c r="R95" i="22"/>
  <c r="F95" i="22"/>
  <c r="O96" i="22"/>
  <c r="R96" i="22"/>
  <c r="U96" i="22"/>
  <c r="V96" i="22" s="1"/>
  <c r="E97" i="22" l="1"/>
  <c r="D97" i="24"/>
  <c r="Q96" i="22"/>
  <c r="Y96" i="22"/>
  <c r="F96" i="22"/>
  <c r="H95" i="22"/>
  <c r="O97" i="22"/>
  <c r="U97" i="22"/>
  <c r="V97" i="22" s="1"/>
  <c r="E98" i="22" l="1"/>
  <c r="D98" i="24"/>
  <c r="F97" i="22"/>
  <c r="H97" i="22" s="1"/>
  <c r="Y97" i="22"/>
  <c r="H96" i="22"/>
  <c r="R97" i="22"/>
  <c r="Q97" i="22"/>
  <c r="O98" i="22"/>
  <c r="U98" i="22"/>
  <c r="V98" i="22" s="1"/>
  <c r="D99" i="24"/>
  <c r="E99" i="22" l="1"/>
  <c r="F98" i="22"/>
  <c r="R98" i="22"/>
  <c r="Q98" i="22"/>
  <c r="Y98" i="22"/>
  <c r="O99" i="22"/>
  <c r="U99" i="22"/>
  <c r="V99" i="22" s="1"/>
  <c r="Y99" i="22" l="1"/>
  <c r="E100" i="22"/>
  <c r="D100" i="24"/>
  <c r="F99" i="22"/>
  <c r="H99" i="22" s="1"/>
  <c r="R99" i="22"/>
  <c r="Q99" i="22"/>
  <c r="H98" i="22"/>
  <c r="O100" i="22"/>
  <c r="U100" i="22"/>
  <c r="V100" i="22" s="1"/>
  <c r="E101" i="22" l="1"/>
  <c r="D101" i="24"/>
  <c r="F100" i="22"/>
  <c r="R100" i="22"/>
  <c r="Q100" i="22"/>
  <c r="Y100" i="22"/>
  <c r="O101" i="22"/>
  <c r="U101" i="22"/>
  <c r="V101" i="22" s="1"/>
  <c r="E102" i="22" l="1"/>
  <c r="D102" i="24"/>
  <c r="F101" i="22"/>
  <c r="H101" i="22" s="1"/>
  <c r="R101" i="22"/>
  <c r="Q101" i="22"/>
  <c r="Y101" i="22"/>
  <c r="H100" i="22"/>
  <c r="O102" i="22"/>
  <c r="R102" i="22"/>
  <c r="U102" i="22"/>
  <c r="V102" i="22" s="1"/>
  <c r="E103" i="22" l="1"/>
  <c r="D103" i="24"/>
  <c r="Y102" i="22"/>
  <c r="F102" i="22"/>
  <c r="Q102" i="22"/>
  <c r="O103" i="22"/>
  <c r="U103" i="22"/>
  <c r="V103" i="22" s="1"/>
  <c r="E104" i="22" l="1"/>
  <c r="D104" i="24"/>
  <c r="F103" i="22"/>
  <c r="H103" i="22" s="1"/>
  <c r="R103" i="22"/>
  <c r="Q103" i="22"/>
  <c r="H102" i="22"/>
  <c r="Y103" i="22"/>
  <c r="O104" i="22"/>
  <c r="R104" i="22"/>
  <c r="U104" i="22"/>
  <c r="V104" i="22" s="1"/>
  <c r="E105" i="22" l="1"/>
  <c r="D105" i="24"/>
  <c r="Q104" i="22"/>
  <c r="F104" i="22"/>
  <c r="Y104" i="22"/>
  <c r="O105" i="22"/>
  <c r="U105" i="22"/>
  <c r="V105" i="22" s="1"/>
  <c r="E106" i="22" l="1"/>
  <c r="D106" i="24"/>
  <c r="F105" i="22"/>
  <c r="H105" i="22" s="1"/>
  <c r="Q105" i="22"/>
  <c r="R105" i="22"/>
  <c r="Y105" i="22"/>
  <c r="H104" i="22"/>
  <c r="O106" i="22"/>
  <c r="U106" i="22"/>
  <c r="V106" i="22" s="1"/>
  <c r="E107" i="22" l="1"/>
  <c r="D107" i="24"/>
  <c r="F106" i="22"/>
  <c r="H106" i="22" s="1"/>
  <c r="R106" i="22"/>
  <c r="Q106" i="22"/>
  <c r="Y106" i="22"/>
  <c r="O107" i="22"/>
  <c r="U107" i="22"/>
  <c r="V107" i="22" s="1"/>
  <c r="E108" i="22" l="1"/>
  <c r="D108" i="24"/>
  <c r="F107" i="22"/>
  <c r="H107" i="22" s="1"/>
  <c r="Y107" i="22"/>
  <c r="R107" i="22"/>
  <c r="Q107" i="22"/>
  <c r="O108" i="22"/>
  <c r="U108" i="22"/>
  <c r="E109" i="22" l="1"/>
  <c r="D109" i="24"/>
  <c r="F108" i="22"/>
  <c r="H108" i="22" s="1"/>
  <c r="Y108" i="22"/>
  <c r="V108" i="22"/>
  <c r="R108" i="22"/>
  <c r="Q108" i="22"/>
  <c r="O109" i="22"/>
  <c r="U109" i="22"/>
  <c r="V109" i="22" s="1"/>
  <c r="E110" i="22" l="1"/>
  <c r="D110" i="24"/>
  <c r="F109" i="22"/>
  <c r="Y109" i="22"/>
  <c r="R109" i="22"/>
  <c r="Q109" i="22"/>
  <c r="O110" i="22"/>
  <c r="U110" i="22"/>
  <c r="V110" i="22" s="1"/>
  <c r="D111" i="24"/>
  <c r="E111" i="22" l="1"/>
  <c r="F110" i="22"/>
  <c r="H110" i="22" s="1"/>
  <c r="H109" i="22"/>
  <c r="Y110" i="22"/>
  <c r="R110" i="22"/>
  <c r="Q110" i="22"/>
  <c r="O111" i="22"/>
  <c r="Q111" i="22"/>
  <c r="U111" i="22"/>
  <c r="V111" i="22" s="1"/>
  <c r="E112" i="22" l="1"/>
  <c r="D112" i="24"/>
  <c r="R111" i="22"/>
  <c r="Y111" i="22"/>
  <c r="F111" i="22"/>
  <c r="O112" i="22"/>
  <c r="U112" i="22"/>
  <c r="V112" i="22" s="1"/>
  <c r="E113" i="22" l="1"/>
  <c r="D113" i="24"/>
  <c r="AG113" i="24"/>
  <c r="F112" i="22"/>
  <c r="H112" i="22" s="1"/>
  <c r="R112" i="22"/>
  <c r="Q112" i="22"/>
  <c r="Y112" i="22"/>
  <c r="H111" i="22"/>
  <c r="O113" i="22"/>
  <c r="Q113" i="22"/>
  <c r="U113" i="22"/>
  <c r="V113" i="22" s="1"/>
  <c r="E114" i="22" l="1"/>
  <c r="D114" i="24"/>
  <c r="AG114" i="24"/>
  <c r="AH114" i="24" s="1"/>
  <c r="R113" i="22"/>
  <c r="F113" i="22"/>
  <c r="Y113" i="22"/>
  <c r="O114" i="22"/>
  <c r="R114" i="22"/>
  <c r="U114" i="22"/>
  <c r="V114" i="22" s="1"/>
  <c r="E115" i="22" l="1"/>
  <c r="D115" i="24"/>
  <c r="AG115" i="24"/>
  <c r="AH115" i="24" s="1"/>
  <c r="AI115" i="24" s="1"/>
  <c r="F114" i="22"/>
  <c r="H114" i="22" s="1"/>
  <c r="Q114" i="22"/>
  <c r="Y114" i="22"/>
  <c r="H113" i="22"/>
  <c r="O115" i="22"/>
  <c r="Q115" i="22"/>
  <c r="U115" i="22"/>
  <c r="V115" i="22" s="1"/>
  <c r="E116" i="22" l="1"/>
  <c r="D116" i="24"/>
  <c r="AG116" i="24"/>
  <c r="AH116" i="24" s="1"/>
  <c r="AI116" i="24" s="1"/>
  <c r="R115" i="22"/>
  <c r="Y115" i="22"/>
  <c r="F115" i="22"/>
  <c r="O116" i="22"/>
  <c r="R116" i="22"/>
  <c r="U116" i="22"/>
  <c r="V116" i="22" s="1"/>
  <c r="E117" i="22" l="1"/>
  <c r="D117" i="24"/>
  <c r="AG117" i="24"/>
  <c r="F116" i="22"/>
  <c r="H116" i="22" s="1"/>
  <c r="Q116" i="22"/>
  <c r="H115" i="22"/>
  <c r="Y116" i="22"/>
  <c r="O117" i="22"/>
  <c r="Q117" i="22"/>
  <c r="U117" i="22"/>
  <c r="V117" i="22" s="1"/>
  <c r="AH117" i="24" l="1"/>
  <c r="AI117" i="24" s="1"/>
  <c r="E118" i="22"/>
  <c r="D118" i="24"/>
  <c r="AG118" i="24"/>
  <c r="R117" i="22"/>
  <c r="Y117" i="22"/>
  <c r="F117" i="22"/>
  <c r="O118" i="22"/>
  <c r="U118" i="22"/>
  <c r="V118" i="22" s="1"/>
  <c r="AH119" i="24" l="1"/>
  <c r="AH118" i="24"/>
  <c r="E119" i="22"/>
  <c r="D119" i="24"/>
  <c r="E119" i="24" s="1"/>
  <c r="E118" i="24"/>
  <c r="AG119" i="24"/>
  <c r="F118" i="22"/>
  <c r="H118" i="22" s="1"/>
  <c r="Q118" i="22"/>
  <c r="Y118" i="22"/>
  <c r="R118" i="22"/>
  <c r="H117" i="22"/>
  <c r="O119" i="22"/>
  <c r="U119" i="22"/>
  <c r="AH120" i="24" l="1"/>
  <c r="AI121" i="24" s="1"/>
  <c r="AI119" i="24"/>
  <c r="V119" i="22"/>
  <c r="BB119" i="24"/>
  <c r="E120" i="22"/>
  <c r="D120" i="24"/>
  <c r="E121" i="24" s="1"/>
  <c r="F122" i="24" s="1"/>
  <c r="F119" i="24"/>
  <c r="AG120" i="24"/>
  <c r="AH121" i="24" s="1"/>
  <c r="AI122" i="24" s="1"/>
  <c r="AI118" i="24"/>
  <c r="Y119" i="22"/>
  <c r="F119" i="22"/>
  <c r="R119" i="22"/>
  <c r="Q119" i="22"/>
  <c r="O120" i="22"/>
  <c r="U120" i="22"/>
  <c r="E121" i="22"/>
  <c r="AI120" i="24" l="1"/>
  <c r="V120" i="22"/>
  <c r="BB120" i="24"/>
  <c r="E120" i="24"/>
  <c r="Y120" i="22"/>
  <c r="F120" i="22"/>
  <c r="H120" i="22" s="1"/>
  <c r="R120" i="22"/>
  <c r="Q120" i="22"/>
  <c r="H119" i="22"/>
  <c r="O121" i="22"/>
  <c r="Q121" i="22"/>
  <c r="U121" i="22"/>
  <c r="BB121" i="24" s="1"/>
  <c r="E122" i="22"/>
  <c r="F121" i="24" l="1"/>
  <c r="F120" i="24"/>
  <c r="V121" i="22"/>
  <c r="Y121" i="22"/>
  <c r="R121" i="22"/>
  <c r="F121" i="22"/>
  <c r="O122" i="22"/>
  <c r="U122" i="22"/>
  <c r="BB122" i="24" l="1"/>
  <c r="BC123" i="24" s="1"/>
  <c r="BD124" i="24" s="1"/>
  <c r="AD34" i="22"/>
  <c r="V122" i="22"/>
  <c r="E123" i="22"/>
  <c r="AD44" i="22"/>
  <c r="AD48" i="22"/>
  <c r="F122" i="22"/>
  <c r="Y122" i="22"/>
  <c r="R122" i="22"/>
  <c r="Q122" i="22"/>
  <c r="H121" i="22"/>
  <c r="O123" i="22"/>
  <c r="Q123" i="22"/>
  <c r="E124" i="22"/>
  <c r="O124" i="22"/>
  <c r="E125" i="22"/>
  <c r="O125" i="22"/>
  <c r="E126" i="22"/>
  <c r="O126" i="22"/>
  <c r="V126" i="22"/>
  <c r="E127" i="22"/>
  <c r="O127" i="22"/>
  <c r="V127" i="22"/>
  <c r="E128" i="22"/>
  <c r="O128" i="22"/>
  <c r="V128" i="22"/>
  <c r="E129" i="22"/>
  <c r="O129" i="22"/>
  <c r="V129" i="22"/>
  <c r="E130" i="22"/>
  <c r="O130" i="22"/>
  <c r="V130" i="22"/>
  <c r="E131" i="22"/>
  <c r="O131" i="22"/>
  <c r="V131" i="22"/>
  <c r="E132" i="22"/>
  <c r="O132" i="22"/>
  <c r="V132" i="22"/>
  <c r="E133" i="22"/>
  <c r="O133" i="22"/>
  <c r="V133" i="22"/>
  <c r="E134" i="22"/>
  <c r="O134" i="22"/>
  <c r="V134" i="22"/>
  <c r="E135" i="22"/>
  <c r="O135" i="22"/>
  <c r="V135" i="22"/>
  <c r="E136" i="22"/>
  <c r="O136" i="22"/>
  <c r="V136" i="22"/>
  <c r="O137" i="22"/>
  <c r="V137" i="22"/>
  <c r="O138" i="22"/>
  <c r="O139" i="22"/>
  <c r="E140" i="22"/>
  <c r="O140" i="22"/>
  <c r="E141" i="22"/>
  <c r="O141" i="22"/>
  <c r="E142" i="22"/>
  <c r="O142" i="22"/>
  <c r="E143" i="22"/>
  <c r="O143" i="22"/>
  <c r="V143" i="22"/>
  <c r="E144" i="22"/>
  <c r="O144" i="22"/>
  <c r="V144" i="22"/>
  <c r="E145" i="22"/>
  <c r="O145" i="22"/>
  <c r="V145" i="22"/>
  <c r="E146" i="22"/>
  <c r="O146" i="22"/>
  <c r="V146" i="22"/>
  <c r="E147" i="22"/>
  <c r="O147" i="22"/>
  <c r="V147" i="22"/>
  <c r="E148" i="22"/>
  <c r="O148" i="22"/>
  <c r="V148" i="22"/>
  <c r="E149" i="22"/>
  <c r="O149" i="22"/>
  <c r="V149" i="22"/>
  <c r="E150" i="22"/>
  <c r="O150" i="22"/>
  <c r="V150" i="22"/>
  <c r="E151" i="22"/>
  <c r="O151" i="22"/>
  <c r="V151" i="22"/>
  <c r="E152" i="22"/>
  <c r="O152" i="22"/>
  <c r="V152" i="22"/>
  <c r="E153" i="22"/>
  <c r="O153" i="22"/>
  <c r="V153" i="22"/>
  <c r="E154" i="22"/>
  <c r="O154" i="22"/>
  <c r="V154" i="22"/>
  <c r="E155" i="22"/>
  <c r="O155" i="22"/>
  <c r="V155" i="22"/>
  <c r="E156" i="22"/>
  <c r="O156" i="22"/>
  <c r="V156" i="22"/>
  <c r="E157" i="22"/>
  <c r="O157" i="22"/>
  <c r="V157" i="22"/>
  <c r="E158" i="22"/>
  <c r="O158" i="22"/>
  <c r="V158" i="22"/>
  <c r="E159" i="22"/>
  <c r="O159" i="22"/>
  <c r="V159" i="22"/>
  <c r="E160" i="22"/>
  <c r="O160" i="22"/>
  <c r="V160" i="22"/>
  <c r="E161" i="22"/>
  <c r="O161" i="22"/>
  <c r="V161" i="22"/>
  <c r="E162" i="22"/>
  <c r="O162" i="22"/>
  <c r="V162" i="22"/>
  <c r="E163" i="22"/>
  <c r="O163" i="22"/>
  <c r="V163" i="22"/>
  <c r="E164" i="22"/>
  <c r="O164" i="22"/>
  <c r="V164" i="22"/>
  <c r="E165" i="22"/>
  <c r="O165" i="22"/>
  <c r="V165" i="22"/>
  <c r="E166" i="22"/>
  <c r="O166" i="22"/>
  <c r="V166" i="22"/>
  <c r="E167" i="22"/>
  <c r="O167" i="22"/>
  <c r="V167" i="22"/>
  <c r="E168" i="22"/>
  <c r="O168" i="22"/>
  <c r="V168" i="22"/>
  <c r="E169" i="22"/>
  <c r="O169" i="22"/>
  <c r="V169" i="22"/>
  <c r="E170" i="22"/>
  <c r="O170" i="22"/>
  <c r="V170" i="22"/>
  <c r="E171" i="22"/>
  <c r="O171" i="22"/>
  <c r="V171" i="22"/>
  <c r="E172" i="22"/>
  <c r="O172" i="22"/>
  <c r="V172" i="22"/>
  <c r="E173" i="22"/>
  <c r="O173" i="22"/>
  <c r="V173" i="22"/>
  <c r="E174" i="22"/>
  <c r="O174" i="22"/>
  <c r="V174" i="22"/>
  <c r="E175" i="22"/>
  <c r="O175" i="22"/>
  <c r="V175" i="22"/>
  <c r="E176" i="22"/>
  <c r="O176" i="22"/>
  <c r="V176" i="22"/>
  <c r="E177" i="22"/>
  <c r="O177" i="22"/>
  <c r="V177" i="22"/>
  <c r="E178" i="22"/>
  <c r="O178" i="22"/>
  <c r="V178" i="22"/>
  <c r="E179" i="22"/>
  <c r="O179" i="22"/>
  <c r="V179" i="22"/>
  <c r="BC122" i="24" l="1"/>
  <c r="BD123" i="24" s="1"/>
  <c r="AD37" i="22"/>
  <c r="AD33" i="22"/>
  <c r="Q125" i="22"/>
  <c r="Y123" i="22"/>
  <c r="H122" i="22"/>
  <c r="Q124" i="22"/>
  <c r="R124" i="22"/>
  <c r="R123" i="22"/>
  <c r="F123" i="22"/>
  <c r="R5" i="22"/>
  <c r="Y5" i="22"/>
  <c r="F121" i="23"/>
  <c r="E62" i="23"/>
  <c r="Y124" i="22" l="1"/>
  <c r="Y125" i="22"/>
  <c r="R125" i="22"/>
  <c r="F125" i="22"/>
  <c r="H125" i="22" s="1"/>
  <c r="F124" i="22"/>
  <c r="F126" i="22"/>
  <c r="Q126" i="22"/>
  <c r="R126" i="22"/>
  <c r="H123" i="22"/>
  <c r="BF62" i="24"/>
  <c r="BG62" i="24" s="1"/>
  <c r="AK62" i="24"/>
  <c r="AJ184" i="24"/>
  <c r="G184" i="24"/>
  <c r="AJ183" i="24"/>
  <c r="G183" i="24"/>
  <c r="AJ182" i="24"/>
  <c r="G182" i="24"/>
  <c r="AJ181" i="24"/>
  <c r="G181" i="24"/>
  <c r="AJ180" i="24"/>
  <c r="G180" i="24"/>
  <c r="AJ179" i="24"/>
  <c r="G179" i="24"/>
  <c r="AJ178" i="24"/>
  <c r="G178" i="24"/>
  <c r="AJ177" i="24"/>
  <c r="G177" i="24"/>
  <c r="AJ176" i="24"/>
  <c r="G176" i="24"/>
  <c r="AJ175" i="24"/>
  <c r="G175" i="24"/>
  <c r="AJ174" i="24"/>
  <c r="G174" i="24"/>
  <c r="AJ173" i="24"/>
  <c r="G173" i="24"/>
  <c r="AJ172" i="24"/>
  <c r="G172" i="24"/>
  <c r="AJ171" i="24"/>
  <c r="G171" i="24"/>
  <c r="AJ170" i="24"/>
  <c r="G170" i="24"/>
  <c r="AJ169" i="24"/>
  <c r="G169" i="24"/>
  <c r="AJ168" i="24"/>
  <c r="G168" i="24"/>
  <c r="AJ167" i="24"/>
  <c r="G167" i="24"/>
  <c r="AJ166" i="24"/>
  <c r="G166" i="24"/>
  <c r="AJ165" i="24"/>
  <c r="G165" i="24"/>
  <c r="AJ164" i="24"/>
  <c r="G164" i="24"/>
  <c r="AJ163" i="24"/>
  <c r="G163" i="24"/>
  <c r="AJ162" i="24"/>
  <c r="G162" i="24"/>
  <c r="AJ161" i="24"/>
  <c r="G161" i="24"/>
  <c r="AJ160" i="24"/>
  <c r="G160" i="24"/>
  <c r="AJ159" i="24"/>
  <c r="G159" i="24"/>
  <c r="AJ158" i="24"/>
  <c r="G158" i="24"/>
  <c r="AJ157" i="24"/>
  <c r="G157" i="24"/>
  <c r="AJ156" i="24"/>
  <c r="G156" i="24"/>
  <c r="AJ155" i="24"/>
  <c r="G155" i="24"/>
  <c r="AJ154" i="24"/>
  <c r="G154" i="24"/>
  <c r="AJ153" i="24"/>
  <c r="G153" i="24"/>
  <c r="AJ152" i="24"/>
  <c r="G152" i="24"/>
  <c r="AJ151" i="24"/>
  <c r="G151" i="24"/>
  <c r="AJ150" i="24"/>
  <c r="G150" i="24"/>
  <c r="AJ149" i="24"/>
  <c r="G149" i="24"/>
  <c r="AJ148" i="24"/>
  <c r="G148" i="24"/>
  <c r="AJ147" i="24"/>
  <c r="G147" i="24"/>
  <c r="AJ146" i="24"/>
  <c r="G146" i="24"/>
  <c r="AJ145" i="24"/>
  <c r="G145" i="24"/>
  <c r="AJ144" i="24"/>
  <c r="G144" i="24"/>
  <c r="AJ143" i="24"/>
  <c r="G143" i="24"/>
  <c r="AJ142" i="24"/>
  <c r="G142" i="24"/>
  <c r="AJ141" i="24"/>
  <c r="G141" i="24"/>
  <c r="AJ140" i="24"/>
  <c r="G140" i="24"/>
  <c r="AJ139" i="24"/>
  <c r="G139" i="24"/>
  <c r="AJ138" i="24"/>
  <c r="G138" i="24"/>
  <c r="AJ137" i="24"/>
  <c r="G137" i="24"/>
  <c r="AJ136" i="24"/>
  <c r="G136" i="24"/>
  <c r="AJ135" i="24"/>
  <c r="G135" i="24"/>
  <c r="AJ134" i="24"/>
  <c r="G134" i="24"/>
  <c r="AJ133" i="24"/>
  <c r="G133" i="24"/>
  <c r="AJ132" i="24"/>
  <c r="G132" i="24"/>
  <c r="AJ131" i="24"/>
  <c r="G131" i="24"/>
  <c r="AJ130" i="24"/>
  <c r="G130" i="24"/>
  <c r="AJ129" i="24"/>
  <c r="G129" i="24"/>
  <c r="AJ128" i="24"/>
  <c r="G128" i="24"/>
  <c r="AJ127" i="24"/>
  <c r="G127" i="24"/>
  <c r="AJ126" i="24"/>
  <c r="G126" i="24"/>
  <c r="AJ125" i="24"/>
  <c r="G125" i="24"/>
  <c r="BE124" i="24"/>
  <c r="AJ124" i="24"/>
  <c r="G124" i="24"/>
  <c r="BE123" i="24"/>
  <c r="AJ123" i="24"/>
  <c r="G123" i="24"/>
  <c r="E111" i="24"/>
  <c r="CL48" i="24"/>
  <c r="CL47" i="24"/>
  <c r="CL33" i="24"/>
  <c r="CL32" i="24"/>
  <c r="E79" i="24"/>
  <c r="CL23" i="24"/>
  <c r="CL22" i="24"/>
  <c r="E73" i="24"/>
  <c r="G65" i="24"/>
  <c r="G64" i="24"/>
  <c r="BE62" i="24"/>
  <c r="AJ62" i="24"/>
  <c r="G62" i="24"/>
  <c r="B6" i="24"/>
  <c r="BF48" i="23"/>
  <c r="BF33" i="23"/>
  <c r="BF23" i="23"/>
  <c r="AR33" i="22"/>
  <c r="AR23" i="22"/>
  <c r="Y6" i="22"/>
  <c r="AM5" i="23"/>
  <c r="R6" i="22"/>
  <c r="AX5" i="24"/>
  <c r="H5" i="22"/>
  <c r="J5" i="23" s="1"/>
  <c r="BS6" i="24"/>
  <c r="AA6" i="23"/>
  <c r="G79" i="24" l="1"/>
  <c r="G111" i="24"/>
  <c r="G73" i="24"/>
  <c r="BJ62" i="24"/>
  <c r="AO62" i="24"/>
  <c r="H124" i="22"/>
  <c r="Y126" i="22"/>
  <c r="H126" i="22"/>
  <c r="U124" i="23"/>
  <c r="BF63" i="24"/>
  <c r="BG63" i="24" s="1"/>
  <c r="CL30" i="24"/>
  <c r="AJ63" i="23"/>
  <c r="AM6" i="23"/>
  <c r="AX6" i="24"/>
  <c r="AK63" i="24"/>
  <c r="CL20" i="24"/>
  <c r="CL19" i="24"/>
  <c r="E90" i="24"/>
  <c r="E106" i="24"/>
  <c r="E97" i="24"/>
  <c r="G119" i="24"/>
  <c r="G68" i="24"/>
  <c r="E115" i="24"/>
  <c r="E104" i="24"/>
  <c r="AA5" i="23"/>
  <c r="CL45" i="24"/>
  <c r="M5" i="24"/>
  <c r="J6" i="23"/>
  <c r="BS5" i="24"/>
  <c r="M6" i="24"/>
  <c r="E109" i="24"/>
  <c r="E95" i="24"/>
  <c r="G120" i="24"/>
  <c r="E85" i="24"/>
  <c r="CL29" i="24"/>
  <c r="E99" i="24"/>
  <c r="E87" i="24"/>
  <c r="E89" i="24"/>
  <c r="G122" i="24"/>
  <c r="E93" i="24"/>
  <c r="E98" i="24"/>
  <c r="E100" i="24"/>
  <c r="E113" i="24"/>
  <c r="E72" i="24"/>
  <c r="E96" i="24"/>
  <c r="CL44" i="24"/>
  <c r="E82" i="24"/>
  <c r="E84" i="24"/>
  <c r="E86" i="24"/>
  <c r="E92" i="24"/>
  <c r="E114" i="24"/>
  <c r="E74" i="24"/>
  <c r="E91" i="24"/>
  <c r="E105" i="24"/>
  <c r="E116" i="24"/>
  <c r="E81" i="24"/>
  <c r="E107" i="24"/>
  <c r="E78" i="24"/>
  <c r="E76" i="24"/>
  <c r="E110" i="24"/>
  <c r="E108" i="24"/>
  <c r="E83" i="24"/>
  <c r="E102" i="24"/>
  <c r="E88" i="24"/>
  <c r="E75" i="24"/>
  <c r="E112" i="24"/>
  <c r="E80" i="24"/>
  <c r="E77" i="24"/>
  <c r="E94" i="24"/>
  <c r="E103" i="24"/>
  <c r="E101" i="24"/>
  <c r="E117" i="24"/>
  <c r="Q19" i="24" l="1"/>
  <c r="O19" i="24" s="1"/>
  <c r="Q31" i="24"/>
  <c r="O31" i="24" s="1"/>
  <c r="Q43" i="24"/>
  <c r="O43" i="24" s="1"/>
  <c r="Q55" i="24"/>
  <c r="O55" i="24" s="1"/>
  <c r="Q67" i="24"/>
  <c r="O67" i="24" s="1"/>
  <c r="Q79" i="24"/>
  <c r="O79" i="24" s="1"/>
  <c r="Q91" i="24"/>
  <c r="O91" i="24" s="1"/>
  <c r="Q103" i="24"/>
  <c r="O103" i="24" s="1"/>
  <c r="Q115" i="24"/>
  <c r="O115" i="24" s="1"/>
  <c r="Q127" i="24"/>
  <c r="O127" i="24" s="1"/>
  <c r="Q139" i="24"/>
  <c r="O139" i="24" s="1"/>
  <c r="Q151" i="24"/>
  <c r="O151" i="24" s="1"/>
  <c r="Q163" i="24"/>
  <c r="O163" i="24" s="1"/>
  <c r="Q175" i="24"/>
  <c r="O175" i="24" s="1"/>
  <c r="Q104" i="24"/>
  <c r="Q140" i="24"/>
  <c r="O140" i="24" s="1"/>
  <c r="Q164" i="24"/>
  <c r="O164" i="24" s="1"/>
  <c r="Q176" i="24"/>
  <c r="Q129" i="24"/>
  <c r="O129" i="24" s="1"/>
  <c r="Q165" i="24"/>
  <c r="O165" i="24" s="1"/>
  <c r="Q23" i="24"/>
  <c r="O23" i="24" s="1"/>
  <c r="Q95" i="24"/>
  <c r="O95" i="24" s="1"/>
  <c r="Q143" i="24"/>
  <c r="O143" i="24" s="1"/>
  <c r="Q77" i="24"/>
  <c r="O77" i="24" s="1"/>
  <c r="Q173" i="24"/>
  <c r="O173" i="24" s="1"/>
  <c r="Q54" i="24"/>
  <c r="O54" i="24" s="1"/>
  <c r="Q162" i="24"/>
  <c r="O162" i="24" s="1"/>
  <c r="Q20" i="24"/>
  <c r="O20" i="24" s="1"/>
  <c r="Q32" i="24"/>
  <c r="O32" i="24" s="1"/>
  <c r="Q44" i="24"/>
  <c r="O44" i="24" s="1"/>
  <c r="Q56" i="24"/>
  <c r="O56" i="24" s="1"/>
  <c r="Q68" i="24"/>
  <c r="O68" i="24" s="1"/>
  <c r="Q80" i="24"/>
  <c r="O80" i="24" s="1"/>
  <c r="Q92" i="24"/>
  <c r="O92" i="24" s="1"/>
  <c r="Q116" i="24"/>
  <c r="O116" i="24" s="1"/>
  <c r="Q128" i="24"/>
  <c r="O128" i="24" s="1"/>
  <c r="Q152" i="24"/>
  <c r="O152" i="24" s="1"/>
  <c r="Q153" i="24"/>
  <c r="Q177" i="24"/>
  <c r="Q35" i="24"/>
  <c r="O35" i="24" s="1"/>
  <c r="Q107" i="24"/>
  <c r="O107" i="24" s="1"/>
  <c r="Q131" i="24"/>
  <c r="O131" i="24" s="1"/>
  <c r="Q29" i="24"/>
  <c r="O29" i="24" s="1"/>
  <c r="Q161" i="24"/>
  <c r="O161" i="24" s="1"/>
  <c r="Q102" i="24"/>
  <c r="O102" i="24" s="1"/>
  <c r="Q9" i="24"/>
  <c r="O9" i="24" s="1"/>
  <c r="Q21" i="24"/>
  <c r="O21" i="24" s="1"/>
  <c r="Q33" i="24"/>
  <c r="O33" i="24" s="1"/>
  <c r="Q45" i="24"/>
  <c r="O45" i="24" s="1"/>
  <c r="Q57" i="24"/>
  <c r="O57" i="24" s="1"/>
  <c r="Q69" i="24"/>
  <c r="Q81" i="24"/>
  <c r="O81" i="24" s="1"/>
  <c r="Q93" i="24"/>
  <c r="O93" i="24" s="1"/>
  <c r="Q105" i="24"/>
  <c r="O105" i="24" s="1"/>
  <c r="Q117" i="24"/>
  <c r="O117" i="24" s="1"/>
  <c r="Q141" i="24"/>
  <c r="O141" i="24" s="1"/>
  <c r="Q59" i="24"/>
  <c r="O59" i="24" s="1"/>
  <c r="Q155" i="24"/>
  <c r="O155" i="24" s="1"/>
  <c r="Q89" i="24"/>
  <c r="O89" i="24" s="1"/>
  <c r="Q137" i="24"/>
  <c r="O137" i="24" s="1"/>
  <c r="Q30" i="24"/>
  <c r="O30" i="24" s="1"/>
  <c r="Q150" i="24"/>
  <c r="O150" i="24" s="1"/>
  <c r="Q10" i="24"/>
  <c r="O10" i="24" s="1"/>
  <c r="Q22" i="24"/>
  <c r="O22" i="24" s="1"/>
  <c r="Q34" i="24"/>
  <c r="O34" i="24" s="1"/>
  <c r="Q46" i="24"/>
  <c r="O46" i="24" s="1"/>
  <c r="Q58" i="24"/>
  <c r="O58" i="24" s="1"/>
  <c r="Q70" i="24"/>
  <c r="O70" i="24" s="1"/>
  <c r="Q82" i="24"/>
  <c r="Q94" i="24"/>
  <c r="O94" i="24" s="1"/>
  <c r="Q106" i="24"/>
  <c r="O106" i="24" s="1"/>
  <c r="Q118" i="24"/>
  <c r="O118" i="24" s="1"/>
  <c r="Q130" i="24"/>
  <c r="O130" i="24" s="1"/>
  <c r="Q142" i="24"/>
  <c r="O142" i="24" s="1"/>
  <c r="Q154" i="24"/>
  <c r="O154" i="24" s="1"/>
  <c r="Q166" i="24"/>
  <c r="O166" i="24" s="1"/>
  <c r="Q178" i="24"/>
  <c r="O178" i="24" s="1"/>
  <c r="Q47" i="24"/>
  <c r="O47" i="24" s="1"/>
  <c r="Q83" i="24"/>
  <c r="O83" i="24" s="1"/>
  <c r="Q119" i="24"/>
  <c r="O119" i="24" s="1"/>
  <c r="Q179" i="24"/>
  <c r="O179" i="24" s="1"/>
  <c r="Q17" i="24"/>
  <c r="O17" i="24" s="1"/>
  <c r="Q8" i="24"/>
  <c r="O8" i="24" s="1"/>
  <c r="Q126" i="24"/>
  <c r="O126" i="24" s="1"/>
  <c r="Q11" i="24"/>
  <c r="O11" i="24" s="1"/>
  <c r="Q71" i="24"/>
  <c r="O71" i="24" s="1"/>
  <c r="Q167" i="24"/>
  <c r="O167" i="24" s="1"/>
  <c r="Q101" i="24"/>
  <c r="O101" i="24" s="1"/>
  <c r="Q149" i="24"/>
  <c r="O149" i="24" s="1"/>
  <c r="Q78" i="24"/>
  <c r="O78" i="24" s="1"/>
  <c r="Q12" i="24"/>
  <c r="O12" i="24" s="1"/>
  <c r="Q24" i="24"/>
  <c r="O24" i="24" s="1"/>
  <c r="Q36" i="24"/>
  <c r="O36" i="24" s="1"/>
  <c r="Q48" i="24"/>
  <c r="O48" i="24" s="1"/>
  <c r="Q60" i="24"/>
  <c r="O60" i="24" s="1"/>
  <c r="Q72" i="24"/>
  <c r="O72" i="24" s="1"/>
  <c r="Q84" i="24"/>
  <c r="O84" i="24" s="1"/>
  <c r="Q96" i="24"/>
  <c r="O96" i="24" s="1"/>
  <c r="Q108" i="24"/>
  <c r="O108" i="24" s="1"/>
  <c r="Q120" i="24"/>
  <c r="O120" i="24" s="1"/>
  <c r="Q132" i="24"/>
  <c r="O132" i="24" s="1"/>
  <c r="Q144" i="24"/>
  <c r="O144" i="24" s="1"/>
  <c r="Q156" i="24"/>
  <c r="O156" i="24" s="1"/>
  <c r="Q168" i="24"/>
  <c r="O168" i="24" s="1"/>
  <c r="Q180" i="24"/>
  <c r="O180" i="24" s="1"/>
  <c r="Q13" i="24"/>
  <c r="O13" i="24" s="1"/>
  <c r="Q25" i="24"/>
  <c r="O25" i="24" s="1"/>
  <c r="Q37" i="24"/>
  <c r="O37" i="24" s="1"/>
  <c r="Q49" i="24"/>
  <c r="O49" i="24" s="1"/>
  <c r="Q61" i="24"/>
  <c r="O61" i="24" s="1"/>
  <c r="Q73" i="24"/>
  <c r="O73" i="24" s="1"/>
  <c r="Q85" i="24"/>
  <c r="O85" i="24" s="1"/>
  <c r="Q97" i="24"/>
  <c r="O97" i="24" s="1"/>
  <c r="Q109" i="24"/>
  <c r="O109" i="24" s="1"/>
  <c r="Q121" i="24"/>
  <c r="O121" i="24" s="1"/>
  <c r="Q133" i="24"/>
  <c r="O133" i="24" s="1"/>
  <c r="Q145" i="24"/>
  <c r="O145" i="24" s="1"/>
  <c r="Q157" i="24"/>
  <c r="O157" i="24" s="1"/>
  <c r="Q169" i="24"/>
  <c r="O169" i="24" s="1"/>
  <c r="Q181" i="24"/>
  <c r="O181" i="24" s="1"/>
  <c r="Q123" i="24"/>
  <c r="O123" i="24" s="1"/>
  <c r="Q135" i="24"/>
  <c r="O135" i="24" s="1"/>
  <c r="Q171" i="24"/>
  <c r="O171" i="24" s="1"/>
  <c r="Q14" i="24"/>
  <c r="O14" i="24" s="1"/>
  <c r="Q26" i="24"/>
  <c r="O26" i="24" s="1"/>
  <c r="Q38" i="24"/>
  <c r="O38" i="24" s="1"/>
  <c r="Q50" i="24"/>
  <c r="O50" i="24" s="1"/>
  <c r="Q62" i="24"/>
  <c r="O62" i="24" s="1"/>
  <c r="Q74" i="24"/>
  <c r="O74" i="24" s="1"/>
  <c r="Q86" i="24"/>
  <c r="O86" i="24" s="1"/>
  <c r="Q98" i="24"/>
  <c r="O98" i="24" s="1"/>
  <c r="Q110" i="24"/>
  <c r="O110" i="24" s="1"/>
  <c r="Q122" i="24"/>
  <c r="O122" i="24" s="1"/>
  <c r="Q134" i="24"/>
  <c r="O134" i="24" s="1"/>
  <c r="Q146" i="24"/>
  <c r="O146" i="24" s="1"/>
  <c r="Q158" i="24"/>
  <c r="O158" i="24" s="1"/>
  <c r="Q170" i="24"/>
  <c r="O170" i="24" s="1"/>
  <c r="Q182" i="24"/>
  <c r="O182" i="24" s="1"/>
  <c r="Q111" i="24"/>
  <c r="O111" i="24" s="1"/>
  <c r="Q147" i="24"/>
  <c r="O147" i="24" s="1"/>
  <c r="Q183" i="24"/>
  <c r="O183" i="24" s="1"/>
  <c r="Q65" i="24"/>
  <c r="O65" i="24" s="1"/>
  <c r="Q125" i="24"/>
  <c r="O125" i="24" s="1"/>
  <c r="Q18" i="24"/>
  <c r="O18" i="24" s="1"/>
  <c r="Q66" i="24"/>
  <c r="O66" i="24" s="1"/>
  <c r="Q138" i="24"/>
  <c r="O138" i="24" s="1"/>
  <c r="Q15" i="24"/>
  <c r="O15" i="24" s="1"/>
  <c r="Q27" i="24"/>
  <c r="O27" i="24" s="1"/>
  <c r="Q39" i="24"/>
  <c r="O39" i="24" s="1"/>
  <c r="Q51" i="24"/>
  <c r="O51" i="24" s="1"/>
  <c r="Q63" i="24"/>
  <c r="O63" i="24" s="1"/>
  <c r="Q75" i="24"/>
  <c r="O75" i="24" s="1"/>
  <c r="Q87" i="24"/>
  <c r="O87" i="24" s="1"/>
  <c r="Q99" i="24"/>
  <c r="O99" i="24" s="1"/>
  <c r="Q159" i="24"/>
  <c r="O159" i="24" s="1"/>
  <c r="Q41" i="24"/>
  <c r="O41" i="24" s="1"/>
  <c r="Q114" i="24"/>
  <c r="O114" i="24" s="1"/>
  <c r="Q16" i="24"/>
  <c r="O16" i="24" s="1"/>
  <c r="Q28" i="24"/>
  <c r="O28" i="24" s="1"/>
  <c r="Q40" i="24"/>
  <c r="O40" i="24" s="1"/>
  <c r="Q52" i="24"/>
  <c r="O52" i="24" s="1"/>
  <c r="Q64" i="24"/>
  <c r="O64" i="24" s="1"/>
  <c r="Q76" i="24"/>
  <c r="O76" i="24" s="1"/>
  <c r="Q88" i="24"/>
  <c r="O88" i="24" s="1"/>
  <c r="Q100" i="24"/>
  <c r="O100" i="24" s="1"/>
  <c r="Q112" i="24"/>
  <c r="O112" i="24" s="1"/>
  <c r="Q124" i="24"/>
  <c r="O124" i="24" s="1"/>
  <c r="Q136" i="24"/>
  <c r="O136" i="24" s="1"/>
  <c r="Q148" i="24"/>
  <c r="O148" i="24" s="1"/>
  <c r="Q160" i="24"/>
  <c r="O160" i="24" s="1"/>
  <c r="Q172" i="24"/>
  <c r="O172" i="24" s="1"/>
  <c r="Q184" i="24"/>
  <c r="O184" i="24" s="1"/>
  <c r="Q53" i="24"/>
  <c r="O53" i="24" s="1"/>
  <c r="Q113" i="24"/>
  <c r="O113" i="24" s="1"/>
  <c r="Q42" i="24"/>
  <c r="O42" i="24" s="1"/>
  <c r="Q90" i="24"/>
  <c r="O90" i="24" s="1"/>
  <c r="Q174" i="24"/>
  <c r="O174" i="24" s="1"/>
  <c r="O82" i="24"/>
  <c r="O177" i="24"/>
  <c r="O153" i="24"/>
  <c r="O104" i="24"/>
  <c r="O69" i="24"/>
  <c r="O176" i="24"/>
  <c r="L126" i="23"/>
  <c r="M126" i="23" s="1"/>
  <c r="L129" i="23"/>
  <c r="M129" i="23" s="1"/>
  <c r="L130" i="23"/>
  <c r="M130" i="23" s="1"/>
  <c r="L211" i="23"/>
  <c r="M211" i="23" s="1"/>
  <c r="L134" i="23"/>
  <c r="M134" i="23" s="1"/>
  <c r="AD26" i="24"/>
  <c r="AD174" i="24"/>
  <c r="L131" i="23"/>
  <c r="M131" i="23" s="1"/>
  <c r="L150" i="23"/>
  <c r="M150" i="23" s="1"/>
  <c r="L167" i="23"/>
  <c r="M167" i="23" s="1"/>
  <c r="L184" i="23"/>
  <c r="M184" i="23" s="1"/>
  <c r="AD34" i="24"/>
  <c r="AD178" i="24"/>
  <c r="L222" i="23"/>
  <c r="M222" i="23" s="1"/>
  <c r="L230" i="23"/>
  <c r="M230" i="23" s="1"/>
  <c r="L132" i="23"/>
  <c r="M132" i="23" s="1"/>
  <c r="L152" i="23"/>
  <c r="M152" i="23" s="1"/>
  <c r="L168" i="23"/>
  <c r="M168" i="23" s="1"/>
  <c r="L160" i="23"/>
  <c r="M160" i="23" s="1"/>
  <c r="L182" i="23"/>
  <c r="M182" i="23" s="1"/>
  <c r="AD163" i="24"/>
  <c r="L166" i="23"/>
  <c r="M166" i="23" s="1"/>
  <c r="AD39" i="24"/>
  <c r="AD179" i="24"/>
  <c r="L245" i="23"/>
  <c r="M245" i="23" s="1"/>
  <c r="L136" i="23"/>
  <c r="M136" i="23" s="1"/>
  <c r="L153" i="23"/>
  <c r="M153" i="23" s="1"/>
  <c r="L170" i="23"/>
  <c r="M170" i="23" s="1"/>
  <c r="AD66" i="24"/>
  <c r="L207" i="23"/>
  <c r="M207" i="23" s="1"/>
  <c r="L137" i="23"/>
  <c r="M137" i="23" s="1"/>
  <c r="L154" i="23"/>
  <c r="M154" i="23" s="1"/>
  <c r="L172" i="23"/>
  <c r="M172" i="23" s="1"/>
  <c r="L124" i="23"/>
  <c r="M124" i="23" s="1"/>
  <c r="L254" i="23"/>
  <c r="M254" i="23" s="1"/>
  <c r="L183" i="23"/>
  <c r="M183" i="23" s="1"/>
  <c r="AD81" i="24"/>
  <c r="L138" i="23"/>
  <c r="M138" i="23" s="1"/>
  <c r="L155" i="23"/>
  <c r="M155" i="23" s="1"/>
  <c r="L173" i="23"/>
  <c r="M173" i="23" s="1"/>
  <c r="L261" i="23"/>
  <c r="M261" i="23" s="1"/>
  <c r="L201" i="23"/>
  <c r="M201" i="23" s="1"/>
  <c r="L258" i="23"/>
  <c r="M258" i="23" s="1"/>
  <c r="AD82" i="24"/>
  <c r="L238" i="23"/>
  <c r="M238" i="23" s="1"/>
  <c r="L140" i="23"/>
  <c r="M140" i="23" s="1"/>
  <c r="L158" i="23"/>
  <c r="M158" i="23" s="1"/>
  <c r="L174" i="23"/>
  <c r="M174" i="23" s="1"/>
  <c r="L143" i="23"/>
  <c r="M143" i="23" s="1"/>
  <c r="AD83" i="24"/>
  <c r="L249" i="23"/>
  <c r="M249" i="23" s="1"/>
  <c r="L189" i="23"/>
  <c r="M189" i="23" s="1"/>
  <c r="L141" i="23"/>
  <c r="M141" i="23" s="1"/>
  <c r="L159" i="23"/>
  <c r="M159" i="23" s="1"/>
  <c r="L176" i="23"/>
  <c r="M176" i="23" s="1"/>
  <c r="AD122" i="24"/>
  <c r="L177" i="23"/>
  <c r="M177" i="23" s="1"/>
  <c r="L147" i="23"/>
  <c r="M147" i="23" s="1"/>
  <c r="AD21" i="24"/>
  <c r="L125" i="23"/>
  <c r="M125" i="23" s="1"/>
  <c r="AD124" i="24"/>
  <c r="L244" i="23"/>
  <c r="M244" i="23" s="1"/>
  <c r="L122" i="23"/>
  <c r="M122" i="23" s="1"/>
  <c r="L144" i="23"/>
  <c r="M144" i="23" s="1"/>
  <c r="L161" i="23"/>
  <c r="M161" i="23" s="1"/>
  <c r="L179" i="23"/>
  <c r="M179" i="23" s="1"/>
  <c r="AD129" i="24"/>
  <c r="L215" i="23"/>
  <c r="M215" i="23" s="1"/>
  <c r="L123" i="23"/>
  <c r="M123" i="23" s="1"/>
  <c r="L146" i="23"/>
  <c r="M146" i="23" s="1"/>
  <c r="L162" i="23"/>
  <c r="M162" i="23" s="1"/>
  <c r="L180" i="23"/>
  <c r="M180" i="23" s="1"/>
  <c r="AD136" i="24"/>
  <c r="L165" i="23"/>
  <c r="M165" i="23" s="1"/>
  <c r="L213" i="23"/>
  <c r="M213" i="23" s="1"/>
  <c r="L148" i="23"/>
  <c r="M148" i="23" s="1"/>
  <c r="L62" i="23"/>
  <c r="M62" i="23" s="1"/>
  <c r="S144" i="24"/>
  <c r="S107" i="24"/>
  <c r="L187" i="23"/>
  <c r="M187" i="23" s="1"/>
  <c r="AD18" i="24"/>
  <c r="AD160" i="24"/>
  <c r="AD155" i="24"/>
  <c r="AD148" i="24"/>
  <c r="L260" i="23"/>
  <c r="M260" i="23" s="1"/>
  <c r="AD108" i="24"/>
  <c r="AD157" i="24"/>
  <c r="AD65" i="24"/>
  <c r="AD103" i="24"/>
  <c r="AD104" i="24"/>
  <c r="AD47" i="24"/>
  <c r="AD90" i="24"/>
  <c r="AD93" i="24"/>
  <c r="L275" i="23"/>
  <c r="M275" i="23" s="1"/>
  <c r="AD154" i="24"/>
  <c r="L209" i="23"/>
  <c r="M209" i="23" s="1"/>
  <c r="AD182" i="24"/>
  <c r="R25" i="24"/>
  <c r="R67" i="24"/>
  <c r="R12" i="24"/>
  <c r="S113" i="24"/>
  <c r="S117" i="24"/>
  <c r="S53" i="24"/>
  <c r="S57" i="24"/>
  <c r="S29" i="24"/>
  <c r="S33" i="24"/>
  <c r="R75" i="24"/>
  <c r="R151" i="24"/>
  <c r="R96" i="24"/>
  <c r="R18" i="24"/>
  <c r="R130" i="24"/>
  <c r="R171" i="24"/>
  <c r="R20" i="24"/>
  <c r="R13" i="24"/>
  <c r="S40" i="24"/>
  <c r="S92" i="24"/>
  <c r="S182" i="24"/>
  <c r="L277" i="23"/>
  <c r="M277" i="23" s="1"/>
  <c r="L235" i="23"/>
  <c r="M235" i="23" s="1"/>
  <c r="AD62" i="24"/>
  <c r="AD59" i="24"/>
  <c r="AD54" i="24"/>
  <c r="AD146" i="24"/>
  <c r="AD132" i="24"/>
  <c r="AD37" i="24"/>
  <c r="AD181" i="24"/>
  <c r="AD89" i="24"/>
  <c r="L280" i="23"/>
  <c r="M280" i="23" s="1"/>
  <c r="AD127" i="24"/>
  <c r="AD128" i="24"/>
  <c r="AD88" i="24"/>
  <c r="AD131" i="24"/>
  <c r="AD134" i="24"/>
  <c r="AD35" i="24"/>
  <c r="L250" i="23"/>
  <c r="M250" i="23" s="1"/>
  <c r="AD23" i="24"/>
  <c r="L248" i="23"/>
  <c r="M248" i="23" s="1"/>
  <c r="L243" i="23"/>
  <c r="M243" i="23" s="1"/>
  <c r="AD87" i="24"/>
  <c r="R135" i="24"/>
  <c r="R166" i="24"/>
  <c r="R156" i="24"/>
  <c r="S78" i="24"/>
  <c r="S178" i="24"/>
  <c r="S18" i="24"/>
  <c r="S130" i="24"/>
  <c r="S173" i="24"/>
  <c r="S177" i="24"/>
  <c r="R16" i="24"/>
  <c r="R68" i="24"/>
  <c r="R74" i="24"/>
  <c r="R162" i="24"/>
  <c r="R71" i="24"/>
  <c r="R112" i="24"/>
  <c r="R164" i="24"/>
  <c r="S184" i="24"/>
  <c r="S157" i="24"/>
  <c r="R133" i="24"/>
  <c r="R9" i="24"/>
  <c r="S170" i="24"/>
  <c r="S43" i="24"/>
  <c r="S167" i="24"/>
  <c r="R17" i="24"/>
  <c r="R21" i="24"/>
  <c r="S123" i="24"/>
  <c r="AD46" i="24"/>
  <c r="S136" i="24"/>
  <c r="AD14" i="24"/>
  <c r="L217" i="23"/>
  <c r="M217" i="23" s="1"/>
  <c r="AD100" i="24"/>
  <c r="AD144" i="24"/>
  <c r="AD49" i="24"/>
  <c r="AD101" i="24"/>
  <c r="L281" i="23"/>
  <c r="M281" i="23" s="1"/>
  <c r="AD139" i="24"/>
  <c r="AD140" i="24"/>
  <c r="AD110" i="24"/>
  <c r="L225" i="23"/>
  <c r="M225" i="23" s="1"/>
  <c r="AD151" i="24"/>
  <c r="AD153" i="24"/>
  <c r="L278" i="23"/>
  <c r="M278" i="23" s="1"/>
  <c r="AD57" i="24"/>
  <c r="AD16" i="24"/>
  <c r="L251" i="23"/>
  <c r="M251" i="23" s="1"/>
  <c r="AD45" i="24"/>
  <c r="L257" i="23"/>
  <c r="M257" i="23" s="1"/>
  <c r="AD40" i="24"/>
  <c r="R169" i="24"/>
  <c r="R56" i="24"/>
  <c r="S62" i="24"/>
  <c r="S150" i="24"/>
  <c r="S59" i="24"/>
  <c r="S90" i="24"/>
  <c r="S73" i="24"/>
  <c r="S66" i="24"/>
  <c r="S118" i="24"/>
  <c r="R88" i="24"/>
  <c r="R140" i="24"/>
  <c r="R146" i="24"/>
  <c r="R19" i="24"/>
  <c r="R143" i="24"/>
  <c r="R184" i="24"/>
  <c r="R157" i="24"/>
  <c r="S65" i="24"/>
  <c r="S69" i="24"/>
  <c r="S126" i="24"/>
  <c r="S51" i="24"/>
  <c r="S82" i="24"/>
  <c r="L210" i="23"/>
  <c r="M210" i="23" s="1"/>
  <c r="L185" i="23"/>
  <c r="M185" i="23" s="1"/>
  <c r="L188" i="23"/>
  <c r="M188" i="23" s="1"/>
  <c r="AD156" i="24"/>
  <c r="AD61" i="24"/>
  <c r="AD113" i="24"/>
  <c r="L247" i="23"/>
  <c r="M247" i="23" s="1"/>
  <c r="AD8" i="24"/>
  <c r="AD152" i="24"/>
  <c r="AD130" i="24"/>
  <c r="L226" i="23"/>
  <c r="M226" i="23" s="1"/>
  <c r="AD170" i="24"/>
  <c r="AD171" i="24"/>
  <c r="L224" i="23"/>
  <c r="M224" i="23" s="1"/>
  <c r="AD76" i="24"/>
  <c r="AD38" i="24"/>
  <c r="AD64" i="24"/>
  <c r="L264" i="23"/>
  <c r="M264" i="23" s="1"/>
  <c r="R76" i="24"/>
  <c r="R128" i="24"/>
  <c r="S134" i="24"/>
  <c r="S85" i="24"/>
  <c r="S131" i="24"/>
  <c r="S74" i="24"/>
  <c r="S162" i="24"/>
  <c r="S71" i="24"/>
  <c r="S50" i="24"/>
  <c r="S138" i="24"/>
  <c r="S47" i="24"/>
  <c r="R160" i="24"/>
  <c r="R154" i="24"/>
  <c r="R15" i="24"/>
  <c r="R91" i="24"/>
  <c r="R36" i="24"/>
  <c r="R65" i="24"/>
  <c r="R69" i="24"/>
  <c r="S137" i="24"/>
  <c r="S141" i="24"/>
  <c r="R149" i="24"/>
  <c r="R153" i="24"/>
  <c r="S111" i="24"/>
  <c r="S46" i="24"/>
  <c r="S132" i="24"/>
  <c r="R161" i="24"/>
  <c r="R165" i="24"/>
  <c r="S35" i="24"/>
  <c r="S17" i="24"/>
  <c r="S44" i="24"/>
  <c r="S64" i="24"/>
  <c r="L246" i="23"/>
  <c r="M246" i="23" s="1"/>
  <c r="L236" i="23"/>
  <c r="M236" i="23" s="1"/>
  <c r="AD24" i="24"/>
  <c r="AD168" i="24"/>
  <c r="AD73" i="24"/>
  <c r="AD125" i="24"/>
  <c r="AD19" i="24"/>
  <c r="AD20" i="24"/>
  <c r="AD164" i="24"/>
  <c r="AD150" i="24"/>
  <c r="L227" i="23"/>
  <c r="M227" i="23" s="1"/>
  <c r="AD98" i="24"/>
  <c r="AD58" i="24"/>
  <c r="AD86" i="24"/>
  <c r="L265" i="23"/>
  <c r="M265" i="23" s="1"/>
  <c r="L232" i="23"/>
  <c r="M232" i="23" s="1"/>
  <c r="R148" i="24"/>
  <c r="R94" i="24"/>
  <c r="S181" i="24"/>
  <c r="S79" i="24"/>
  <c r="S24" i="24"/>
  <c r="S146" i="24"/>
  <c r="S19" i="24"/>
  <c r="S143" i="24"/>
  <c r="S122" i="24"/>
  <c r="S142" i="24"/>
  <c r="S119" i="24"/>
  <c r="R41" i="24"/>
  <c r="R45" i="24"/>
  <c r="R87" i="24"/>
  <c r="R163" i="24"/>
  <c r="R108" i="24"/>
  <c r="R137" i="24"/>
  <c r="R141" i="24"/>
  <c r="S30" i="24"/>
  <c r="S109" i="24"/>
  <c r="R42" i="24"/>
  <c r="R10" i="24"/>
  <c r="S183" i="24"/>
  <c r="S32" i="24"/>
  <c r="S49" i="24"/>
  <c r="R54" i="24"/>
  <c r="R70" i="24"/>
  <c r="S55" i="24"/>
  <c r="S21" i="24"/>
  <c r="S161" i="24"/>
  <c r="AD166" i="24"/>
  <c r="L240" i="23"/>
  <c r="M240" i="23" s="1"/>
  <c r="L242" i="23"/>
  <c r="M242" i="23" s="1"/>
  <c r="AD36" i="24"/>
  <c r="AD180" i="24"/>
  <c r="AD85" i="24"/>
  <c r="AD137" i="24"/>
  <c r="AD31" i="24"/>
  <c r="AD32" i="24"/>
  <c r="AD176" i="24"/>
  <c r="AD167" i="24"/>
  <c r="L193" i="23"/>
  <c r="M193" i="23" s="1"/>
  <c r="AD33" i="24"/>
  <c r="L271" i="23"/>
  <c r="M271" i="23" s="1"/>
  <c r="AD118" i="24"/>
  <c r="Z4" i="24"/>
  <c r="AD106" i="24"/>
  <c r="R29" i="24"/>
  <c r="R33" i="24"/>
  <c r="S75" i="24"/>
  <c r="S151" i="24"/>
  <c r="S96" i="24"/>
  <c r="S15" i="24"/>
  <c r="S91" i="24"/>
  <c r="S36" i="24"/>
  <c r="S25" i="24"/>
  <c r="S67" i="24"/>
  <c r="S12" i="24"/>
  <c r="R113" i="24"/>
  <c r="R117" i="24"/>
  <c r="R159" i="24"/>
  <c r="R8" i="24"/>
  <c r="R180" i="24"/>
  <c r="R30" i="24"/>
  <c r="R109" i="24"/>
  <c r="S14" i="24"/>
  <c r="S102" i="24"/>
  <c r="S11" i="24"/>
  <c r="R26" i="24"/>
  <c r="R114" i="24"/>
  <c r="R23" i="24"/>
  <c r="S52" i="24"/>
  <c r="S104" i="24"/>
  <c r="R38" i="24"/>
  <c r="R126" i="24"/>
  <c r="R35" i="24"/>
  <c r="S38" i="24"/>
  <c r="S116" i="24"/>
  <c r="S179" i="24"/>
  <c r="S106" i="24"/>
  <c r="AD123" i="24"/>
  <c r="L252" i="23"/>
  <c r="M252" i="23" s="1"/>
  <c r="L266" i="23"/>
  <c r="M266" i="23" s="1"/>
  <c r="AD48" i="24"/>
  <c r="AD97" i="24"/>
  <c r="AD149" i="24"/>
  <c r="AD43" i="24"/>
  <c r="AD44" i="24"/>
  <c r="L197" i="23"/>
  <c r="M197" i="23" s="1"/>
  <c r="AD52" i="24"/>
  <c r="AD138" i="24"/>
  <c r="AD99" i="24"/>
  <c r="AD126" i="24"/>
  <c r="AD184" i="24"/>
  <c r="R101" i="24"/>
  <c r="R105" i="24"/>
  <c r="S147" i="24"/>
  <c r="S121" i="24"/>
  <c r="S168" i="24"/>
  <c r="S87" i="24"/>
  <c r="S163" i="24"/>
  <c r="S108" i="24"/>
  <c r="S63" i="24"/>
  <c r="S139" i="24"/>
  <c r="S84" i="24"/>
  <c r="R97" i="24"/>
  <c r="R58" i="24"/>
  <c r="R28" i="24"/>
  <c r="R80" i="24"/>
  <c r="R14" i="24"/>
  <c r="R102" i="24"/>
  <c r="R11" i="24"/>
  <c r="S86" i="24"/>
  <c r="S174" i="24"/>
  <c r="S83" i="24"/>
  <c r="R98" i="24"/>
  <c r="R22" i="24"/>
  <c r="R95" i="24"/>
  <c r="S124" i="24"/>
  <c r="S176" i="24"/>
  <c r="R110" i="24"/>
  <c r="R82" i="24"/>
  <c r="R107" i="24"/>
  <c r="S37" i="24"/>
  <c r="S93" i="24"/>
  <c r="S165" i="24"/>
  <c r="AD75" i="24"/>
  <c r="L263" i="23"/>
  <c r="M263" i="23" s="1"/>
  <c r="AD60" i="24"/>
  <c r="AD109" i="24"/>
  <c r="AD17" i="24"/>
  <c r="AD161" i="24"/>
  <c r="AD55" i="24"/>
  <c r="AD56" i="24"/>
  <c r="AD9" i="24"/>
  <c r="L269" i="23"/>
  <c r="M269" i="23" s="1"/>
  <c r="AD10" i="24"/>
  <c r="AD74" i="24"/>
  <c r="AD158" i="24"/>
  <c r="AD119" i="24"/>
  <c r="L195" i="23"/>
  <c r="M195" i="23" s="1"/>
  <c r="AD147" i="24"/>
  <c r="AD143" i="24"/>
  <c r="R173" i="24"/>
  <c r="R177" i="24"/>
  <c r="S16" i="24"/>
  <c r="S68" i="24"/>
  <c r="S159" i="24"/>
  <c r="S8" i="24"/>
  <c r="S180" i="24"/>
  <c r="S135" i="24"/>
  <c r="S166" i="24"/>
  <c r="S156" i="24"/>
  <c r="R78" i="24"/>
  <c r="X4" i="24" s="1"/>
  <c r="R178" i="24"/>
  <c r="R100" i="24"/>
  <c r="R152" i="24"/>
  <c r="R86" i="24"/>
  <c r="R174" i="24"/>
  <c r="R83" i="24"/>
  <c r="S158" i="24"/>
  <c r="S31" i="24"/>
  <c r="S155" i="24"/>
  <c r="R170" i="24"/>
  <c r="R43" i="24"/>
  <c r="R167" i="24"/>
  <c r="S133" i="24"/>
  <c r="S9" i="24"/>
  <c r="R182" i="24"/>
  <c r="R55" i="24"/>
  <c r="R179" i="24"/>
  <c r="L223" i="23"/>
  <c r="M223" i="23" s="1"/>
  <c r="AD117" i="24"/>
  <c r="AD29" i="24"/>
  <c r="AD115" i="24"/>
  <c r="AD112" i="24"/>
  <c r="AD135" i="24"/>
  <c r="AD175" i="24"/>
  <c r="R50" i="24"/>
  <c r="S160" i="24"/>
  <c r="S100" i="24"/>
  <c r="R147" i="24"/>
  <c r="R90" i="24"/>
  <c r="R92" i="24"/>
  <c r="S164" i="24"/>
  <c r="R46" i="24"/>
  <c r="S149" i="24"/>
  <c r="R123" i="24"/>
  <c r="R144" i="24"/>
  <c r="AD63" i="24"/>
  <c r="AD41" i="24"/>
  <c r="AD68" i="24"/>
  <c r="AD172" i="24"/>
  <c r="R122" i="24"/>
  <c r="S41" i="24"/>
  <c r="S172" i="24"/>
  <c r="S169" i="24"/>
  <c r="R150" i="24"/>
  <c r="R61" i="24"/>
  <c r="R155" i="24"/>
  <c r="S48" i="24"/>
  <c r="R32" i="24"/>
  <c r="S42" i="24"/>
  <c r="R37" i="24"/>
  <c r="R145" i="24"/>
  <c r="L205" i="23"/>
  <c r="M205" i="23" s="1"/>
  <c r="L228" i="23"/>
  <c r="M228" i="23" s="1"/>
  <c r="AD25" i="24"/>
  <c r="AD53" i="24"/>
  <c r="AD80" i="24"/>
  <c r="L206" i="23"/>
  <c r="M206" i="23" s="1"/>
  <c r="R63" i="24"/>
  <c r="S97" i="24"/>
  <c r="S125" i="24"/>
  <c r="S76" i="24"/>
  <c r="R85" i="24"/>
  <c r="R57" i="24"/>
  <c r="R48" i="24"/>
  <c r="S120" i="24"/>
  <c r="R104" i="24"/>
  <c r="S114" i="24"/>
  <c r="R64" i="24"/>
  <c r="AD22" i="24"/>
  <c r="L253" i="23"/>
  <c r="M253" i="23" s="1"/>
  <c r="AD121" i="24"/>
  <c r="AD77" i="24"/>
  <c r="AD92" i="24"/>
  <c r="R66" i="24"/>
  <c r="S140" i="24"/>
  <c r="S80" i="24"/>
  <c r="S148" i="24"/>
  <c r="R79" i="24"/>
  <c r="R129" i="24"/>
  <c r="R120" i="24"/>
  <c r="S13" i="24"/>
  <c r="R176" i="24"/>
  <c r="S22" i="24"/>
  <c r="R136" i="24"/>
  <c r="S89" i="24"/>
  <c r="S110" i="24"/>
  <c r="L202" i="23"/>
  <c r="M202" i="23" s="1"/>
  <c r="AD133" i="24"/>
  <c r="AD173" i="24"/>
  <c r="AD116" i="24"/>
  <c r="R138" i="24"/>
  <c r="S154" i="24"/>
  <c r="S152" i="24"/>
  <c r="S101" i="24"/>
  <c r="R121" i="24"/>
  <c r="R73" i="24"/>
  <c r="R81" i="24"/>
  <c r="S115" i="24"/>
  <c r="R89" i="24"/>
  <c r="S127" i="24"/>
  <c r="S54" i="24"/>
  <c r="L194" i="23"/>
  <c r="M194" i="23" s="1"/>
  <c r="AD105" i="24"/>
  <c r="AD72" i="24"/>
  <c r="AD145" i="24"/>
  <c r="R142" i="24"/>
  <c r="S45" i="24"/>
  <c r="S61" i="24"/>
  <c r="S56" i="24"/>
  <c r="R59" i="24"/>
  <c r="R158" i="24"/>
  <c r="S27" i="24"/>
  <c r="R39" i="24"/>
  <c r="R60" i="24"/>
  <c r="S81" i="24"/>
  <c r="R127" i="24"/>
  <c r="L181" i="23"/>
  <c r="M181" i="23" s="1"/>
  <c r="S70" i="24"/>
  <c r="S34" i="24"/>
  <c r="AD84" i="24"/>
  <c r="AD169" i="24"/>
  <c r="L272" i="23"/>
  <c r="M272" i="23" s="1"/>
  <c r="AD141" i="24"/>
  <c r="L237" i="23"/>
  <c r="M237" i="23" s="1"/>
  <c r="R139" i="24"/>
  <c r="S58" i="24"/>
  <c r="S129" i="24"/>
  <c r="S128" i="24"/>
  <c r="R131" i="24"/>
  <c r="R27" i="24"/>
  <c r="S99" i="24"/>
  <c r="R111" i="24"/>
  <c r="R132" i="24"/>
  <c r="S153" i="24"/>
  <c r="R106" i="24"/>
  <c r="L171" i="23"/>
  <c r="M171" i="23" s="1"/>
  <c r="L178" i="23"/>
  <c r="M178" i="23" s="1"/>
  <c r="L169" i="23"/>
  <c r="M169" i="23" s="1"/>
  <c r="AD96" i="24"/>
  <c r="AD28" i="24"/>
  <c r="L273" i="23"/>
  <c r="M273" i="23" s="1"/>
  <c r="AD159" i="24"/>
  <c r="AD165" i="24"/>
  <c r="R118" i="24"/>
  <c r="S94" i="24"/>
  <c r="R24" i="24"/>
  <c r="R99" i="24"/>
  <c r="S171" i="24"/>
  <c r="R183" i="24"/>
  <c r="R49" i="24"/>
  <c r="S10" i="24"/>
  <c r="R44" i="24"/>
  <c r="AD120" i="24"/>
  <c r="AD50" i="24"/>
  <c r="L186" i="23"/>
  <c r="M186" i="23" s="1"/>
  <c r="AD177" i="24"/>
  <c r="AD183" i="24"/>
  <c r="R47" i="24"/>
  <c r="S105" i="24"/>
  <c r="R168" i="24"/>
  <c r="R40" i="24"/>
  <c r="S112" i="24"/>
  <c r="R52" i="24"/>
  <c r="S26" i="24"/>
  <c r="S23" i="24"/>
  <c r="R116" i="24"/>
  <c r="S72" i="24"/>
  <c r="S145" i="24"/>
  <c r="L239" i="23"/>
  <c r="M239" i="23" s="1"/>
  <c r="AD107" i="24"/>
  <c r="AD67" i="24"/>
  <c r="AD27" i="24"/>
  <c r="AD70" i="24"/>
  <c r="AD30" i="24"/>
  <c r="R119" i="24"/>
  <c r="R62" i="24"/>
  <c r="R172" i="24"/>
  <c r="R31" i="24"/>
  <c r="S103" i="24"/>
  <c r="R124" i="24"/>
  <c r="S98" i="24"/>
  <c r="S95" i="24"/>
  <c r="R34" i="24"/>
  <c r="L234" i="23"/>
  <c r="M234" i="23" s="1"/>
  <c r="AD102" i="24"/>
  <c r="AD79" i="24"/>
  <c r="AD69" i="24"/>
  <c r="AD111" i="24"/>
  <c r="AD51" i="24"/>
  <c r="AD94" i="24"/>
  <c r="AD95" i="24"/>
  <c r="AD142" i="24"/>
  <c r="R84" i="24"/>
  <c r="R134" i="24"/>
  <c r="R53" i="24"/>
  <c r="R103" i="24"/>
  <c r="S175" i="24"/>
  <c r="R77" i="24"/>
  <c r="S39" i="24"/>
  <c r="S60" i="24"/>
  <c r="R93" i="24"/>
  <c r="L121" i="23"/>
  <c r="M121" i="23" s="1"/>
  <c r="L151" i="23"/>
  <c r="M151" i="23" s="1"/>
  <c r="R181" i="24"/>
  <c r="L175" i="23"/>
  <c r="M175" i="23" s="1"/>
  <c r="AD114" i="24"/>
  <c r="R125" i="24"/>
  <c r="R175" i="24"/>
  <c r="L142" i="23"/>
  <c r="M142" i="23" s="1"/>
  <c r="L139" i="23"/>
  <c r="M139" i="23" s="1"/>
  <c r="L128" i="23"/>
  <c r="M128" i="23" s="1"/>
  <c r="L127" i="23"/>
  <c r="M127" i="23" s="1"/>
  <c r="S20" i="24"/>
  <c r="L157" i="23"/>
  <c r="M157" i="23" s="1"/>
  <c r="R115" i="24"/>
  <c r="L145" i="23"/>
  <c r="M145" i="23" s="1"/>
  <c r="L133" i="23"/>
  <c r="M133" i="23" s="1"/>
  <c r="AD71" i="24"/>
  <c r="S77" i="24"/>
  <c r="R51" i="24"/>
  <c r="L164" i="23"/>
  <c r="M164" i="23" s="1"/>
  <c r="AD91" i="24"/>
  <c r="R72" i="24"/>
  <c r="L149" i="23"/>
  <c r="M149" i="23" s="1"/>
  <c r="AD162" i="24"/>
  <c r="S88" i="24"/>
  <c r="AD15" i="24"/>
  <c r="S28" i="24"/>
  <c r="AD42" i="24"/>
  <c r="L135" i="23"/>
  <c r="M135" i="23" s="1"/>
  <c r="L156" i="23"/>
  <c r="M156" i="23" s="1"/>
  <c r="L163" i="23"/>
  <c r="M163" i="23" s="1"/>
  <c r="G99" i="24"/>
  <c r="G115" i="24"/>
  <c r="G104" i="24"/>
  <c r="F79" i="24"/>
  <c r="G97" i="24"/>
  <c r="G106" i="24"/>
  <c r="G109" i="24"/>
  <c r="G95" i="24"/>
  <c r="F73" i="24"/>
  <c r="G90" i="24"/>
  <c r="G89" i="24"/>
  <c r="F118" i="24"/>
  <c r="G85" i="24"/>
  <c r="G87" i="24"/>
  <c r="BJ63" i="24"/>
  <c r="AO63" i="24"/>
  <c r="F109" i="24"/>
  <c r="K18" i="22"/>
  <c r="J18" i="22"/>
  <c r="K23" i="22"/>
  <c r="J23" i="22"/>
  <c r="K17" i="22"/>
  <c r="J17" i="22"/>
  <c r="K11" i="22"/>
  <c r="J11" i="22"/>
  <c r="K22" i="22"/>
  <c r="J22" i="22"/>
  <c r="K16" i="22"/>
  <c r="J16" i="22"/>
  <c r="K10" i="22"/>
  <c r="J10" i="22"/>
  <c r="K21" i="22"/>
  <c r="J21" i="22"/>
  <c r="J15" i="22"/>
  <c r="K15" i="22"/>
  <c r="K9" i="22"/>
  <c r="J9" i="22"/>
  <c r="J14" i="22"/>
  <c r="K14" i="22"/>
  <c r="K20" i="22"/>
  <c r="J20" i="22"/>
  <c r="K25" i="22"/>
  <c r="J25" i="22"/>
  <c r="K8" i="22"/>
  <c r="J8" i="22"/>
  <c r="K13" i="22"/>
  <c r="J13" i="22"/>
  <c r="K19" i="22"/>
  <c r="J19" i="22"/>
  <c r="K24" i="22"/>
  <c r="J24" i="22"/>
  <c r="K12" i="22"/>
  <c r="J12" i="22"/>
  <c r="K28" i="22"/>
  <c r="J28" i="22"/>
  <c r="K27" i="22"/>
  <c r="J27" i="22"/>
  <c r="K26" i="22"/>
  <c r="J26" i="22"/>
  <c r="J109" i="22"/>
  <c r="K109" i="22"/>
  <c r="K97" i="22"/>
  <c r="J97" i="22"/>
  <c r="K85" i="22"/>
  <c r="J85" i="22"/>
  <c r="J73" i="22"/>
  <c r="K73" i="22"/>
  <c r="K62" i="22"/>
  <c r="J62" i="22"/>
  <c r="J96" i="22"/>
  <c r="K96" i="22"/>
  <c r="J84" i="22"/>
  <c r="K84" i="22"/>
  <c r="K72" i="22"/>
  <c r="J72" i="22"/>
  <c r="J107" i="22"/>
  <c r="K107" i="22"/>
  <c r="J95" i="22"/>
  <c r="K95" i="22"/>
  <c r="K83" i="22"/>
  <c r="J83" i="22"/>
  <c r="K71" i="22"/>
  <c r="J71" i="22"/>
  <c r="J120" i="22"/>
  <c r="K120" i="22"/>
  <c r="J106" i="22"/>
  <c r="K106" i="22"/>
  <c r="K94" i="22"/>
  <c r="J94" i="22"/>
  <c r="K82" i="22"/>
  <c r="J82" i="22"/>
  <c r="K70" i="22"/>
  <c r="J70" i="22"/>
  <c r="K117" i="22"/>
  <c r="J117" i="22"/>
  <c r="K105" i="22"/>
  <c r="J105" i="22"/>
  <c r="K93" i="22"/>
  <c r="J93" i="22"/>
  <c r="J81" i="22"/>
  <c r="K81" i="22"/>
  <c r="J69" i="22"/>
  <c r="K69" i="22"/>
  <c r="J116" i="22"/>
  <c r="K116" i="22"/>
  <c r="J104" i="22"/>
  <c r="K104" i="22"/>
  <c r="K92" i="22"/>
  <c r="J92" i="22"/>
  <c r="K80" i="22"/>
  <c r="J80" i="22"/>
  <c r="J68" i="22"/>
  <c r="K68" i="22"/>
  <c r="J119" i="22"/>
  <c r="K119" i="22"/>
  <c r="K115" i="22"/>
  <c r="J115" i="22"/>
  <c r="J103" i="22"/>
  <c r="K103" i="22"/>
  <c r="J91" i="22"/>
  <c r="K91" i="22"/>
  <c r="J79" i="22"/>
  <c r="K79" i="22"/>
  <c r="K67" i="22"/>
  <c r="J67" i="22"/>
  <c r="J126" i="22"/>
  <c r="K126" i="22"/>
  <c r="K114" i="22"/>
  <c r="J114" i="22"/>
  <c r="J102" i="22"/>
  <c r="K102" i="22"/>
  <c r="J90" i="22"/>
  <c r="K90" i="22"/>
  <c r="J78" i="22"/>
  <c r="K78" i="22"/>
  <c r="J66" i="22"/>
  <c r="K66" i="22"/>
  <c r="J127" i="22"/>
  <c r="K127" i="22"/>
  <c r="K108" i="22"/>
  <c r="J108" i="22"/>
  <c r="J125" i="22"/>
  <c r="K125" i="22"/>
  <c r="J113" i="22"/>
  <c r="K113" i="22"/>
  <c r="K101" i="22"/>
  <c r="J101" i="22"/>
  <c r="J89" i="22"/>
  <c r="K89" i="22"/>
  <c r="J77" i="22"/>
  <c r="K77" i="22"/>
  <c r="K65" i="22"/>
  <c r="J65" i="22"/>
  <c r="Y127" i="22"/>
  <c r="J124" i="22"/>
  <c r="K124" i="22"/>
  <c r="J112" i="22"/>
  <c r="K112" i="22"/>
  <c r="K100" i="22"/>
  <c r="J100" i="22"/>
  <c r="J88" i="22"/>
  <c r="K88" i="22"/>
  <c r="K76" i="22"/>
  <c r="J76" i="22"/>
  <c r="K64" i="22"/>
  <c r="J64" i="22"/>
  <c r="R127" i="22"/>
  <c r="Q127" i="22"/>
  <c r="F127" i="22"/>
  <c r="J123" i="22"/>
  <c r="K123" i="22"/>
  <c r="K111" i="22"/>
  <c r="J111" i="22"/>
  <c r="K99" i="22"/>
  <c r="J99" i="22"/>
  <c r="J87" i="22"/>
  <c r="K87" i="22"/>
  <c r="K75" i="22"/>
  <c r="J75" i="22"/>
  <c r="J63" i="22"/>
  <c r="K63" i="22"/>
  <c r="K121" i="22"/>
  <c r="J121" i="22"/>
  <c r="J118" i="22"/>
  <c r="K118" i="22"/>
  <c r="K122" i="22"/>
  <c r="J122" i="22"/>
  <c r="J110" i="22"/>
  <c r="K110" i="22"/>
  <c r="J98" i="22"/>
  <c r="K98" i="22"/>
  <c r="K86" i="22"/>
  <c r="J86" i="22"/>
  <c r="K74" i="22"/>
  <c r="J74" i="22"/>
  <c r="F85" i="24"/>
  <c r="F97" i="24"/>
  <c r="F115" i="24"/>
  <c r="F87" i="24"/>
  <c r="F104" i="24"/>
  <c r="F90" i="24"/>
  <c r="F95" i="24"/>
  <c r="G117" i="24"/>
  <c r="F117" i="24"/>
  <c r="G121" i="24"/>
  <c r="G77" i="24"/>
  <c r="F77" i="24"/>
  <c r="G88" i="24"/>
  <c r="F88" i="24"/>
  <c r="G110" i="24"/>
  <c r="F110" i="24"/>
  <c r="G116" i="24"/>
  <c r="F116" i="24"/>
  <c r="G67" i="24"/>
  <c r="F67" i="24"/>
  <c r="F68" i="24"/>
  <c r="G113" i="24"/>
  <c r="F113" i="24"/>
  <c r="G92" i="24"/>
  <c r="F92" i="24"/>
  <c r="G98" i="24"/>
  <c r="F98" i="24"/>
  <c r="G72" i="24"/>
  <c r="F72" i="24"/>
  <c r="G93" i="24"/>
  <c r="F93" i="24"/>
  <c r="G101" i="24"/>
  <c r="F101" i="24"/>
  <c r="G105" i="24"/>
  <c r="F105" i="24"/>
  <c r="G112" i="24"/>
  <c r="F112" i="24"/>
  <c r="F106" i="24"/>
  <c r="G102" i="24"/>
  <c r="F102" i="24"/>
  <c r="G70" i="24"/>
  <c r="F70" i="24"/>
  <c r="G86" i="24"/>
  <c r="F86" i="24"/>
  <c r="F111" i="24"/>
  <c r="G100" i="24"/>
  <c r="F100" i="24"/>
  <c r="G83" i="24"/>
  <c r="F83" i="24"/>
  <c r="G103" i="24"/>
  <c r="F103" i="24"/>
  <c r="G108" i="24"/>
  <c r="F108" i="24"/>
  <c r="G76" i="24"/>
  <c r="F76" i="24"/>
  <c r="G91" i="24"/>
  <c r="F91" i="24"/>
  <c r="G84" i="24"/>
  <c r="F84" i="24"/>
  <c r="G80" i="24"/>
  <c r="F80" i="24"/>
  <c r="G107" i="24"/>
  <c r="F107" i="24"/>
  <c r="G82" i="24"/>
  <c r="F82" i="24"/>
  <c r="G96" i="24"/>
  <c r="F96" i="24"/>
  <c r="G81" i="24"/>
  <c r="F81" i="24"/>
  <c r="G114" i="24"/>
  <c r="F114" i="24"/>
  <c r="G118" i="24"/>
  <c r="G66" i="24"/>
  <c r="G94" i="24"/>
  <c r="F94" i="24"/>
  <c r="G75" i="24"/>
  <c r="F75" i="24"/>
  <c r="G78" i="24"/>
  <c r="F78" i="24"/>
  <c r="G69" i="24"/>
  <c r="F69" i="24"/>
  <c r="G74" i="24"/>
  <c r="F74" i="24"/>
  <c r="F99" i="24"/>
  <c r="G71" i="24"/>
  <c r="F71" i="24"/>
  <c r="F89" i="24"/>
  <c r="G63" i="24"/>
  <c r="BY50" i="24"/>
  <c r="BY12" i="24"/>
  <c r="BY49" i="24"/>
  <c r="BY11" i="24"/>
  <c r="AD78" i="24" l="1"/>
  <c r="P27" i="23"/>
  <c r="L27" i="23"/>
  <c r="M27" i="23" s="1"/>
  <c r="P218" i="23"/>
  <c r="L218" i="23"/>
  <c r="M218" i="23" s="1"/>
  <c r="P17" i="23"/>
  <c r="L17" i="23"/>
  <c r="M17" i="23" s="1"/>
  <c r="P19" i="23"/>
  <c r="L19" i="23"/>
  <c r="M19" i="23" s="1"/>
  <c r="P204" i="23"/>
  <c r="L204" i="23"/>
  <c r="M204" i="23" s="1"/>
  <c r="P39" i="23"/>
  <c r="L39" i="23"/>
  <c r="M39" i="23" s="1"/>
  <c r="P44" i="23"/>
  <c r="L44" i="23"/>
  <c r="M44" i="23" s="1"/>
  <c r="P11" i="23"/>
  <c r="L11" i="23"/>
  <c r="M11" i="23" s="1"/>
  <c r="P191" i="23"/>
  <c r="L191" i="23"/>
  <c r="M191" i="23" s="1"/>
  <c r="P55" i="23"/>
  <c r="L55" i="23"/>
  <c r="M55" i="23" s="1"/>
  <c r="P196" i="23"/>
  <c r="L196" i="23"/>
  <c r="M196" i="23" s="1"/>
  <c r="P200" i="23"/>
  <c r="L200" i="23"/>
  <c r="M200" i="23" s="1"/>
  <c r="P221" i="23"/>
  <c r="L221" i="23"/>
  <c r="M221" i="23" s="1"/>
  <c r="P192" i="23"/>
  <c r="L192" i="23"/>
  <c r="M192" i="23" s="1"/>
  <c r="P30" i="23"/>
  <c r="L30" i="23"/>
  <c r="M30" i="23" s="1"/>
  <c r="P9" i="23"/>
  <c r="L9" i="23"/>
  <c r="M9" i="23" s="1"/>
  <c r="P58" i="23"/>
  <c r="L58" i="23"/>
  <c r="M58" i="23" s="1"/>
  <c r="P38" i="23"/>
  <c r="L38" i="23"/>
  <c r="M38" i="23" s="1"/>
  <c r="P25" i="23"/>
  <c r="L25" i="23"/>
  <c r="M25" i="23" s="1"/>
  <c r="P12" i="23"/>
  <c r="L12" i="23"/>
  <c r="M12" i="23" s="1"/>
  <c r="P203" i="23"/>
  <c r="L203" i="23"/>
  <c r="M203" i="23" s="1"/>
  <c r="P256" i="23"/>
  <c r="L256" i="23"/>
  <c r="M256" i="23" s="1"/>
  <c r="P279" i="23"/>
  <c r="L279" i="23"/>
  <c r="M279" i="23" s="1"/>
  <c r="P274" i="23"/>
  <c r="L274" i="23"/>
  <c r="M274" i="23" s="1"/>
  <c r="P22" i="23"/>
  <c r="L22" i="23"/>
  <c r="M22" i="23" s="1"/>
  <c r="P33" i="23"/>
  <c r="L33" i="23"/>
  <c r="M33" i="23" s="1"/>
  <c r="P29" i="23"/>
  <c r="L29" i="23"/>
  <c r="M29" i="23" s="1"/>
  <c r="P14" i="23"/>
  <c r="L14" i="23"/>
  <c r="M14" i="23" s="1"/>
  <c r="P40" i="23"/>
  <c r="L40" i="23"/>
  <c r="M40" i="23" s="1"/>
  <c r="P49" i="23"/>
  <c r="L49" i="23"/>
  <c r="M49" i="23" s="1"/>
  <c r="P37" i="23"/>
  <c r="L37" i="23"/>
  <c r="M37" i="23" s="1"/>
  <c r="P190" i="23"/>
  <c r="L190" i="23"/>
  <c r="M190" i="23" s="1"/>
  <c r="P41" i="23"/>
  <c r="L41" i="23"/>
  <c r="M41" i="23" s="1"/>
  <c r="P8" i="23"/>
  <c r="L8" i="23"/>
  <c r="M8" i="23" s="1"/>
  <c r="P255" i="23"/>
  <c r="L255" i="23"/>
  <c r="M255" i="23" s="1"/>
  <c r="P53" i="23"/>
  <c r="L53" i="23"/>
  <c r="M53" i="23" s="1"/>
  <c r="P51" i="23"/>
  <c r="L51" i="23"/>
  <c r="M51" i="23" s="1"/>
  <c r="P28" i="23"/>
  <c r="L28" i="23"/>
  <c r="M28" i="23" s="1"/>
  <c r="P50" i="23"/>
  <c r="L50" i="23"/>
  <c r="M50" i="23" s="1"/>
  <c r="P220" i="23"/>
  <c r="L220" i="23"/>
  <c r="M220" i="23" s="1"/>
  <c r="P23" i="23"/>
  <c r="L23" i="23"/>
  <c r="M23" i="23" s="1"/>
  <c r="P26" i="23"/>
  <c r="L26" i="23"/>
  <c r="M26" i="23" s="1"/>
  <c r="P61" i="23"/>
  <c r="L61" i="23"/>
  <c r="M61" i="23" s="1"/>
  <c r="P198" i="23"/>
  <c r="L198" i="23"/>
  <c r="M198" i="23" s="1"/>
  <c r="P18" i="23"/>
  <c r="L18" i="23"/>
  <c r="M18" i="23" s="1"/>
  <c r="P32" i="23"/>
  <c r="L32" i="23"/>
  <c r="M32" i="23" s="1"/>
  <c r="P10" i="23"/>
  <c r="L10" i="23"/>
  <c r="M10" i="23" s="1"/>
  <c r="P276" i="23"/>
  <c r="L276" i="23"/>
  <c r="M276" i="23" s="1"/>
  <c r="P267" i="23"/>
  <c r="L267" i="23"/>
  <c r="M267" i="23" s="1"/>
  <c r="P219" i="23"/>
  <c r="L219" i="23"/>
  <c r="M219" i="23" s="1"/>
  <c r="P268" i="23"/>
  <c r="L268" i="23"/>
  <c r="M268" i="23" s="1"/>
  <c r="P15" i="23"/>
  <c r="L15" i="23"/>
  <c r="M15" i="23" s="1"/>
  <c r="P214" i="23"/>
  <c r="L214" i="23"/>
  <c r="M214" i="23" s="1"/>
  <c r="P60" i="23"/>
  <c r="L60" i="23"/>
  <c r="M60" i="23" s="1"/>
  <c r="P13" i="23"/>
  <c r="L13" i="23"/>
  <c r="M13" i="23" s="1"/>
  <c r="P56" i="23"/>
  <c r="L56" i="23"/>
  <c r="M56" i="23" s="1"/>
  <c r="P54" i="23"/>
  <c r="L54" i="23"/>
  <c r="M54" i="23" s="1"/>
  <c r="P199" i="23"/>
  <c r="L199" i="23"/>
  <c r="M199" i="23" s="1"/>
  <c r="P229" i="23"/>
  <c r="L229" i="23"/>
  <c r="M229" i="23" s="1"/>
  <c r="P57" i="23"/>
  <c r="L57" i="23"/>
  <c r="M57" i="23" s="1"/>
  <c r="P216" i="23"/>
  <c r="L216" i="23"/>
  <c r="M216" i="23" s="1"/>
  <c r="P59" i="23"/>
  <c r="L59" i="23"/>
  <c r="M59" i="23" s="1"/>
  <c r="P262" i="23"/>
  <c r="L262" i="23"/>
  <c r="M262" i="23" s="1"/>
  <c r="P212" i="23"/>
  <c r="L212" i="23"/>
  <c r="M212" i="23" s="1"/>
  <c r="P231" i="23"/>
  <c r="L231" i="23"/>
  <c r="M231" i="23" s="1"/>
  <c r="P21" i="23"/>
  <c r="L21" i="23"/>
  <c r="M21" i="23" s="1"/>
  <c r="P42" i="23"/>
  <c r="L42" i="23"/>
  <c r="M42" i="23" s="1"/>
  <c r="P47" i="23"/>
  <c r="L47" i="23"/>
  <c r="M47" i="23" s="1"/>
  <c r="P31" i="23"/>
  <c r="L31" i="23"/>
  <c r="M31" i="23" s="1"/>
  <c r="P20" i="23"/>
  <c r="L20" i="23"/>
  <c r="M20" i="23" s="1"/>
  <c r="P208" i="23"/>
  <c r="L208" i="23"/>
  <c r="M208" i="23" s="1"/>
  <c r="P233" i="23"/>
  <c r="L233" i="23"/>
  <c r="M233" i="23" s="1"/>
  <c r="P16" i="23"/>
  <c r="L16" i="23"/>
  <c r="M16" i="23" s="1"/>
  <c r="P52" i="23"/>
  <c r="L52" i="23"/>
  <c r="M52" i="23" s="1"/>
  <c r="P24" i="23"/>
  <c r="L24" i="23"/>
  <c r="M24" i="23" s="1"/>
  <c r="P48" i="23"/>
  <c r="L48" i="23"/>
  <c r="M48" i="23" s="1"/>
  <c r="P241" i="23"/>
  <c r="L241" i="23"/>
  <c r="M241" i="23" s="1"/>
  <c r="P43" i="23"/>
  <c r="L43" i="23"/>
  <c r="M43" i="23" s="1"/>
  <c r="P34" i="23"/>
  <c r="L34" i="23"/>
  <c r="M34" i="23" s="1"/>
  <c r="P270" i="23"/>
  <c r="L270" i="23"/>
  <c r="M270" i="23" s="1"/>
  <c r="P259" i="23"/>
  <c r="L259" i="23"/>
  <c r="M259" i="23" s="1"/>
  <c r="P46" i="23"/>
  <c r="L46" i="23"/>
  <c r="M46" i="23" s="1"/>
  <c r="P45" i="23"/>
  <c r="L45" i="23"/>
  <c r="M45" i="23" s="1"/>
  <c r="P36" i="23"/>
  <c r="L36" i="23"/>
  <c r="M36" i="23" s="1"/>
  <c r="P35" i="23"/>
  <c r="L35" i="23"/>
  <c r="M35" i="23" s="1"/>
  <c r="P224" i="23"/>
  <c r="P209" i="23"/>
  <c r="P273" i="23"/>
  <c r="P202" i="23"/>
  <c r="P227" i="23"/>
  <c r="P188" i="23"/>
  <c r="P225" i="23"/>
  <c r="P235" i="23"/>
  <c r="P260" i="23"/>
  <c r="P189" i="23"/>
  <c r="P238" i="23"/>
  <c r="P245" i="23"/>
  <c r="Y76" i="24"/>
  <c r="Y91" i="24"/>
  <c r="Y115" i="24"/>
  <c r="Y114" i="24"/>
  <c r="Y92" i="24"/>
  <c r="Y62" i="24"/>
  <c r="Y78" i="24"/>
  <c r="Y25" i="24"/>
  <c r="Y184" i="24"/>
  <c r="Y31" i="24"/>
  <c r="Y19" i="24"/>
  <c r="Y166" i="24"/>
  <c r="Y156" i="24"/>
  <c r="Y51" i="24"/>
  <c r="Y170" i="24"/>
  <c r="Y177" i="24"/>
  <c r="Y72" i="24"/>
  <c r="Y9" i="24"/>
  <c r="Y75" i="24"/>
  <c r="Y118" i="24"/>
  <c r="Y124" i="24"/>
  <c r="Y86" i="24"/>
  <c r="Y85" i="24"/>
  <c r="Y49" i="24"/>
  <c r="Y17" i="24"/>
  <c r="Y43" i="24"/>
  <c r="Y55" i="24"/>
  <c r="Y178" i="24"/>
  <c r="Y180" i="24"/>
  <c r="Y159" i="24"/>
  <c r="Y27" i="24"/>
  <c r="Y38" i="24"/>
  <c r="Y88" i="24"/>
  <c r="Y126" i="24"/>
  <c r="Y90" i="24"/>
  <c r="Y119" i="24"/>
  <c r="Y145" i="24"/>
  <c r="Y29" i="24"/>
  <c r="Y127" i="24"/>
  <c r="Y139" i="24"/>
  <c r="Y23" i="24"/>
  <c r="Y13" i="24"/>
  <c r="Y20" i="24"/>
  <c r="Y135" i="24"/>
  <c r="Y146" i="24"/>
  <c r="Y122" i="24"/>
  <c r="Y84" i="24"/>
  <c r="Y68" i="24"/>
  <c r="Y120" i="24"/>
  <c r="Y165" i="24"/>
  <c r="Y106" i="24"/>
  <c r="Y101" i="24"/>
  <c r="Y169" i="24"/>
  <c r="Y53" i="24"/>
  <c r="Y151" i="24"/>
  <c r="Y163" i="24"/>
  <c r="Y35" i="24"/>
  <c r="Y37" i="24"/>
  <c r="Y56" i="24"/>
  <c r="Y171" i="24"/>
  <c r="Y182" i="24"/>
  <c r="Y107" i="24"/>
  <c r="Y113" i="24"/>
  <c r="Y109" i="24"/>
  <c r="Y80" i="24"/>
  <c r="Y116" i="24"/>
  <c r="Y117" i="24"/>
  <c r="Y108" i="24"/>
  <c r="Y11" i="24"/>
  <c r="Y16" i="24"/>
  <c r="Y137" i="24"/>
  <c r="Y175" i="24"/>
  <c r="Y10" i="24"/>
  <c r="Y47" i="24"/>
  <c r="Y61" i="24"/>
  <c r="Y128" i="24"/>
  <c r="Y152" i="24"/>
  <c r="Y39" i="24"/>
  <c r="Y93" i="24"/>
  <c r="Y148" i="24"/>
  <c r="Y36" i="24"/>
  <c r="Y67" i="24"/>
  <c r="Y110" i="24"/>
  <c r="Y131" i="24"/>
  <c r="Y28" i="24"/>
  <c r="Y149" i="24"/>
  <c r="Y41" i="24"/>
  <c r="Y22" i="24"/>
  <c r="Y59" i="24"/>
  <c r="Y133" i="24"/>
  <c r="Y164" i="24"/>
  <c r="Y45" i="24"/>
  <c r="Y147" i="24"/>
  <c r="Y94" i="24"/>
  <c r="Y176" i="24"/>
  <c r="Y97" i="24"/>
  <c r="Y69" i="24"/>
  <c r="Y104" i="24"/>
  <c r="Y105" i="24"/>
  <c r="Y79" i="24"/>
  <c r="Y64" i="24"/>
  <c r="Y155" i="24"/>
  <c r="Y40" i="24"/>
  <c r="Y173" i="24"/>
  <c r="Y125" i="24"/>
  <c r="Y34" i="24"/>
  <c r="Y143" i="24"/>
  <c r="Y157" i="24"/>
  <c r="Y21" i="24"/>
  <c r="Y153" i="24"/>
  <c r="Y183" i="24"/>
  <c r="Y70" i="24"/>
  <c r="Y54" i="24"/>
  <c r="Y103" i="24"/>
  <c r="Y81" i="24"/>
  <c r="Y98" i="24"/>
  <c r="Y179" i="24"/>
  <c r="Y52" i="24"/>
  <c r="Y18" i="24"/>
  <c r="Y161" i="24"/>
  <c r="Y46" i="24"/>
  <c r="Y167" i="24"/>
  <c r="Y181" i="24"/>
  <c r="Y57" i="24"/>
  <c r="Y32" i="24"/>
  <c r="Y8" i="24"/>
  <c r="Y95" i="24"/>
  <c r="Y48" i="24"/>
  <c r="Y50" i="24"/>
  <c r="Y112" i="24"/>
  <c r="Y65" i="24"/>
  <c r="Y82" i="24"/>
  <c r="Y66" i="24"/>
  <c r="Y111" i="24"/>
  <c r="Y83" i="24"/>
  <c r="Y24" i="24"/>
  <c r="Y136" i="24"/>
  <c r="Y42" i="24"/>
  <c r="Y30" i="24"/>
  <c r="Y58" i="24"/>
  <c r="Y12" i="24"/>
  <c r="Y14" i="24"/>
  <c r="Y129" i="24"/>
  <c r="Y140" i="24"/>
  <c r="Y44" i="24"/>
  <c r="Y102" i="24"/>
  <c r="Y130" i="24"/>
  <c r="Y99" i="24"/>
  <c r="Y74" i="24"/>
  <c r="Y123" i="24"/>
  <c r="Y73" i="24"/>
  <c r="Y144" i="24"/>
  <c r="Y160" i="24"/>
  <c r="Y150" i="24"/>
  <c r="Y138" i="24"/>
  <c r="Y142" i="24"/>
  <c r="Y60" i="24"/>
  <c r="Y158" i="24"/>
  <c r="Y26" i="24"/>
  <c r="Y33" i="24"/>
  <c r="Y121" i="24"/>
  <c r="Y87" i="24"/>
  <c r="Y89" i="24"/>
  <c r="Y77" i="24"/>
  <c r="Y71" i="24"/>
  <c r="Y168" i="24"/>
  <c r="Y172" i="24"/>
  <c r="Y162" i="24"/>
  <c r="Y154" i="24"/>
  <c r="Y15" i="24"/>
  <c r="Y141" i="24"/>
  <c r="Y63" i="24"/>
  <c r="Y96" i="24"/>
  <c r="Y174" i="24"/>
  <c r="Y132" i="24"/>
  <c r="Y134" i="24"/>
  <c r="Y100" i="24"/>
  <c r="P277" i="23"/>
  <c r="P275" i="23"/>
  <c r="P249" i="23"/>
  <c r="P258" i="23"/>
  <c r="P207" i="23"/>
  <c r="P195" i="23"/>
  <c r="P263" i="23"/>
  <c r="P266" i="23"/>
  <c r="P226" i="23"/>
  <c r="P185" i="23"/>
  <c r="P280" i="23"/>
  <c r="P234" i="23"/>
  <c r="P205" i="23"/>
  <c r="P252" i="23"/>
  <c r="P210" i="23"/>
  <c r="P257" i="23"/>
  <c r="P281" i="23"/>
  <c r="P230" i="23"/>
  <c r="AA104" i="24"/>
  <c r="AA85" i="24"/>
  <c r="AA34" i="24"/>
  <c r="AA133" i="24"/>
  <c r="AA170" i="24"/>
  <c r="AA39" i="24"/>
  <c r="AA31" i="24"/>
  <c r="AA56" i="24"/>
  <c r="AA142" i="24"/>
  <c r="AA126" i="24"/>
  <c r="AA138" i="24"/>
  <c r="AA114" i="24"/>
  <c r="AA82" i="24"/>
  <c r="AA110" i="24"/>
  <c r="AA113" i="24"/>
  <c r="AA102" i="24"/>
  <c r="AA153" i="24"/>
  <c r="AA87" i="24"/>
  <c r="AA112" i="24"/>
  <c r="AA58" i="24"/>
  <c r="AA145" i="24"/>
  <c r="AA182" i="24"/>
  <c r="AA135" i="24"/>
  <c r="AA43" i="24"/>
  <c r="AA128" i="24"/>
  <c r="AA166" i="24"/>
  <c r="AA162" i="24"/>
  <c r="AA174" i="24"/>
  <c r="AA123" i="24"/>
  <c r="AA80" i="24"/>
  <c r="AA83" i="24"/>
  <c r="AA86" i="24"/>
  <c r="AA79" i="24"/>
  <c r="AA130" i="24"/>
  <c r="AA157" i="24"/>
  <c r="AA27" i="24"/>
  <c r="AA159" i="24"/>
  <c r="AA55" i="24"/>
  <c r="AA140" i="24"/>
  <c r="AA23" i="24"/>
  <c r="AA59" i="24"/>
  <c r="AA18" i="24"/>
  <c r="AA105" i="24"/>
  <c r="AA122" i="24"/>
  <c r="AA124" i="24"/>
  <c r="AA68" i="24"/>
  <c r="AA118" i="24"/>
  <c r="AA111" i="24"/>
  <c r="AA100" i="24"/>
  <c r="AA77" i="24"/>
  <c r="AA65" i="24"/>
  <c r="AA73" i="24"/>
  <c r="AA154" i="24"/>
  <c r="AA169" i="24"/>
  <c r="AA51" i="24"/>
  <c r="AA183" i="24"/>
  <c r="AA127" i="24"/>
  <c r="AA152" i="24"/>
  <c r="AA47" i="24"/>
  <c r="AA131" i="24"/>
  <c r="AA143" i="24"/>
  <c r="AA90" i="24"/>
  <c r="AA93" i="24"/>
  <c r="AA63" i="24"/>
  <c r="AA89" i="24"/>
  <c r="AA71" i="24"/>
  <c r="AA81" i="24"/>
  <c r="AA17" i="24"/>
  <c r="AA108" i="24"/>
  <c r="AA178" i="24"/>
  <c r="AA181" i="24"/>
  <c r="AA147" i="24"/>
  <c r="AA16" i="24"/>
  <c r="AA139" i="24"/>
  <c r="AA164" i="24"/>
  <c r="AA42" i="24"/>
  <c r="AA167" i="24"/>
  <c r="AA179" i="24"/>
  <c r="AA116" i="24"/>
  <c r="AA103" i="24"/>
  <c r="AA106" i="24"/>
  <c r="AA95" i="24"/>
  <c r="AA37" i="24"/>
  <c r="AA184" i="24"/>
  <c r="AA20" i="24"/>
  <c r="AA165" i="24"/>
  <c r="AA149" i="24"/>
  <c r="AA94" i="24"/>
  <c r="AA96" i="24"/>
  <c r="AA66" i="24"/>
  <c r="AA21" i="24"/>
  <c r="AA14" i="24"/>
  <c r="AA171" i="24"/>
  <c r="AA40" i="24"/>
  <c r="AA151" i="24"/>
  <c r="AA176" i="24"/>
  <c r="AA155" i="24"/>
  <c r="AA60" i="24"/>
  <c r="AA24" i="24"/>
  <c r="AA69" i="24"/>
  <c r="AA97" i="24"/>
  <c r="AA67" i="24"/>
  <c r="AA101" i="24"/>
  <c r="AA120" i="24"/>
  <c r="AA119" i="24"/>
  <c r="AA33" i="24"/>
  <c r="AA35" i="24"/>
  <c r="AA26" i="24"/>
  <c r="AA28" i="24"/>
  <c r="AA52" i="24"/>
  <c r="AA163" i="24"/>
  <c r="AA9" i="24"/>
  <c r="AA48" i="24"/>
  <c r="AA132" i="24"/>
  <c r="AA144" i="24"/>
  <c r="AA107" i="24"/>
  <c r="AA84" i="24"/>
  <c r="AA137" i="24"/>
  <c r="AA78" i="24"/>
  <c r="AA57" i="24"/>
  <c r="AA38" i="24"/>
  <c r="AA136" i="24"/>
  <c r="AA148" i="24"/>
  <c r="AA175" i="24"/>
  <c r="AA45" i="24"/>
  <c r="AA156" i="24"/>
  <c r="AA168" i="24"/>
  <c r="AA180" i="24"/>
  <c r="AA74" i="24"/>
  <c r="AA117" i="24"/>
  <c r="AA115" i="24"/>
  <c r="AA72" i="24"/>
  <c r="AA134" i="24"/>
  <c r="AA125" i="24"/>
  <c r="AA88" i="24"/>
  <c r="AA129" i="24"/>
  <c r="AA25" i="24"/>
  <c r="AA50" i="24"/>
  <c r="AA160" i="24"/>
  <c r="AA172" i="24"/>
  <c r="AA8" i="24"/>
  <c r="AA141" i="24"/>
  <c r="AA53" i="24"/>
  <c r="AA150" i="24"/>
  <c r="AA30" i="24"/>
  <c r="AA62" i="24"/>
  <c r="AA121" i="24"/>
  <c r="AA99" i="24"/>
  <c r="AA177" i="24"/>
  <c r="AA49" i="24"/>
  <c r="AA146" i="24"/>
  <c r="AA29" i="24"/>
  <c r="AA41" i="24"/>
  <c r="AA32" i="24"/>
  <c r="AA22" i="24"/>
  <c r="AA161" i="24"/>
  <c r="AA173" i="24"/>
  <c r="AA36" i="24"/>
  <c r="AA76" i="24"/>
  <c r="AA70" i="24"/>
  <c r="AA75" i="24"/>
  <c r="AA92" i="24"/>
  <c r="AA64" i="24"/>
  <c r="AA98" i="24"/>
  <c r="AA61" i="24"/>
  <c r="AA158" i="24"/>
  <c r="AA15" i="24"/>
  <c r="AA44" i="24"/>
  <c r="AA46" i="24"/>
  <c r="AA54" i="24"/>
  <c r="AA109" i="24"/>
  <c r="AA10" i="24"/>
  <c r="AA19" i="24"/>
  <c r="AA91" i="24"/>
  <c r="P243" i="23"/>
  <c r="P187" i="23"/>
  <c r="P201" i="23"/>
  <c r="P254" i="23"/>
  <c r="P222" i="23"/>
  <c r="P211" i="23"/>
  <c r="P232" i="23"/>
  <c r="P251" i="23"/>
  <c r="P248" i="23"/>
  <c r="P261" i="23"/>
  <c r="P194" i="23"/>
  <c r="P253" i="23"/>
  <c r="P223" i="23"/>
  <c r="P269" i="23"/>
  <c r="P271" i="23"/>
  <c r="P242" i="23"/>
  <c r="P265" i="23"/>
  <c r="P264" i="23"/>
  <c r="P247" i="23"/>
  <c r="P228" i="23"/>
  <c r="P237" i="23"/>
  <c r="P239" i="23"/>
  <c r="P272" i="23"/>
  <c r="P250" i="23"/>
  <c r="P244" i="23"/>
  <c r="P206" i="23"/>
  <c r="P197" i="23"/>
  <c r="P240" i="23"/>
  <c r="P236" i="23"/>
  <c r="P278" i="23"/>
  <c r="P217" i="23"/>
  <c r="P215" i="23"/>
  <c r="P186" i="23"/>
  <c r="P193" i="23"/>
  <c r="P246" i="23"/>
  <c r="P213" i="23"/>
  <c r="K128" i="22"/>
  <c r="J128" i="22"/>
  <c r="Y128" i="22"/>
  <c r="Q128" i="22"/>
  <c r="R128" i="22"/>
  <c r="F128" i="22"/>
  <c r="H127" i="22"/>
  <c r="L119" i="23"/>
  <c r="M119" i="23" s="1"/>
  <c r="F120" i="23"/>
  <c r="B6" i="23"/>
  <c r="B6" i="22"/>
  <c r="L120" i="23" l="1"/>
  <c r="M120" i="23" s="1"/>
  <c r="J129" i="22"/>
  <c r="K129" i="22"/>
  <c r="Y129" i="22"/>
  <c r="Q129" i="22"/>
  <c r="F129" i="22"/>
  <c r="R129" i="22"/>
  <c r="H128" i="22"/>
  <c r="AJ122" i="24"/>
  <c r="L117" i="23"/>
  <c r="M117" i="23" s="1"/>
  <c r="U122" i="23"/>
  <c r="C6" i="22"/>
  <c r="C6" i="24"/>
  <c r="L118" i="23"/>
  <c r="M118" i="23" s="1"/>
  <c r="S116" i="23"/>
  <c r="T117" i="23" s="1"/>
  <c r="V121" i="23" s="1"/>
  <c r="C6" i="23"/>
  <c r="I6" i="23" s="1" a="1"/>
  <c r="I6" i="23" s="1"/>
  <c r="F183" i="23"/>
  <c r="F184" i="23"/>
  <c r="U183" i="23"/>
  <c r="U184" i="23"/>
  <c r="AI183" i="23"/>
  <c r="AI184" i="23"/>
  <c r="F178" i="23"/>
  <c r="F179" i="23"/>
  <c r="F180" i="23"/>
  <c r="F181" i="23"/>
  <c r="F182" i="23"/>
  <c r="U178" i="23"/>
  <c r="U179" i="23"/>
  <c r="U180" i="23"/>
  <c r="U181" i="23"/>
  <c r="U182" i="23"/>
  <c r="AI178" i="23"/>
  <c r="AI179" i="23"/>
  <c r="AI180" i="23"/>
  <c r="AI181" i="23"/>
  <c r="AI182" i="23"/>
  <c r="F164" i="23"/>
  <c r="F165" i="23"/>
  <c r="F166" i="23"/>
  <c r="F167" i="23"/>
  <c r="F168" i="23"/>
  <c r="F169" i="23"/>
  <c r="F170" i="23"/>
  <c r="F171" i="23"/>
  <c r="F172" i="23"/>
  <c r="F173" i="23"/>
  <c r="F174" i="23"/>
  <c r="F175" i="23"/>
  <c r="F176" i="23"/>
  <c r="F177" i="23"/>
  <c r="U164" i="23"/>
  <c r="U165" i="23"/>
  <c r="U166" i="23"/>
  <c r="U167" i="23"/>
  <c r="U168" i="23"/>
  <c r="U169" i="23"/>
  <c r="U170" i="23"/>
  <c r="U171" i="23"/>
  <c r="U172" i="23"/>
  <c r="U173" i="23"/>
  <c r="U174" i="23"/>
  <c r="U175" i="23"/>
  <c r="U176" i="23"/>
  <c r="U177" i="23"/>
  <c r="AI164" i="23"/>
  <c r="AI165" i="23"/>
  <c r="AI166" i="23"/>
  <c r="AI167" i="23"/>
  <c r="AI168" i="23"/>
  <c r="AI169" i="23"/>
  <c r="AI170" i="23"/>
  <c r="AI171" i="23"/>
  <c r="AI172" i="23"/>
  <c r="AI173" i="23"/>
  <c r="AI174" i="23"/>
  <c r="AI175" i="23"/>
  <c r="AI176" i="23"/>
  <c r="AI177" i="23"/>
  <c r="E180" i="22"/>
  <c r="E181" i="22"/>
  <c r="E182" i="22"/>
  <c r="E183" i="22"/>
  <c r="E184" i="22"/>
  <c r="O180" i="22"/>
  <c r="O181" i="22"/>
  <c r="O182" i="22"/>
  <c r="O183" i="22"/>
  <c r="O184" i="22"/>
  <c r="V180" i="22"/>
  <c r="V181" i="22"/>
  <c r="V182" i="22"/>
  <c r="V183" i="22"/>
  <c r="V184" i="22"/>
  <c r="F133" i="23"/>
  <c r="F134" i="23"/>
  <c r="F135" i="23"/>
  <c r="F136" i="23"/>
  <c r="F137" i="23"/>
  <c r="F143" i="23"/>
  <c r="F144" i="23"/>
  <c r="F145" i="23"/>
  <c r="F146" i="23"/>
  <c r="F147" i="23"/>
  <c r="F148" i="23"/>
  <c r="F149" i="23"/>
  <c r="F150" i="23"/>
  <c r="F151" i="23"/>
  <c r="F152" i="23"/>
  <c r="F153" i="23"/>
  <c r="F154" i="23"/>
  <c r="F155" i="23"/>
  <c r="F156" i="23"/>
  <c r="F157" i="23"/>
  <c r="F158" i="23"/>
  <c r="F159" i="23"/>
  <c r="F160" i="23"/>
  <c r="F161" i="23"/>
  <c r="F162" i="23"/>
  <c r="F163" i="23"/>
  <c r="U133" i="23"/>
  <c r="U134" i="23"/>
  <c r="U135" i="23"/>
  <c r="U136" i="23"/>
  <c r="U137" i="23"/>
  <c r="U140" i="23"/>
  <c r="U143" i="23"/>
  <c r="U144" i="23"/>
  <c r="U145" i="23"/>
  <c r="U146" i="23"/>
  <c r="U147" i="23"/>
  <c r="U148" i="23"/>
  <c r="U149" i="23"/>
  <c r="U150" i="23"/>
  <c r="U151" i="23"/>
  <c r="U152" i="23"/>
  <c r="U153" i="23"/>
  <c r="U154" i="23"/>
  <c r="U155" i="23"/>
  <c r="U156" i="23"/>
  <c r="U157" i="23"/>
  <c r="U158" i="23"/>
  <c r="U159" i="23"/>
  <c r="U160" i="23"/>
  <c r="U161" i="23"/>
  <c r="U162" i="23"/>
  <c r="U163" i="23"/>
  <c r="AI143" i="23"/>
  <c r="AI144" i="23"/>
  <c r="AI145" i="23"/>
  <c r="AI146" i="23"/>
  <c r="AI147" i="23"/>
  <c r="AI148" i="23"/>
  <c r="AI149" i="23"/>
  <c r="AI150" i="23"/>
  <c r="AI151" i="23"/>
  <c r="AI152" i="23"/>
  <c r="AI153" i="23"/>
  <c r="AI154" i="23"/>
  <c r="AI155" i="23"/>
  <c r="AI156" i="23"/>
  <c r="AI157" i="23"/>
  <c r="AI158" i="23"/>
  <c r="AI159" i="23"/>
  <c r="AI160" i="23"/>
  <c r="AI161" i="23"/>
  <c r="AI162" i="23"/>
  <c r="AI163" i="23"/>
  <c r="U123" i="23"/>
  <c r="U125" i="23"/>
  <c r="U126" i="23"/>
  <c r="U127" i="23"/>
  <c r="U128" i="23"/>
  <c r="U129" i="23"/>
  <c r="U130" i="23"/>
  <c r="U131" i="23"/>
  <c r="U132" i="23"/>
  <c r="F126" i="23"/>
  <c r="F127" i="23"/>
  <c r="F128" i="23"/>
  <c r="F129" i="23"/>
  <c r="F130" i="23"/>
  <c r="F131" i="23"/>
  <c r="F132" i="23"/>
  <c r="L116" i="23"/>
  <c r="M116" i="23" s="1"/>
  <c r="AK6" i="23" l="1" a="1"/>
  <c r="AK6" i="23" s="1"/>
  <c r="AL6" i="23" a="1"/>
  <c r="AL6" i="23" s="1"/>
  <c r="Y6" i="23" a="1"/>
  <c r="Y6" i="23" s="1"/>
  <c r="Z6" i="23" a="1"/>
  <c r="Z6" i="23" s="1"/>
  <c r="W121" i="23"/>
  <c r="AD121" i="23"/>
  <c r="BT29" i="24"/>
  <c r="BT18" i="24"/>
  <c r="AK280" i="23"/>
  <c r="AN281" i="23"/>
  <c r="BT19" i="24"/>
  <c r="BT31" i="24"/>
  <c r="BT55" i="24"/>
  <c r="BT8" i="24"/>
  <c r="BT44" i="24"/>
  <c r="BT11" i="24"/>
  <c r="BT23" i="24"/>
  <c r="BT35" i="24"/>
  <c r="BT47" i="24"/>
  <c r="BT13" i="24"/>
  <c r="BT25" i="24"/>
  <c r="BT37" i="24"/>
  <c r="BT49" i="24"/>
  <c r="BT14" i="24"/>
  <c r="BT38" i="24"/>
  <c r="BT50" i="24"/>
  <c r="BT62" i="24"/>
  <c r="BT28" i="24"/>
  <c r="BT58" i="24"/>
  <c r="AK250" i="23"/>
  <c r="AK279" i="23"/>
  <c r="AN222" i="23"/>
  <c r="AK185" i="23"/>
  <c r="AK199" i="23"/>
  <c r="BT33" i="24"/>
  <c r="BT60" i="24"/>
  <c r="AK249" i="23"/>
  <c r="AK251" i="23"/>
  <c r="AK254" i="23"/>
  <c r="AK188" i="23"/>
  <c r="AK191" i="23"/>
  <c r="AK217" i="23"/>
  <c r="BT34" i="24"/>
  <c r="AK248" i="23"/>
  <c r="AK252" i="23"/>
  <c r="AK253" i="23"/>
  <c r="AN254" i="23"/>
  <c r="AK255" i="23"/>
  <c r="AK260" i="23"/>
  <c r="AK240" i="23"/>
  <c r="AK245" i="23"/>
  <c r="BT36" i="24"/>
  <c r="AK258" i="23"/>
  <c r="AK259" i="23"/>
  <c r="AK261" i="23"/>
  <c r="AK265" i="23"/>
  <c r="AK266" i="23"/>
  <c r="AK232" i="23"/>
  <c r="AK233" i="23"/>
  <c r="AK236" i="23"/>
  <c r="AK239" i="23"/>
  <c r="AN240" i="23"/>
  <c r="AK241" i="23"/>
  <c r="AK242" i="23"/>
  <c r="AK244" i="23"/>
  <c r="AK246" i="23"/>
  <c r="AK198" i="23"/>
  <c r="BT12" i="24"/>
  <c r="BT40" i="24"/>
  <c r="AK247" i="23"/>
  <c r="AN262" i="23"/>
  <c r="AK264" i="23"/>
  <c r="AK267" i="23"/>
  <c r="AK227" i="23"/>
  <c r="AN228" i="23"/>
  <c r="AN230" i="23"/>
  <c r="AK208" i="23"/>
  <c r="AK212" i="23"/>
  <c r="BT46" i="24"/>
  <c r="BT24" i="24"/>
  <c r="BT52" i="24"/>
  <c r="AK270" i="23"/>
  <c r="AK271" i="23"/>
  <c r="AN274" i="23"/>
  <c r="AK277" i="23"/>
  <c r="AK223" i="23"/>
  <c r="AK213" i="23"/>
  <c r="AK219" i="23"/>
  <c r="AN19" i="23"/>
  <c r="AK9" i="23"/>
  <c r="AK21" i="23"/>
  <c r="AK33" i="23"/>
  <c r="AK262" i="23"/>
  <c r="AN223" i="23"/>
  <c r="AK234" i="23"/>
  <c r="AK196" i="23"/>
  <c r="AK207" i="23"/>
  <c r="AK210" i="23"/>
  <c r="AK10" i="23"/>
  <c r="AK22" i="23"/>
  <c r="AK34" i="23"/>
  <c r="AK268" i="23"/>
  <c r="AK226" i="23"/>
  <c r="AN234" i="23"/>
  <c r="AK189" i="23"/>
  <c r="AK204" i="23"/>
  <c r="AN21" i="23"/>
  <c r="AN33" i="23"/>
  <c r="AN45" i="23"/>
  <c r="AK11" i="23"/>
  <c r="AK23" i="23"/>
  <c r="AK35" i="23"/>
  <c r="BT10" i="24"/>
  <c r="AK273" i="23"/>
  <c r="AN226" i="23"/>
  <c r="AK229" i="23"/>
  <c r="AK238" i="23"/>
  <c r="AK193" i="23"/>
  <c r="AK201" i="23"/>
  <c r="AK215" i="23"/>
  <c r="AK218" i="23"/>
  <c r="AN34" i="23"/>
  <c r="AN58" i="23"/>
  <c r="AK12" i="23"/>
  <c r="AK24" i="23"/>
  <c r="AK36" i="23"/>
  <c r="BT21" i="24"/>
  <c r="AK276" i="23"/>
  <c r="AN238" i="23"/>
  <c r="AN11" i="23"/>
  <c r="AK13" i="23"/>
  <c r="AK25" i="23"/>
  <c r="AK37" i="23"/>
  <c r="AK257" i="23"/>
  <c r="AK222" i="23"/>
  <c r="AK225" i="23"/>
  <c r="AN232" i="23"/>
  <c r="AK237" i="23"/>
  <c r="AK243" i="23"/>
  <c r="AK209" i="23"/>
  <c r="AK14" i="23"/>
  <c r="AK26" i="23"/>
  <c r="AK38" i="23"/>
  <c r="BT27" i="24"/>
  <c r="AK281" i="23"/>
  <c r="AK228" i="23"/>
  <c r="AK195" i="23"/>
  <c r="AK203" i="23"/>
  <c r="AK206" i="23"/>
  <c r="AK221" i="23"/>
  <c r="AN13" i="23"/>
  <c r="AK15" i="23"/>
  <c r="AK27" i="23"/>
  <c r="AK39" i="23"/>
  <c r="BT48" i="24"/>
  <c r="AK224" i="23"/>
  <c r="AN231" i="23"/>
  <c r="AN236" i="23"/>
  <c r="AK192" i="23"/>
  <c r="AK211" i="23"/>
  <c r="AK214" i="23"/>
  <c r="AK17" i="23"/>
  <c r="AK29" i="23"/>
  <c r="AK41" i="23"/>
  <c r="AK269" i="23"/>
  <c r="AK30" i="23"/>
  <c r="AK235" i="23"/>
  <c r="AK197" i="23"/>
  <c r="AN29" i="23"/>
  <c r="AK31" i="23"/>
  <c r="AK194" i="23"/>
  <c r="AK187" i="23"/>
  <c r="AN246" i="23"/>
  <c r="AK32" i="23"/>
  <c r="BT39" i="24"/>
  <c r="AK256" i="23"/>
  <c r="AK278" i="23"/>
  <c r="AK202" i="23"/>
  <c r="AK40" i="23"/>
  <c r="AK275" i="23"/>
  <c r="AN242" i="23"/>
  <c r="AN54" i="23"/>
  <c r="AK20" i="23"/>
  <c r="AK28" i="23"/>
  <c r="BT51" i="24"/>
  <c r="AK274" i="23"/>
  <c r="AK42" i="23"/>
  <c r="AK272" i="23"/>
  <c r="AK230" i="23"/>
  <c r="AK200" i="23"/>
  <c r="AK216" i="23"/>
  <c r="AN41" i="23"/>
  <c r="AK43" i="23"/>
  <c r="AK16" i="23"/>
  <c r="AK220" i="23"/>
  <c r="AN42" i="23"/>
  <c r="AK8" i="23"/>
  <c r="AK44" i="23"/>
  <c r="AK205" i="23"/>
  <c r="AK18" i="23"/>
  <c r="AN227" i="23"/>
  <c r="AN17" i="23"/>
  <c r="AN53" i="23"/>
  <c r="AK19" i="23"/>
  <c r="AK263" i="23"/>
  <c r="AK231" i="23"/>
  <c r="BH40" i="24"/>
  <c r="BH32" i="24"/>
  <c r="BH19" i="24"/>
  <c r="BH29" i="24"/>
  <c r="BH46" i="24"/>
  <c r="AK190" i="23"/>
  <c r="BH34" i="24"/>
  <c r="BH20" i="24"/>
  <c r="BH11" i="24"/>
  <c r="BH18" i="24"/>
  <c r="BH28" i="24"/>
  <c r="AK186" i="23"/>
  <c r="BH22" i="24"/>
  <c r="BH12" i="24"/>
  <c r="BH41" i="24"/>
  <c r="BH9" i="24"/>
  <c r="BH8" i="24"/>
  <c r="BH14" i="24"/>
  <c r="BH53" i="24"/>
  <c r="BH23" i="24"/>
  <c r="BH35" i="24"/>
  <c r="BH31" i="24"/>
  <c r="BH56" i="24"/>
  <c r="BH43" i="24"/>
  <c r="BH24" i="24"/>
  <c r="BH13" i="24"/>
  <c r="BH45" i="24"/>
  <c r="BH10" i="24"/>
  <c r="BH44" i="24"/>
  <c r="BH25" i="24"/>
  <c r="BH16" i="24"/>
  <c r="BH39" i="24"/>
  <c r="BH50" i="24"/>
  <c r="BH58" i="24"/>
  <c r="BH38" i="24"/>
  <c r="BH17" i="24"/>
  <c r="BH61" i="24"/>
  <c r="BH27" i="24"/>
  <c r="BH15" i="24"/>
  <c r="BH59" i="24"/>
  <c r="BH26" i="24"/>
  <c r="BH54" i="24"/>
  <c r="BH51" i="24"/>
  <c r="BH52" i="24"/>
  <c r="BH47" i="24"/>
  <c r="BH48" i="24"/>
  <c r="BH37" i="24"/>
  <c r="BH42" i="24"/>
  <c r="BH33" i="24"/>
  <c r="BH30" i="24"/>
  <c r="BH49" i="24"/>
  <c r="BH60" i="24"/>
  <c r="BH55" i="24"/>
  <c r="BH21" i="24"/>
  <c r="BH57" i="24"/>
  <c r="BH36" i="24"/>
  <c r="AY117" i="24"/>
  <c r="AY129" i="24"/>
  <c r="AY141" i="24"/>
  <c r="AY153" i="24"/>
  <c r="AY165" i="24"/>
  <c r="AY177" i="24"/>
  <c r="AY118" i="24"/>
  <c r="AY130" i="24"/>
  <c r="AY142" i="24"/>
  <c r="AY154" i="24"/>
  <c r="AY166" i="24"/>
  <c r="AY178" i="24"/>
  <c r="AY62" i="24"/>
  <c r="AY122" i="24"/>
  <c r="AY134" i="24"/>
  <c r="AY146" i="24"/>
  <c r="AY158" i="24"/>
  <c r="AY170" i="24"/>
  <c r="AY182" i="24"/>
  <c r="AY124" i="24"/>
  <c r="AY136" i="24"/>
  <c r="AY148" i="24"/>
  <c r="AY160" i="24"/>
  <c r="AY172" i="24"/>
  <c r="AY184" i="24"/>
  <c r="AY125" i="24"/>
  <c r="AY137" i="24"/>
  <c r="AY149" i="24"/>
  <c r="AY161" i="24"/>
  <c r="AY173" i="24"/>
  <c r="AY121" i="24"/>
  <c r="AY143" i="24"/>
  <c r="AY163" i="24"/>
  <c r="AY183" i="24"/>
  <c r="Y256" i="23"/>
  <c r="Y262" i="23"/>
  <c r="Y263" i="23"/>
  <c r="Y230" i="23"/>
  <c r="Y231" i="23"/>
  <c r="Y235" i="23"/>
  <c r="Y237" i="23"/>
  <c r="Y201" i="23"/>
  <c r="Y219" i="23"/>
  <c r="AY123" i="24"/>
  <c r="AY144" i="24"/>
  <c r="AY164" i="24"/>
  <c r="Y264" i="23"/>
  <c r="Y267" i="23"/>
  <c r="Y228" i="23"/>
  <c r="Y202" i="23"/>
  <c r="Y220" i="23"/>
  <c r="AY126" i="24"/>
  <c r="AY145" i="24"/>
  <c r="AY167" i="24"/>
  <c r="Y226" i="23"/>
  <c r="Y227" i="23"/>
  <c r="Y203" i="23"/>
  <c r="AY127" i="24"/>
  <c r="AY147" i="24"/>
  <c r="AY168" i="24"/>
  <c r="Y268" i="23"/>
  <c r="Y269" i="23"/>
  <c r="Y225" i="23"/>
  <c r="Y204" i="23"/>
  <c r="AY131" i="24"/>
  <c r="AY151" i="24"/>
  <c r="AY171" i="24"/>
  <c r="Y270" i="23"/>
  <c r="Y271" i="23"/>
  <c r="AY132" i="24"/>
  <c r="AY152" i="24"/>
  <c r="AY174" i="24"/>
  <c r="Y280" i="23"/>
  <c r="Y276" i="23"/>
  <c r="Y190" i="23"/>
  <c r="Y208" i="23"/>
  <c r="AY119" i="24"/>
  <c r="AY139" i="24"/>
  <c r="AY159" i="24"/>
  <c r="AY180" i="24"/>
  <c r="Y253" i="23"/>
  <c r="Y255" i="23"/>
  <c r="Y261" i="23"/>
  <c r="AY116" i="24"/>
  <c r="AY169" i="24"/>
  <c r="Y273" i="23"/>
  <c r="Y233" i="23"/>
  <c r="Y238" i="23"/>
  <c r="Y244" i="23"/>
  <c r="Y189" i="23"/>
  <c r="Y218" i="23"/>
  <c r="AY120" i="24"/>
  <c r="AY175" i="24"/>
  <c r="Y251" i="23"/>
  <c r="Y254" i="23"/>
  <c r="Y191" i="23"/>
  <c r="AY128" i="24"/>
  <c r="AY176" i="24"/>
  <c r="Y232" i="23"/>
  <c r="Y243" i="23"/>
  <c r="Y192" i="23"/>
  <c r="AY133" i="24"/>
  <c r="AY179" i="24"/>
  <c r="Y194" i="23"/>
  <c r="AY135" i="24"/>
  <c r="AY181" i="24"/>
  <c r="Y275" i="23"/>
  <c r="Y279" i="23"/>
  <c r="Y242" i="23"/>
  <c r="Y195" i="23"/>
  <c r="AY138" i="24"/>
  <c r="Y250" i="23"/>
  <c r="Y278" i="23"/>
  <c r="Y196" i="23"/>
  <c r="AY140" i="24"/>
  <c r="Y266" i="23"/>
  <c r="Y241" i="23"/>
  <c r="Y206" i="23"/>
  <c r="AY155" i="24"/>
  <c r="Y252" i="23"/>
  <c r="Y274" i="23"/>
  <c r="Y213" i="23"/>
  <c r="Y239" i="23"/>
  <c r="Y240" i="23"/>
  <c r="Y207" i="23"/>
  <c r="AY150" i="24"/>
  <c r="Y246" i="23"/>
  <c r="Y245" i="23"/>
  <c r="Y214" i="23"/>
  <c r="AY114" i="24"/>
  <c r="Y234" i="23"/>
  <c r="Y215" i="23"/>
  <c r="AY115" i="24"/>
  <c r="Y216" i="23"/>
  <c r="AY162" i="24"/>
  <c r="AY156" i="24"/>
  <c r="Y249" i="23"/>
  <c r="AY157" i="24"/>
  <c r="Y224" i="23"/>
  <c r="Y199" i="23"/>
  <c r="Y281" i="23"/>
  <c r="Y200" i="23"/>
  <c r="Y222" i="23"/>
  <c r="Y221" i="23"/>
  <c r="AM58" i="24"/>
  <c r="AM16" i="24"/>
  <c r="AM48" i="24"/>
  <c r="AM13" i="24"/>
  <c r="Y259" i="23"/>
  <c r="Y188" i="23"/>
  <c r="Y210" i="23"/>
  <c r="Y209" i="23"/>
  <c r="Y277" i="23"/>
  <c r="Y198" i="23"/>
  <c r="Y197" i="23"/>
  <c r="AM36" i="24"/>
  <c r="AM21" i="24"/>
  <c r="AM43" i="24"/>
  <c r="AM41" i="24"/>
  <c r="AM24" i="24"/>
  <c r="Y265" i="23"/>
  <c r="Y186" i="23"/>
  <c r="Y185" i="23"/>
  <c r="Y229" i="23"/>
  <c r="AM17" i="24"/>
  <c r="AM44" i="24"/>
  <c r="AM26" i="24"/>
  <c r="AM53" i="24"/>
  <c r="AM34" i="24"/>
  <c r="Y217" i="23"/>
  <c r="Y205" i="23"/>
  <c r="Y272" i="23"/>
  <c r="AM60" i="24"/>
  <c r="AM27" i="24"/>
  <c r="AM14" i="24"/>
  <c r="AM10" i="24"/>
  <c r="AM18" i="24"/>
  <c r="AM25" i="24"/>
  <c r="AM22" i="24"/>
  <c r="AM46" i="24"/>
  <c r="AM15" i="24"/>
  <c r="AM49" i="24"/>
  <c r="AM29" i="24"/>
  <c r="AM12" i="24"/>
  <c r="AM8" i="24"/>
  <c r="AM31" i="24"/>
  <c r="AM50" i="24"/>
  <c r="AM61" i="24"/>
  <c r="AM32" i="24"/>
  <c r="Y258" i="23"/>
  <c r="Y257" i="23"/>
  <c r="AM57" i="24"/>
  <c r="AM33" i="24"/>
  <c r="AM52" i="24"/>
  <c r="AM20" i="24"/>
  <c r="AM45" i="24"/>
  <c r="AM55" i="24"/>
  <c r="AM40" i="24"/>
  <c r="AM38" i="24"/>
  <c r="AM35" i="24"/>
  <c r="Y260" i="23"/>
  <c r="Y247" i="23"/>
  <c r="AM19" i="24"/>
  <c r="AM23" i="24"/>
  <c r="Y248" i="23"/>
  <c r="Y223" i="23"/>
  <c r="AM9" i="24"/>
  <c r="AM28" i="24"/>
  <c r="AM11" i="24"/>
  <c r="Y236" i="23"/>
  <c r="Y211" i="23"/>
  <c r="AM59" i="24"/>
  <c r="AM54" i="24"/>
  <c r="Y212" i="23"/>
  <c r="Y187" i="23"/>
  <c r="AM47" i="24"/>
  <c r="AM56" i="24"/>
  <c r="AM42" i="24"/>
  <c r="AM30" i="24"/>
  <c r="AM39" i="24"/>
  <c r="AM37" i="24"/>
  <c r="Y193" i="23"/>
  <c r="AM51" i="24"/>
  <c r="Y10" i="23"/>
  <c r="Y22" i="23"/>
  <c r="Y11" i="23"/>
  <c r="Y23" i="23"/>
  <c r="Y12" i="23"/>
  <c r="Y24" i="23"/>
  <c r="Y13" i="23"/>
  <c r="Y25" i="23"/>
  <c r="Y14" i="23"/>
  <c r="Y26" i="23"/>
  <c r="Y15" i="23"/>
  <c r="Y27" i="23"/>
  <c r="Y16" i="23"/>
  <c r="Y28" i="23"/>
  <c r="Y17" i="23"/>
  <c r="Y29" i="23"/>
  <c r="Y18" i="23"/>
  <c r="Y30" i="23"/>
  <c r="Y19" i="23"/>
  <c r="Y31" i="23"/>
  <c r="Y8" i="23"/>
  <c r="Y20" i="23"/>
  <c r="Y32" i="23"/>
  <c r="Y9" i="23"/>
  <c r="Y21" i="23"/>
  <c r="Y33" i="23"/>
  <c r="AN18" i="23"/>
  <c r="AN30" i="23"/>
  <c r="AN8" i="23"/>
  <c r="AN20" i="23"/>
  <c r="AN32" i="23"/>
  <c r="AN9" i="23"/>
  <c r="AN10" i="23"/>
  <c r="AN22" i="23"/>
  <c r="AN23" i="23"/>
  <c r="AN26" i="23"/>
  <c r="AN12" i="23"/>
  <c r="AN24" i="23"/>
  <c r="AN25" i="23"/>
  <c r="AN14" i="23"/>
  <c r="AN15" i="23"/>
  <c r="AN27" i="23"/>
  <c r="AN31" i="23"/>
  <c r="AN16" i="23"/>
  <c r="AN28" i="23"/>
  <c r="AN46" i="23"/>
  <c r="AN40" i="23"/>
  <c r="AK51" i="23"/>
  <c r="AN35" i="23"/>
  <c r="AN47" i="23"/>
  <c r="AN59" i="23"/>
  <c r="AK52" i="23"/>
  <c r="AN36" i="23"/>
  <c r="AN48" i="23"/>
  <c r="AN60" i="23"/>
  <c r="AK53" i="23"/>
  <c r="AN37" i="23"/>
  <c r="AN49" i="23"/>
  <c r="AN61" i="23"/>
  <c r="AN51" i="23"/>
  <c r="AN52" i="23"/>
  <c r="AK54" i="23"/>
  <c r="AN38" i="23"/>
  <c r="AN50" i="23"/>
  <c r="AN39" i="23"/>
  <c r="AK45" i="23"/>
  <c r="AK57" i="23"/>
  <c r="AK46" i="23"/>
  <c r="AK58" i="23"/>
  <c r="AK47" i="23"/>
  <c r="AK59" i="23"/>
  <c r="AN43" i="23"/>
  <c r="AN55" i="23"/>
  <c r="AK55" i="23"/>
  <c r="AK56" i="23"/>
  <c r="AK48" i="23"/>
  <c r="AK60" i="23"/>
  <c r="AN44" i="23"/>
  <c r="AN56" i="23"/>
  <c r="AK50" i="23"/>
  <c r="AK49" i="23"/>
  <c r="AK61" i="23"/>
  <c r="AN57" i="23"/>
  <c r="Y38" i="23"/>
  <c r="Y50" i="23"/>
  <c r="Y55" i="23"/>
  <c r="Y39" i="23"/>
  <c r="Y51" i="23"/>
  <c r="Y40" i="23"/>
  <c r="Y52" i="23"/>
  <c r="Y41" i="23"/>
  <c r="Y53" i="23"/>
  <c r="Y42" i="23"/>
  <c r="Y54" i="23"/>
  <c r="Y43" i="23"/>
  <c r="Y44" i="23"/>
  <c r="Y56" i="23"/>
  <c r="Y45" i="23"/>
  <c r="Y57" i="23"/>
  <c r="Y34" i="23"/>
  <c r="Y46" i="23"/>
  <c r="Y58" i="23"/>
  <c r="Y35" i="23"/>
  <c r="Y47" i="23"/>
  <c r="Y59" i="23"/>
  <c r="Y36" i="23"/>
  <c r="Y48" i="23"/>
  <c r="Y60" i="23"/>
  <c r="Y37" i="23"/>
  <c r="Y49" i="23"/>
  <c r="Y61" i="23"/>
  <c r="H129" i="22"/>
  <c r="F130" i="22"/>
  <c r="Q130" i="22"/>
  <c r="R130" i="22"/>
  <c r="J130" i="22"/>
  <c r="K130" i="22"/>
  <c r="Y130" i="22"/>
  <c r="U121" i="23"/>
  <c r="CL31" i="24"/>
  <c r="CL21" i="24"/>
  <c r="BY42" i="24"/>
  <c r="BH63" i="24"/>
  <c r="BH62" i="24"/>
  <c r="BY29" i="24"/>
  <c r="AM63" i="24"/>
  <c r="AM62" i="24"/>
  <c r="AJ121" i="24"/>
  <c r="AJ120" i="24"/>
  <c r="AJ116" i="24"/>
  <c r="CL46" i="24"/>
  <c r="BY55" i="24"/>
  <c r="K62" i="24"/>
  <c r="E77" i="23"/>
  <c r="E89" i="23"/>
  <c r="E84" i="23"/>
  <c r="E72" i="23"/>
  <c r="E79" i="23"/>
  <c r="E67" i="23"/>
  <c r="E65" i="23"/>
  <c r="E85" i="23"/>
  <c r="E73" i="23"/>
  <c r="E68" i="23"/>
  <c r="E63" i="23"/>
  <c r="E86" i="23"/>
  <c r="E74" i="23"/>
  <c r="E82" i="23"/>
  <c r="F117" i="23"/>
  <c r="E81" i="23"/>
  <c r="E69" i="23"/>
  <c r="E78" i="23"/>
  <c r="E66" i="23"/>
  <c r="E80" i="23"/>
  <c r="F119" i="23"/>
  <c r="E71" i="23"/>
  <c r="E76" i="23"/>
  <c r="E83" i="23"/>
  <c r="E70" i="23"/>
  <c r="F118" i="23"/>
  <c r="E64" i="23"/>
  <c r="F116" i="23"/>
  <c r="E88" i="23"/>
  <c r="E87" i="23"/>
  <c r="E75" i="23"/>
  <c r="AS50" i="23" l="1"/>
  <c r="BT127" i="24"/>
  <c r="F96" i="23"/>
  <c r="L96" i="23"/>
  <c r="M96" i="23" s="1"/>
  <c r="F101" i="23"/>
  <c r="L101" i="23"/>
  <c r="M101" i="23" s="1"/>
  <c r="F64" i="23"/>
  <c r="L64" i="23"/>
  <c r="M64" i="23" s="1"/>
  <c r="F108" i="23"/>
  <c r="L108" i="23"/>
  <c r="M108" i="23" s="1"/>
  <c r="F111" i="23"/>
  <c r="L111" i="23"/>
  <c r="M111" i="23" s="1"/>
  <c r="F66" i="23"/>
  <c r="L66" i="23"/>
  <c r="M66" i="23" s="1"/>
  <c r="F112" i="23"/>
  <c r="L112" i="23"/>
  <c r="M112" i="23" s="1"/>
  <c r="F65" i="23"/>
  <c r="L65" i="23"/>
  <c r="M65" i="23" s="1"/>
  <c r="F109" i="23"/>
  <c r="L109" i="23"/>
  <c r="M109" i="23" s="1"/>
  <c r="F70" i="23"/>
  <c r="L70" i="23"/>
  <c r="M70" i="23" s="1"/>
  <c r="F78" i="23"/>
  <c r="L78" i="23"/>
  <c r="M78" i="23" s="1"/>
  <c r="F74" i="23"/>
  <c r="L74" i="23"/>
  <c r="M74" i="23" s="1"/>
  <c r="F67" i="23"/>
  <c r="L67" i="23"/>
  <c r="M67" i="23" s="1"/>
  <c r="F113" i="23"/>
  <c r="L113" i="23"/>
  <c r="M113" i="23" s="1"/>
  <c r="F107" i="23"/>
  <c r="L107" i="23"/>
  <c r="M107" i="23" s="1"/>
  <c r="F77" i="23"/>
  <c r="L77" i="23"/>
  <c r="M77" i="23" s="1"/>
  <c r="F86" i="23"/>
  <c r="L86" i="23"/>
  <c r="M86" i="23" s="1"/>
  <c r="F102" i="23"/>
  <c r="L102" i="23"/>
  <c r="M102" i="23" s="1"/>
  <c r="F79" i="23"/>
  <c r="L79" i="23"/>
  <c r="M79" i="23" s="1"/>
  <c r="F83" i="23"/>
  <c r="L83" i="23"/>
  <c r="M83" i="23" s="1"/>
  <c r="F98" i="23"/>
  <c r="L98" i="23"/>
  <c r="M98" i="23" s="1"/>
  <c r="F91" i="23"/>
  <c r="L91" i="23"/>
  <c r="M91" i="23" s="1"/>
  <c r="F75" i="23"/>
  <c r="L75" i="23"/>
  <c r="M75" i="23" s="1"/>
  <c r="F103" i="23"/>
  <c r="L103" i="23"/>
  <c r="M103" i="23" s="1"/>
  <c r="F114" i="23"/>
  <c r="L114" i="23"/>
  <c r="M114" i="23" s="1"/>
  <c r="F110" i="23"/>
  <c r="L110" i="23"/>
  <c r="M110" i="23" s="1"/>
  <c r="F104" i="23"/>
  <c r="L104" i="23"/>
  <c r="M104" i="23" s="1"/>
  <c r="F94" i="23"/>
  <c r="L94" i="23"/>
  <c r="M94" i="23" s="1"/>
  <c r="F90" i="23"/>
  <c r="L90" i="23"/>
  <c r="M90" i="23" s="1"/>
  <c r="F95" i="23"/>
  <c r="L95" i="23"/>
  <c r="M95" i="23" s="1"/>
  <c r="F63" i="23"/>
  <c r="L63" i="23"/>
  <c r="M63" i="23" s="1"/>
  <c r="F82" i="23"/>
  <c r="L82" i="23"/>
  <c r="M82" i="23" s="1"/>
  <c r="F99" i="23"/>
  <c r="L99" i="23"/>
  <c r="M99" i="23" s="1"/>
  <c r="F76" i="23"/>
  <c r="L76" i="23"/>
  <c r="M76" i="23" s="1"/>
  <c r="F81" i="23"/>
  <c r="L81" i="23"/>
  <c r="M81" i="23" s="1"/>
  <c r="F68" i="23"/>
  <c r="L68" i="23"/>
  <c r="M68" i="23" s="1"/>
  <c r="F72" i="23"/>
  <c r="L72" i="23"/>
  <c r="M72" i="23" s="1"/>
  <c r="F85" i="23"/>
  <c r="L85" i="23"/>
  <c r="M85" i="23" s="1"/>
  <c r="F97" i="23"/>
  <c r="L97" i="23"/>
  <c r="M97" i="23" s="1"/>
  <c r="F87" i="23"/>
  <c r="L87" i="23"/>
  <c r="M87" i="23" s="1"/>
  <c r="F69" i="23"/>
  <c r="L69" i="23"/>
  <c r="M69" i="23" s="1"/>
  <c r="F115" i="23"/>
  <c r="L115" i="23"/>
  <c r="M115" i="23" s="1"/>
  <c r="F88" i="23"/>
  <c r="L88" i="23"/>
  <c r="M88" i="23" s="1"/>
  <c r="F71" i="23"/>
  <c r="L71" i="23"/>
  <c r="M71" i="23" s="1"/>
  <c r="F93" i="23"/>
  <c r="L93" i="23"/>
  <c r="M93" i="23" s="1"/>
  <c r="F92" i="23"/>
  <c r="L92" i="23"/>
  <c r="M92" i="23" s="1"/>
  <c r="F84" i="23"/>
  <c r="L84" i="23"/>
  <c r="M84" i="23" s="1"/>
  <c r="F80" i="23"/>
  <c r="L80" i="23"/>
  <c r="M80" i="23" s="1"/>
  <c r="F100" i="23"/>
  <c r="L100" i="23"/>
  <c r="M100" i="23" s="1"/>
  <c r="F106" i="23"/>
  <c r="L106" i="23"/>
  <c r="M106" i="23" s="1"/>
  <c r="F105" i="23"/>
  <c r="L105" i="23"/>
  <c r="M105" i="23" s="1"/>
  <c r="F73" i="23"/>
  <c r="L73" i="23"/>
  <c r="M73" i="23" s="1"/>
  <c r="F89" i="23"/>
  <c r="L89" i="23"/>
  <c r="M89" i="23" s="1"/>
  <c r="AA269" i="23"/>
  <c r="AB269" i="23"/>
  <c r="I269" i="23"/>
  <c r="O269" i="23" s="1"/>
  <c r="N268" i="23"/>
  <c r="N229" i="23"/>
  <c r="N270" i="23"/>
  <c r="N274" i="23"/>
  <c r="N218" i="23"/>
  <c r="N259" i="23"/>
  <c r="N267" i="23"/>
  <c r="N198" i="23"/>
  <c r="N279" i="23"/>
  <c r="N200" i="23"/>
  <c r="N241" i="23"/>
  <c r="N256" i="23"/>
  <c r="N255" i="23"/>
  <c r="N276" i="23"/>
  <c r="N262" i="23"/>
  <c r="N233" i="23"/>
  <c r="AB59" i="24"/>
  <c r="AB58" i="24"/>
  <c r="AB26" i="24"/>
  <c r="AB41" i="24"/>
  <c r="AB25" i="24"/>
  <c r="AB22" i="24"/>
  <c r="AB8" i="24"/>
  <c r="AB60" i="24"/>
  <c r="AB49" i="24"/>
  <c r="AB32" i="24"/>
  <c r="AB27" i="24"/>
  <c r="AB35" i="24"/>
  <c r="AB29" i="24"/>
  <c r="AB55" i="24"/>
  <c r="AB39" i="24"/>
  <c r="AB33" i="24"/>
  <c r="AB31" i="24"/>
  <c r="AB10" i="24"/>
  <c r="AB30" i="24"/>
  <c r="AB54" i="24"/>
  <c r="AB19" i="24"/>
  <c r="N214" i="23"/>
  <c r="AB47" i="24"/>
  <c r="AB52" i="24"/>
  <c r="AB61" i="24"/>
  <c r="AB37" i="24"/>
  <c r="AB36" i="24"/>
  <c r="N191" i="23"/>
  <c r="N221" i="23"/>
  <c r="N208" i="23"/>
  <c r="AB23" i="24"/>
  <c r="AB40" i="24"/>
  <c r="AB45" i="24"/>
  <c r="AB42" i="24"/>
  <c r="AB34" i="24"/>
  <c r="AB24" i="24"/>
  <c r="N216" i="23"/>
  <c r="N204" i="23"/>
  <c r="AB28" i="24"/>
  <c r="AB48" i="24"/>
  <c r="AB9" i="24"/>
  <c r="AB16" i="24"/>
  <c r="AB57" i="24"/>
  <c r="AB44" i="24"/>
  <c r="AB50" i="24"/>
  <c r="AB18" i="24"/>
  <c r="AB56" i="24"/>
  <c r="N231" i="23"/>
  <c r="N212" i="23"/>
  <c r="AB38" i="24"/>
  <c r="AB51" i="24"/>
  <c r="AB17" i="24"/>
  <c r="AB21" i="24"/>
  <c r="N199" i="23"/>
  <c r="N219" i="23"/>
  <c r="N196" i="23"/>
  <c r="AB20" i="24"/>
  <c r="AB15" i="24"/>
  <c r="AB43" i="24"/>
  <c r="N203" i="23"/>
  <c r="N192" i="23"/>
  <c r="AB53" i="24"/>
  <c r="AB46" i="24"/>
  <c r="N190" i="23"/>
  <c r="AB14" i="24"/>
  <c r="N220" i="23"/>
  <c r="N224" i="23"/>
  <c r="N225" i="23"/>
  <c r="N254" i="23"/>
  <c r="N261" i="23"/>
  <c r="N242" i="23"/>
  <c r="N239" i="23"/>
  <c r="N240" i="23"/>
  <c r="N193" i="23"/>
  <c r="N223" i="23"/>
  <c r="N215" i="23"/>
  <c r="N249" i="23"/>
  <c r="N226" i="23"/>
  <c r="N210" i="23"/>
  <c r="N217" i="23"/>
  <c r="N197" i="23"/>
  <c r="N209" i="23"/>
  <c r="N235" i="23"/>
  <c r="N222" i="23"/>
  <c r="N194" i="23"/>
  <c r="N265" i="23"/>
  <c r="N272" i="23"/>
  <c r="N236" i="23"/>
  <c r="N246" i="23"/>
  <c r="N247" i="23"/>
  <c r="N206" i="23"/>
  <c r="N201" i="23"/>
  <c r="N258" i="23"/>
  <c r="N185" i="23"/>
  <c r="N257" i="23"/>
  <c r="N244" i="23"/>
  <c r="N269" i="23"/>
  <c r="N245" i="23"/>
  <c r="N273" i="23"/>
  <c r="N260" i="23"/>
  <c r="N211" i="23"/>
  <c r="N253" i="23"/>
  <c r="N264" i="23"/>
  <c r="N250" i="23"/>
  <c r="N278" i="23"/>
  <c r="N213" i="23"/>
  <c r="N232" i="23"/>
  <c r="N187" i="23"/>
  <c r="N186" i="23"/>
  <c r="N266" i="23"/>
  <c r="N207" i="23"/>
  <c r="N280" i="23"/>
  <c r="N281" i="23"/>
  <c r="N251" i="23"/>
  <c r="N188" i="23"/>
  <c r="N248" i="23"/>
  <c r="N252" i="23"/>
  <c r="N202" i="23"/>
  <c r="N189" i="23"/>
  <c r="N243" i="23"/>
  <c r="N195" i="23"/>
  <c r="N234" i="23"/>
  <c r="N230" i="23"/>
  <c r="N227" i="23"/>
  <c r="N238" i="23"/>
  <c r="N228" i="23"/>
  <c r="N271" i="23"/>
  <c r="N275" i="23"/>
  <c r="N277" i="23"/>
  <c r="N263" i="23"/>
  <c r="N205" i="23"/>
  <c r="N237" i="23"/>
  <c r="AA210" i="23"/>
  <c r="AB210" i="23"/>
  <c r="I210" i="23"/>
  <c r="AX48" i="24"/>
  <c r="AY48" i="24"/>
  <c r="L48" i="24"/>
  <c r="AC48" i="24" s="1"/>
  <c r="L43" i="24"/>
  <c r="AC43" i="24" s="1"/>
  <c r="AY43" i="24"/>
  <c r="AA188" i="23"/>
  <c r="I188" i="23"/>
  <c r="O188" i="23" s="1"/>
  <c r="AB188" i="23"/>
  <c r="AA267" i="23"/>
  <c r="I267" i="23"/>
  <c r="O267" i="23" s="1"/>
  <c r="AB267" i="23"/>
  <c r="AA242" i="23"/>
  <c r="I242" i="23"/>
  <c r="AB242" i="23"/>
  <c r="AA265" i="23"/>
  <c r="I265" i="23"/>
  <c r="O265" i="23" s="1"/>
  <c r="AB265" i="23"/>
  <c r="AX54" i="24"/>
  <c r="AY54" i="24"/>
  <c r="L54" i="24"/>
  <c r="AC54" i="24" s="1"/>
  <c r="AY53" i="24"/>
  <c r="L53" i="24"/>
  <c r="AC53" i="24" s="1"/>
  <c r="AY14" i="24"/>
  <c r="L14" i="24"/>
  <c r="AC14" i="24" s="1"/>
  <c r="AY9" i="24"/>
  <c r="L9" i="24"/>
  <c r="AC9" i="24" s="1"/>
  <c r="AM224" i="23"/>
  <c r="AN224" i="23"/>
  <c r="AM200" i="23"/>
  <c r="AN200" i="23"/>
  <c r="AM186" i="23"/>
  <c r="AN186" i="23"/>
  <c r="AM271" i="23"/>
  <c r="AN271" i="23"/>
  <c r="AM264" i="23"/>
  <c r="AN264" i="23"/>
  <c r="AM257" i="23"/>
  <c r="AN257" i="23"/>
  <c r="AM249" i="23"/>
  <c r="AN249" i="23"/>
  <c r="AM199" i="23"/>
  <c r="AN199" i="23"/>
  <c r="BS32" i="24"/>
  <c r="BT32" i="24"/>
  <c r="AA215" i="23"/>
  <c r="I215" i="23"/>
  <c r="O215" i="23" s="1"/>
  <c r="AB215" i="23"/>
  <c r="AM205" i="23"/>
  <c r="AN205" i="23"/>
  <c r="AA189" i="23"/>
  <c r="I189" i="23"/>
  <c r="O189" i="23" s="1"/>
  <c r="AB189" i="23"/>
  <c r="AB268" i="23"/>
  <c r="I268" i="23"/>
  <c r="AA258" i="23"/>
  <c r="AB258" i="23"/>
  <c r="L24" i="24"/>
  <c r="AC24" i="24" s="1"/>
  <c r="AY24" i="24"/>
  <c r="AA212" i="23"/>
  <c r="I212" i="23"/>
  <c r="O212" i="23" s="1"/>
  <c r="AB212" i="23"/>
  <c r="AB264" i="23"/>
  <c r="I264" i="23"/>
  <c r="O264" i="23" s="1"/>
  <c r="AA241" i="23"/>
  <c r="AB241" i="23"/>
  <c r="I241" i="23"/>
  <c r="O241" i="23" s="1"/>
  <c r="AY25" i="24"/>
  <c r="L25" i="24"/>
  <c r="AC25" i="24" s="1"/>
  <c r="AX41" i="24"/>
  <c r="AY41" i="24"/>
  <c r="L41" i="24"/>
  <c r="AC41" i="24" s="1"/>
  <c r="AM208" i="23"/>
  <c r="AN208" i="23"/>
  <c r="AM244" i="23"/>
  <c r="AN244" i="23"/>
  <c r="I258" i="23"/>
  <c r="O258" i="23" s="1"/>
  <c r="AN258" i="23"/>
  <c r="BS16" i="24"/>
  <c r="BT16" i="24"/>
  <c r="AM247" i="23"/>
  <c r="AN247" i="23"/>
  <c r="AM256" i="23"/>
  <c r="AN256" i="23"/>
  <c r="AM245" i="23"/>
  <c r="AN245" i="23"/>
  <c r="AM260" i="23"/>
  <c r="AN260" i="23"/>
  <c r="BS20" i="24"/>
  <c r="BT20" i="24"/>
  <c r="AA199" i="23"/>
  <c r="AB199" i="23"/>
  <c r="I199" i="23"/>
  <c r="O199" i="23" s="1"/>
  <c r="AA238" i="23"/>
  <c r="AB238" i="23"/>
  <c r="I238" i="23"/>
  <c r="AY36" i="24"/>
  <c r="L36" i="24"/>
  <c r="AC36" i="24" s="1"/>
  <c r="AY51" i="24"/>
  <c r="L51" i="24"/>
  <c r="AC51" i="24" s="1"/>
  <c r="AX18" i="24"/>
  <c r="L18" i="24"/>
  <c r="AC18" i="24" s="1"/>
  <c r="AY18" i="24"/>
  <c r="AA221" i="23"/>
  <c r="AB221" i="23"/>
  <c r="I221" i="23"/>
  <c r="O221" i="23" s="1"/>
  <c r="AA209" i="23"/>
  <c r="AB209" i="23"/>
  <c r="I209" i="23"/>
  <c r="O209" i="23" s="1"/>
  <c r="AA218" i="23"/>
  <c r="I218" i="23"/>
  <c r="AB218" i="23"/>
  <c r="AA223" i="23"/>
  <c r="AB223" i="23"/>
  <c r="I223" i="23"/>
  <c r="AA247" i="23"/>
  <c r="AB247" i="23"/>
  <c r="I247" i="23"/>
  <c r="O247" i="23" s="1"/>
  <c r="AA237" i="23"/>
  <c r="I237" i="23"/>
  <c r="O237" i="23" s="1"/>
  <c r="AB237" i="23"/>
  <c r="AB239" i="23"/>
  <c r="I239" i="23"/>
  <c r="O239" i="23" s="1"/>
  <c r="AX29" i="24"/>
  <c r="L29" i="24"/>
  <c r="AC29" i="24" s="1"/>
  <c r="AY29" i="24"/>
  <c r="AY59" i="24"/>
  <c r="L59" i="24"/>
  <c r="AC59" i="24" s="1"/>
  <c r="L56" i="24"/>
  <c r="AC56" i="24" s="1"/>
  <c r="AY56" i="24"/>
  <c r="AM203" i="23"/>
  <c r="AN203" i="23"/>
  <c r="AM265" i="23"/>
  <c r="AN265" i="23"/>
  <c r="AM221" i="23"/>
  <c r="AN221" i="23"/>
  <c r="AM187" i="23"/>
  <c r="AN187" i="23"/>
  <c r="AM218" i="23"/>
  <c r="AN218" i="23"/>
  <c r="AM239" i="23"/>
  <c r="AN239" i="23"/>
  <c r="BS9" i="24"/>
  <c r="BT9" i="24"/>
  <c r="BS43" i="24"/>
  <c r="BT43" i="24"/>
  <c r="AA280" i="23"/>
  <c r="AB280" i="23"/>
  <c r="I280" i="23"/>
  <c r="O280" i="23" s="1"/>
  <c r="AA202" i="23"/>
  <c r="AB202" i="23"/>
  <c r="I202" i="23"/>
  <c r="AA206" i="23"/>
  <c r="I206" i="23"/>
  <c r="AB206" i="23"/>
  <c r="AA278" i="23"/>
  <c r="AB278" i="23"/>
  <c r="AY17" i="24"/>
  <c r="L17" i="24"/>
  <c r="AC17" i="24" s="1"/>
  <c r="AM215" i="23"/>
  <c r="AN215" i="23"/>
  <c r="AM233" i="23"/>
  <c r="AN233" i="23"/>
  <c r="AA255" i="23"/>
  <c r="I255" i="23"/>
  <c r="O255" i="23" s="1"/>
  <c r="AB255" i="23"/>
  <c r="AA194" i="23"/>
  <c r="I194" i="23"/>
  <c r="AB194" i="23"/>
  <c r="AA220" i="23"/>
  <c r="I220" i="23"/>
  <c r="O220" i="23" s="1"/>
  <c r="AB220" i="23"/>
  <c r="AA203" i="23"/>
  <c r="I203" i="23"/>
  <c r="O203" i="23" s="1"/>
  <c r="AB203" i="23"/>
  <c r="I276" i="23"/>
  <c r="O276" i="23" s="1"/>
  <c r="AB276" i="23"/>
  <c r="AA201" i="23"/>
  <c r="AB201" i="23"/>
  <c r="I201" i="23"/>
  <c r="O201" i="23" s="1"/>
  <c r="AA277" i="23"/>
  <c r="I277" i="23"/>
  <c r="O277" i="23" s="1"/>
  <c r="AB277" i="23"/>
  <c r="L39" i="24"/>
  <c r="AC39" i="24" s="1"/>
  <c r="AY39" i="24"/>
  <c r="AY37" i="24"/>
  <c r="L37" i="24"/>
  <c r="AC37" i="24" s="1"/>
  <c r="AA231" i="23"/>
  <c r="AB231" i="23"/>
  <c r="I231" i="23"/>
  <c r="O231" i="23" s="1"/>
  <c r="AA257" i="23"/>
  <c r="AB257" i="23"/>
  <c r="I257" i="23"/>
  <c r="O257" i="23" s="1"/>
  <c r="L40" i="24"/>
  <c r="AC40" i="24" s="1"/>
  <c r="AY40" i="24"/>
  <c r="AY35" i="24"/>
  <c r="L35" i="24"/>
  <c r="AC35" i="24" s="1"/>
  <c r="AY32" i="24"/>
  <c r="L32" i="24"/>
  <c r="AC32" i="24" s="1"/>
  <c r="AM192" i="23"/>
  <c r="AN192" i="23"/>
  <c r="AM276" i="23"/>
  <c r="AN276" i="23"/>
  <c r="AM212" i="23"/>
  <c r="AN212" i="23"/>
  <c r="AM202" i="23"/>
  <c r="AN202" i="23"/>
  <c r="AM197" i="23"/>
  <c r="AN197" i="23"/>
  <c r="AM255" i="23"/>
  <c r="AN255" i="23"/>
  <c r="AM279" i="23"/>
  <c r="AN279" i="23"/>
  <c r="AM195" i="23"/>
  <c r="AN195" i="23"/>
  <c r="BS26" i="24"/>
  <c r="BT26" i="24"/>
  <c r="BS61" i="24"/>
  <c r="BT61" i="24"/>
  <c r="AA236" i="23"/>
  <c r="AA246" i="23"/>
  <c r="AA234" i="23"/>
  <c r="AX51" i="24"/>
  <c r="AA226" i="23"/>
  <c r="AX15" i="24"/>
  <c r="AX60" i="24"/>
  <c r="AX49" i="24"/>
  <c r="AX32" i="24"/>
  <c r="AX8" i="24"/>
  <c r="AX11" i="24"/>
  <c r="AX61" i="24"/>
  <c r="AX57" i="24"/>
  <c r="AX10" i="24"/>
  <c r="AX35" i="24"/>
  <c r="AX21" i="24"/>
  <c r="AX25" i="24"/>
  <c r="AX52" i="24"/>
  <c r="AX46" i="24"/>
  <c r="AX33" i="24"/>
  <c r="AX9" i="24"/>
  <c r="AX30" i="24"/>
  <c r="AX40" i="24"/>
  <c r="AX34" i="24"/>
  <c r="AX56" i="24"/>
  <c r="AA235" i="23"/>
  <c r="AX43" i="24"/>
  <c r="AX36" i="24"/>
  <c r="AX44" i="24"/>
  <c r="AA240" i="23"/>
  <c r="AX23" i="24"/>
  <c r="AX24" i="24"/>
  <c r="AA224" i="23"/>
  <c r="AA268" i="23"/>
  <c r="AA252" i="23"/>
  <c r="AA222" i="23"/>
  <c r="AX55" i="24"/>
  <c r="AX16" i="24"/>
  <c r="AX39" i="24"/>
  <c r="AX22" i="24"/>
  <c r="AX50" i="24"/>
  <c r="AA244" i="23"/>
  <c r="AA232" i="23"/>
  <c r="AX27" i="24"/>
  <c r="AX38" i="24"/>
  <c r="AA230" i="23"/>
  <c r="AA228" i="23"/>
  <c r="AA264" i="23"/>
  <c r="AA248" i="23"/>
  <c r="AX58" i="24"/>
  <c r="AX26" i="24"/>
  <c r="AX42" i="24"/>
  <c r="AX37" i="24"/>
  <c r="AX45" i="24"/>
  <c r="AA260" i="23"/>
  <c r="AX53" i="24"/>
  <c r="AX20" i="24"/>
  <c r="AX19" i="24"/>
  <c r="AA276" i="23"/>
  <c r="AX17" i="24"/>
  <c r="AX14" i="24"/>
  <c r="AX31" i="24"/>
  <c r="AX59" i="24"/>
  <c r="AA281" i="23"/>
  <c r="AA243" i="23"/>
  <c r="AA272" i="23"/>
  <c r="AA256" i="23"/>
  <c r="AX47" i="24"/>
  <c r="AX12" i="24"/>
  <c r="AA239" i="23"/>
  <c r="AY52" i="24"/>
  <c r="L52" i="24"/>
  <c r="AC52" i="24" s="1"/>
  <c r="AM185" i="23"/>
  <c r="AN185" i="23"/>
  <c r="AA208" i="23"/>
  <c r="I208" i="23"/>
  <c r="O208" i="23" s="1"/>
  <c r="AB208" i="23"/>
  <c r="AA214" i="23"/>
  <c r="I214" i="23"/>
  <c r="AB214" i="23"/>
  <c r="I272" i="23"/>
  <c r="O272" i="23" s="1"/>
  <c r="AB272" i="23"/>
  <c r="AA195" i="23"/>
  <c r="AB195" i="23"/>
  <c r="I195" i="23"/>
  <c r="O195" i="23" s="1"/>
  <c r="AA261" i="23"/>
  <c r="AB261" i="23"/>
  <c r="I261" i="23"/>
  <c r="O261" i="23" s="1"/>
  <c r="AA193" i="23"/>
  <c r="I193" i="23"/>
  <c r="O193" i="23" s="1"/>
  <c r="AB193" i="23"/>
  <c r="AB260" i="23"/>
  <c r="I260" i="23"/>
  <c r="O260" i="23" s="1"/>
  <c r="AY49" i="24"/>
  <c r="L49" i="24"/>
  <c r="AC49" i="24" s="1"/>
  <c r="AY12" i="24"/>
  <c r="L12" i="24"/>
  <c r="AC12" i="24" s="1"/>
  <c r="AA190" i="23"/>
  <c r="I190" i="23"/>
  <c r="AB190" i="23"/>
  <c r="AY61" i="24"/>
  <c r="L61" i="24"/>
  <c r="AC61" i="24" s="1"/>
  <c r="I230" i="23"/>
  <c r="AB230" i="23"/>
  <c r="L55" i="24"/>
  <c r="AC55" i="24" s="1"/>
  <c r="AY55" i="24"/>
  <c r="AX28" i="24"/>
  <c r="L28" i="24"/>
  <c r="AC28" i="24" s="1"/>
  <c r="AY28" i="24"/>
  <c r="L23" i="24"/>
  <c r="AC23" i="24" s="1"/>
  <c r="AY23" i="24"/>
  <c r="L58" i="24"/>
  <c r="AC58" i="24" s="1"/>
  <c r="AY58" i="24"/>
  <c r="L20" i="24"/>
  <c r="AC20" i="24" s="1"/>
  <c r="AY20" i="24"/>
  <c r="AM259" i="23"/>
  <c r="AN259" i="23"/>
  <c r="AM216" i="23"/>
  <c r="AN216" i="23"/>
  <c r="AM211" i="23"/>
  <c r="AN211" i="23"/>
  <c r="AM272" i="23"/>
  <c r="AN272" i="23"/>
  <c r="AM201" i="23"/>
  <c r="AN201" i="23"/>
  <c r="AM207" i="23"/>
  <c r="AN207" i="23"/>
  <c r="AM277" i="23"/>
  <c r="AN277" i="23"/>
  <c r="AM193" i="23"/>
  <c r="AN193" i="23"/>
  <c r="AM253" i="23"/>
  <c r="AN253" i="23"/>
  <c r="BS54" i="24"/>
  <c r="BT54" i="24"/>
  <c r="AA259" i="23"/>
  <c r="AB259" i="23"/>
  <c r="I259" i="23"/>
  <c r="O259" i="23" s="1"/>
  <c r="AY44" i="24"/>
  <c r="L44" i="24"/>
  <c r="AC44" i="24" s="1"/>
  <c r="AM188" i="23"/>
  <c r="AN188" i="23"/>
  <c r="BS11" i="24"/>
  <c r="BS38" i="24"/>
  <c r="AM234" i="23"/>
  <c r="BS10" i="24"/>
  <c r="AM242" i="23"/>
  <c r="AM228" i="23"/>
  <c r="AM240" i="23"/>
  <c r="AM281" i="23"/>
  <c r="BS12" i="24"/>
  <c r="AM236" i="23"/>
  <c r="BS60" i="24"/>
  <c r="BS27" i="24"/>
  <c r="BS34" i="24"/>
  <c r="BS39" i="24"/>
  <c r="BS44" i="24"/>
  <c r="BS13" i="24"/>
  <c r="BS47" i="24"/>
  <c r="BS50" i="24"/>
  <c r="BS14" i="24"/>
  <c r="BS55" i="24"/>
  <c r="AM270" i="23"/>
  <c r="AM254" i="23"/>
  <c r="AM227" i="23"/>
  <c r="BS18" i="24"/>
  <c r="AM223" i="23"/>
  <c r="BS35" i="24"/>
  <c r="AM238" i="23"/>
  <c r="BS23" i="24"/>
  <c r="AM266" i="23"/>
  <c r="AM250" i="23"/>
  <c r="BS48" i="24"/>
  <c r="BS52" i="24"/>
  <c r="BS36" i="24"/>
  <c r="AM262" i="23"/>
  <c r="BS37" i="24"/>
  <c r="BS24" i="24"/>
  <c r="AM230" i="23"/>
  <c r="AM278" i="23"/>
  <c r="AM222" i="23"/>
  <c r="BS29" i="24"/>
  <c r="BS40" i="24"/>
  <c r="BS33" i="24"/>
  <c r="BS51" i="24"/>
  <c r="AM258" i="23"/>
  <c r="BS49" i="24"/>
  <c r="BS28" i="24"/>
  <c r="BS21" i="24"/>
  <c r="BS31" i="24"/>
  <c r="AM232" i="23"/>
  <c r="AM274" i="23"/>
  <c r="AM246" i="23"/>
  <c r="BS58" i="24"/>
  <c r="BS19" i="24"/>
  <c r="BS46" i="24"/>
  <c r="AM231" i="23"/>
  <c r="BS8" i="24"/>
  <c r="BS25" i="24"/>
  <c r="AM226" i="23"/>
  <c r="AA205" i="23"/>
  <c r="AB205" i="23"/>
  <c r="I205" i="23"/>
  <c r="O205" i="23" s="1"/>
  <c r="I246" i="23"/>
  <c r="AB246" i="23"/>
  <c r="AA197" i="23"/>
  <c r="I197" i="23"/>
  <c r="O197" i="23" s="1"/>
  <c r="AB197" i="23"/>
  <c r="AA225" i="23"/>
  <c r="AB225" i="23"/>
  <c r="I225" i="23"/>
  <c r="O225" i="23" s="1"/>
  <c r="AA186" i="23"/>
  <c r="I186" i="23"/>
  <c r="AB186" i="23"/>
  <c r="AY19" i="24"/>
  <c r="L19" i="24"/>
  <c r="AC19" i="24" s="1"/>
  <c r="AA275" i="23"/>
  <c r="I275" i="23"/>
  <c r="O275" i="23" s="1"/>
  <c r="AB275" i="23"/>
  <c r="AA274" i="23"/>
  <c r="AB274" i="23"/>
  <c r="I274" i="23"/>
  <c r="L31" i="24"/>
  <c r="AC31" i="24" s="1"/>
  <c r="AY31" i="24"/>
  <c r="AY27" i="24"/>
  <c r="L27" i="24"/>
  <c r="AC27" i="24" s="1"/>
  <c r="AB234" i="23"/>
  <c r="I234" i="23"/>
  <c r="L16" i="24"/>
  <c r="AC16" i="24" s="1"/>
  <c r="AY16" i="24"/>
  <c r="L11" i="24"/>
  <c r="AC11" i="24" s="1"/>
  <c r="AY11" i="24"/>
  <c r="AY46" i="24"/>
  <c r="L46" i="24"/>
  <c r="AC46" i="24" s="1"/>
  <c r="L8" i="24"/>
  <c r="AC8" i="24" s="1"/>
  <c r="AY8" i="24"/>
  <c r="AM217" i="23"/>
  <c r="AN217" i="23"/>
  <c r="AM241" i="23"/>
  <c r="AN241" i="23"/>
  <c r="AM220" i="23"/>
  <c r="AN220" i="23"/>
  <c r="AM269" i="23"/>
  <c r="AN269" i="23"/>
  <c r="AM190" i="23"/>
  <c r="AN190" i="23"/>
  <c r="BS45" i="24"/>
  <c r="BT45" i="24"/>
  <c r="AM252" i="23"/>
  <c r="AN252" i="23"/>
  <c r="BS42" i="24"/>
  <c r="BT42" i="24"/>
  <c r="AM209" i="23"/>
  <c r="AN209" i="23"/>
  <c r="AA191" i="23"/>
  <c r="I191" i="23"/>
  <c r="O191" i="23" s="1"/>
  <c r="AB191" i="23"/>
  <c r="AA271" i="23"/>
  <c r="I271" i="23"/>
  <c r="O271" i="23" s="1"/>
  <c r="AB271" i="23"/>
  <c r="AA198" i="23"/>
  <c r="AB198" i="23"/>
  <c r="I198" i="23"/>
  <c r="AA250" i="23"/>
  <c r="AB250" i="23"/>
  <c r="L34" i="24"/>
  <c r="AC34" i="24" s="1"/>
  <c r="AY34" i="24"/>
  <c r="AM280" i="23"/>
  <c r="AN280" i="23"/>
  <c r="I278" i="23"/>
  <c r="O278" i="23" s="1"/>
  <c r="AN278" i="23"/>
  <c r="AM243" i="23"/>
  <c r="AN243" i="23"/>
  <c r="BS22" i="24"/>
  <c r="BT22" i="24"/>
  <c r="AM268" i="23"/>
  <c r="AN268" i="23"/>
  <c r="AM196" i="23"/>
  <c r="AN196" i="23"/>
  <c r="BS15" i="24"/>
  <c r="BT15" i="24"/>
  <c r="AM248" i="23"/>
  <c r="AN248" i="23"/>
  <c r="I250" i="23"/>
  <c r="O250" i="23" s="1"/>
  <c r="AN250" i="23"/>
  <c r="BS59" i="24"/>
  <c r="BT59" i="24"/>
  <c r="BS30" i="24"/>
  <c r="BT30" i="24"/>
  <c r="BS53" i="24"/>
  <c r="BT53" i="24"/>
  <c r="AY47" i="24"/>
  <c r="L47" i="24"/>
  <c r="AC47" i="24" s="1"/>
  <c r="AB240" i="23"/>
  <c r="I240" i="23"/>
  <c r="O240" i="23" s="1"/>
  <c r="AB236" i="23"/>
  <c r="I236" i="23"/>
  <c r="O236" i="23" s="1"/>
  <c r="I281" i="23"/>
  <c r="O281" i="23" s="1"/>
  <c r="AB281" i="23"/>
  <c r="AA273" i="23"/>
  <c r="I273" i="23"/>
  <c r="O273" i="23" s="1"/>
  <c r="AB273" i="23"/>
  <c r="AA227" i="23"/>
  <c r="I227" i="23"/>
  <c r="AB227" i="23"/>
  <c r="AA233" i="23"/>
  <c r="I233" i="23"/>
  <c r="O233" i="23" s="1"/>
  <c r="AB233" i="23"/>
  <c r="AA219" i="23"/>
  <c r="AB219" i="23"/>
  <c r="I219" i="23"/>
  <c r="O219" i="23" s="1"/>
  <c r="AB224" i="23"/>
  <c r="I224" i="23"/>
  <c r="O224" i="23" s="1"/>
  <c r="AX13" i="24"/>
  <c r="AY13" i="24"/>
  <c r="L13" i="24"/>
  <c r="AC13" i="24" s="1"/>
  <c r="AA270" i="23"/>
  <c r="AB270" i="23"/>
  <c r="AB226" i="23"/>
  <c r="I226" i="23"/>
  <c r="AA229" i="23"/>
  <c r="AB229" i="23"/>
  <c r="I229" i="23"/>
  <c r="O229" i="23" s="1"/>
  <c r="AY60" i="24"/>
  <c r="L60" i="24"/>
  <c r="AC60" i="24" s="1"/>
  <c r="AB232" i="23"/>
  <c r="I232" i="23"/>
  <c r="O232" i="23" s="1"/>
  <c r="AA249" i="23"/>
  <c r="I249" i="23"/>
  <c r="O249" i="23" s="1"/>
  <c r="AB249" i="23"/>
  <c r="AY22" i="24"/>
  <c r="L22" i="24"/>
  <c r="AC22" i="24" s="1"/>
  <c r="L57" i="24"/>
  <c r="AC57" i="24" s="1"/>
  <c r="AY57" i="24"/>
  <c r="I266" i="23"/>
  <c r="O266" i="23" s="1"/>
  <c r="AN266" i="23"/>
  <c r="AM237" i="23"/>
  <c r="AN237" i="23"/>
  <c r="AM273" i="23"/>
  <c r="AN273" i="23"/>
  <c r="AM204" i="23"/>
  <c r="AN204" i="23"/>
  <c r="AM191" i="23"/>
  <c r="AN191" i="23"/>
  <c r="AM229" i="23"/>
  <c r="AN229" i="23"/>
  <c r="BS41" i="24"/>
  <c r="BT41" i="24"/>
  <c r="AA245" i="23"/>
  <c r="AB245" i="23"/>
  <c r="I245" i="23"/>
  <c r="O245" i="23" s="1"/>
  <c r="AA279" i="23"/>
  <c r="I279" i="23"/>
  <c r="O279" i="23" s="1"/>
  <c r="AB279" i="23"/>
  <c r="AY15" i="24"/>
  <c r="L15" i="24"/>
  <c r="AC15" i="24" s="1"/>
  <c r="AB252" i="23"/>
  <c r="I252" i="23"/>
  <c r="O252" i="23" s="1"/>
  <c r="AA211" i="23"/>
  <c r="AB211" i="23"/>
  <c r="I211" i="23"/>
  <c r="O211" i="23" s="1"/>
  <c r="AB228" i="23"/>
  <c r="I228" i="23"/>
  <c r="O228" i="23" s="1"/>
  <c r="AY30" i="24"/>
  <c r="L30" i="24"/>
  <c r="AC30" i="24" s="1"/>
  <c r="AA263" i="23"/>
  <c r="AB263" i="23"/>
  <c r="I263" i="23"/>
  <c r="O263" i="23" s="1"/>
  <c r="AB248" i="23"/>
  <c r="I248" i="23"/>
  <c r="AY50" i="24"/>
  <c r="L50" i="24"/>
  <c r="AC50" i="24" s="1"/>
  <c r="L10" i="24"/>
  <c r="AC10" i="24" s="1"/>
  <c r="AY10" i="24"/>
  <c r="L45" i="24"/>
  <c r="AC45" i="24" s="1"/>
  <c r="AY45" i="24"/>
  <c r="BS57" i="24"/>
  <c r="BT57" i="24"/>
  <c r="AM261" i="23"/>
  <c r="AN261" i="23"/>
  <c r="AM219" i="23"/>
  <c r="AN219" i="23"/>
  <c r="AM214" i="23"/>
  <c r="AN214" i="23"/>
  <c r="I222" i="23"/>
  <c r="O222" i="23" s="1"/>
  <c r="AB222" i="23"/>
  <c r="AA196" i="23"/>
  <c r="I196" i="23"/>
  <c r="O196" i="23" s="1"/>
  <c r="AB196" i="23"/>
  <c r="AA254" i="23"/>
  <c r="I254" i="23"/>
  <c r="AB254" i="23"/>
  <c r="AA204" i="23"/>
  <c r="I204" i="23"/>
  <c r="O204" i="23" s="1"/>
  <c r="AB204" i="23"/>
  <c r="AA253" i="23"/>
  <c r="I253" i="23"/>
  <c r="O253" i="23" s="1"/>
  <c r="AB253" i="23"/>
  <c r="AA217" i="23"/>
  <c r="I217" i="23"/>
  <c r="O217" i="23" s="1"/>
  <c r="AB217" i="23"/>
  <c r="AA251" i="23"/>
  <c r="I251" i="23"/>
  <c r="O251" i="23" s="1"/>
  <c r="AB251" i="23"/>
  <c r="AA207" i="23"/>
  <c r="I207" i="23"/>
  <c r="O207" i="23" s="1"/>
  <c r="AB207" i="23"/>
  <c r="AA216" i="23"/>
  <c r="I216" i="23"/>
  <c r="O216" i="23" s="1"/>
  <c r="AB216" i="23"/>
  <c r="AA262" i="23"/>
  <c r="I262" i="23"/>
  <c r="O262" i="23" s="1"/>
  <c r="AB262" i="23"/>
  <c r="AB244" i="23"/>
  <c r="I244" i="23"/>
  <c r="O244" i="23" s="1"/>
  <c r="L38" i="24"/>
  <c r="AC38" i="24" s="1"/>
  <c r="AY38" i="24"/>
  <c r="L33" i="24"/>
  <c r="AY33" i="24"/>
  <c r="AM225" i="23"/>
  <c r="AN225" i="23"/>
  <c r="AM198" i="23"/>
  <c r="AN198" i="23"/>
  <c r="AM213" i="23"/>
  <c r="AN213" i="23"/>
  <c r="AM263" i="23"/>
  <c r="AN263" i="23"/>
  <c r="AM210" i="23"/>
  <c r="AN210" i="23"/>
  <c r="BS56" i="24"/>
  <c r="BT56" i="24"/>
  <c r="BS17" i="24"/>
  <c r="BT17" i="24"/>
  <c r="AB235" i="23"/>
  <c r="I235" i="23"/>
  <c r="O235" i="23" s="1"/>
  <c r="L42" i="24"/>
  <c r="AC42" i="24" s="1"/>
  <c r="AY42" i="24"/>
  <c r="AA213" i="23"/>
  <c r="I213" i="23"/>
  <c r="O213" i="23" s="1"/>
  <c r="AB213" i="23"/>
  <c r="AA185" i="23"/>
  <c r="I185" i="23"/>
  <c r="O185" i="23" s="1"/>
  <c r="AB185" i="23"/>
  <c r="AA200" i="23"/>
  <c r="I200" i="23"/>
  <c r="O200" i="23" s="1"/>
  <c r="AB200" i="23"/>
  <c r="AA192" i="23"/>
  <c r="AB192" i="23"/>
  <c r="I192" i="23"/>
  <c r="O192" i="23" s="1"/>
  <c r="AA187" i="23"/>
  <c r="I187" i="23"/>
  <c r="O187" i="23" s="1"/>
  <c r="AB187" i="23"/>
  <c r="AB256" i="23"/>
  <c r="I256" i="23"/>
  <c r="O256" i="23" s="1"/>
  <c r="AB243" i="23"/>
  <c r="I243" i="23"/>
  <c r="AA266" i="23"/>
  <c r="AB266" i="23"/>
  <c r="L26" i="24"/>
  <c r="AC26" i="24" s="1"/>
  <c r="AY26" i="24"/>
  <c r="AY21" i="24"/>
  <c r="L21" i="24"/>
  <c r="AC21" i="24" s="1"/>
  <c r="AM235" i="23"/>
  <c r="AN235" i="23"/>
  <c r="I270" i="23"/>
  <c r="O270" i="23" s="1"/>
  <c r="AN270" i="23"/>
  <c r="AM189" i="23"/>
  <c r="AN189" i="23"/>
  <c r="AM275" i="23"/>
  <c r="AN275" i="23"/>
  <c r="AM267" i="23"/>
  <c r="AN267" i="23"/>
  <c r="AM194" i="23"/>
  <c r="AN194" i="23"/>
  <c r="AM251" i="23"/>
  <c r="AN251" i="23"/>
  <c r="AM206" i="23"/>
  <c r="AN206" i="23"/>
  <c r="AB27" i="23"/>
  <c r="I27" i="23"/>
  <c r="O27" i="23" s="1"/>
  <c r="I31" i="23"/>
  <c r="O31" i="23" s="1"/>
  <c r="AB31" i="23"/>
  <c r="AM14" i="23"/>
  <c r="AM26" i="23"/>
  <c r="AM27" i="23"/>
  <c r="AM16" i="23"/>
  <c r="AM28" i="23"/>
  <c r="AM17" i="23"/>
  <c r="AM29" i="23"/>
  <c r="AM15" i="23"/>
  <c r="AM18" i="23"/>
  <c r="AM30" i="23"/>
  <c r="AM10" i="23"/>
  <c r="AM19" i="23"/>
  <c r="AM31" i="23"/>
  <c r="AM25" i="23"/>
  <c r="AM8" i="23"/>
  <c r="AM20" i="23"/>
  <c r="AM32" i="23"/>
  <c r="AM22" i="23"/>
  <c r="AM9" i="23"/>
  <c r="AM21" i="23"/>
  <c r="AM33" i="23"/>
  <c r="AM11" i="23"/>
  <c r="AM23" i="23"/>
  <c r="AM12" i="23"/>
  <c r="AM24" i="23"/>
  <c r="AM13" i="23"/>
  <c r="AB15" i="23"/>
  <c r="I15" i="23"/>
  <c r="O15" i="23" s="1"/>
  <c r="I19" i="23"/>
  <c r="O19" i="23" s="1"/>
  <c r="AB19" i="23"/>
  <c r="AB29" i="23"/>
  <c r="I29" i="23"/>
  <c r="O29" i="23" s="1"/>
  <c r="AB24" i="23"/>
  <c r="I24" i="23"/>
  <c r="O24" i="23" s="1"/>
  <c r="I33" i="23"/>
  <c r="O33" i="23" s="1"/>
  <c r="AB33" i="23"/>
  <c r="AB17" i="23"/>
  <c r="I17" i="23"/>
  <c r="O17" i="23" s="1"/>
  <c r="AB12" i="23"/>
  <c r="I12" i="23"/>
  <c r="O12" i="23" s="1"/>
  <c r="I21" i="23"/>
  <c r="O21" i="23" s="1"/>
  <c r="AB21" i="23"/>
  <c r="AA14" i="23"/>
  <c r="AA26" i="23"/>
  <c r="AA15" i="23"/>
  <c r="AA27" i="23"/>
  <c r="AA16" i="23"/>
  <c r="AA28" i="23"/>
  <c r="AA17" i="23"/>
  <c r="AA29" i="23"/>
  <c r="AA18" i="23"/>
  <c r="AA30" i="23"/>
  <c r="AA10" i="23"/>
  <c r="AA19" i="23"/>
  <c r="AA31" i="23"/>
  <c r="AA22" i="23"/>
  <c r="AA8" i="23"/>
  <c r="AA20" i="23"/>
  <c r="AA32" i="23"/>
  <c r="AA9" i="23"/>
  <c r="AA21" i="23"/>
  <c r="AA33" i="23"/>
  <c r="AA11" i="23"/>
  <c r="AA23" i="23"/>
  <c r="AA12" i="23"/>
  <c r="AA24" i="23"/>
  <c r="AA13" i="23"/>
  <c r="AA25" i="23"/>
  <c r="AB10" i="23"/>
  <c r="I10" i="23"/>
  <c r="O10" i="23" s="1"/>
  <c r="I9" i="23"/>
  <c r="O9" i="23" s="1"/>
  <c r="AB9" i="23"/>
  <c r="AB13" i="23"/>
  <c r="I13" i="23"/>
  <c r="O13" i="23" s="1"/>
  <c r="AB26" i="23"/>
  <c r="I26" i="23"/>
  <c r="O26" i="23" s="1"/>
  <c r="I30" i="23"/>
  <c r="O30" i="23" s="1"/>
  <c r="AB30" i="23"/>
  <c r="AB25" i="23"/>
  <c r="I25" i="23"/>
  <c r="O25" i="23" s="1"/>
  <c r="AB14" i="23"/>
  <c r="I14" i="23"/>
  <c r="O14" i="23" s="1"/>
  <c r="AB23" i="23"/>
  <c r="I23" i="23"/>
  <c r="O23" i="23" s="1"/>
  <c r="I18" i="23"/>
  <c r="O18" i="23" s="1"/>
  <c r="AB18" i="23"/>
  <c r="AB22" i="23"/>
  <c r="I22" i="23"/>
  <c r="O22" i="23" s="1"/>
  <c r="N18" i="23"/>
  <c r="N30" i="23"/>
  <c r="N19" i="23"/>
  <c r="N31" i="23"/>
  <c r="N8" i="23"/>
  <c r="N20" i="23"/>
  <c r="N32" i="23"/>
  <c r="N9" i="23"/>
  <c r="N21" i="23"/>
  <c r="N33" i="23"/>
  <c r="N10" i="23"/>
  <c r="N22" i="23"/>
  <c r="N11" i="23"/>
  <c r="N23" i="23"/>
  <c r="N12" i="23"/>
  <c r="N24" i="23"/>
  <c r="N13" i="23"/>
  <c r="N25" i="23"/>
  <c r="N14" i="23"/>
  <c r="N26" i="23"/>
  <c r="N15" i="23"/>
  <c r="N27" i="23"/>
  <c r="N16" i="23"/>
  <c r="N28" i="23"/>
  <c r="N17" i="23"/>
  <c r="N29" i="23"/>
  <c r="AB28" i="23"/>
  <c r="I28" i="23"/>
  <c r="O28" i="23" s="1"/>
  <c r="AB11" i="23"/>
  <c r="I11" i="23"/>
  <c r="O11" i="23" s="1"/>
  <c r="I32" i="23"/>
  <c r="O32" i="23" s="1"/>
  <c r="AB32" i="23"/>
  <c r="AB16" i="23"/>
  <c r="I16" i="23"/>
  <c r="O16" i="23" s="1"/>
  <c r="I20" i="23"/>
  <c r="O20" i="23" s="1"/>
  <c r="AB20" i="23"/>
  <c r="I8" i="23"/>
  <c r="O8" i="23" s="1"/>
  <c r="AB8" i="23"/>
  <c r="I60" i="23"/>
  <c r="O60" i="23" s="1"/>
  <c r="AB60" i="23"/>
  <c r="I46" i="23"/>
  <c r="O46" i="23" s="1"/>
  <c r="AB46" i="23"/>
  <c r="AM49" i="23"/>
  <c r="AM43" i="23"/>
  <c r="AM55" i="23"/>
  <c r="AM44" i="23"/>
  <c r="AM56" i="23"/>
  <c r="AM45" i="23"/>
  <c r="AM57" i="23"/>
  <c r="AM61" i="23"/>
  <c r="AM34" i="23"/>
  <c r="AM46" i="23"/>
  <c r="AM58" i="23"/>
  <c r="AM47" i="23"/>
  <c r="AM59" i="23"/>
  <c r="AM36" i="23"/>
  <c r="AM48" i="23"/>
  <c r="AM60" i="23"/>
  <c r="AM38" i="23"/>
  <c r="AM50" i="23"/>
  <c r="AM39" i="23"/>
  <c r="AM51" i="23"/>
  <c r="AM37" i="23"/>
  <c r="AM40" i="23"/>
  <c r="AM52" i="23"/>
  <c r="AM42" i="23"/>
  <c r="AM35" i="23"/>
  <c r="AM41" i="23"/>
  <c r="AM53" i="23"/>
  <c r="AM54" i="23"/>
  <c r="AB54" i="23"/>
  <c r="I54" i="23"/>
  <c r="O54" i="23" s="1"/>
  <c r="I48" i="23"/>
  <c r="O48" i="23" s="1"/>
  <c r="AB48" i="23"/>
  <c r="I34" i="23"/>
  <c r="O34" i="23" s="1"/>
  <c r="AB34" i="23"/>
  <c r="I36" i="23"/>
  <c r="O36" i="23" s="1"/>
  <c r="AB36" i="23"/>
  <c r="AB56" i="23"/>
  <c r="I56" i="23"/>
  <c r="O56" i="23" s="1"/>
  <c r="AB50" i="23"/>
  <c r="I50" i="23"/>
  <c r="O50" i="23" s="1"/>
  <c r="AB44" i="23"/>
  <c r="I44" i="23"/>
  <c r="O44" i="23" s="1"/>
  <c r="AB38" i="23"/>
  <c r="I38" i="23"/>
  <c r="O38" i="23" s="1"/>
  <c r="AB42" i="23"/>
  <c r="I42" i="23"/>
  <c r="O42" i="23" s="1"/>
  <c r="AB51" i="23"/>
  <c r="I51" i="23"/>
  <c r="O51" i="23" s="1"/>
  <c r="AB53" i="23"/>
  <c r="I53" i="23"/>
  <c r="O53" i="23" s="1"/>
  <c r="I59" i="23"/>
  <c r="O59" i="23" s="1"/>
  <c r="AB59" i="23"/>
  <c r="AB41" i="23"/>
  <c r="I41" i="23"/>
  <c r="O41" i="23" s="1"/>
  <c r="I61" i="23"/>
  <c r="O61" i="23" s="1"/>
  <c r="AB61" i="23"/>
  <c r="I47" i="23"/>
  <c r="O47" i="23" s="1"/>
  <c r="AB47" i="23"/>
  <c r="AB39" i="23"/>
  <c r="I39" i="23"/>
  <c r="O39" i="23" s="1"/>
  <c r="AB55" i="23"/>
  <c r="I55" i="23"/>
  <c r="O55" i="23" s="1"/>
  <c r="I49" i="23"/>
  <c r="O49" i="23" s="1"/>
  <c r="AB49" i="23"/>
  <c r="I35" i="23"/>
  <c r="O35" i="23" s="1"/>
  <c r="AB35" i="23"/>
  <c r="AA42" i="23"/>
  <c r="AA43" i="23"/>
  <c r="AA55" i="23"/>
  <c r="AA44" i="23"/>
  <c r="AA56" i="23"/>
  <c r="AA35" i="23"/>
  <c r="AA45" i="23"/>
  <c r="AA57" i="23"/>
  <c r="AA34" i="23"/>
  <c r="AA46" i="23"/>
  <c r="AA58" i="23"/>
  <c r="AA47" i="23"/>
  <c r="AA59" i="23"/>
  <c r="AA36" i="23"/>
  <c r="AA48" i="23"/>
  <c r="AA60" i="23"/>
  <c r="AA37" i="23"/>
  <c r="AA49" i="23"/>
  <c r="AA61" i="23"/>
  <c r="AA38" i="23"/>
  <c r="AA50" i="23"/>
  <c r="AA39" i="23"/>
  <c r="AA51" i="23"/>
  <c r="AA40" i="23"/>
  <c r="AA52" i="23"/>
  <c r="AA54" i="23"/>
  <c r="AA41" i="23"/>
  <c r="AA53" i="23"/>
  <c r="I58" i="23"/>
  <c r="O58" i="23" s="1"/>
  <c r="AB58" i="23"/>
  <c r="AB43" i="23"/>
  <c r="I43" i="23"/>
  <c r="O43" i="23" s="1"/>
  <c r="I37" i="23"/>
  <c r="O37" i="23" s="1"/>
  <c r="AB37" i="23"/>
  <c r="N34" i="23"/>
  <c r="N46" i="23"/>
  <c r="N58" i="23"/>
  <c r="N35" i="23"/>
  <c r="N47" i="23"/>
  <c r="N59" i="23"/>
  <c r="N36" i="23"/>
  <c r="N48" i="23"/>
  <c r="N60" i="23"/>
  <c r="N37" i="23"/>
  <c r="N49" i="23"/>
  <c r="N61" i="23"/>
  <c r="N38" i="23"/>
  <c r="N50" i="23"/>
  <c r="N39" i="23"/>
  <c r="N51" i="23"/>
  <c r="N40" i="23"/>
  <c r="N52" i="23"/>
  <c r="N41" i="23"/>
  <c r="N53" i="23"/>
  <c r="N42" i="23"/>
  <c r="N54" i="23"/>
  <c r="N43" i="23"/>
  <c r="N55" i="23"/>
  <c r="N44" i="23"/>
  <c r="N56" i="23"/>
  <c r="N45" i="23"/>
  <c r="N57" i="23"/>
  <c r="AB57" i="23"/>
  <c r="I57" i="23"/>
  <c r="O57" i="23" s="1"/>
  <c r="AB52" i="23"/>
  <c r="I52" i="23"/>
  <c r="O52" i="23" s="1"/>
  <c r="AB45" i="23"/>
  <c r="I45" i="23"/>
  <c r="O45" i="23" s="1"/>
  <c r="AB40" i="23"/>
  <c r="I40" i="23"/>
  <c r="O40" i="23" s="1"/>
  <c r="R131" i="22"/>
  <c r="F131" i="22"/>
  <c r="Q131" i="22"/>
  <c r="J131" i="22"/>
  <c r="K131" i="22"/>
  <c r="Y131" i="22"/>
  <c r="H130" i="22"/>
  <c r="BS67" i="24"/>
  <c r="AJ119" i="24"/>
  <c r="L67" i="24"/>
  <c r="AC67" i="24" s="1"/>
  <c r="L66" i="24"/>
  <c r="AM62" i="23"/>
  <c r="AB67" i="24"/>
  <c r="BS62" i="24"/>
  <c r="BS63" i="24"/>
  <c r="BS64" i="24"/>
  <c r="BS65" i="24"/>
  <c r="BS66" i="24"/>
  <c r="L63" i="24"/>
  <c r="AC63" i="24" s="1"/>
  <c r="L64" i="24"/>
  <c r="AC64" i="24" s="1"/>
  <c r="L65" i="24"/>
  <c r="AC65" i="24" s="1"/>
  <c r="AX67" i="24"/>
  <c r="L62" i="24"/>
  <c r="AC62" i="24" s="1"/>
  <c r="AX62" i="24"/>
  <c r="AX63" i="24"/>
  <c r="AX64" i="24"/>
  <c r="AX65" i="24"/>
  <c r="AX66" i="24"/>
  <c r="AJ115" i="24"/>
  <c r="AJ117" i="24"/>
  <c r="AJ118" i="24"/>
  <c r="AB62" i="24"/>
  <c r="AB63" i="24"/>
  <c r="AB64" i="24"/>
  <c r="AB65" i="24"/>
  <c r="AB66" i="24"/>
  <c r="AB68" i="24"/>
  <c r="L68" i="24"/>
  <c r="AC68" i="24" s="1"/>
  <c r="AX68" i="24"/>
  <c r="BS68" i="24"/>
  <c r="N62" i="23"/>
  <c r="AA62" i="23"/>
  <c r="U120" i="23"/>
  <c r="U119" i="23"/>
  <c r="J264" i="23" l="1"/>
  <c r="M43" i="24"/>
  <c r="M48" i="24"/>
  <c r="M51" i="24"/>
  <c r="J189" i="23"/>
  <c r="J269" i="23"/>
  <c r="M9" i="24"/>
  <c r="M53" i="24"/>
  <c r="J215" i="23"/>
  <c r="J267" i="23"/>
  <c r="M17" i="24"/>
  <c r="J239" i="23"/>
  <c r="J220" i="23"/>
  <c r="M18" i="24"/>
  <c r="J203" i="23"/>
  <c r="M25" i="24"/>
  <c r="M56" i="24"/>
  <c r="J199" i="23"/>
  <c r="M54" i="24"/>
  <c r="J255" i="23"/>
  <c r="J212" i="23"/>
  <c r="M14" i="24"/>
  <c r="M37" i="24"/>
  <c r="M59" i="24"/>
  <c r="J276" i="23"/>
  <c r="J188" i="23"/>
  <c r="M32" i="24"/>
  <c r="J241" i="23"/>
  <c r="J257" i="23"/>
  <c r="J209" i="23"/>
  <c r="M35" i="24"/>
  <c r="J265" i="23"/>
  <c r="J258" i="23"/>
  <c r="J221" i="23"/>
  <c r="J280" i="23"/>
  <c r="M29" i="24"/>
  <c r="M44" i="24"/>
  <c r="M47" i="24"/>
  <c r="J60" i="23"/>
  <c r="J251" i="23"/>
  <c r="J193" i="23"/>
  <c r="J262" i="23"/>
  <c r="J228" i="23"/>
  <c r="J4" i="23"/>
  <c r="J36" i="23"/>
  <c r="M40" i="24"/>
  <c r="M61" i="24"/>
  <c r="J24" i="23"/>
  <c r="M11" i="24"/>
  <c r="M36" i="24"/>
  <c r="J278" i="23"/>
  <c r="J47" i="23"/>
  <c r="J250" i="23"/>
  <c r="M30" i="24"/>
  <c r="J279" i="23"/>
  <c r="M55" i="24"/>
  <c r="J46" i="23"/>
  <c r="J191" i="23"/>
  <c r="J277" i="23"/>
  <c r="J259" i="23"/>
  <c r="M23" i="24"/>
  <c r="J263" i="23"/>
  <c r="M52" i="24"/>
  <c r="J249" i="23"/>
  <c r="J270" i="23"/>
  <c r="J194" i="23"/>
  <c r="O194" i="23"/>
  <c r="J238" i="23"/>
  <c r="O238" i="23"/>
  <c r="J243" i="23"/>
  <c r="O243" i="23"/>
  <c r="J234" i="23"/>
  <c r="O234" i="23"/>
  <c r="J246" i="23"/>
  <c r="O246" i="23"/>
  <c r="J224" i="23"/>
  <c r="M58" i="24"/>
  <c r="J196" i="23"/>
  <c r="J216" i="23"/>
  <c r="J236" i="23"/>
  <c r="J266" i="23"/>
  <c r="J260" i="23"/>
  <c r="J222" i="23"/>
  <c r="M33" i="24"/>
  <c r="AC33" i="24"/>
  <c r="J248" i="23"/>
  <c r="O248" i="23"/>
  <c r="J204" i="23"/>
  <c r="J187" i="23"/>
  <c r="J197" i="23"/>
  <c r="M38" i="24"/>
  <c r="J273" i="23"/>
  <c r="M8" i="24"/>
  <c r="J281" i="23"/>
  <c r="J237" i="23"/>
  <c r="J186" i="23"/>
  <c r="O186" i="23"/>
  <c r="M12" i="24"/>
  <c r="J207" i="23"/>
  <c r="J205" i="23"/>
  <c r="M28" i="24"/>
  <c r="J200" i="23"/>
  <c r="M21" i="24"/>
  <c r="J202" i="23"/>
  <c r="O202" i="23"/>
  <c r="J31" i="23"/>
  <c r="J226" i="23"/>
  <c r="O226" i="23"/>
  <c r="M49" i="24"/>
  <c r="J232" i="23"/>
  <c r="J192" i="23"/>
  <c r="M57" i="24"/>
  <c r="M27" i="24"/>
  <c r="J231" i="23"/>
  <c r="J223" i="23"/>
  <c r="O223" i="23"/>
  <c r="J268" i="23"/>
  <c r="O268" i="23"/>
  <c r="J254" i="23"/>
  <c r="O254" i="23"/>
  <c r="J230" i="23"/>
  <c r="O230" i="23"/>
  <c r="J214" i="23"/>
  <c r="O214" i="23"/>
  <c r="M45" i="24"/>
  <c r="J275" i="23"/>
  <c r="J233" i="23"/>
  <c r="M13" i="24"/>
  <c r="M26" i="24"/>
  <c r="J206" i="23"/>
  <c r="O206" i="23"/>
  <c r="J34" i="23"/>
  <c r="J274" i="23"/>
  <c r="O274" i="23"/>
  <c r="J213" i="23"/>
  <c r="M46" i="24"/>
  <c r="M50" i="24"/>
  <c r="M60" i="24"/>
  <c r="J225" i="23"/>
  <c r="M22" i="24"/>
  <c r="M39" i="24"/>
  <c r="J240" i="23"/>
  <c r="J208" i="23"/>
  <c r="J219" i="23"/>
  <c r="J217" i="23"/>
  <c r="M31" i="24"/>
  <c r="M10" i="24"/>
  <c r="J247" i="23"/>
  <c r="J198" i="23"/>
  <c r="O198" i="23"/>
  <c r="J227" i="23"/>
  <c r="O227" i="23"/>
  <c r="M19" i="24"/>
  <c r="J244" i="23"/>
  <c r="M20" i="24"/>
  <c r="J195" i="23"/>
  <c r="J229" i="23"/>
  <c r="M16" i="24"/>
  <c r="J256" i="23"/>
  <c r="J272" i="23"/>
  <c r="J235" i="23"/>
  <c r="M24" i="24"/>
  <c r="J218" i="23"/>
  <c r="O218" i="23"/>
  <c r="J33" i="23"/>
  <c r="J190" i="23"/>
  <c r="O190" i="23"/>
  <c r="J185" i="23"/>
  <c r="J245" i="23"/>
  <c r="J253" i="23"/>
  <c r="J242" i="23"/>
  <c r="O242" i="23"/>
  <c r="M15" i="24"/>
  <c r="J201" i="23"/>
  <c r="M42" i="24"/>
  <c r="M34" i="24"/>
  <c r="J271" i="23"/>
  <c r="M41" i="24"/>
  <c r="J211" i="23"/>
  <c r="J261" i="23"/>
  <c r="J252" i="23"/>
  <c r="J210" i="23"/>
  <c r="O210" i="23"/>
  <c r="M66" i="24"/>
  <c r="AC66" i="24"/>
  <c r="J27" i="23"/>
  <c r="J51" i="23"/>
  <c r="J56" i="23"/>
  <c r="J39" i="23"/>
  <c r="J21" i="23"/>
  <c r="J42" i="23"/>
  <c r="J53" i="23"/>
  <c r="J9" i="23"/>
  <c r="J18" i="23"/>
  <c r="J29" i="23"/>
  <c r="J23" i="23"/>
  <c r="J32" i="23"/>
  <c r="J11" i="23"/>
  <c r="J22" i="23"/>
  <c r="J16" i="23"/>
  <c r="J13" i="23"/>
  <c r="J15" i="23"/>
  <c r="J20" i="23"/>
  <c r="J10" i="23"/>
  <c r="J8" i="23"/>
  <c r="J30" i="23"/>
  <c r="J25" i="23"/>
  <c r="J50" i="23"/>
  <c r="J59" i="23"/>
  <c r="J57" i="23"/>
  <c r="J35" i="23"/>
  <c r="J26" i="23"/>
  <c r="J12" i="23"/>
  <c r="J19" i="23"/>
  <c r="J17" i="23"/>
  <c r="J14" i="23"/>
  <c r="J28" i="23"/>
  <c r="J52" i="23"/>
  <c r="J61" i="23"/>
  <c r="J40" i="23"/>
  <c r="J49" i="23"/>
  <c r="J54" i="23"/>
  <c r="J45" i="23"/>
  <c r="J37" i="23"/>
  <c r="J44" i="23"/>
  <c r="J58" i="23"/>
  <c r="J41" i="23"/>
  <c r="J48" i="23"/>
  <c r="J55" i="23"/>
  <c r="J38" i="23"/>
  <c r="J43" i="23"/>
  <c r="Y132" i="22"/>
  <c r="F132" i="22"/>
  <c r="Q132" i="22"/>
  <c r="R132" i="22"/>
  <c r="J132" i="22"/>
  <c r="K132" i="22"/>
  <c r="H131" i="22"/>
  <c r="M67" i="24"/>
  <c r="M65" i="24"/>
  <c r="M63" i="24"/>
  <c r="M64" i="24"/>
  <c r="M62" i="24"/>
  <c r="AB69" i="24"/>
  <c r="M68" i="24"/>
  <c r="L69" i="24"/>
  <c r="AC69" i="24" s="1"/>
  <c r="AX69" i="24"/>
  <c r="BS69" i="24"/>
  <c r="AI125" i="23"/>
  <c r="AJ62" i="23"/>
  <c r="AK62" i="23" s="1"/>
  <c r="AK63" i="23"/>
  <c r="G62" i="23"/>
  <c r="H62" i="23" s="1"/>
  <c r="G63" i="23"/>
  <c r="H63" i="23" s="1"/>
  <c r="AA64" i="23" l="1"/>
  <c r="AM64" i="23"/>
  <c r="N64" i="23"/>
  <c r="N63" i="23"/>
  <c r="AA63" i="23"/>
  <c r="AM63" i="23"/>
  <c r="Q133" i="22"/>
  <c r="R133" i="22"/>
  <c r="F133" i="22"/>
  <c r="J133" i="22"/>
  <c r="K133" i="22"/>
  <c r="Y133" i="22"/>
  <c r="H132" i="22"/>
  <c r="X63" i="23"/>
  <c r="Y63" i="23" s="1"/>
  <c r="AG112" i="24"/>
  <c r="AG110" i="24"/>
  <c r="AG111" i="24"/>
  <c r="AG108" i="24"/>
  <c r="AG109" i="24"/>
  <c r="M69" i="24"/>
  <c r="BS70" i="24"/>
  <c r="L70" i="24"/>
  <c r="AC70" i="24" s="1"/>
  <c r="AX70" i="24"/>
  <c r="AB70" i="24"/>
  <c r="X62" i="23"/>
  <c r="Y62" i="23" s="1"/>
  <c r="S108" i="23"/>
  <c r="S109" i="23"/>
  <c r="S112" i="23"/>
  <c r="S110" i="23"/>
  <c r="S115" i="23"/>
  <c r="T116" i="23" s="1"/>
  <c r="V120" i="23" s="1"/>
  <c r="S114" i="23"/>
  <c r="S113" i="23"/>
  <c r="S111" i="23"/>
  <c r="W120" i="23" l="1"/>
  <c r="AD120" i="23"/>
  <c r="T115" i="23"/>
  <c r="V119" i="23" s="1"/>
  <c r="N65" i="23"/>
  <c r="AM65" i="23"/>
  <c r="AA65" i="23"/>
  <c r="Q134" i="22"/>
  <c r="R134" i="22"/>
  <c r="F134" i="22"/>
  <c r="Y134" i="22"/>
  <c r="H133" i="22"/>
  <c r="J134" i="22"/>
  <c r="K134" i="22"/>
  <c r="K63" i="24"/>
  <c r="G64" i="23"/>
  <c r="H64" i="23" s="1"/>
  <c r="AJ64" i="23"/>
  <c r="AK64" i="23" s="1"/>
  <c r="BF64" i="24"/>
  <c r="K64" i="24"/>
  <c r="G65" i="23"/>
  <c r="H65" i="23" s="1"/>
  <c r="AJ65" i="23"/>
  <c r="AK65" i="23" s="1"/>
  <c r="AH112" i="24"/>
  <c r="AH113" i="24"/>
  <c r="AY113" i="24" s="1"/>
  <c r="AH109" i="24"/>
  <c r="AJ114" i="24"/>
  <c r="AH111" i="24"/>
  <c r="AY111" i="24" s="1"/>
  <c r="AH110" i="24"/>
  <c r="AY110" i="24" s="1"/>
  <c r="M70" i="24"/>
  <c r="BS71" i="24"/>
  <c r="AX71" i="24"/>
  <c r="L71" i="24"/>
  <c r="AC71" i="24" s="1"/>
  <c r="AB71" i="24"/>
  <c r="T113" i="23"/>
  <c r="T110" i="23"/>
  <c r="T111" i="23"/>
  <c r="T114" i="23"/>
  <c r="V118" i="23" s="1"/>
  <c r="U116" i="23"/>
  <c r="U117" i="23"/>
  <c r="U118" i="23"/>
  <c r="T112" i="23"/>
  <c r="T109" i="23"/>
  <c r="BJ64" i="24" l="1"/>
  <c r="BG64" i="24"/>
  <c r="V113" i="23"/>
  <c r="AD113" i="23" s="1"/>
  <c r="V114" i="23"/>
  <c r="W114" i="23" s="1"/>
  <c r="V115" i="23"/>
  <c r="V117" i="23"/>
  <c r="W118" i="23"/>
  <c r="AD118" i="23"/>
  <c r="V116" i="23"/>
  <c r="W119" i="23"/>
  <c r="AD119" i="23"/>
  <c r="U111" i="23"/>
  <c r="U113" i="23"/>
  <c r="U114" i="23"/>
  <c r="U110" i="23"/>
  <c r="U109" i="23"/>
  <c r="U112" i="23"/>
  <c r="U115" i="23"/>
  <c r="AJ109" i="24"/>
  <c r="AY109" i="24"/>
  <c r="AJ112" i="24"/>
  <c r="AY112" i="24"/>
  <c r="AJ113" i="24"/>
  <c r="AI114" i="24"/>
  <c r="BH64" i="24"/>
  <c r="AM66" i="23"/>
  <c r="N66" i="23"/>
  <c r="AA66" i="23"/>
  <c r="Y135" i="22"/>
  <c r="Q135" i="22"/>
  <c r="F135" i="22"/>
  <c r="R135" i="22"/>
  <c r="K135" i="22"/>
  <c r="J135" i="22"/>
  <c r="H134" i="22"/>
  <c r="K65" i="24"/>
  <c r="G66" i="23"/>
  <c r="H66" i="23" s="1"/>
  <c r="BF65" i="24"/>
  <c r="AJ66" i="23"/>
  <c r="AK66" i="23" s="1"/>
  <c r="BF66" i="24"/>
  <c r="AI110" i="24"/>
  <c r="AI113" i="24"/>
  <c r="AJ111" i="24"/>
  <c r="AI112" i="24"/>
  <c r="AI111" i="24"/>
  <c r="AJ110" i="24"/>
  <c r="AB72" i="24"/>
  <c r="M71" i="24"/>
  <c r="BS72" i="24"/>
  <c r="AX72" i="24"/>
  <c r="L72" i="24"/>
  <c r="AC72" i="24" s="1"/>
  <c r="AS49" i="23"/>
  <c r="AD114" i="23" l="1"/>
  <c r="BJ66" i="24"/>
  <c r="BG66" i="24"/>
  <c r="BJ65" i="24"/>
  <c r="BG65" i="24"/>
  <c r="W113" i="23"/>
  <c r="W117" i="23"/>
  <c r="AD117" i="23"/>
  <c r="W116" i="23"/>
  <c r="AD116" i="23"/>
  <c r="W115" i="23"/>
  <c r="AD115" i="23"/>
  <c r="BH65" i="24"/>
  <c r="BH66" i="24"/>
  <c r="N67" i="23"/>
  <c r="AM67" i="23"/>
  <c r="AA67" i="23"/>
  <c r="Y136" i="22"/>
  <c r="J136" i="22"/>
  <c r="K136" i="22"/>
  <c r="R136" i="22"/>
  <c r="Q136" i="22"/>
  <c r="F136" i="22"/>
  <c r="H135" i="22"/>
  <c r="K66" i="24"/>
  <c r="G67" i="23"/>
  <c r="H67" i="23" s="1"/>
  <c r="BF67" i="24"/>
  <c r="AJ67" i="23"/>
  <c r="AK67" i="23" s="1"/>
  <c r="AX73" i="24"/>
  <c r="L73" i="24"/>
  <c r="AC73" i="24" s="1"/>
  <c r="BS73" i="24"/>
  <c r="AB73" i="24"/>
  <c r="M72" i="24"/>
  <c r="BJ67" i="24" l="1"/>
  <c r="BG67" i="24"/>
  <c r="BH67" i="24"/>
  <c r="AM68" i="23"/>
  <c r="AA68" i="23"/>
  <c r="N68" i="23"/>
  <c r="H136" i="22"/>
  <c r="R137" i="22"/>
  <c r="F137" i="22"/>
  <c r="Q137" i="22"/>
  <c r="Y137" i="22"/>
  <c r="J137" i="22"/>
  <c r="K137" i="22"/>
  <c r="K67" i="24"/>
  <c r="G68" i="23"/>
  <c r="H68" i="23" s="1"/>
  <c r="BF68" i="24"/>
  <c r="AG63" i="24"/>
  <c r="AG92" i="24"/>
  <c r="AG101" i="24"/>
  <c r="AG72" i="24"/>
  <c r="AG82" i="24"/>
  <c r="AG62" i="24"/>
  <c r="AG70" i="24"/>
  <c r="AG76" i="24"/>
  <c r="AG99" i="24"/>
  <c r="AG79" i="24"/>
  <c r="AG100" i="24"/>
  <c r="AG78" i="24"/>
  <c r="AG81" i="24"/>
  <c r="AG88" i="24"/>
  <c r="AG71" i="24"/>
  <c r="AG80" i="24"/>
  <c r="AG65" i="24"/>
  <c r="AG91" i="24"/>
  <c r="AG98" i="24"/>
  <c r="AG69" i="24"/>
  <c r="AX74" i="24"/>
  <c r="L74" i="24"/>
  <c r="AC74" i="24" s="1"/>
  <c r="BS74" i="24"/>
  <c r="M73" i="24"/>
  <c r="AB74" i="24"/>
  <c r="S92" i="23"/>
  <c r="S72" i="23"/>
  <c r="S65" i="23"/>
  <c r="S63" i="23"/>
  <c r="S101" i="23"/>
  <c r="S81" i="23"/>
  <c r="S78" i="23"/>
  <c r="S80" i="23"/>
  <c r="S69" i="23"/>
  <c r="S62" i="23"/>
  <c r="S88" i="23"/>
  <c r="S70" i="23"/>
  <c r="S99" i="23"/>
  <c r="S82" i="23"/>
  <c r="S91" i="23"/>
  <c r="S76" i="23"/>
  <c r="S79" i="23"/>
  <c r="S98" i="23"/>
  <c r="S71" i="23"/>
  <c r="S100" i="23"/>
  <c r="BJ68" i="24" l="1"/>
  <c r="BG68" i="24"/>
  <c r="T63" i="23"/>
  <c r="BH68" i="24"/>
  <c r="AM69" i="23"/>
  <c r="AA69" i="23"/>
  <c r="N69" i="23"/>
  <c r="F138" i="22"/>
  <c r="Q138" i="22"/>
  <c r="R138" i="22"/>
  <c r="H137" i="22"/>
  <c r="Y138" i="22"/>
  <c r="K138" i="22"/>
  <c r="J138" i="22"/>
  <c r="K68" i="24"/>
  <c r="G69" i="23"/>
  <c r="H69" i="23" s="1"/>
  <c r="AJ68" i="23"/>
  <c r="AK68" i="23" s="1"/>
  <c r="BF69" i="24"/>
  <c r="AJ69" i="23"/>
  <c r="AK69" i="23" s="1"/>
  <c r="AH79" i="24"/>
  <c r="AH101" i="24"/>
  <c r="AH92" i="24"/>
  <c r="AH70" i="24"/>
  <c r="AH63" i="24"/>
  <c r="T70" i="23"/>
  <c r="AH71" i="24"/>
  <c r="AY71" i="24" s="1"/>
  <c r="AH72" i="24"/>
  <c r="AY72" i="24" s="1"/>
  <c r="AG75" i="24"/>
  <c r="AH76" i="24" s="1"/>
  <c r="AY76" i="24" s="1"/>
  <c r="AG90" i="24"/>
  <c r="AH91" i="24" s="1"/>
  <c r="AY91" i="24" s="1"/>
  <c r="AG93" i="24"/>
  <c r="AG66" i="24"/>
  <c r="AH66" i="24" s="1"/>
  <c r="AY66" i="24" s="1"/>
  <c r="AG83" i="24"/>
  <c r="AG105" i="24"/>
  <c r="AG107" i="24"/>
  <c r="AH108" i="24" s="1"/>
  <c r="AY108" i="24" s="1"/>
  <c r="AG68" i="24"/>
  <c r="AH69" i="24" s="1"/>
  <c r="AY69" i="24" s="1"/>
  <c r="AG96" i="24"/>
  <c r="AG87" i="24"/>
  <c r="AH88" i="24" s="1"/>
  <c r="AY88" i="24" s="1"/>
  <c r="AG89" i="24"/>
  <c r="AG102" i="24"/>
  <c r="AG103" i="24"/>
  <c r="AG77" i="24"/>
  <c r="AH78" i="24" s="1"/>
  <c r="AY78" i="24" s="1"/>
  <c r="AG104" i="24"/>
  <c r="AG67" i="24"/>
  <c r="AG86" i="24"/>
  <c r="AG74" i="24"/>
  <c r="AG106" i="24"/>
  <c r="AG94" i="24"/>
  <c r="AG85" i="24"/>
  <c r="AG95" i="24"/>
  <c r="AG64" i="24"/>
  <c r="AH65" i="24" s="1"/>
  <c r="AY65" i="24" s="1"/>
  <c r="AG84" i="24"/>
  <c r="AG97" i="24"/>
  <c r="AH98" i="24" s="1"/>
  <c r="AY98" i="24" s="1"/>
  <c r="AG73" i="24"/>
  <c r="AH73" i="24" s="1"/>
  <c r="AY73" i="24" s="1"/>
  <c r="AH100" i="24"/>
  <c r="AY100" i="24" s="1"/>
  <c r="AH99" i="24"/>
  <c r="AY99" i="24" s="1"/>
  <c r="AH80" i="24"/>
  <c r="AY80" i="24" s="1"/>
  <c r="AH81" i="24"/>
  <c r="AY81" i="24" s="1"/>
  <c r="AH82" i="24"/>
  <c r="AY82" i="24" s="1"/>
  <c r="AB75" i="24"/>
  <c r="M74" i="24"/>
  <c r="AX75" i="24"/>
  <c r="L75" i="24"/>
  <c r="AC75" i="24" s="1"/>
  <c r="BS75" i="24"/>
  <c r="T80" i="23"/>
  <c r="T100" i="23"/>
  <c r="S103" i="23"/>
  <c r="S83" i="23"/>
  <c r="T83" i="23" s="1"/>
  <c r="S94" i="23"/>
  <c r="S84" i="23"/>
  <c r="S97" i="23"/>
  <c r="T98" i="23" s="1"/>
  <c r="S73" i="23"/>
  <c r="T73" i="23" s="1"/>
  <c r="S75" i="23"/>
  <c r="T76" i="23" s="1"/>
  <c r="S95" i="23"/>
  <c r="S107" i="23"/>
  <c r="S86" i="23"/>
  <c r="S106" i="23"/>
  <c r="S90" i="23"/>
  <c r="S68" i="23"/>
  <c r="T69" i="23" s="1"/>
  <c r="S77" i="23"/>
  <c r="T77" i="23" s="1"/>
  <c r="S85" i="23"/>
  <c r="S64" i="23"/>
  <c r="S96" i="23"/>
  <c r="S89" i="23"/>
  <c r="T89" i="23" s="1"/>
  <c r="S87" i="23"/>
  <c r="T88" i="23" s="1"/>
  <c r="S66" i="23"/>
  <c r="S93" i="23"/>
  <c r="T93" i="23" s="1"/>
  <c r="S74" i="23"/>
  <c r="S67" i="23"/>
  <c r="S105" i="23"/>
  <c r="S102" i="23"/>
  <c r="T102" i="23" s="1"/>
  <c r="S104" i="23"/>
  <c r="T79" i="23"/>
  <c r="T99" i="23"/>
  <c r="T101" i="23"/>
  <c r="T82" i="23"/>
  <c r="T72" i="23"/>
  <c r="T71" i="23"/>
  <c r="T81" i="23"/>
  <c r="T92" i="23"/>
  <c r="BJ69" i="24" l="1"/>
  <c r="BG69" i="24"/>
  <c r="U99" i="23"/>
  <c r="U73" i="23"/>
  <c r="U70" i="23"/>
  <c r="U82" i="23"/>
  <c r="U72" i="23"/>
  <c r="U89" i="23"/>
  <c r="U98" i="23"/>
  <c r="U79" i="23"/>
  <c r="U69" i="23"/>
  <c r="U77" i="23"/>
  <c r="U102" i="23"/>
  <c r="U100" i="23"/>
  <c r="U101" i="23"/>
  <c r="U80" i="23"/>
  <c r="U71" i="23"/>
  <c r="U88" i="23"/>
  <c r="U83" i="23"/>
  <c r="U92" i="23"/>
  <c r="U76" i="23"/>
  <c r="U81" i="23"/>
  <c r="U93" i="23"/>
  <c r="U63" i="23"/>
  <c r="AJ70" i="24"/>
  <c r="AY70" i="24"/>
  <c r="AJ92" i="24"/>
  <c r="AY92" i="24"/>
  <c r="AJ79" i="24"/>
  <c r="AY79" i="24"/>
  <c r="T67" i="23"/>
  <c r="T65" i="23"/>
  <c r="AJ101" i="24"/>
  <c r="AY101" i="24"/>
  <c r="T66" i="23"/>
  <c r="AJ63" i="24"/>
  <c r="AY63" i="24"/>
  <c r="T64" i="23"/>
  <c r="BH69" i="24"/>
  <c r="AM70" i="23"/>
  <c r="AA70" i="23"/>
  <c r="N70" i="23"/>
  <c r="H138" i="22"/>
  <c r="Q139" i="22"/>
  <c r="R139" i="22"/>
  <c r="F139" i="22"/>
  <c r="J139" i="22"/>
  <c r="K139" i="22"/>
  <c r="Y139" i="22"/>
  <c r="AH107" i="24"/>
  <c r="AJ70" i="23"/>
  <c r="AK70" i="23" s="1"/>
  <c r="BF70" i="24"/>
  <c r="AJ71" i="24"/>
  <c r="AH64" i="24"/>
  <c r="K69" i="24"/>
  <c r="G70" i="23"/>
  <c r="H70" i="23" s="1"/>
  <c r="AI73" i="24"/>
  <c r="AH90" i="24"/>
  <c r="AH77" i="24"/>
  <c r="AH86" i="24"/>
  <c r="AH106" i="24"/>
  <c r="AY106" i="24" s="1"/>
  <c r="AH85" i="24"/>
  <c r="AH103" i="24"/>
  <c r="AI72" i="24"/>
  <c r="AH89" i="24"/>
  <c r="AI71" i="24"/>
  <c r="AH102" i="24"/>
  <c r="AH75" i="24"/>
  <c r="AY75" i="24" s="1"/>
  <c r="AJ72" i="24"/>
  <c r="AH105" i="24"/>
  <c r="AH94" i="24"/>
  <c r="AH96" i="24"/>
  <c r="AH97" i="24"/>
  <c r="AJ76" i="24"/>
  <c r="AI66" i="24"/>
  <c r="AJ65" i="24"/>
  <c r="AJ88" i="24"/>
  <c r="AI101" i="24"/>
  <c r="AJ100" i="24"/>
  <c r="AH95" i="24"/>
  <c r="AY95" i="24" s="1"/>
  <c r="AJ69" i="24"/>
  <c r="AI70" i="24"/>
  <c r="AJ108" i="24"/>
  <c r="AI109" i="24"/>
  <c r="AJ73" i="24"/>
  <c r="AH87" i="24"/>
  <c r="AY87" i="24" s="1"/>
  <c r="AH84" i="24"/>
  <c r="AY84" i="24" s="1"/>
  <c r="AJ81" i="24"/>
  <c r="AI82" i="24"/>
  <c r="AH68" i="24"/>
  <c r="AY68" i="24" s="1"/>
  <c r="AH67" i="24"/>
  <c r="AJ80" i="24"/>
  <c r="AI81" i="24"/>
  <c r="AI80" i="24"/>
  <c r="AJ82" i="24"/>
  <c r="AH83" i="24"/>
  <c r="AJ99" i="24"/>
  <c r="AI100" i="24"/>
  <c r="AH74" i="24"/>
  <c r="AY74" i="24" s="1"/>
  <c r="AI79" i="24"/>
  <c r="AJ78" i="24"/>
  <c r="AJ91" i="24"/>
  <c r="AI92" i="24"/>
  <c r="AH93" i="24"/>
  <c r="AY93" i="24" s="1"/>
  <c r="AJ66" i="24"/>
  <c r="AI99" i="24"/>
  <c r="AJ98" i="24"/>
  <c r="AH104" i="24"/>
  <c r="AY104" i="24" s="1"/>
  <c r="M75" i="24"/>
  <c r="AX76" i="24"/>
  <c r="L76" i="24"/>
  <c r="AC76" i="24" s="1"/>
  <c r="AB76" i="24"/>
  <c r="BS76" i="24"/>
  <c r="T104" i="23"/>
  <c r="T95" i="23"/>
  <c r="T90" i="23"/>
  <c r="T78" i="23"/>
  <c r="V82" i="23" s="1"/>
  <c r="T105" i="23"/>
  <c r="T106" i="23"/>
  <c r="T107" i="23"/>
  <c r="T108" i="23"/>
  <c r="V112" i="23" s="1"/>
  <c r="T86" i="23"/>
  <c r="T87" i="23"/>
  <c r="T91" i="23"/>
  <c r="T96" i="23"/>
  <c r="T97" i="23"/>
  <c r="V101" i="23" s="1"/>
  <c r="T74" i="23"/>
  <c r="T75" i="23"/>
  <c r="T84" i="23"/>
  <c r="T85" i="23"/>
  <c r="T94" i="23"/>
  <c r="V96" i="23" s="1"/>
  <c r="T68" i="23"/>
  <c r="V72" i="23" s="1"/>
  <c r="T103" i="23"/>
  <c r="AB70" i="23"/>
  <c r="AB63" i="23"/>
  <c r="BJ70" i="24" l="1"/>
  <c r="BG70" i="24"/>
  <c r="V103" i="23"/>
  <c r="V89" i="23"/>
  <c r="AD89" i="23" s="1"/>
  <c r="V99" i="23"/>
  <c r="W99" i="23" s="1"/>
  <c r="V70" i="23"/>
  <c r="AD70" i="23" s="1"/>
  <c r="V71" i="23"/>
  <c r="AD71" i="23" s="1"/>
  <c r="V76" i="23"/>
  <c r="W76" i="23" s="1"/>
  <c r="V100" i="23"/>
  <c r="W100" i="23" s="1"/>
  <c r="V84" i="23"/>
  <c r="AD84" i="23" s="1"/>
  <c r="V94" i="23"/>
  <c r="AD94" i="23" s="1"/>
  <c r="V67" i="23"/>
  <c r="W67" i="23" s="1"/>
  <c r="V65" i="23"/>
  <c r="AD65" i="23" s="1"/>
  <c r="V109" i="23"/>
  <c r="W109" i="23" s="1"/>
  <c r="W96" i="23"/>
  <c r="AD96" i="23"/>
  <c r="W103" i="23"/>
  <c r="AD103" i="23"/>
  <c r="W82" i="23"/>
  <c r="AD82" i="23"/>
  <c r="V64" i="23"/>
  <c r="V73" i="23"/>
  <c r="V63" i="23"/>
  <c r="V106" i="23"/>
  <c r="V69" i="23"/>
  <c r="V97" i="23"/>
  <c r="V92" i="23"/>
  <c r="V79" i="23"/>
  <c r="W101" i="23"/>
  <c r="AD101" i="23"/>
  <c r="V108" i="23"/>
  <c r="U64" i="23"/>
  <c r="V85" i="23"/>
  <c r="V87" i="23"/>
  <c r="W71" i="23"/>
  <c r="AB64" i="23"/>
  <c r="V95" i="23"/>
  <c r="V86" i="23"/>
  <c r="V105" i="23"/>
  <c r="AD109" i="23"/>
  <c r="V104" i="23"/>
  <c r="V78" i="23"/>
  <c r="V83" i="23"/>
  <c r="V91" i="23"/>
  <c r="V75" i="23"/>
  <c r="W89" i="23"/>
  <c r="V90" i="23"/>
  <c r="V81" i="23"/>
  <c r="W65" i="23"/>
  <c r="V107" i="23"/>
  <c r="V102" i="23"/>
  <c r="V111" i="23"/>
  <c r="V93" i="23"/>
  <c r="V88" i="23"/>
  <c r="W112" i="23"/>
  <c r="AD112" i="23"/>
  <c r="V68" i="23"/>
  <c r="V77" i="23"/>
  <c r="W72" i="23"/>
  <c r="AD72" i="23"/>
  <c r="V98" i="23"/>
  <c r="V110" i="23"/>
  <c r="V66" i="23"/>
  <c r="V74" i="23"/>
  <c r="V80" i="23"/>
  <c r="AS24" i="23"/>
  <c r="U95" i="23"/>
  <c r="U90" i="23"/>
  <c r="U74" i="23"/>
  <c r="U87" i="23"/>
  <c r="U96" i="23"/>
  <c r="U86" i="23"/>
  <c r="U67" i="23"/>
  <c r="U94" i="23"/>
  <c r="U106" i="23"/>
  <c r="U65" i="23"/>
  <c r="U97" i="23"/>
  <c r="U91" i="23"/>
  <c r="U85" i="23"/>
  <c r="U105" i="23"/>
  <c r="U66" i="23"/>
  <c r="U75" i="23"/>
  <c r="U104" i="23"/>
  <c r="U103" i="23"/>
  <c r="U108" i="23"/>
  <c r="U107" i="23"/>
  <c r="U84" i="23"/>
  <c r="U78" i="23"/>
  <c r="AB66" i="23"/>
  <c r="AI67" i="24"/>
  <c r="AY67" i="24"/>
  <c r="AJ102" i="24"/>
  <c r="AY102" i="24"/>
  <c r="AJ89" i="24"/>
  <c r="AY89" i="24"/>
  <c r="AJ103" i="24"/>
  <c r="AY103" i="24"/>
  <c r="AI64" i="24"/>
  <c r="AY64" i="24"/>
  <c r="AJ85" i="24"/>
  <c r="AY85" i="24"/>
  <c r="AJ107" i="24"/>
  <c r="AY107" i="24"/>
  <c r="AI98" i="24"/>
  <c r="AY97" i="24"/>
  <c r="AI83" i="24"/>
  <c r="AY83" i="24"/>
  <c r="AJ96" i="24"/>
  <c r="AY96" i="24"/>
  <c r="AJ86" i="24"/>
  <c r="AY86" i="24"/>
  <c r="AJ94" i="24"/>
  <c r="AY94" i="24"/>
  <c r="AI78" i="24"/>
  <c r="AY77" i="24"/>
  <c r="AJ105" i="24"/>
  <c r="AY105" i="24"/>
  <c r="AI91" i="24"/>
  <c r="AY90" i="24"/>
  <c r="BH70" i="24"/>
  <c r="U68" i="23"/>
  <c r="AM71" i="23"/>
  <c r="N71" i="23"/>
  <c r="J140" i="22"/>
  <c r="K140" i="22"/>
  <c r="Q140" i="22"/>
  <c r="F140" i="22"/>
  <c r="Y140" i="22"/>
  <c r="H139" i="22"/>
  <c r="AI108" i="24"/>
  <c r="AI107" i="24"/>
  <c r="AI104" i="24"/>
  <c r="AI86" i="24"/>
  <c r="AJ77" i="24"/>
  <c r="AJ90" i="24"/>
  <c r="AI65" i="24"/>
  <c r="AJ64" i="24"/>
  <c r="K70" i="24"/>
  <c r="G71" i="23"/>
  <c r="H71" i="23" s="1"/>
  <c r="AJ71" i="23"/>
  <c r="AK71" i="23" s="1"/>
  <c r="AI77" i="24"/>
  <c r="AI95" i="24"/>
  <c r="AI90" i="24"/>
  <c r="AI102" i="24"/>
  <c r="AI87" i="24"/>
  <c r="AI106" i="24"/>
  <c r="AJ106" i="24"/>
  <c r="BY23" i="24"/>
  <c r="AI97" i="24"/>
  <c r="AI103" i="24"/>
  <c r="AI89" i="24"/>
  <c r="AJ75" i="24"/>
  <c r="AI76" i="24"/>
  <c r="AJ97" i="24"/>
  <c r="AJ93" i="24"/>
  <c r="AI94" i="24"/>
  <c r="AI93" i="24"/>
  <c r="AI88" i="24"/>
  <c r="AJ87" i="24"/>
  <c r="AI75" i="24"/>
  <c r="AJ74" i="24"/>
  <c r="AI74" i="24"/>
  <c r="AI85" i="24"/>
  <c r="AJ84" i="24"/>
  <c r="AJ83" i="24"/>
  <c r="AI84" i="24"/>
  <c r="AJ95" i="24"/>
  <c r="AI96" i="24"/>
  <c r="AJ68" i="24"/>
  <c r="AI69" i="24"/>
  <c r="AJ104" i="24"/>
  <c r="AI105" i="24"/>
  <c r="AI68" i="24"/>
  <c r="AJ67" i="24"/>
  <c r="BY24" i="24"/>
  <c r="BS77" i="24"/>
  <c r="AB77" i="24"/>
  <c r="M76" i="24"/>
  <c r="AX77" i="24"/>
  <c r="L77" i="24"/>
  <c r="AC77" i="24" s="1"/>
  <c r="AS23" i="23"/>
  <c r="AB69" i="23"/>
  <c r="AB67" i="23"/>
  <c r="AB68" i="23"/>
  <c r="AB65" i="23"/>
  <c r="AD76" i="23" l="1"/>
  <c r="AD100" i="23"/>
  <c r="AD99" i="23"/>
  <c r="AD67" i="23"/>
  <c r="W70" i="23"/>
  <c r="W84" i="23"/>
  <c r="W94" i="23"/>
  <c r="W88" i="23"/>
  <c r="AD88" i="23"/>
  <c r="W79" i="23"/>
  <c r="AD79" i="23"/>
  <c r="W80" i="23"/>
  <c r="AD80" i="23"/>
  <c r="W93" i="23"/>
  <c r="AD93" i="23"/>
  <c r="W75" i="23"/>
  <c r="AD75" i="23"/>
  <c r="W92" i="23"/>
  <c r="AD92" i="23"/>
  <c r="W97" i="23"/>
  <c r="AD97" i="23"/>
  <c r="W66" i="23"/>
  <c r="AD66" i="23"/>
  <c r="W102" i="23"/>
  <c r="AD102" i="23"/>
  <c r="W83" i="23"/>
  <c r="AD83" i="23"/>
  <c r="W69" i="23"/>
  <c r="AD69" i="23"/>
  <c r="W110" i="23"/>
  <c r="AD110" i="23"/>
  <c r="W107" i="23"/>
  <c r="AD107" i="23"/>
  <c r="W78" i="23"/>
  <c r="AD78" i="23"/>
  <c r="W87" i="23"/>
  <c r="AD87" i="23"/>
  <c r="W106" i="23"/>
  <c r="AD106" i="23"/>
  <c r="W98" i="23"/>
  <c r="AD98" i="23"/>
  <c r="W104" i="23"/>
  <c r="AD104" i="23"/>
  <c r="W85" i="23"/>
  <c r="AD85" i="23"/>
  <c r="W63" i="23"/>
  <c r="AD63" i="23"/>
  <c r="W74" i="23"/>
  <c r="AD74" i="23"/>
  <c r="W95" i="23"/>
  <c r="AD95" i="23"/>
  <c r="W111" i="23"/>
  <c r="AD111" i="23"/>
  <c r="W81" i="23"/>
  <c r="AD81" i="23"/>
  <c r="W108" i="23"/>
  <c r="AD108" i="23"/>
  <c r="W77" i="23"/>
  <c r="AD77" i="23"/>
  <c r="W90" i="23"/>
  <c r="AD90" i="23"/>
  <c r="W105" i="23"/>
  <c r="AD105" i="23"/>
  <c r="W73" i="23"/>
  <c r="AD73" i="23"/>
  <c r="W91" i="23"/>
  <c r="AD91" i="23"/>
  <c r="W68" i="23"/>
  <c r="AD68" i="23"/>
  <c r="W86" i="23"/>
  <c r="AD86" i="23"/>
  <c r="W64" i="23"/>
  <c r="AD64" i="23"/>
  <c r="AV24" i="23"/>
  <c r="AV23" i="23"/>
  <c r="AA71" i="23"/>
  <c r="AB71" i="23"/>
  <c r="AM72" i="23"/>
  <c r="N72" i="23"/>
  <c r="H140" i="22"/>
  <c r="Y141" i="22"/>
  <c r="F141" i="22"/>
  <c r="Q141" i="22"/>
  <c r="J141" i="22"/>
  <c r="K141" i="22"/>
  <c r="BF71" i="24"/>
  <c r="AJ72" i="23"/>
  <c r="AK72" i="23" s="1"/>
  <c r="BF72" i="24"/>
  <c r="K71" i="24"/>
  <c r="G72" i="23"/>
  <c r="H72" i="23" s="1"/>
  <c r="AB78" i="24"/>
  <c r="M77" i="24"/>
  <c r="BS78" i="24"/>
  <c r="AX78" i="24"/>
  <c r="L78" i="24"/>
  <c r="AC78" i="24" s="1"/>
  <c r="U62" i="23"/>
  <c r="AD17" i="22"/>
  <c r="BJ71" i="24" l="1"/>
  <c r="BG71" i="24"/>
  <c r="BJ72" i="24"/>
  <c r="BG72" i="24"/>
  <c r="AV26" i="23" a="1"/>
  <c r="AV26" i="23" s="1"/>
  <c r="AV27" i="23"/>
  <c r="AV25" i="23" a="1"/>
  <c r="AV25" i="23" s="1"/>
  <c r="BH71" i="24"/>
  <c r="BH72" i="24"/>
  <c r="AA72" i="23"/>
  <c r="AB72" i="23"/>
  <c r="AM73" i="23"/>
  <c r="N73" i="23"/>
  <c r="G34" i="22"/>
  <c r="G39" i="22"/>
  <c r="G51" i="22"/>
  <c r="G29" i="22"/>
  <c r="G50" i="22"/>
  <c r="G52" i="22"/>
  <c r="G46" i="22"/>
  <c r="G36" i="22"/>
  <c r="G53" i="22"/>
  <c r="G32" i="22"/>
  <c r="G57" i="22"/>
  <c r="G33" i="22"/>
  <c r="G41" i="22"/>
  <c r="G42" i="22"/>
  <c r="G48" i="22"/>
  <c r="G40" i="22"/>
  <c r="G31" i="22"/>
  <c r="G59" i="22"/>
  <c r="G54" i="22"/>
  <c r="G61" i="22"/>
  <c r="G38" i="22"/>
  <c r="G45" i="22"/>
  <c r="G30" i="22"/>
  <c r="G58" i="22"/>
  <c r="G55" i="22"/>
  <c r="G56" i="22"/>
  <c r="G37" i="22"/>
  <c r="G35" i="22"/>
  <c r="G43" i="22"/>
  <c r="G44" i="22"/>
  <c r="G47" i="22"/>
  <c r="G60" i="22"/>
  <c r="G49" i="22"/>
  <c r="G8" i="22"/>
  <c r="G20" i="22"/>
  <c r="G9" i="22"/>
  <c r="G21" i="22"/>
  <c r="G10" i="22"/>
  <c r="G22" i="22"/>
  <c r="G11" i="22"/>
  <c r="G23" i="22"/>
  <c r="G12" i="22"/>
  <c r="G24" i="22"/>
  <c r="G13" i="22"/>
  <c r="G25" i="22"/>
  <c r="G14" i="22"/>
  <c r="G15" i="22"/>
  <c r="G16" i="22"/>
  <c r="G17" i="22"/>
  <c r="G18" i="22"/>
  <c r="G19" i="22"/>
  <c r="G26" i="22"/>
  <c r="G27" i="22"/>
  <c r="G28" i="22"/>
  <c r="Y142" i="22"/>
  <c r="G141" i="22"/>
  <c r="H141" i="22"/>
  <c r="J142" i="22"/>
  <c r="K142" i="22"/>
  <c r="F142" i="22"/>
  <c r="Q142" i="22"/>
  <c r="G62" i="22"/>
  <c r="G63" i="22"/>
  <c r="G64" i="22"/>
  <c r="G65" i="22"/>
  <c r="G66" i="22"/>
  <c r="G67" i="22"/>
  <c r="G68" i="22"/>
  <c r="G69" i="22"/>
  <c r="G70" i="22"/>
  <c r="G71" i="22"/>
  <c r="G73" i="22"/>
  <c r="G72" i="22"/>
  <c r="G75" i="22"/>
  <c r="G74" i="22"/>
  <c r="G76" i="22"/>
  <c r="G77" i="22"/>
  <c r="G78" i="22"/>
  <c r="G79" i="22"/>
  <c r="G80" i="22"/>
  <c r="G81" i="22"/>
  <c r="G82" i="22"/>
  <c r="G83" i="22"/>
  <c r="G84" i="22"/>
  <c r="G85" i="22"/>
  <c r="G86" i="22"/>
  <c r="G87" i="22"/>
  <c r="G89" i="22"/>
  <c r="G88" i="22"/>
  <c r="G90" i="22"/>
  <c r="G91" i="22"/>
  <c r="G92" i="22"/>
  <c r="G93" i="22"/>
  <c r="G94" i="22"/>
  <c r="G95" i="22"/>
  <c r="G96" i="22"/>
  <c r="G97" i="22"/>
  <c r="G98" i="22"/>
  <c r="G99" i="22"/>
  <c r="G100" i="22"/>
  <c r="G101" i="22"/>
  <c r="G102" i="22"/>
  <c r="G103" i="22"/>
  <c r="G105" i="22"/>
  <c r="G104" i="22"/>
  <c r="G106" i="22"/>
  <c r="G107" i="22"/>
  <c r="G108" i="22"/>
  <c r="G110" i="22"/>
  <c r="G109" i="22"/>
  <c r="G112" i="22"/>
  <c r="G111" i="22"/>
  <c r="G113" i="22"/>
  <c r="G114" i="22"/>
  <c r="G115" i="22"/>
  <c r="G116" i="22"/>
  <c r="G117" i="22"/>
  <c r="G118" i="22"/>
  <c r="G119" i="22"/>
  <c r="G120" i="22"/>
  <c r="G121" i="22"/>
  <c r="G122" i="22"/>
  <c r="G125" i="22"/>
  <c r="G123" i="22"/>
  <c r="G124" i="22"/>
  <c r="G126" i="22"/>
  <c r="G127" i="22"/>
  <c r="G128" i="22"/>
  <c r="G129" i="22"/>
  <c r="G130" i="22"/>
  <c r="G131" i="22"/>
  <c r="G132" i="22"/>
  <c r="G133" i="22"/>
  <c r="G134" i="22"/>
  <c r="G135" i="22"/>
  <c r="G136" i="22"/>
  <c r="G137" i="22"/>
  <c r="G138" i="22"/>
  <c r="G139" i="22"/>
  <c r="G140" i="22"/>
  <c r="K72" i="24"/>
  <c r="G73" i="23"/>
  <c r="H73" i="23" s="1"/>
  <c r="BF73" i="24"/>
  <c r="M78" i="24"/>
  <c r="AB79" i="24"/>
  <c r="AX79" i="24"/>
  <c r="L79" i="24"/>
  <c r="AC79" i="24" s="1"/>
  <c r="BS79" i="24"/>
  <c r="P62" i="23"/>
  <c r="AI62" i="23"/>
  <c r="F62" i="23"/>
  <c r="AD26" i="22"/>
  <c r="AD22" i="22"/>
  <c r="BJ73" i="24" l="1"/>
  <c r="BG73" i="24"/>
  <c r="AV28" i="23"/>
  <c r="BH73" i="24"/>
  <c r="AA73" i="23"/>
  <c r="AB73" i="23"/>
  <c r="AM74" i="23"/>
  <c r="N74" i="23"/>
  <c r="G142" i="22"/>
  <c r="H142" i="22"/>
  <c r="Q143" i="22"/>
  <c r="F143" i="22"/>
  <c r="R143" i="22"/>
  <c r="Y143" i="22"/>
  <c r="J143" i="22"/>
  <c r="K143" i="22"/>
  <c r="K73" i="24"/>
  <c r="G74" i="23"/>
  <c r="H74" i="23" s="1"/>
  <c r="AJ73" i="23"/>
  <c r="AK73" i="23" s="1"/>
  <c r="AJ74" i="23"/>
  <c r="AK74" i="23" s="1"/>
  <c r="M79" i="24"/>
  <c r="AX80" i="24"/>
  <c r="L80" i="24"/>
  <c r="AC80" i="24" s="1"/>
  <c r="AB80" i="24"/>
  <c r="BS80" i="24"/>
  <c r="P63" i="23"/>
  <c r="AG115" i="23"/>
  <c r="BB79" i="24"/>
  <c r="P64" i="23"/>
  <c r="AD11" i="22"/>
  <c r="AD12" i="22"/>
  <c r="AD15" i="22" s="1"/>
  <c r="N75" i="23" l="1"/>
  <c r="AM75" i="23"/>
  <c r="AA74" i="23"/>
  <c r="AB74" i="23"/>
  <c r="F144" i="22"/>
  <c r="Q144" i="22"/>
  <c r="R144" i="22"/>
  <c r="G143" i="22"/>
  <c r="H143" i="22"/>
  <c r="Y144" i="22"/>
  <c r="J144" i="22"/>
  <c r="K144" i="22"/>
  <c r="AG121" i="23"/>
  <c r="AG123" i="23"/>
  <c r="AH124" i="23" s="1"/>
  <c r="AI124" i="23" s="1"/>
  <c r="AG122" i="23"/>
  <c r="AG106" i="23"/>
  <c r="BC121" i="24"/>
  <c r="AG120" i="23"/>
  <c r="AG119" i="23"/>
  <c r="BB118" i="24"/>
  <c r="AG118" i="23"/>
  <c r="AG117" i="23"/>
  <c r="BB117" i="24"/>
  <c r="BB116" i="24"/>
  <c r="AG116" i="23"/>
  <c r="AH116" i="23" s="1"/>
  <c r="AI116" i="23" s="1"/>
  <c r="BB107" i="24"/>
  <c r="BB115" i="24"/>
  <c r="AG114" i="23"/>
  <c r="AH115" i="23" s="1"/>
  <c r="AI115" i="23" s="1"/>
  <c r="BB114" i="24"/>
  <c r="AG102" i="23"/>
  <c r="BB113" i="24"/>
  <c r="AG113" i="23"/>
  <c r="BB108" i="24"/>
  <c r="AG112" i="23"/>
  <c r="AG108" i="23"/>
  <c r="BB112" i="24"/>
  <c r="BB100" i="24"/>
  <c r="BB111" i="24"/>
  <c r="AG107" i="23"/>
  <c r="AG111" i="23"/>
  <c r="AG79" i="23"/>
  <c r="AG110" i="23"/>
  <c r="AG71" i="23"/>
  <c r="BB110" i="24"/>
  <c r="AG97" i="23"/>
  <c r="BB109" i="24"/>
  <c r="AG109" i="23"/>
  <c r="AG77" i="23"/>
  <c r="AG73" i="23"/>
  <c r="BB98" i="24"/>
  <c r="AG98" i="23"/>
  <c r="AG104" i="23"/>
  <c r="AG85" i="23"/>
  <c r="AG68" i="23"/>
  <c r="BB97" i="24"/>
  <c r="AG64" i="23"/>
  <c r="BB68" i="24"/>
  <c r="AG67" i="23"/>
  <c r="BB86" i="24"/>
  <c r="AG86" i="23"/>
  <c r="AG89" i="23"/>
  <c r="K74" i="24"/>
  <c r="G75" i="23"/>
  <c r="H75" i="23" s="1"/>
  <c r="AG100" i="23"/>
  <c r="BB102" i="24"/>
  <c r="BB64" i="24"/>
  <c r="BB85" i="24"/>
  <c r="BB106" i="24"/>
  <c r="BB89" i="24"/>
  <c r="BB104" i="24"/>
  <c r="BB73" i="24"/>
  <c r="BF74" i="24"/>
  <c r="BF75" i="24"/>
  <c r="AJ75" i="23"/>
  <c r="AK75" i="23" s="1"/>
  <c r="BB67" i="24"/>
  <c r="BB71" i="24"/>
  <c r="BB77" i="24"/>
  <c r="AG90" i="23"/>
  <c r="BB90" i="24"/>
  <c r="AG81" i="23"/>
  <c r="BB81" i="24"/>
  <c r="AS27" i="23"/>
  <c r="BY27" i="24"/>
  <c r="AG103" i="23"/>
  <c r="BB103" i="24"/>
  <c r="AG93" i="23"/>
  <c r="BB93" i="24"/>
  <c r="AG83" i="23"/>
  <c r="BB83" i="24"/>
  <c r="AG74" i="23"/>
  <c r="BB74" i="24"/>
  <c r="AG65" i="23"/>
  <c r="BB65" i="24"/>
  <c r="AG101" i="23"/>
  <c r="BB101" i="24"/>
  <c r="AG82" i="23"/>
  <c r="BB82" i="24"/>
  <c r="AG92" i="23"/>
  <c r="BB92" i="24"/>
  <c r="AG88" i="23"/>
  <c r="BB88" i="24"/>
  <c r="AG99" i="23"/>
  <c r="BB99" i="24"/>
  <c r="AG80" i="23"/>
  <c r="BB80" i="24"/>
  <c r="AG84" i="23"/>
  <c r="BB84" i="24"/>
  <c r="AG70" i="23"/>
  <c r="BB70" i="24"/>
  <c r="AG75" i="23"/>
  <c r="BB75" i="24"/>
  <c r="AG105" i="23"/>
  <c r="BB105" i="24"/>
  <c r="AG62" i="23"/>
  <c r="BB62" i="24"/>
  <c r="AG76" i="23"/>
  <c r="BB76" i="24"/>
  <c r="AG91" i="23"/>
  <c r="BB91" i="24"/>
  <c r="AG95" i="23"/>
  <c r="BB95" i="24"/>
  <c r="AG87" i="23"/>
  <c r="BB87" i="24"/>
  <c r="AG63" i="23"/>
  <c r="BB63" i="24"/>
  <c r="AG66" i="23"/>
  <c r="BB66" i="24"/>
  <c r="AG69" i="23"/>
  <c r="BB69" i="24"/>
  <c r="AG96" i="23"/>
  <c r="BB96" i="24"/>
  <c r="AG78" i="23"/>
  <c r="BB78" i="24"/>
  <c r="BC79" i="24" s="1"/>
  <c r="AG94" i="23"/>
  <c r="BB94" i="24"/>
  <c r="AG72" i="23"/>
  <c r="BB72" i="24"/>
  <c r="X64" i="23"/>
  <c r="Y64" i="23" s="1"/>
  <c r="AK64" i="24"/>
  <c r="AB81" i="24"/>
  <c r="BS81" i="24"/>
  <c r="M80" i="24"/>
  <c r="AX81" i="24"/>
  <c r="L81" i="24"/>
  <c r="AC81" i="24" s="1"/>
  <c r="AB62" i="23"/>
  <c r="AS11" i="23"/>
  <c r="P65" i="23"/>
  <c r="AS12" i="23"/>
  <c r="BJ74" i="24" l="1"/>
  <c r="BG74" i="24"/>
  <c r="BJ75" i="24"/>
  <c r="BG75" i="24"/>
  <c r="AH94" i="23"/>
  <c r="AI94" i="23" s="1"/>
  <c r="AH68" i="23"/>
  <c r="AI68" i="23" s="1"/>
  <c r="AH63" i="23"/>
  <c r="AH67" i="23"/>
  <c r="AI67" i="23" s="1"/>
  <c r="AH64" i="23"/>
  <c r="AI64" i="23" s="1"/>
  <c r="AH66" i="23"/>
  <c r="AI66" i="23" s="1"/>
  <c r="AH65" i="23"/>
  <c r="AI65" i="23" s="1"/>
  <c r="BD122" i="24"/>
  <c r="AO64" i="24"/>
  <c r="BH75" i="24"/>
  <c r="BH74" i="24"/>
  <c r="AM64" i="24"/>
  <c r="AA75" i="23"/>
  <c r="AB75" i="23"/>
  <c r="AM76" i="23"/>
  <c r="N76" i="23"/>
  <c r="AH121" i="23"/>
  <c r="BE122" i="24"/>
  <c r="Q145" i="22"/>
  <c r="R145" i="22"/>
  <c r="F145" i="22"/>
  <c r="J145" i="22"/>
  <c r="K145" i="22"/>
  <c r="Y145" i="22"/>
  <c r="G144" i="22"/>
  <c r="H144" i="22"/>
  <c r="AH120" i="23"/>
  <c r="AI120" i="23" s="1"/>
  <c r="BE121" i="24"/>
  <c r="AH123" i="23"/>
  <c r="AI123" i="23" s="1"/>
  <c r="AH119" i="23"/>
  <c r="AI119" i="23" s="1"/>
  <c r="AH97" i="23"/>
  <c r="AI97" i="23" s="1"/>
  <c r="BC119" i="24"/>
  <c r="BE119" i="24" s="1"/>
  <c r="BC120" i="24"/>
  <c r="BE120" i="24" s="1"/>
  <c r="AH107" i="23"/>
  <c r="AI107" i="23" s="1"/>
  <c r="AH122" i="23"/>
  <c r="BC118" i="24"/>
  <c r="BE118" i="24" s="1"/>
  <c r="BC100" i="24"/>
  <c r="BE100" i="24" s="1"/>
  <c r="AH85" i="23"/>
  <c r="AI85" i="23" s="1"/>
  <c r="BC117" i="24"/>
  <c r="BE117" i="24" s="1"/>
  <c r="AH101" i="23"/>
  <c r="AI101" i="23" s="1"/>
  <c r="AH103" i="23"/>
  <c r="AI103" i="23" s="1"/>
  <c r="AH118" i="23"/>
  <c r="AI118" i="23" s="1"/>
  <c r="BC116" i="24"/>
  <c r="BE116" i="24" s="1"/>
  <c r="BC108" i="24"/>
  <c r="BE108" i="24" s="1"/>
  <c r="AH117" i="23"/>
  <c r="AI117" i="23" s="1"/>
  <c r="BC87" i="24"/>
  <c r="BE87" i="24" s="1"/>
  <c r="AH114" i="23"/>
  <c r="AI114" i="23" s="1"/>
  <c r="BC107" i="24"/>
  <c r="BE107" i="24" s="1"/>
  <c r="AH80" i="23"/>
  <c r="AI80" i="23" s="1"/>
  <c r="BC115" i="24"/>
  <c r="BE115" i="24" s="1"/>
  <c r="AH113" i="23"/>
  <c r="AI113" i="23" s="1"/>
  <c r="BC114" i="24"/>
  <c r="BE114" i="24" s="1"/>
  <c r="AH87" i="23"/>
  <c r="AI87" i="23" s="1"/>
  <c r="AH111" i="23"/>
  <c r="AI111" i="23" s="1"/>
  <c r="BC113" i="24"/>
  <c r="BE113" i="24" s="1"/>
  <c r="BC106" i="24"/>
  <c r="BE106" i="24" s="1"/>
  <c r="AH112" i="23"/>
  <c r="AI112" i="23" s="1"/>
  <c r="AH110" i="23"/>
  <c r="AI110" i="23" s="1"/>
  <c r="BC112" i="24"/>
  <c r="BE112" i="24" s="1"/>
  <c r="BC111" i="24"/>
  <c r="BE111" i="24" s="1"/>
  <c r="BC73" i="24"/>
  <c r="BE73" i="24" s="1"/>
  <c r="AH108" i="23"/>
  <c r="AI108" i="23" s="1"/>
  <c r="BC104" i="24"/>
  <c r="BE104" i="24" s="1"/>
  <c r="AH72" i="23"/>
  <c r="AI72" i="23" s="1"/>
  <c r="AH105" i="23"/>
  <c r="AI105" i="23" s="1"/>
  <c r="AH89" i="23"/>
  <c r="AI89" i="23" s="1"/>
  <c r="AH109" i="23"/>
  <c r="AI109" i="23" s="1"/>
  <c r="AH71" i="23"/>
  <c r="AI71" i="23" s="1"/>
  <c r="BC110" i="24"/>
  <c r="BE110" i="24" s="1"/>
  <c r="AH99" i="23"/>
  <c r="AI99" i="23" s="1"/>
  <c r="AH74" i="23"/>
  <c r="AI74" i="23" s="1"/>
  <c r="AH78" i="23"/>
  <c r="AI78" i="23" s="1"/>
  <c r="BC109" i="24"/>
  <c r="BE109" i="24" s="1"/>
  <c r="BC68" i="24"/>
  <c r="BT68" i="24" s="1"/>
  <c r="AH86" i="23"/>
  <c r="AI86" i="23" s="1"/>
  <c r="AH98" i="23"/>
  <c r="AI98" i="23" s="1"/>
  <c r="BC98" i="24"/>
  <c r="BE98" i="24" s="1"/>
  <c r="BC81" i="24"/>
  <c r="BE81" i="24" s="1"/>
  <c r="AH69" i="23"/>
  <c r="AI69" i="23" s="1"/>
  <c r="AH77" i="23"/>
  <c r="AI77" i="23" s="1"/>
  <c r="AH90" i="23"/>
  <c r="AI90" i="23" s="1"/>
  <c r="BC86" i="24"/>
  <c r="BE86" i="24" s="1"/>
  <c r="BC89" i="24"/>
  <c r="BE89" i="24" s="1"/>
  <c r="BC90" i="24"/>
  <c r="BE90" i="24" s="1"/>
  <c r="BC97" i="24"/>
  <c r="BE97" i="24" s="1"/>
  <c r="BC71" i="24"/>
  <c r="BE71" i="24" s="1"/>
  <c r="BC85" i="24"/>
  <c r="BE85" i="24" s="1"/>
  <c r="K75" i="24"/>
  <c r="G76" i="23"/>
  <c r="H76" i="23" s="1"/>
  <c r="BF76" i="24"/>
  <c r="BC102" i="24"/>
  <c r="BE102" i="24" s="1"/>
  <c r="BC77" i="24"/>
  <c r="BE77" i="24" s="1"/>
  <c r="BC67" i="24"/>
  <c r="BT67" i="24" s="1"/>
  <c r="AH92" i="23"/>
  <c r="AI92" i="23" s="1"/>
  <c r="AH75" i="23"/>
  <c r="AI75" i="23" s="1"/>
  <c r="AS15" i="23"/>
  <c r="BY15" i="24"/>
  <c r="BC80" i="24"/>
  <c r="BE80" i="24" s="1"/>
  <c r="BC99" i="24"/>
  <c r="BE99" i="24" s="1"/>
  <c r="AH104" i="23"/>
  <c r="AI104" i="23" s="1"/>
  <c r="BC105" i="24"/>
  <c r="AH73" i="23"/>
  <c r="AI73" i="23" s="1"/>
  <c r="AH83" i="23"/>
  <c r="AI83" i="23" s="1"/>
  <c r="BC70" i="24"/>
  <c r="BE70" i="24" s="1"/>
  <c r="AH91" i="23"/>
  <c r="AI91" i="23" s="1"/>
  <c r="AH81" i="23"/>
  <c r="AI81" i="23" s="1"/>
  <c r="BC101" i="24"/>
  <c r="BC75" i="24"/>
  <c r="BE75" i="24" s="1"/>
  <c r="BC78" i="24"/>
  <c r="BC96" i="24"/>
  <c r="BE96" i="24" s="1"/>
  <c r="AH100" i="23"/>
  <c r="AI100" i="23" s="1"/>
  <c r="AH96" i="23"/>
  <c r="AI96" i="23" s="1"/>
  <c r="AH93" i="23"/>
  <c r="AI93" i="23" s="1"/>
  <c r="AH106" i="23"/>
  <c r="AI106" i="23" s="1"/>
  <c r="AH79" i="23"/>
  <c r="AI79" i="23" s="1"/>
  <c r="AH82" i="23"/>
  <c r="AI82" i="23" s="1"/>
  <c r="AH102" i="23"/>
  <c r="AI102" i="23" s="1"/>
  <c r="BC92" i="24"/>
  <c r="BC93" i="24"/>
  <c r="BC84" i="24"/>
  <c r="AH95" i="23"/>
  <c r="AI95" i="23" s="1"/>
  <c r="BC63" i="24"/>
  <c r="BC64" i="24"/>
  <c r="BC94" i="24"/>
  <c r="AH76" i="23"/>
  <c r="AI76" i="23" s="1"/>
  <c r="BC88" i="24"/>
  <c r="BC83" i="24"/>
  <c r="AH84" i="23"/>
  <c r="AI84" i="23" s="1"/>
  <c r="BE79" i="24"/>
  <c r="BT79" i="24"/>
  <c r="BC74" i="24"/>
  <c r="BC82" i="24"/>
  <c r="BC95" i="24"/>
  <c r="AH88" i="23"/>
  <c r="AI88" i="23" s="1"/>
  <c r="AH70" i="23"/>
  <c r="AI70" i="23" s="1"/>
  <c r="BC72" i="24"/>
  <c r="BC103" i="24"/>
  <c r="BC91" i="24"/>
  <c r="BC76" i="24"/>
  <c r="BC65" i="24"/>
  <c r="BC66" i="24"/>
  <c r="BC69" i="24"/>
  <c r="AS53" i="23"/>
  <c r="BY53" i="24"/>
  <c r="X65" i="23"/>
  <c r="Y65" i="23" s="1"/>
  <c r="AK65" i="24"/>
  <c r="M81" i="24"/>
  <c r="L82" i="24"/>
  <c r="AC82" i="24" s="1"/>
  <c r="AX82" i="24"/>
  <c r="BS82" i="24"/>
  <c r="AB82" i="24"/>
  <c r="P66" i="23"/>
  <c r="BJ76" i="24" l="1"/>
  <c r="BG76" i="24"/>
  <c r="AI63" i="23"/>
  <c r="AS37" i="23"/>
  <c r="BD121" i="24"/>
  <c r="AO65" i="24"/>
  <c r="BH76" i="24"/>
  <c r="AM65" i="24"/>
  <c r="AA76" i="23"/>
  <c r="AB76" i="23"/>
  <c r="AM77" i="23"/>
  <c r="N77" i="23"/>
  <c r="AI121" i="23"/>
  <c r="J146" i="22"/>
  <c r="K146" i="22"/>
  <c r="Y146" i="22"/>
  <c r="Q146" i="22"/>
  <c r="R146" i="22"/>
  <c r="F146" i="22"/>
  <c r="G145" i="22"/>
  <c r="H145" i="22"/>
  <c r="BD120" i="24"/>
  <c r="AI122" i="23"/>
  <c r="BD119" i="24"/>
  <c r="BD118" i="24"/>
  <c r="BD106" i="24"/>
  <c r="BD117" i="24"/>
  <c r="BD107" i="24"/>
  <c r="BD115" i="24"/>
  <c r="BD108" i="24"/>
  <c r="BD90" i="24"/>
  <c r="BD112" i="24"/>
  <c r="BD116" i="24"/>
  <c r="BD114" i="24"/>
  <c r="BD69" i="24"/>
  <c r="BD82" i="24"/>
  <c r="BD113" i="24"/>
  <c r="BD74" i="24"/>
  <c r="BT73" i="24"/>
  <c r="BD109" i="24"/>
  <c r="BE68" i="24"/>
  <c r="BT81" i="24"/>
  <c r="BD111" i="24"/>
  <c r="BD98" i="24"/>
  <c r="BD91" i="24"/>
  <c r="BD110" i="24"/>
  <c r="BD87" i="24"/>
  <c r="BD105" i="24"/>
  <c r="BD86" i="24"/>
  <c r="BT71" i="24"/>
  <c r="BE105" i="24"/>
  <c r="K76" i="24"/>
  <c r="G77" i="23"/>
  <c r="H77" i="23" s="1"/>
  <c r="AJ76" i="23"/>
  <c r="AK76" i="23" s="1"/>
  <c r="AJ77" i="23"/>
  <c r="AK77" i="23" s="1"/>
  <c r="BF77" i="24"/>
  <c r="BE67" i="24"/>
  <c r="BD78" i="24"/>
  <c r="BD68" i="24"/>
  <c r="BT77" i="24"/>
  <c r="BD102" i="24"/>
  <c r="BD103" i="24"/>
  <c r="BT80" i="24"/>
  <c r="BD97" i="24"/>
  <c r="BD80" i="24"/>
  <c r="BD81" i="24"/>
  <c r="BD71" i="24"/>
  <c r="BT70" i="24"/>
  <c r="BD79" i="24"/>
  <c r="BE101" i="24"/>
  <c r="BD76" i="24"/>
  <c r="BD99" i="24"/>
  <c r="BD101" i="24"/>
  <c r="BT78" i="24"/>
  <c r="BE78" i="24"/>
  <c r="BD100" i="24"/>
  <c r="BT75" i="24"/>
  <c r="BE83" i="24"/>
  <c r="BD84" i="24"/>
  <c r="BE64" i="24"/>
  <c r="BD65" i="24"/>
  <c r="BT64" i="24"/>
  <c r="BE93" i="24"/>
  <c r="BD94" i="24"/>
  <c r="BE88" i="24"/>
  <c r="BD89" i="24"/>
  <c r="BE63" i="24"/>
  <c r="BD64" i="24"/>
  <c r="BY36" i="24"/>
  <c r="BT63" i="24"/>
  <c r="BY37" i="24"/>
  <c r="BE92" i="24"/>
  <c r="BD93" i="24"/>
  <c r="BE91" i="24"/>
  <c r="BD92" i="24"/>
  <c r="BE94" i="24"/>
  <c r="BD95" i="24"/>
  <c r="BD88" i="24"/>
  <c r="BE95" i="24"/>
  <c r="BD96" i="24"/>
  <c r="BE74" i="24"/>
  <c r="BD75" i="24"/>
  <c r="BT74" i="24"/>
  <c r="BT82" i="24"/>
  <c r="BE69" i="24"/>
  <c r="BD70" i="24"/>
  <c r="BT69" i="24"/>
  <c r="BE66" i="24"/>
  <c r="BD67" i="24"/>
  <c r="BT66" i="24"/>
  <c r="BE72" i="24"/>
  <c r="BD73" i="24"/>
  <c r="BT72" i="24"/>
  <c r="BE65" i="24"/>
  <c r="BD66" i="24"/>
  <c r="BT65" i="24"/>
  <c r="BD72" i="24"/>
  <c r="BE82" i="24"/>
  <c r="BD83" i="24"/>
  <c r="BE103" i="24"/>
  <c r="BD104" i="24"/>
  <c r="BE76" i="24"/>
  <c r="BD77" i="24"/>
  <c r="BT76" i="24"/>
  <c r="BE84" i="24"/>
  <c r="BD85" i="24"/>
  <c r="AK66" i="24"/>
  <c r="X66" i="23"/>
  <c r="Y66" i="23" s="1"/>
  <c r="AB83" i="24"/>
  <c r="AX83" i="24"/>
  <c r="L83" i="24"/>
  <c r="AC83" i="24" s="1"/>
  <c r="BT83" i="24"/>
  <c r="BS83" i="24"/>
  <c r="M82" i="24"/>
  <c r="AS36" i="23"/>
  <c r="P67" i="23"/>
  <c r="BJ77" i="24" l="1"/>
  <c r="BG77" i="24"/>
  <c r="AO66" i="24"/>
  <c r="BH77" i="24"/>
  <c r="AM66" i="24"/>
  <c r="AA77" i="23"/>
  <c r="AB77" i="23"/>
  <c r="N78" i="23"/>
  <c r="AM78" i="23"/>
  <c r="G146" i="22"/>
  <c r="H146" i="22"/>
  <c r="Y147" i="22"/>
  <c r="F147" i="22"/>
  <c r="Q147" i="22"/>
  <c r="R147" i="22"/>
  <c r="J147" i="22"/>
  <c r="K147" i="22"/>
  <c r="AJ78" i="23"/>
  <c r="AK78" i="23" s="1"/>
  <c r="K77" i="24"/>
  <c r="G78" i="23"/>
  <c r="H78" i="23" s="1"/>
  <c r="AS40" i="23"/>
  <c r="BY40" i="24"/>
  <c r="X67" i="23"/>
  <c r="Y67" i="23" s="1"/>
  <c r="AK67" i="24"/>
  <c r="AB84" i="24"/>
  <c r="AX84" i="24"/>
  <c r="L84" i="24"/>
  <c r="AC84" i="24" s="1"/>
  <c r="M83" i="24"/>
  <c r="BT84" i="24"/>
  <c r="BS84" i="24"/>
  <c r="P68" i="23"/>
  <c r="AO67" i="24" l="1"/>
  <c r="AM67" i="24"/>
  <c r="N79" i="23"/>
  <c r="AM79" i="23"/>
  <c r="AA78" i="23"/>
  <c r="AB78" i="23"/>
  <c r="J148" i="22"/>
  <c r="K148" i="22"/>
  <c r="G147" i="22"/>
  <c r="H147" i="22"/>
  <c r="R148" i="22"/>
  <c r="F148" i="22"/>
  <c r="Q148" i="22"/>
  <c r="Y148" i="22"/>
  <c r="K78" i="24"/>
  <c r="G79" i="23"/>
  <c r="H79" i="23" s="1"/>
  <c r="BF78" i="24"/>
  <c r="AJ79" i="23"/>
  <c r="AK79" i="23" s="1"/>
  <c r="AK68" i="24"/>
  <c r="X68" i="23"/>
  <c r="Y68" i="23" s="1"/>
  <c r="AX85" i="24"/>
  <c r="L85" i="24"/>
  <c r="AC85" i="24" s="1"/>
  <c r="AB85" i="24"/>
  <c r="BT85" i="24"/>
  <c r="BS85" i="24"/>
  <c r="M84" i="24"/>
  <c r="P69" i="23"/>
  <c r="BJ78" i="24" l="1"/>
  <c r="BG78" i="24"/>
  <c r="AO68" i="24"/>
  <c r="BH78" i="24"/>
  <c r="AM68" i="24"/>
  <c r="AA79" i="23"/>
  <c r="AB79" i="23"/>
  <c r="N80" i="23"/>
  <c r="AM80" i="23"/>
  <c r="J149" i="22"/>
  <c r="K149" i="22"/>
  <c r="Y149" i="22"/>
  <c r="R149" i="22"/>
  <c r="Q149" i="22"/>
  <c r="F149" i="22"/>
  <c r="G148" i="22"/>
  <c r="H148" i="22"/>
  <c r="K79" i="24"/>
  <c r="G80" i="23"/>
  <c r="H80" i="23" s="1"/>
  <c r="BF79" i="24"/>
  <c r="BF80" i="24"/>
  <c r="X69" i="23"/>
  <c r="Y69" i="23" s="1"/>
  <c r="AK69" i="24"/>
  <c r="AB86" i="24"/>
  <c r="M85" i="24"/>
  <c r="BT86" i="24"/>
  <c r="BS86" i="24"/>
  <c r="AX86" i="24"/>
  <c r="L86" i="24"/>
  <c r="AC86" i="24" s="1"/>
  <c r="P70" i="23"/>
  <c r="BJ80" i="24" l="1"/>
  <c r="BG80" i="24"/>
  <c r="BJ79" i="24"/>
  <c r="BG79" i="24"/>
  <c r="AO69" i="24"/>
  <c r="BH80" i="24"/>
  <c r="BH79" i="24"/>
  <c r="AM69" i="24"/>
  <c r="AM81" i="23"/>
  <c r="N81" i="23"/>
  <c r="AA80" i="23"/>
  <c r="AB80" i="23"/>
  <c r="H149" i="22"/>
  <c r="G149" i="22"/>
  <c r="F150" i="22"/>
  <c r="Q150" i="22"/>
  <c r="R150" i="22"/>
  <c r="J150" i="22"/>
  <c r="K150" i="22"/>
  <c r="Y150" i="22"/>
  <c r="K80" i="24"/>
  <c r="G81" i="23"/>
  <c r="H81" i="23" s="1"/>
  <c r="AJ80" i="23"/>
  <c r="AK80" i="23" s="1"/>
  <c r="AJ81" i="23"/>
  <c r="AK81" i="23" s="1"/>
  <c r="BF81" i="24"/>
  <c r="AK70" i="24"/>
  <c r="X70" i="23"/>
  <c r="Y70" i="23" s="1"/>
  <c r="AX87" i="24"/>
  <c r="L87" i="24"/>
  <c r="AC87" i="24" s="1"/>
  <c r="BT87" i="24"/>
  <c r="BS87" i="24"/>
  <c r="AB87" i="24"/>
  <c r="M86" i="24"/>
  <c r="P71" i="23"/>
  <c r="BJ81" i="24" l="1"/>
  <c r="BG81" i="24"/>
  <c r="AO70" i="24"/>
  <c r="BH81" i="24"/>
  <c r="AM70" i="24"/>
  <c r="AA81" i="23"/>
  <c r="AB81" i="23"/>
  <c r="AM82" i="23"/>
  <c r="N82" i="23"/>
  <c r="R151" i="22"/>
  <c r="F151" i="22"/>
  <c r="Q151" i="22"/>
  <c r="K151" i="22"/>
  <c r="J151" i="22"/>
  <c r="G150" i="22"/>
  <c r="H150" i="22"/>
  <c r="Y151" i="22"/>
  <c r="K81" i="24"/>
  <c r="G82" i="23"/>
  <c r="H82" i="23" s="1"/>
  <c r="BF82" i="24"/>
  <c r="AK71" i="24"/>
  <c r="X71" i="23"/>
  <c r="Y71" i="23" s="1"/>
  <c r="BT88" i="24"/>
  <c r="BS88" i="24"/>
  <c r="AB88" i="24"/>
  <c r="AX88" i="24"/>
  <c r="L88" i="24"/>
  <c r="AC88" i="24" s="1"/>
  <c r="M87" i="24"/>
  <c r="P72" i="23"/>
  <c r="BJ82" i="24" l="1"/>
  <c r="BG82" i="24"/>
  <c r="AO71" i="24"/>
  <c r="BH82" i="24"/>
  <c r="AM71" i="24"/>
  <c r="AA82" i="23"/>
  <c r="AB82" i="23"/>
  <c r="N83" i="23"/>
  <c r="AM83" i="23"/>
  <c r="F152" i="22"/>
  <c r="Q152" i="22"/>
  <c r="R152" i="22"/>
  <c r="J152" i="22"/>
  <c r="K152" i="22"/>
  <c r="Y152" i="22"/>
  <c r="G151" i="22"/>
  <c r="H151" i="22"/>
  <c r="AJ82" i="23"/>
  <c r="AK82" i="23" s="1"/>
  <c r="AJ83" i="23"/>
  <c r="AK83" i="23" s="1"/>
  <c r="K82" i="24"/>
  <c r="G83" i="23"/>
  <c r="H83" i="23" s="1"/>
  <c r="X72" i="23"/>
  <c r="Y72" i="23" s="1"/>
  <c r="AK72" i="24"/>
  <c r="M88" i="24"/>
  <c r="AB89" i="24"/>
  <c r="AX89" i="24"/>
  <c r="L89" i="24"/>
  <c r="AC89" i="24" s="1"/>
  <c r="BT89" i="24"/>
  <c r="BS89" i="24"/>
  <c r="P73" i="23"/>
  <c r="AO72" i="24" l="1"/>
  <c r="AM72" i="24"/>
  <c r="AA83" i="23"/>
  <c r="AB83" i="23"/>
  <c r="N84" i="23"/>
  <c r="AM84" i="23"/>
  <c r="F153" i="22"/>
  <c r="Q153" i="22"/>
  <c r="R153" i="22"/>
  <c r="J153" i="22"/>
  <c r="K153" i="22"/>
  <c r="Y153" i="22"/>
  <c r="G152" i="22"/>
  <c r="H152" i="22"/>
  <c r="K83" i="24"/>
  <c r="G84" i="23"/>
  <c r="H84" i="23" s="1"/>
  <c r="BF83" i="24"/>
  <c r="AJ84" i="23"/>
  <c r="AK84" i="23" s="1"/>
  <c r="BF84" i="24"/>
  <c r="AK73" i="24"/>
  <c r="X73" i="23"/>
  <c r="Y73" i="23" s="1"/>
  <c r="L90" i="24"/>
  <c r="AC90" i="24" s="1"/>
  <c r="AX90" i="24"/>
  <c r="AB90" i="24"/>
  <c r="BS90" i="24"/>
  <c r="BT90" i="24"/>
  <c r="M89" i="24"/>
  <c r="P74" i="23"/>
  <c r="BJ84" i="24" l="1"/>
  <c r="BG84" i="24"/>
  <c r="BJ83" i="24"/>
  <c r="BG83" i="24"/>
  <c r="AO73" i="24"/>
  <c r="BH83" i="24"/>
  <c r="BH84" i="24"/>
  <c r="AM73" i="24"/>
  <c r="AM85" i="23"/>
  <c r="N85" i="23"/>
  <c r="AA84" i="23"/>
  <c r="AB84" i="23"/>
  <c r="R154" i="22"/>
  <c r="F154" i="22"/>
  <c r="Q154" i="22"/>
  <c r="J154" i="22"/>
  <c r="K154" i="22"/>
  <c r="Y154" i="22"/>
  <c r="H153" i="22"/>
  <c r="G153" i="22"/>
  <c r="K84" i="24"/>
  <c r="G85" i="23"/>
  <c r="H85" i="23" s="1"/>
  <c r="AJ85" i="23"/>
  <c r="AK85" i="23" s="1"/>
  <c r="BF85" i="24"/>
  <c r="AK74" i="24"/>
  <c r="X74" i="23"/>
  <c r="Y74" i="23" s="1"/>
  <c r="L91" i="24"/>
  <c r="AC91" i="24" s="1"/>
  <c r="AX91" i="24"/>
  <c r="BT91" i="24"/>
  <c r="BS91" i="24"/>
  <c r="AB91" i="24"/>
  <c r="M90" i="24"/>
  <c r="P75" i="23"/>
  <c r="BJ85" i="24" l="1"/>
  <c r="BG85" i="24"/>
  <c r="AO74" i="24"/>
  <c r="BH85" i="24"/>
  <c r="AM74" i="24"/>
  <c r="AA85" i="23"/>
  <c r="AB85" i="23"/>
  <c r="AM86" i="23"/>
  <c r="N86" i="23"/>
  <c r="K155" i="22"/>
  <c r="J155" i="22"/>
  <c r="Y155" i="22"/>
  <c r="Q155" i="22"/>
  <c r="R155" i="22"/>
  <c r="F155" i="22"/>
  <c r="G154" i="22"/>
  <c r="H154" i="22"/>
  <c r="K85" i="24"/>
  <c r="G86" i="23"/>
  <c r="H86" i="23" s="1"/>
  <c r="BF86" i="24"/>
  <c r="AK75" i="24"/>
  <c r="X75" i="23"/>
  <c r="Y75" i="23" s="1"/>
  <c r="BT92" i="24"/>
  <c r="BS92" i="24"/>
  <c r="AX92" i="24"/>
  <c r="L92" i="24"/>
  <c r="AC92" i="24" s="1"/>
  <c r="AB92" i="24"/>
  <c r="M91" i="24"/>
  <c r="P76" i="23"/>
  <c r="BJ86" i="24" l="1"/>
  <c r="BG86" i="24"/>
  <c r="AO75" i="24"/>
  <c r="BH86" i="24"/>
  <c r="AM75" i="24"/>
  <c r="AA86" i="23"/>
  <c r="AB86" i="23"/>
  <c r="AM87" i="23"/>
  <c r="N87" i="23"/>
  <c r="G155" i="22"/>
  <c r="H155" i="22"/>
  <c r="F156" i="22"/>
  <c r="R156" i="22"/>
  <c r="Q156" i="22"/>
  <c r="K156" i="22"/>
  <c r="J156" i="22"/>
  <c r="Y156" i="22"/>
  <c r="K86" i="24"/>
  <c r="G87" i="23"/>
  <c r="H87" i="23" s="1"/>
  <c r="AJ86" i="23"/>
  <c r="AK86" i="23" s="1"/>
  <c r="BF87" i="24"/>
  <c r="AJ87" i="23"/>
  <c r="AK87" i="23" s="1"/>
  <c r="X76" i="23"/>
  <c r="Y76" i="23" s="1"/>
  <c r="AK76" i="24"/>
  <c r="BT93" i="24"/>
  <c r="BS93" i="24"/>
  <c r="M92" i="24"/>
  <c r="AX93" i="24"/>
  <c r="L93" i="24"/>
  <c r="AC93" i="24" s="1"/>
  <c r="AB93" i="24"/>
  <c r="P77" i="23"/>
  <c r="BJ87" i="24" l="1"/>
  <c r="BG87" i="24"/>
  <c r="AO76" i="24"/>
  <c r="BH87" i="24"/>
  <c r="AM76" i="24"/>
  <c r="N88" i="23"/>
  <c r="AM88" i="23"/>
  <c r="AA87" i="23"/>
  <c r="AB87" i="23"/>
  <c r="F157" i="22"/>
  <c r="Q157" i="22"/>
  <c r="R157" i="22"/>
  <c r="Y157" i="22"/>
  <c r="K157" i="22"/>
  <c r="J157" i="22"/>
  <c r="G156" i="22"/>
  <c r="H156" i="22"/>
  <c r="K87" i="24"/>
  <c r="G88" i="23"/>
  <c r="H88" i="23" s="1"/>
  <c r="BF88" i="24"/>
  <c r="AJ88" i="23"/>
  <c r="AK88" i="23" s="1"/>
  <c r="X77" i="23"/>
  <c r="Y77" i="23" s="1"/>
  <c r="AK77" i="24"/>
  <c r="M93" i="24"/>
  <c r="AX94" i="24"/>
  <c r="L94" i="24"/>
  <c r="AC94" i="24" s="1"/>
  <c r="BT94" i="24"/>
  <c r="BS94" i="24"/>
  <c r="AB94" i="24"/>
  <c r="P78" i="23"/>
  <c r="BJ88" i="24" l="1"/>
  <c r="BG88" i="24"/>
  <c r="AO77" i="24"/>
  <c r="BH88" i="24"/>
  <c r="AM77" i="24"/>
  <c r="AA88" i="23"/>
  <c r="AB88" i="23"/>
  <c r="N89" i="23"/>
  <c r="AM89" i="23"/>
  <c r="G157" i="22"/>
  <c r="H157" i="22"/>
  <c r="Y158" i="22"/>
  <c r="Q158" i="22"/>
  <c r="R158" i="22"/>
  <c r="F158" i="22"/>
  <c r="K158" i="22"/>
  <c r="J158" i="22"/>
  <c r="AJ89" i="23"/>
  <c r="AK89" i="23" s="1"/>
  <c r="K88" i="24"/>
  <c r="G89" i="23"/>
  <c r="H89" i="23" s="1"/>
  <c r="AK78" i="24"/>
  <c r="X78" i="23"/>
  <c r="Y78" i="23" s="1"/>
  <c r="M94" i="24"/>
  <c r="BT95" i="24"/>
  <c r="BS95" i="24"/>
  <c r="AX95" i="24"/>
  <c r="L95" i="24"/>
  <c r="AC95" i="24" s="1"/>
  <c r="AB95" i="24"/>
  <c r="P79" i="23"/>
  <c r="AO78" i="24" l="1"/>
  <c r="AM78" i="24"/>
  <c r="N90" i="23"/>
  <c r="AM90" i="23"/>
  <c r="AA89" i="23"/>
  <c r="AB89" i="23"/>
  <c r="R159" i="22"/>
  <c r="F159" i="22"/>
  <c r="Q159" i="22"/>
  <c r="G158" i="22"/>
  <c r="H158" i="22"/>
  <c r="Y159" i="22"/>
  <c r="J159" i="22"/>
  <c r="K159" i="22"/>
  <c r="BF89" i="24"/>
  <c r="BF90" i="24"/>
  <c r="K89" i="24"/>
  <c r="G90" i="23"/>
  <c r="H90" i="23" s="1"/>
  <c r="AK79" i="24"/>
  <c r="X79" i="23"/>
  <c r="Y79" i="23" s="1"/>
  <c r="AX96" i="24"/>
  <c r="L96" i="24"/>
  <c r="AC96" i="24" s="1"/>
  <c r="BT96" i="24"/>
  <c r="BS96" i="24"/>
  <c r="AB96" i="24"/>
  <c r="M95" i="24"/>
  <c r="P80" i="23"/>
  <c r="BJ89" i="24" l="1"/>
  <c r="BG89" i="24"/>
  <c r="BJ90" i="24"/>
  <c r="BG90" i="24"/>
  <c r="AO79" i="24"/>
  <c r="BH89" i="24"/>
  <c r="BH90" i="24"/>
  <c r="AM79" i="24"/>
  <c r="AA90" i="23"/>
  <c r="AB90" i="23"/>
  <c r="AM91" i="23"/>
  <c r="N91" i="23"/>
  <c r="F160" i="22"/>
  <c r="Q160" i="22"/>
  <c r="R160" i="22"/>
  <c r="Y160" i="22"/>
  <c r="K160" i="22"/>
  <c r="J160" i="22"/>
  <c r="G159" i="22"/>
  <c r="H159" i="22"/>
  <c r="K90" i="24"/>
  <c r="G91" i="23"/>
  <c r="H91" i="23" s="1"/>
  <c r="AJ90" i="23"/>
  <c r="AK90" i="23" s="1"/>
  <c r="AJ91" i="23"/>
  <c r="AK91" i="23" s="1"/>
  <c r="BF91" i="24"/>
  <c r="X80" i="23"/>
  <c r="Y80" i="23" s="1"/>
  <c r="AK80" i="24"/>
  <c r="BT97" i="24"/>
  <c r="BS97" i="24"/>
  <c r="AB97" i="24"/>
  <c r="M96" i="24"/>
  <c r="AX97" i="24"/>
  <c r="L97" i="24"/>
  <c r="AC97" i="24" s="1"/>
  <c r="P81" i="23"/>
  <c r="BJ91" i="24" l="1"/>
  <c r="BG91" i="24"/>
  <c r="AO80" i="24"/>
  <c r="BH91" i="24"/>
  <c r="AM80" i="24"/>
  <c r="AA91" i="23"/>
  <c r="AB91" i="23"/>
  <c r="N92" i="23"/>
  <c r="AM92" i="23"/>
  <c r="Y161" i="22"/>
  <c r="Q161" i="22"/>
  <c r="R161" i="22"/>
  <c r="F161" i="22"/>
  <c r="K161" i="22"/>
  <c r="J161" i="22"/>
  <c r="G160" i="22"/>
  <c r="H160" i="22"/>
  <c r="K91" i="24"/>
  <c r="G92" i="23"/>
  <c r="H92" i="23" s="1"/>
  <c r="BF92" i="24"/>
  <c r="AJ92" i="23"/>
  <c r="AK92" i="23" s="1"/>
  <c r="X81" i="23"/>
  <c r="Y81" i="23" s="1"/>
  <c r="AK81" i="24"/>
  <c r="M97" i="24"/>
  <c r="BT98" i="24"/>
  <c r="BS98" i="24"/>
  <c r="AX98" i="24"/>
  <c r="L98" i="24"/>
  <c r="AC98" i="24" s="1"/>
  <c r="AB98" i="24"/>
  <c r="P82" i="23"/>
  <c r="BJ92" i="24" l="1"/>
  <c r="BG92" i="24"/>
  <c r="AO81" i="24"/>
  <c r="BH92" i="24"/>
  <c r="AM81" i="24"/>
  <c r="AM93" i="23"/>
  <c r="N93" i="23"/>
  <c r="AA92" i="23"/>
  <c r="AB92" i="23"/>
  <c r="Y162" i="22"/>
  <c r="G161" i="22"/>
  <c r="H161" i="22"/>
  <c r="K162" i="22"/>
  <c r="J162" i="22"/>
  <c r="R162" i="22"/>
  <c r="F162" i="22"/>
  <c r="Q162" i="22"/>
  <c r="BF93" i="24"/>
  <c r="AJ93" i="23"/>
  <c r="AK93" i="23" s="1"/>
  <c r="K92" i="24"/>
  <c r="G93" i="23"/>
  <c r="H93" i="23" s="1"/>
  <c r="AK82" i="24"/>
  <c r="X82" i="23"/>
  <c r="Y82" i="23" s="1"/>
  <c r="AX99" i="24"/>
  <c r="L99" i="24"/>
  <c r="AC99" i="24" s="1"/>
  <c r="AB99" i="24"/>
  <c r="BT99" i="24"/>
  <c r="BS99" i="24"/>
  <c r="M98" i="24"/>
  <c r="P83" i="23"/>
  <c r="BJ93" i="24" l="1"/>
  <c r="BG93" i="24"/>
  <c r="AO82" i="24"/>
  <c r="BH93" i="24"/>
  <c r="AM82" i="24"/>
  <c r="AA93" i="23"/>
  <c r="AB93" i="23"/>
  <c r="N94" i="23"/>
  <c r="AM94" i="23"/>
  <c r="Y163" i="22"/>
  <c r="G162" i="22"/>
  <c r="H162" i="22"/>
  <c r="J163" i="22"/>
  <c r="K163" i="22"/>
  <c r="Q163" i="22"/>
  <c r="R163" i="22"/>
  <c r="F163" i="22"/>
  <c r="K93" i="24"/>
  <c r="G94" i="23"/>
  <c r="H94" i="23" s="1"/>
  <c r="AJ94" i="23"/>
  <c r="AK94" i="23" s="1"/>
  <c r="BF94" i="24"/>
  <c r="AK83" i="24"/>
  <c r="X83" i="23"/>
  <c r="Y83" i="23" s="1"/>
  <c r="AB100" i="24"/>
  <c r="BT100" i="24"/>
  <c r="BS100" i="24"/>
  <c r="AX100" i="24"/>
  <c r="L100" i="24"/>
  <c r="AC100" i="24" s="1"/>
  <c r="M99" i="24"/>
  <c r="P84" i="23"/>
  <c r="BJ94" i="24" l="1"/>
  <c r="BG94" i="24"/>
  <c r="AO83" i="24"/>
  <c r="BH94" i="24"/>
  <c r="AM83" i="24"/>
  <c r="AA94" i="23"/>
  <c r="AB94" i="23"/>
  <c r="AM95" i="23"/>
  <c r="N95" i="23"/>
  <c r="Y164" i="22"/>
  <c r="J164" i="22"/>
  <c r="K164" i="22"/>
  <c r="R164" i="22"/>
  <c r="F164" i="22"/>
  <c r="Q164" i="22"/>
  <c r="G163" i="22"/>
  <c r="H163" i="22"/>
  <c r="BF95" i="24"/>
  <c r="AJ95" i="23"/>
  <c r="AK95" i="23" s="1"/>
  <c r="K94" i="24"/>
  <c r="G95" i="23"/>
  <c r="H95" i="23" s="1"/>
  <c r="AK84" i="24"/>
  <c r="X84" i="23"/>
  <c r="Y84" i="23" s="1"/>
  <c r="AX101" i="24"/>
  <c r="L101" i="24"/>
  <c r="AC101" i="24" s="1"/>
  <c r="M100" i="24"/>
  <c r="AB101" i="24"/>
  <c r="BS101" i="24"/>
  <c r="BT101" i="24"/>
  <c r="P85" i="23"/>
  <c r="BJ95" i="24" l="1"/>
  <c r="BG95" i="24"/>
  <c r="AO84" i="24"/>
  <c r="BH95" i="24"/>
  <c r="AM84" i="24"/>
  <c r="AA95" i="23"/>
  <c r="AB95" i="23"/>
  <c r="AM96" i="23"/>
  <c r="N96" i="23"/>
  <c r="J165" i="22"/>
  <c r="K165" i="22"/>
  <c r="F165" i="22"/>
  <c r="R165" i="22"/>
  <c r="Q165" i="22"/>
  <c r="Y165" i="22"/>
  <c r="G164" i="22"/>
  <c r="H164" i="22"/>
  <c r="AJ96" i="23"/>
  <c r="AK96" i="23" s="1"/>
  <c r="BF96" i="24"/>
  <c r="K95" i="24"/>
  <c r="G96" i="23"/>
  <c r="H96" i="23" s="1"/>
  <c r="AK85" i="24"/>
  <c r="X85" i="23"/>
  <c r="Y85" i="23" s="1"/>
  <c r="M101" i="24"/>
  <c r="BT102" i="24"/>
  <c r="BS102" i="24"/>
  <c r="AB102" i="24"/>
  <c r="AX102" i="24"/>
  <c r="L102" i="24"/>
  <c r="AC102" i="24" s="1"/>
  <c r="P86" i="23"/>
  <c r="BJ96" i="24" l="1"/>
  <c r="BG96" i="24"/>
  <c r="AO85" i="24"/>
  <c r="BH96" i="24"/>
  <c r="AM85" i="24"/>
  <c r="AA96" i="23"/>
  <c r="AB96" i="23"/>
  <c r="N97" i="23"/>
  <c r="AM97" i="23"/>
  <c r="Q166" i="22"/>
  <c r="R166" i="22"/>
  <c r="F166" i="22"/>
  <c r="Y166" i="22"/>
  <c r="G165" i="22"/>
  <c r="H165" i="22"/>
  <c r="J166" i="22"/>
  <c r="K166" i="22"/>
  <c r="K96" i="24"/>
  <c r="G97" i="23"/>
  <c r="H97" i="23" s="1"/>
  <c r="AJ97" i="23"/>
  <c r="AK97" i="23" s="1"/>
  <c r="AK86" i="24"/>
  <c r="X86" i="23"/>
  <c r="Y86" i="23" s="1"/>
  <c r="AX103" i="24"/>
  <c r="L103" i="24"/>
  <c r="AC103" i="24" s="1"/>
  <c r="BT103" i="24"/>
  <c r="BS103" i="24"/>
  <c r="AB103" i="24"/>
  <c r="M102" i="24"/>
  <c r="P87" i="23"/>
  <c r="AO86" i="24" l="1"/>
  <c r="AM86" i="24"/>
  <c r="AA97" i="23"/>
  <c r="AB97" i="23"/>
  <c r="N98" i="23"/>
  <c r="AM98" i="23"/>
  <c r="K167" i="22"/>
  <c r="J167" i="22"/>
  <c r="Y167" i="22"/>
  <c r="Q167" i="22"/>
  <c r="R167" i="22"/>
  <c r="F167" i="22"/>
  <c r="H166" i="22"/>
  <c r="G166" i="22"/>
  <c r="BF97" i="24"/>
  <c r="AJ98" i="23"/>
  <c r="AK98" i="23" s="1"/>
  <c r="K97" i="24"/>
  <c r="G98" i="23"/>
  <c r="H98" i="23" s="1"/>
  <c r="AK87" i="24"/>
  <c r="X87" i="23"/>
  <c r="Y87" i="23" s="1"/>
  <c r="M103" i="24"/>
  <c r="AX104" i="24"/>
  <c r="L104" i="24"/>
  <c r="AC104" i="24" s="1"/>
  <c r="AB104" i="24"/>
  <c r="BT104" i="24"/>
  <c r="BS104" i="24"/>
  <c r="P88" i="23"/>
  <c r="BJ97" i="24" l="1"/>
  <c r="BG97" i="24"/>
  <c r="AO87" i="24"/>
  <c r="BH97" i="24"/>
  <c r="AM87" i="24"/>
  <c r="AA98" i="23"/>
  <c r="AB98" i="23"/>
  <c r="AM99" i="23"/>
  <c r="N99" i="23"/>
  <c r="R168" i="22"/>
  <c r="F168" i="22"/>
  <c r="Q168" i="22"/>
  <c r="G167" i="22"/>
  <c r="H167" i="22"/>
  <c r="Y168" i="22"/>
  <c r="J168" i="22"/>
  <c r="K168" i="22"/>
  <c r="BF98" i="24"/>
  <c r="BF99" i="24"/>
  <c r="AJ99" i="23"/>
  <c r="AK99" i="23" s="1"/>
  <c r="K98" i="24"/>
  <c r="G99" i="23"/>
  <c r="H99" i="23" s="1"/>
  <c r="X88" i="23"/>
  <c r="Y88" i="23" s="1"/>
  <c r="AK88" i="24"/>
  <c r="L105" i="24"/>
  <c r="AC105" i="24" s="1"/>
  <c r="AX105" i="24"/>
  <c r="M104" i="24"/>
  <c r="BS105" i="24"/>
  <c r="BT105" i="24"/>
  <c r="AB105" i="24"/>
  <c r="P89" i="23"/>
  <c r="BJ98" i="24" l="1"/>
  <c r="BG98" i="24"/>
  <c r="BJ99" i="24"/>
  <c r="BG99" i="24"/>
  <c r="AO88" i="24"/>
  <c r="BH99" i="24"/>
  <c r="BH98" i="24"/>
  <c r="AM88" i="24"/>
  <c r="AA99" i="23"/>
  <c r="AB99" i="23"/>
  <c r="N100" i="23"/>
  <c r="AM100" i="23"/>
  <c r="Y169" i="22"/>
  <c r="Q169" i="22"/>
  <c r="F169" i="22"/>
  <c r="R169" i="22"/>
  <c r="H168" i="22"/>
  <c r="G168" i="22"/>
  <c r="J169" i="22"/>
  <c r="K169" i="22"/>
  <c r="BF100" i="24"/>
  <c r="AJ100" i="23"/>
  <c r="AK100" i="23" s="1"/>
  <c r="K99" i="24"/>
  <c r="G100" i="23"/>
  <c r="H100" i="23" s="1"/>
  <c r="AK89" i="24"/>
  <c r="X89" i="23"/>
  <c r="Y89" i="23" s="1"/>
  <c r="AX106" i="24"/>
  <c r="L106" i="24"/>
  <c r="AC106" i="24" s="1"/>
  <c r="BS106" i="24"/>
  <c r="BT106" i="24"/>
  <c r="AB106" i="24"/>
  <c r="M105" i="24"/>
  <c r="P90" i="23"/>
  <c r="BJ100" i="24" l="1"/>
  <c r="BG100" i="24"/>
  <c r="AO89" i="24"/>
  <c r="BH100" i="24"/>
  <c r="AM89" i="24"/>
  <c r="AA100" i="23"/>
  <c r="AB100" i="23"/>
  <c r="N101" i="23"/>
  <c r="AM101" i="23"/>
  <c r="K170" i="22"/>
  <c r="J170" i="22"/>
  <c r="Y170" i="22"/>
  <c r="R170" i="22"/>
  <c r="F170" i="22"/>
  <c r="Q170" i="22"/>
  <c r="G169" i="22"/>
  <c r="H169" i="22"/>
  <c r="BF101" i="24"/>
  <c r="AJ101" i="23"/>
  <c r="AK101" i="23" s="1"/>
  <c r="K100" i="24"/>
  <c r="G101" i="23"/>
  <c r="H101" i="23" s="1"/>
  <c r="X90" i="23"/>
  <c r="Y90" i="23" s="1"/>
  <c r="AK90" i="24"/>
  <c r="AX107" i="24"/>
  <c r="L107" i="24"/>
  <c r="AC107" i="24" s="1"/>
  <c r="BS107" i="24"/>
  <c r="BT107" i="24"/>
  <c r="M106" i="24"/>
  <c r="AB107" i="24"/>
  <c r="P91" i="23"/>
  <c r="BJ101" i="24" l="1"/>
  <c r="BG101" i="24"/>
  <c r="AO90" i="24"/>
  <c r="BH101" i="24"/>
  <c r="AM90" i="24"/>
  <c r="AA101" i="23"/>
  <c r="AB101" i="23"/>
  <c r="AM102" i="23"/>
  <c r="N102" i="23"/>
  <c r="G170" i="22"/>
  <c r="H170" i="22"/>
  <c r="K171" i="22"/>
  <c r="J171" i="22"/>
  <c r="Q171" i="22"/>
  <c r="F171" i="22"/>
  <c r="R171" i="22"/>
  <c r="Y171" i="22"/>
  <c r="BF102" i="24"/>
  <c r="AJ102" i="23"/>
  <c r="AK102" i="23" s="1"/>
  <c r="K101" i="24"/>
  <c r="G102" i="23"/>
  <c r="H102" i="23" s="1"/>
  <c r="X91" i="23"/>
  <c r="Y91" i="23" s="1"/>
  <c r="AK91" i="24"/>
  <c r="L108" i="24"/>
  <c r="AC108" i="24" s="1"/>
  <c r="AX108" i="24"/>
  <c r="M107" i="24"/>
  <c r="AB108" i="24"/>
  <c r="BT108" i="24"/>
  <c r="BS108" i="24"/>
  <c r="P92" i="23"/>
  <c r="BJ102" i="24" l="1"/>
  <c r="BG102" i="24"/>
  <c r="AO91" i="24"/>
  <c r="BH102" i="24"/>
  <c r="AM91" i="24"/>
  <c r="N103" i="23"/>
  <c r="AM103" i="23"/>
  <c r="AA102" i="23"/>
  <c r="AB102" i="23"/>
  <c r="J172" i="22"/>
  <c r="K172" i="22"/>
  <c r="Y172" i="22"/>
  <c r="G171" i="22"/>
  <c r="H171" i="22"/>
  <c r="R172" i="22"/>
  <c r="Q172" i="22"/>
  <c r="F172" i="22"/>
  <c r="AJ103" i="23"/>
  <c r="AK103" i="23" s="1"/>
  <c r="K102" i="24"/>
  <c r="G103" i="23"/>
  <c r="H103" i="23" s="1"/>
  <c r="AK92" i="24"/>
  <c r="X92" i="23"/>
  <c r="Y92" i="23" s="1"/>
  <c r="BS109" i="24"/>
  <c r="BT109" i="24"/>
  <c r="M108" i="24"/>
  <c r="L109" i="24"/>
  <c r="AC109" i="24" s="1"/>
  <c r="AX109" i="24"/>
  <c r="AB109" i="24"/>
  <c r="P93" i="23"/>
  <c r="AO92" i="24" l="1"/>
  <c r="AM92" i="24"/>
  <c r="AA103" i="23"/>
  <c r="AB103" i="23"/>
  <c r="N104" i="23"/>
  <c r="AM104" i="23"/>
  <c r="R173" i="22"/>
  <c r="F173" i="22"/>
  <c r="Q173" i="22"/>
  <c r="K173" i="22"/>
  <c r="J173" i="22"/>
  <c r="Y173" i="22"/>
  <c r="H172" i="22"/>
  <c r="G172" i="22"/>
  <c r="K103" i="24"/>
  <c r="G104" i="23"/>
  <c r="H104" i="23" s="1"/>
  <c r="BF103" i="24"/>
  <c r="BF104" i="24"/>
  <c r="AJ104" i="23"/>
  <c r="AK104" i="23" s="1"/>
  <c r="X93" i="23"/>
  <c r="Y93" i="23" s="1"/>
  <c r="AK93" i="24"/>
  <c r="AB110" i="24"/>
  <c r="M109" i="24"/>
  <c r="L110" i="24"/>
  <c r="AC110" i="24" s="1"/>
  <c r="AX110" i="24"/>
  <c r="BT110" i="24"/>
  <c r="BS110" i="24"/>
  <c r="P94" i="23"/>
  <c r="BJ104" i="24" l="1"/>
  <c r="BG104" i="24"/>
  <c r="BJ103" i="24"/>
  <c r="BG103" i="24"/>
  <c r="AO93" i="24"/>
  <c r="BH104" i="24"/>
  <c r="BH103" i="24"/>
  <c r="AM93" i="24"/>
  <c r="AA104" i="23"/>
  <c r="AB104" i="23"/>
  <c r="N105" i="23"/>
  <c r="AM105" i="23"/>
  <c r="G173" i="22"/>
  <c r="H173" i="22"/>
  <c r="Q174" i="22"/>
  <c r="F174" i="22"/>
  <c r="R174" i="22"/>
  <c r="K174" i="22"/>
  <c r="J174" i="22"/>
  <c r="Y174" i="22"/>
  <c r="K104" i="24"/>
  <c r="G105" i="23"/>
  <c r="H105" i="23" s="1"/>
  <c r="AJ105" i="23"/>
  <c r="AK105" i="23" s="1"/>
  <c r="X94" i="23"/>
  <c r="Y94" i="23" s="1"/>
  <c r="AK94" i="24"/>
  <c r="M110" i="24"/>
  <c r="BT111" i="24"/>
  <c r="BS111" i="24"/>
  <c r="AB111" i="24"/>
  <c r="AX111" i="24"/>
  <c r="L111" i="24"/>
  <c r="AC111" i="24" s="1"/>
  <c r="P95" i="23"/>
  <c r="AO94" i="24" l="1"/>
  <c r="AM94" i="24"/>
  <c r="AM106" i="23"/>
  <c r="N106" i="23"/>
  <c r="AA105" i="23"/>
  <c r="AB105" i="23"/>
  <c r="F175" i="22"/>
  <c r="Q175" i="22"/>
  <c r="R175" i="22"/>
  <c r="G174" i="22"/>
  <c r="H174" i="22"/>
  <c r="J175" i="22"/>
  <c r="K175" i="22"/>
  <c r="Y175" i="22"/>
  <c r="BF105" i="24"/>
  <c r="BF106" i="24"/>
  <c r="AJ106" i="23"/>
  <c r="AK106" i="23" s="1"/>
  <c r="K105" i="24"/>
  <c r="G106" i="23"/>
  <c r="H106" i="23" s="1"/>
  <c r="AK95" i="24"/>
  <c r="X95" i="23"/>
  <c r="Y95" i="23" s="1"/>
  <c r="AX112" i="24"/>
  <c r="L112" i="24"/>
  <c r="AC112" i="24" s="1"/>
  <c r="BT112" i="24"/>
  <c r="BS112" i="24"/>
  <c r="M111" i="24"/>
  <c r="AB112" i="24"/>
  <c r="P96" i="23"/>
  <c r="BJ105" i="24" l="1"/>
  <c r="BG105" i="24"/>
  <c r="BJ106" i="24"/>
  <c r="BG106" i="24"/>
  <c r="AO95" i="24"/>
  <c r="BH106" i="24"/>
  <c r="BH105" i="24"/>
  <c r="AM95" i="24"/>
  <c r="AA106" i="23"/>
  <c r="AB106" i="23"/>
  <c r="AM107" i="23"/>
  <c r="N107" i="23"/>
  <c r="H175" i="22"/>
  <c r="G175" i="22"/>
  <c r="Y176" i="22"/>
  <c r="J176" i="22"/>
  <c r="K176" i="22"/>
  <c r="R176" i="22"/>
  <c r="F176" i="22"/>
  <c r="Q176" i="22"/>
  <c r="AJ107" i="23"/>
  <c r="AK107" i="23" s="1"/>
  <c r="BF107" i="24"/>
  <c r="K106" i="24"/>
  <c r="G107" i="23"/>
  <c r="H107" i="23" s="1"/>
  <c r="AK96" i="24"/>
  <c r="X96" i="23"/>
  <c r="Y96" i="23" s="1"/>
  <c r="AX113" i="24"/>
  <c r="L113" i="24"/>
  <c r="AC113" i="24" s="1"/>
  <c r="M112" i="24"/>
  <c r="AB113" i="24"/>
  <c r="BT113" i="24"/>
  <c r="BS113" i="24"/>
  <c r="P97" i="23"/>
  <c r="BJ107" i="24" l="1"/>
  <c r="BG107" i="24"/>
  <c r="AO96" i="24"/>
  <c r="BH107" i="24"/>
  <c r="AM96" i="24"/>
  <c r="AA107" i="23"/>
  <c r="AB107" i="23"/>
  <c r="N108" i="23"/>
  <c r="AM108" i="23"/>
  <c r="G176" i="22"/>
  <c r="H176" i="22"/>
  <c r="R177" i="22"/>
  <c r="F177" i="22"/>
  <c r="Q177" i="22"/>
  <c r="Y177" i="22"/>
  <c r="J177" i="22"/>
  <c r="K177" i="22"/>
  <c r="K107" i="24"/>
  <c r="G108" i="23"/>
  <c r="H108" i="23" s="1"/>
  <c r="BF108" i="24"/>
  <c r="AJ108" i="23"/>
  <c r="AK108" i="23" s="1"/>
  <c r="X97" i="23"/>
  <c r="Y97" i="23" s="1"/>
  <c r="AK97" i="24"/>
  <c r="BT114" i="24"/>
  <c r="BS114" i="24"/>
  <c r="AB114" i="24"/>
  <c r="AX114" i="24"/>
  <c r="L114" i="24"/>
  <c r="AC114" i="24" s="1"/>
  <c r="M113" i="24"/>
  <c r="P98" i="23"/>
  <c r="BJ108" i="24" l="1"/>
  <c r="BG108" i="24"/>
  <c r="AO97" i="24"/>
  <c r="BH108" i="24"/>
  <c r="AM97" i="24"/>
  <c r="N109" i="23"/>
  <c r="AM109" i="23"/>
  <c r="AA108" i="23"/>
  <c r="AB108" i="23"/>
  <c r="F178" i="22"/>
  <c r="Q178" i="22"/>
  <c r="R178" i="22"/>
  <c r="J178" i="22"/>
  <c r="K178" i="22"/>
  <c r="H177" i="22"/>
  <c r="G177" i="22"/>
  <c r="Y178" i="22"/>
  <c r="K108" i="24"/>
  <c r="G109" i="23"/>
  <c r="H109" i="23" s="1"/>
  <c r="AJ109" i="23"/>
  <c r="AK109" i="23" s="1"/>
  <c r="AK98" i="24"/>
  <c r="X98" i="23"/>
  <c r="Y98" i="23" s="1"/>
  <c r="BT115" i="24"/>
  <c r="BS115" i="24"/>
  <c r="AB115" i="24"/>
  <c r="AX115" i="24"/>
  <c r="L115" i="24"/>
  <c r="AC115" i="24" s="1"/>
  <c r="M114" i="24"/>
  <c r="P99" i="23"/>
  <c r="AO98" i="24" l="1"/>
  <c r="AM98" i="24"/>
  <c r="AA109" i="23"/>
  <c r="AB109" i="23"/>
  <c r="AM110" i="23"/>
  <c r="N110" i="23"/>
  <c r="K179" i="22"/>
  <c r="J179" i="22"/>
  <c r="F179" i="22"/>
  <c r="R179" i="22"/>
  <c r="Q179" i="22"/>
  <c r="Y179" i="22"/>
  <c r="G178" i="22"/>
  <c r="H178" i="22"/>
  <c r="BF109" i="24"/>
  <c r="BF110" i="24"/>
  <c r="K109" i="24"/>
  <c r="G110" i="23"/>
  <c r="H110" i="23" s="1"/>
  <c r="AK99" i="24"/>
  <c r="X99" i="23"/>
  <c r="Y99" i="23" s="1"/>
  <c r="AX116" i="24"/>
  <c r="L116" i="24"/>
  <c r="AC116" i="24" s="1"/>
  <c r="M115" i="24"/>
  <c r="AB116" i="24"/>
  <c r="BT116" i="24"/>
  <c r="BS116" i="24"/>
  <c r="P100" i="23"/>
  <c r="BJ110" i="24" l="1"/>
  <c r="BG110" i="24"/>
  <c r="BJ109" i="24"/>
  <c r="BG109" i="24"/>
  <c r="AO99" i="24"/>
  <c r="BH110" i="24"/>
  <c r="BH109" i="24"/>
  <c r="AM99" i="24"/>
  <c r="AM111" i="23"/>
  <c r="N111" i="23"/>
  <c r="AA110" i="23"/>
  <c r="AB110" i="23"/>
  <c r="G179" i="22"/>
  <c r="H179" i="22"/>
  <c r="AJ110" i="23"/>
  <c r="AK110" i="23" s="1"/>
  <c r="AJ111" i="23"/>
  <c r="AK111" i="23" s="1"/>
  <c r="K110" i="24"/>
  <c r="G111" i="23"/>
  <c r="H111" i="23" s="1"/>
  <c r="AK100" i="24"/>
  <c r="X100" i="23"/>
  <c r="Y100" i="23" s="1"/>
  <c r="AB117" i="24"/>
  <c r="L117" i="24"/>
  <c r="AC117" i="24" s="1"/>
  <c r="AX117" i="24"/>
  <c r="M116" i="24"/>
  <c r="BT117" i="24"/>
  <c r="BS117" i="24"/>
  <c r="P101" i="23"/>
  <c r="AO100" i="24" l="1"/>
  <c r="AM100" i="24"/>
  <c r="AA111" i="23"/>
  <c r="AB111" i="23"/>
  <c r="AM112" i="23"/>
  <c r="N112" i="23"/>
  <c r="BF111" i="24"/>
  <c r="AJ112" i="23"/>
  <c r="AK112" i="23" s="1"/>
  <c r="K111" i="24"/>
  <c r="G112" i="23"/>
  <c r="H112" i="23" s="1"/>
  <c r="X101" i="23"/>
  <c r="Y101" i="23" s="1"/>
  <c r="AK101" i="24"/>
  <c r="BT118" i="24"/>
  <c r="BS118" i="24"/>
  <c r="AX118" i="24"/>
  <c r="L118" i="24"/>
  <c r="AC118" i="24" s="1"/>
  <c r="M117" i="24"/>
  <c r="AB118" i="24"/>
  <c r="P102" i="23"/>
  <c r="BJ111" i="24" l="1"/>
  <c r="BG111" i="24"/>
  <c r="AO101" i="24"/>
  <c r="BH111" i="24"/>
  <c r="AM101" i="24"/>
  <c r="AA112" i="23"/>
  <c r="AB112" i="23"/>
  <c r="AM113" i="23"/>
  <c r="N113" i="23"/>
  <c r="BF112" i="24"/>
  <c r="BF113" i="24"/>
  <c r="AJ113" i="23"/>
  <c r="AK113" i="23" s="1"/>
  <c r="K112" i="24"/>
  <c r="G113" i="23"/>
  <c r="H113" i="23" s="1"/>
  <c r="X102" i="23"/>
  <c r="Y102" i="23" s="1"/>
  <c r="AK102" i="24"/>
  <c r="AX119" i="24"/>
  <c r="L119" i="24"/>
  <c r="AC119" i="24" s="1"/>
  <c r="M118" i="24"/>
  <c r="AB119" i="24"/>
  <c r="BT119" i="24"/>
  <c r="BS119" i="24"/>
  <c r="P103" i="23"/>
  <c r="BJ112" i="24" l="1"/>
  <c r="BG112" i="24"/>
  <c r="BJ113" i="24"/>
  <c r="BG113" i="24"/>
  <c r="AO102" i="24"/>
  <c r="BH113" i="24"/>
  <c r="BH112" i="24"/>
  <c r="AM102" i="24"/>
  <c r="AM114" i="23"/>
  <c r="N114" i="23"/>
  <c r="AA113" i="23"/>
  <c r="AB113" i="23"/>
  <c r="BF114" i="24"/>
  <c r="AJ114" i="23"/>
  <c r="AK114" i="23" s="1"/>
  <c r="K113" i="24"/>
  <c r="G114" i="23"/>
  <c r="H114" i="23" s="1"/>
  <c r="X103" i="23"/>
  <c r="Y103" i="23" s="1"/>
  <c r="AK103" i="24"/>
  <c r="BT120" i="24"/>
  <c r="BS120" i="24"/>
  <c r="M119" i="24"/>
  <c r="AB120" i="24"/>
  <c r="AX120" i="24"/>
  <c r="L120" i="24"/>
  <c r="AC120" i="24" s="1"/>
  <c r="P104" i="23"/>
  <c r="BJ114" i="24" l="1"/>
  <c r="BG114" i="24"/>
  <c r="AO103" i="24"/>
  <c r="BH114" i="24"/>
  <c r="AM103" i="24"/>
  <c r="AA114" i="23"/>
  <c r="AB114" i="23"/>
  <c r="N115" i="23"/>
  <c r="AM115" i="23"/>
  <c r="K114" i="24"/>
  <c r="G115" i="23"/>
  <c r="H115" i="23" s="1"/>
  <c r="AJ115" i="23"/>
  <c r="AK115" i="23" s="1"/>
  <c r="BF115" i="24"/>
  <c r="AK104" i="24"/>
  <c r="X104" i="23"/>
  <c r="Y104" i="23" s="1"/>
  <c r="BT121" i="24"/>
  <c r="BS121" i="24"/>
  <c r="AX121" i="24"/>
  <c r="L121" i="24"/>
  <c r="AC121" i="24" s="1"/>
  <c r="AB121" i="24"/>
  <c r="M120" i="24"/>
  <c r="P105" i="23"/>
  <c r="BJ115" i="24" l="1"/>
  <c r="BG115" i="24"/>
  <c r="AO104" i="24"/>
  <c r="BH115" i="24"/>
  <c r="AM104" i="24"/>
  <c r="N116" i="23"/>
  <c r="AM116" i="23"/>
  <c r="AA115" i="23"/>
  <c r="AB115" i="23"/>
  <c r="BF116" i="24"/>
  <c r="AJ116" i="23"/>
  <c r="AK116" i="23" s="1"/>
  <c r="K115" i="24"/>
  <c r="G116" i="23"/>
  <c r="H116" i="23" s="1"/>
  <c r="X105" i="23"/>
  <c r="Y105" i="23" s="1"/>
  <c r="AK105" i="24"/>
  <c r="BT122" i="24"/>
  <c r="BS122" i="24"/>
  <c r="M121" i="24"/>
  <c r="L122" i="24"/>
  <c r="AC122" i="24" s="1"/>
  <c r="AX122" i="24"/>
  <c r="AB122" i="24"/>
  <c r="P106" i="23"/>
  <c r="BJ116" i="24" l="1"/>
  <c r="BG116" i="24"/>
  <c r="AO105" i="24"/>
  <c r="BH116" i="24"/>
  <c r="AM105" i="24"/>
  <c r="AA116" i="23"/>
  <c r="AB116" i="23"/>
  <c r="N117" i="23"/>
  <c r="AM117" i="23"/>
  <c r="AJ117" i="23"/>
  <c r="AK117" i="23" s="1"/>
  <c r="BF117" i="24"/>
  <c r="K116" i="24"/>
  <c r="G117" i="23"/>
  <c r="H117" i="23" s="1"/>
  <c r="AK106" i="24"/>
  <c r="X106" i="23"/>
  <c r="Y106" i="23" s="1"/>
  <c r="M122" i="24"/>
  <c r="AX123" i="24"/>
  <c r="L123" i="24"/>
  <c r="AC123" i="24" s="1"/>
  <c r="AB123" i="24"/>
  <c r="BT123" i="24"/>
  <c r="BS123" i="24"/>
  <c r="P107" i="23"/>
  <c r="BJ117" i="24" l="1"/>
  <c r="BG117" i="24"/>
  <c r="AO106" i="24"/>
  <c r="BH117" i="24"/>
  <c r="AM106" i="24"/>
  <c r="AM118" i="23"/>
  <c r="N118" i="23"/>
  <c r="AA117" i="23"/>
  <c r="AB117" i="23"/>
  <c r="K117" i="24"/>
  <c r="G118" i="23"/>
  <c r="H118" i="23" s="1"/>
  <c r="BF118" i="24"/>
  <c r="AJ118" i="23"/>
  <c r="AK118" i="23" s="1"/>
  <c r="X107" i="23"/>
  <c r="Y107" i="23" s="1"/>
  <c r="AK107" i="24"/>
  <c r="AB124" i="24"/>
  <c r="BT124" i="24"/>
  <c r="BS124" i="24"/>
  <c r="M123" i="24"/>
  <c r="L124" i="24"/>
  <c r="AC124" i="24" s="1"/>
  <c r="AX124" i="24"/>
  <c r="P108" i="23"/>
  <c r="BJ118" i="24" l="1"/>
  <c r="BG118" i="24"/>
  <c r="AO107" i="24"/>
  <c r="BH118" i="24"/>
  <c r="AM107" i="24"/>
  <c r="AA118" i="23"/>
  <c r="AB118" i="23"/>
  <c r="N119" i="23"/>
  <c r="AM119" i="23"/>
  <c r="K118" i="24"/>
  <c r="G119" i="23"/>
  <c r="H119" i="23" s="1"/>
  <c r="BF119" i="24"/>
  <c r="AJ119" i="23"/>
  <c r="AK119" i="23" s="1"/>
  <c r="AK108" i="24"/>
  <c r="X108" i="23"/>
  <c r="Y108" i="23" s="1"/>
  <c r="M124" i="24"/>
  <c r="L125" i="24"/>
  <c r="AC125" i="24" s="1"/>
  <c r="AX125" i="24"/>
  <c r="BT125" i="24"/>
  <c r="BS125" i="24"/>
  <c r="AB125" i="24"/>
  <c r="P109" i="23"/>
  <c r="BJ119" i="24" l="1"/>
  <c r="BG119" i="24"/>
  <c r="AO108" i="24"/>
  <c r="BH119" i="24"/>
  <c r="AM108" i="24"/>
  <c r="AA119" i="23"/>
  <c r="AB119" i="23"/>
  <c r="N120" i="23"/>
  <c r="AM120" i="23"/>
  <c r="AJ120" i="23"/>
  <c r="AK120" i="23" s="1"/>
  <c r="K119" i="24"/>
  <c r="G120" i="23"/>
  <c r="H120" i="23" s="1"/>
  <c r="AK109" i="24"/>
  <c r="X109" i="23"/>
  <c r="Y109" i="23" s="1"/>
  <c r="BS126" i="24"/>
  <c r="BT126" i="24"/>
  <c r="AB126" i="24"/>
  <c r="L126" i="24"/>
  <c r="AC126" i="24" s="1"/>
  <c r="AX126" i="24"/>
  <c r="M125" i="24"/>
  <c r="P110" i="23"/>
  <c r="AO109" i="24" l="1"/>
  <c r="AM109" i="24"/>
  <c r="AA120" i="23"/>
  <c r="AB120" i="23"/>
  <c r="BF120" i="24"/>
  <c r="AJ121" i="23"/>
  <c r="AK121" i="23" s="1"/>
  <c r="K120" i="24"/>
  <c r="G121" i="23"/>
  <c r="H121" i="23" s="1"/>
  <c r="AK110" i="24"/>
  <c r="X110" i="23"/>
  <c r="Y110" i="23" s="1"/>
  <c r="AX127" i="24"/>
  <c r="L127" i="24"/>
  <c r="AC127" i="24" s="1"/>
  <c r="BS127" i="24"/>
  <c r="AB127" i="24"/>
  <c r="M126" i="24"/>
  <c r="P111" i="23"/>
  <c r="BJ120" i="24" l="1"/>
  <c r="BG120" i="24"/>
  <c r="AO110" i="24"/>
  <c r="BH120" i="24"/>
  <c r="AM110" i="24"/>
  <c r="AM121" i="23"/>
  <c r="AN121" i="23"/>
  <c r="AA121" i="23"/>
  <c r="AB121" i="23"/>
  <c r="N121" i="23"/>
  <c r="P121" i="23"/>
  <c r="BF121" i="24"/>
  <c r="BF122" i="24"/>
  <c r="AJ122" i="23"/>
  <c r="AK122" i="23" s="1"/>
  <c r="K121" i="24"/>
  <c r="G122" i="23"/>
  <c r="H122" i="23" s="1"/>
  <c r="AK111" i="24"/>
  <c r="X111" i="23"/>
  <c r="Y111" i="23" s="1"/>
  <c r="AB128" i="24"/>
  <c r="M127" i="24"/>
  <c r="L128" i="24"/>
  <c r="AC128" i="24" s="1"/>
  <c r="AX128" i="24"/>
  <c r="BT128" i="24"/>
  <c r="BS128" i="24"/>
  <c r="P112" i="23"/>
  <c r="BJ121" i="24" l="1"/>
  <c r="BG121" i="24"/>
  <c r="BJ122" i="24"/>
  <c r="BG122" i="24"/>
  <c r="AO111" i="24"/>
  <c r="BH121" i="24"/>
  <c r="BH122" i="24"/>
  <c r="AM111" i="24"/>
  <c r="AM122" i="23"/>
  <c r="AN122" i="23"/>
  <c r="N123" i="23"/>
  <c r="AM123" i="23"/>
  <c r="N122" i="23"/>
  <c r="P122" i="23"/>
  <c r="AA122" i="23"/>
  <c r="AB122" i="23"/>
  <c r="K122" i="24"/>
  <c r="G123" i="23"/>
  <c r="H123" i="23" s="1"/>
  <c r="BF123" i="24"/>
  <c r="X112" i="23"/>
  <c r="Y112" i="23" s="1"/>
  <c r="AK112" i="24"/>
  <c r="L129" i="24"/>
  <c r="AC129" i="24" s="1"/>
  <c r="AX129" i="24"/>
  <c r="M128" i="24"/>
  <c r="BT129" i="24"/>
  <c r="BS129" i="24"/>
  <c r="AB129" i="24"/>
  <c r="P113" i="23"/>
  <c r="BJ123" i="24" l="1"/>
  <c r="BG123" i="24"/>
  <c r="AO112" i="24"/>
  <c r="BH123" i="24"/>
  <c r="AM112" i="24"/>
  <c r="AA123" i="23"/>
  <c r="AB123" i="23"/>
  <c r="N124" i="23"/>
  <c r="K123" i="24"/>
  <c r="G124" i="23"/>
  <c r="H124" i="23" s="1"/>
  <c r="AJ123" i="23"/>
  <c r="AK123" i="23" s="1"/>
  <c r="BF124" i="24"/>
  <c r="BG124" i="24" s="1"/>
  <c r="AK113" i="24"/>
  <c r="X113" i="23"/>
  <c r="Y113" i="23" s="1"/>
  <c r="L130" i="24"/>
  <c r="AC130" i="24" s="1"/>
  <c r="AX130" i="24"/>
  <c r="AB130" i="24"/>
  <c r="BT130" i="24"/>
  <c r="BS130" i="24"/>
  <c r="M129" i="24"/>
  <c r="P114" i="23"/>
  <c r="BJ124" i="24" l="1"/>
  <c r="AO113" i="24"/>
  <c r="AM113" i="24"/>
  <c r="AM124" i="23"/>
  <c r="AM125" i="23"/>
  <c r="N125" i="23"/>
  <c r="AA124" i="23"/>
  <c r="AB124" i="23"/>
  <c r="BH124" i="24"/>
  <c r="AJ124" i="23"/>
  <c r="AK124" i="23" s="1"/>
  <c r="AJ125" i="23"/>
  <c r="AK125" i="23" s="1"/>
  <c r="BF125" i="24"/>
  <c r="G125" i="23"/>
  <c r="H125" i="23" s="1"/>
  <c r="X114" i="23"/>
  <c r="Y114" i="23" s="1"/>
  <c r="AK114" i="24"/>
  <c r="AB131" i="24"/>
  <c r="BT131" i="24"/>
  <c r="BS131" i="24"/>
  <c r="AX131" i="24"/>
  <c r="L131" i="24"/>
  <c r="AC131" i="24" s="1"/>
  <c r="M130" i="24"/>
  <c r="P115" i="23"/>
  <c r="BJ125" i="24" l="1"/>
  <c r="BG125" i="24"/>
  <c r="AO114" i="24"/>
  <c r="BH125" i="24"/>
  <c r="AM114" i="24"/>
  <c r="AA125" i="23"/>
  <c r="AB125" i="23"/>
  <c r="N126" i="23"/>
  <c r="AM126" i="23"/>
  <c r="BF126" i="24"/>
  <c r="AJ126" i="23"/>
  <c r="AK126" i="23" s="1"/>
  <c r="K124" i="24"/>
  <c r="K125" i="24"/>
  <c r="G126" i="23"/>
  <c r="H126" i="23" s="1"/>
  <c r="X115" i="23"/>
  <c r="Y115" i="23" s="1"/>
  <c r="AK115" i="24"/>
  <c r="AX132" i="24"/>
  <c r="L132" i="24"/>
  <c r="AC132" i="24" s="1"/>
  <c r="BT132" i="24"/>
  <c r="BS132" i="24"/>
  <c r="AB132" i="24"/>
  <c r="M131" i="24"/>
  <c r="P116" i="23"/>
  <c r="BJ126" i="24" l="1"/>
  <c r="BG126" i="24"/>
  <c r="AO115" i="24"/>
  <c r="BH126" i="24"/>
  <c r="AM115" i="24"/>
  <c r="AA126" i="23"/>
  <c r="AB126" i="23"/>
  <c r="AM127" i="23"/>
  <c r="N127" i="23"/>
  <c r="AJ127" i="23"/>
  <c r="AK127" i="23" s="1"/>
  <c r="BF127" i="24"/>
  <c r="K126" i="24"/>
  <c r="G127" i="23"/>
  <c r="H127" i="23" s="1"/>
  <c r="AK116" i="24"/>
  <c r="X116" i="23"/>
  <c r="Y116" i="23" s="1"/>
  <c r="AB133" i="24"/>
  <c r="M132" i="24"/>
  <c r="BT133" i="24"/>
  <c r="BS133" i="24"/>
  <c r="AX133" i="24"/>
  <c r="L133" i="24"/>
  <c r="AC133" i="24" s="1"/>
  <c r="P117" i="23"/>
  <c r="BJ127" i="24" l="1"/>
  <c r="BG127" i="24"/>
  <c r="AO116" i="24"/>
  <c r="BH127" i="24"/>
  <c r="AM116" i="24"/>
  <c r="AA127" i="23"/>
  <c r="AB127" i="23"/>
  <c r="N128" i="23"/>
  <c r="AM128" i="23"/>
  <c r="K127" i="24"/>
  <c r="G128" i="23"/>
  <c r="H128" i="23" s="1"/>
  <c r="AJ128" i="23"/>
  <c r="AK128" i="23" s="1"/>
  <c r="X117" i="23"/>
  <c r="Y117" i="23" s="1"/>
  <c r="AK117" i="24"/>
  <c r="AB134" i="24"/>
  <c r="BT134" i="24"/>
  <c r="BS134" i="24"/>
  <c r="L134" i="24"/>
  <c r="AC134" i="24" s="1"/>
  <c r="AX134" i="24"/>
  <c r="M133" i="24"/>
  <c r="P118" i="23"/>
  <c r="AO117" i="24" l="1"/>
  <c r="AM117" i="24"/>
  <c r="N129" i="23"/>
  <c r="AM129" i="23"/>
  <c r="AA128" i="23"/>
  <c r="AB128" i="23"/>
  <c r="BF128" i="24"/>
  <c r="AJ129" i="23"/>
  <c r="AK129" i="23" s="1"/>
  <c r="K128" i="24"/>
  <c r="G129" i="23"/>
  <c r="H129" i="23" s="1"/>
  <c r="AK118" i="24"/>
  <c r="X118" i="23"/>
  <c r="Y118" i="23" s="1"/>
  <c r="BT135" i="24"/>
  <c r="BS135" i="24"/>
  <c r="L135" i="24"/>
  <c r="AC135" i="24" s="1"/>
  <c r="AX135" i="24"/>
  <c r="M134" i="24"/>
  <c r="AB135" i="24"/>
  <c r="P119" i="23"/>
  <c r="BJ128" i="24" l="1"/>
  <c r="BG128" i="24"/>
  <c r="AO118" i="24"/>
  <c r="BH128" i="24"/>
  <c r="AM118" i="24"/>
  <c r="AA129" i="23"/>
  <c r="AB129" i="23"/>
  <c r="AM130" i="23"/>
  <c r="N130" i="23"/>
  <c r="BF129" i="24"/>
  <c r="BF130" i="24"/>
  <c r="AJ130" i="23"/>
  <c r="AK130" i="23" s="1"/>
  <c r="K129" i="24"/>
  <c r="G130" i="23"/>
  <c r="H130" i="23" s="1"/>
  <c r="X119" i="23"/>
  <c r="Y119" i="23" s="1"/>
  <c r="AK119" i="24"/>
  <c r="M135" i="24"/>
  <c r="L136" i="24"/>
  <c r="AC136" i="24" s="1"/>
  <c r="AX136" i="24"/>
  <c r="AB136" i="24"/>
  <c r="BT136" i="24"/>
  <c r="BS136" i="24"/>
  <c r="P120" i="23"/>
  <c r="BJ129" i="24" l="1"/>
  <c r="BG129" i="24"/>
  <c r="BJ130" i="24"/>
  <c r="BG130" i="24"/>
  <c r="AO119" i="24"/>
  <c r="BH130" i="24"/>
  <c r="BH129" i="24"/>
  <c r="AM119" i="24"/>
  <c r="N131" i="23"/>
  <c r="AM131" i="23"/>
  <c r="AA130" i="23"/>
  <c r="AB130" i="23"/>
  <c r="AJ131" i="23"/>
  <c r="AK131" i="23" s="1"/>
  <c r="K130" i="24"/>
  <c r="G131" i="23"/>
  <c r="H131" i="23" s="1"/>
  <c r="AK120" i="24"/>
  <c r="X120" i="23"/>
  <c r="Y120" i="23" s="1"/>
  <c r="M136" i="24"/>
  <c r="L137" i="24"/>
  <c r="AC137" i="24" s="1"/>
  <c r="AX137" i="24"/>
  <c r="BT137" i="24"/>
  <c r="BS137" i="24"/>
  <c r="AB137" i="24"/>
  <c r="AO120" i="24" l="1"/>
  <c r="AM120" i="24"/>
  <c r="AA131" i="23"/>
  <c r="AB131" i="23"/>
  <c r="N132" i="23"/>
  <c r="AM132" i="23"/>
  <c r="BF131" i="24"/>
  <c r="BF132" i="24"/>
  <c r="AJ132" i="23"/>
  <c r="AK132" i="23" s="1"/>
  <c r="K131" i="24"/>
  <c r="G132" i="23"/>
  <c r="H132" i="23" s="1"/>
  <c r="AK121" i="24"/>
  <c r="X121" i="23"/>
  <c r="Y121" i="23" s="1"/>
  <c r="AB138" i="24"/>
  <c r="M137" i="24"/>
  <c r="BT138" i="24"/>
  <c r="BS138" i="24"/>
  <c r="AX138" i="24"/>
  <c r="L138" i="24"/>
  <c r="AC138" i="24" s="1"/>
  <c r="BJ132" i="24" l="1"/>
  <c r="BG132" i="24"/>
  <c r="BJ131" i="24"/>
  <c r="BG131" i="24"/>
  <c r="AO121" i="24"/>
  <c r="BH132" i="24"/>
  <c r="BH131" i="24"/>
  <c r="AM121" i="24"/>
  <c r="I132" i="23"/>
  <c r="J132" i="23" s="1"/>
  <c r="AA132" i="23"/>
  <c r="AB132" i="23"/>
  <c r="K132" i="24"/>
  <c r="G133" i="23"/>
  <c r="H133" i="23" s="1"/>
  <c r="BF133" i="24"/>
  <c r="X122" i="23"/>
  <c r="Y122" i="23" s="1"/>
  <c r="AK122" i="24"/>
  <c r="AB139" i="24"/>
  <c r="BT139" i="24"/>
  <c r="BS139" i="24"/>
  <c r="AX139" i="24"/>
  <c r="L139" i="24"/>
  <c r="AC139" i="24" s="1"/>
  <c r="M138" i="24"/>
  <c r="P123" i="23"/>
  <c r="BJ133" i="24" l="1"/>
  <c r="BG133" i="24"/>
  <c r="AO122" i="24"/>
  <c r="BH133" i="24"/>
  <c r="AM122" i="24"/>
  <c r="AM133" i="23"/>
  <c r="I133" i="23"/>
  <c r="O133" i="23" s="1"/>
  <c r="AA133" i="23"/>
  <c r="N133" i="23"/>
  <c r="AJ133" i="23"/>
  <c r="AK133" i="23" s="1"/>
  <c r="AJ134" i="23"/>
  <c r="AK134" i="23" s="1"/>
  <c r="K133" i="24"/>
  <c r="G134" i="23"/>
  <c r="H134" i="23" s="1"/>
  <c r="AK123" i="24"/>
  <c r="X123" i="23"/>
  <c r="Y123" i="23" s="1"/>
  <c r="M139" i="24"/>
  <c r="L140" i="24"/>
  <c r="AC140" i="24" s="1"/>
  <c r="AX140" i="24"/>
  <c r="BT140" i="24"/>
  <c r="BS140" i="24"/>
  <c r="AB140" i="24"/>
  <c r="P124" i="23"/>
  <c r="AO123" i="24" l="1"/>
  <c r="AM134" i="23"/>
  <c r="N134" i="23"/>
  <c r="J133" i="23"/>
  <c r="I134" i="23"/>
  <c r="O134" i="23" s="1"/>
  <c r="AA134" i="23"/>
  <c r="K134" i="24"/>
  <c r="G135" i="23"/>
  <c r="H135" i="23" s="1"/>
  <c r="BF134" i="24"/>
  <c r="BF135" i="24"/>
  <c r="AJ135" i="23"/>
  <c r="AK135" i="23" s="1"/>
  <c r="X124" i="23"/>
  <c r="Y124" i="23" s="1"/>
  <c r="AK124" i="24"/>
  <c r="AM123" i="24"/>
  <c r="L141" i="24"/>
  <c r="AC141" i="24" s="1"/>
  <c r="AX141" i="24"/>
  <c r="M140" i="24"/>
  <c r="AB141" i="24"/>
  <c r="BT141" i="24"/>
  <c r="BS141" i="24"/>
  <c r="P125" i="23"/>
  <c r="BJ135" i="24" l="1"/>
  <c r="BG135" i="24"/>
  <c r="BJ134" i="24"/>
  <c r="BG134" i="24"/>
  <c r="AO124" i="24"/>
  <c r="BH134" i="24"/>
  <c r="BH135" i="24"/>
  <c r="AM124" i="24"/>
  <c r="J134" i="23"/>
  <c r="N135" i="23"/>
  <c r="AM135" i="23"/>
  <c r="I135" i="23"/>
  <c r="O135" i="23" s="1"/>
  <c r="AA135" i="23"/>
  <c r="BF136" i="24"/>
  <c r="AJ136" i="23"/>
  <c r="AK136" i="23" s="1"/>
  <c r="K135" i="24"/>
  <c r="G136" i="23"/>
  <c r="H136" i="23" s="1"/>
  <c r="X125" i="23"/>
  <c r="Y125" i="23" s="1"/>
  <c r="AK125" i="24"/>
  <c r="BT142" i="24"/>
  <c r="BS142" i="24"/>
  <c r="L142" i="24"/>
  <c r="AC142" i="24" s="1"/>
  <c r="AX142" i="24"/>
  <c r="AB142" i="24"/>
  <c r="M141" i="24"/>
  <c r="P126" i="23"/>
  <c r="BJ136" i="24" l="1"/>
  <c r="BG136" i="24"/>
  <c r="AO125" i="24"/>
  <c r="BH136" i="24"/>
  <c r="AM125" i="24"/>
  <c r="J135" i="23"/>
  <c r="N136" i="23"/>
  <c r="AM136" i="23"/>
  <c r="AA136" i="23"/>
  <c r="I136" i="23"/>
  <c r="O136" i="23" s="1"/>
  <c r="BF137" i="24"/>
  <c r="AJ137" i="23"/>
  <c r="AK137" i="23" s="1"/>
  <c r="K136" i="24"/>
  <c r="G137" i="23"/>
  <c r="H137" i="23" s="1"/>
  <c r="X126" i="23"/>
  <c r="Y126" i="23" s="1"/>
  <c r="AK126" i="24"/>
  <c r="L143" i="24"/>
  <c r="AC143" i="24" s="1"/>
  <c r="AX143" i="24"/>
  <c r="M142" i="24"/>
  <c r="AB143" i="24"/>
  <c r="BT143" i="24"/>
  <c r="BS143" i="24"/>
  <c r="P127" i="23"/>
  <c r="BJ137" i="24" l="1"/>
  <c r="BG137" i="24"/>
  <c r="AO126" i="24"/>
  <c r="BH137" i="24"/>
  <c r="AM126" i="24"/>
  <c r="J136" i="23"/>
  <c r="AA137" i="23"/>
  <c r="I137" i="23"/>
  <c r="O137" i="23" s="1"/>
  <c r="N137" i="23"/>
  <c r="AM137" i="23"/>
  <c r="BF138" i="24"/>
  <c r="BG138" i="24" s="1"/>
  <c r="K137" i="24"/>
  <c r="G138" i="23"/>
  <c r="H138" i="23" s="1"/>
  <c r="AK127" i="24"/>
  <c r="X127" i="23"/>
  <c r="Y127" i="23" s="1"/>
  <c r="L144" i="24"/>
  <c r="AC144" i="24" s="1"/>
  <c r="AX144" i="24"/>
  <c r="AB144" i="24"/>
  <c r="BT144" i="24"/>
  <c r="BS144" i="24"/>
  <c r="M143" i="24"/>
  <c r="P128" i="23"/>
  <c r="BJ138" i="24" l="1"/>
  <c r="AO127" i="24"/>
  <c r="AM127" i="24"/>
  <c r="J137" i="23"/>
  <c r="N138" i="23"/>
  <c r="AM138" i="23"/>
  <c r="I138" i="23"/>
  <c r="O138" i="23" s="1"/>
  <c r="AA138" i="23"/>
  <c r="BH138" i="24"/>
  <c r="AJ138" i="23"/>
  <c r="AK138" i="23" s="1"/>
  <c r="BF139" i="24"/>
  <c r="G139" i="23"/>
  <c r="H139" i="23" s="1"/>
  <c r="X128" i="23"/>
  <c r="Y128" i="23" s="1"/>
  <c r="AK128" i="24"/>
  <c r="AB145" i="24"/>
  <c r="BT145" i="24"/>
  <c r="BS145" i="24"/>
  <c r="M144" i="24"/>
  <c r="AX145" i="24"/>
  <c r="L145" i="24"/>
  <c r="AC145" i="24" s="1"/>
  <c r="P129" i="23"/>
  <c r="BJ139" i="24" l="1"/>
  <c r="BG139" i="24"/>
  <c r="AO128" i="24"/>
  <c r="BH139" i="24"/>
  <c r="AM128" i="24"/>
  <c r="J138" i="23"/>
  <c r="AA139" i="23"/>
  <c r="I139" i="23"/>
  <c r="O139" i="23" s="1"/>
  <c r="N139" i="23"/>
  <c r="AM139" i="23"/>
  <c r="K138" i="24"/>
  <c r="AJ139" i="23"/>
  <c r="AK139" i="23" s="1"/>
  <c r="AJ140" i="23"/>
  <c r="AK140" i="23" s="1"/>
  <c r="K139" i="24"/>
  <c r="G140" i="23"/>
  <c r="H140" i="23" s="1"/>
  <c r="AK129" i="24"/>
  <c r="X129" i="23"/>
  <c r="Y129" i="23" s="1"/>
  <c r="AB146" i="24"/>
  <c r="BT146" i="24"/>
  <c r="BS146" i="24"/>
  <c r="L146" i="24"/>
  <c r="AC146" i="24" s="1"/>
  <c r="AX146" i="24"/>
  <c r="M145" i="24"/>
  <c r="P130" i="23"/>
  <c r="AO129" i="24" l="1"/>
  <c r="AM129" i="24"/>
  <c r="I140" i="23"/>
  <c r="O140" i="23" s="1"/>
  <c r="AA140" i="23"/>
  <c r="J139" i="23"/>
  <c r="AM140" i="23"/>
  <c r="N140" i="23"/>
  <c r="BF140" i="24"/>
  <c r="AJ141" i="23"/>
  <c r="AK141" i="23" s="1"/>
  <c r="K140" i="24"/>
  <c r="G141" i="23"/>
  <c r="H141" i="23" s="1"/>
  <c r="X130" i="23"/>
  <c r="Y130" i="23" s="1"/>
  <c r="AK130" i="24"/>
  <c r="L147" i="24"/>
  <c r="AC147" i="24" s="1"/>
  <c r="AX147" i="24"/>
  <c r="M146" i="24"/>
  <c r="AB147" i="24"/>
  <c r="BT147" i="24"/>
  <c r="BS147" i="24"/>
  <c r="P131" i="23"/>
  <c r="BJ140" i="24" l="1"/>
  <c r="BG140" i="24"/>
  <c r="AO130" i="24"/>
  <c r="BH140" i="24"/>
  <c r="AM130" i="24"/>
  <c r="N141" i="23"/>
  <c r="AA141" i="23"/>
  <c r="I141" i="23"/>
  <c r="O141" i="23" s="1"/>
  <c r="J140" i="23"/>
  <c r="AM141" i="23"/>
  <c r="BF141" i="24"/>
  <c r="BF142" i="24"/>
  <c r="AJ142" i="23"/>
  <c r="AK142" i="23" s="1"/>
  <c r="K141" i="24"/>
  <c r="G142" i="23"/>
  <c r="H142" i="23" s="1"/>
  <c r="AK131" i="24"/>
  <c r="X131" i="23"/>
  <c r="Y131" i="23" s="1"/>
  <c r="AB148" i="24"/>
  <c r="L148" i="24"/>
  <c r="AC148" i="24" s="1"/>
  <c r="AX148" i="24"/>
  <c r="BT148" i="24"/>
  <c r="BS148" i="24"/>
  <c r="M147" i="24"/>
  <c r="BJ142" i="24" l="1"/>
  <c r="BG142" i="24"/>
  <c r="BJ141" i="24"/>
  <c r="BG141" i="24"/>
  <c r="AO131" i="24"/>
  <c r="BH142" i="24"/>
  <c r="BH141" i="24"/>
  <c r="AM131" i="24"/>
  <c r="I142" i="23"/>
  <c r="O142" i="23" s="1"/>
  <c r="AA142" i="23"/>
  <c r="J141" i="23"/>
  <c r="AM142" i="23"/>
  <c r="N142" i="23"/>
  <c r="K142" i="24"/>
  <c r="G143" i="23"/>
  <c r="H143" i="23" s="1"/>
  <c r="AJ143" i="23"/>
  <c r="AK143" i="23" s="1"/>
  <c r="AK132" i="24"/>
  <c r="X132" i="23"/>
  <c r="Y132" i="23" s="1"/>
  <c r="M148" i="24"/>
  <c r="L149" i="24"/>
  <c r="AC149" i="24" s="1"/>
  <c r="AX149" i="24"/>
  <c r="AB149" i="24"/>
  <c r="BT149" i="24"/>
  <c r="BS149" i="24"/>
  <c r="AO132" i="24" l="1"/>
  <c r="AM132" i="24"/>
  <c r="J142" i="23"/>
  <c r="AB143" i="23"/>
  <c r="AA143" i="23"/>
  <c r="I143" i="23"/>
  <c r="AN143" i="23"/>
  <c r="AM143" i="23"/>
  <c r="P143" i="23"/>
  <c r="N143" i="23"/>
  <c r="K143" i="24"/>
  <c r="G144" i="23"/>
  <c r="H144" i="23" s="1"/>
  <c r="BF143" i="24"/>
  <c r="AJ144" i="23"/>
  <c r="AK144" i="23" s="1"/>
  <c r="AK133" i="24"/>
  <c r="X133" i="23"/>
  <c r="Y133" i="23" s="1"/>
  <c r="AX150" i="24"/>
  <c r="L150" i="24"/>
  <c r="AC150" i="24" s="1"/>
  <c r="AB150" i="24"/>
  <c r="M149" i="24"/>
  <c r="BT150" i="24"/>
  <c r="BS150" i="24"/>
  <c r="BJ143" i="24" l="1"/>
  <c r="BG143" i="24"/>
  <c r="AO133" i="24"/>
  <c r="BH143" i="24"/>
  <c r="AM133" i="24"/>
  <c r="N144" i="23"/>
  <c r="P144" i="23"/>
  <c r="J143" i="23"/>
  <c r="O143" i="23"/>
  <c r="AB144" i="23"/>
  <c r="AA144" i="23"/>
  <c r="I144" i="23"/>
  <c r="AN144" i="23"/>
  <c r="AM144" i="23"/>
  <c r="BF144" i="24"/>
  <c r="AJ145" i="23"/>
  <c r="AK145" i="23" s="1"/>
  <c r="BF145" i="24"/>
  <c r="K144" i="24"/>
  <c r="G145" i="23"/>
  <c r="H145" i="23" s="1"/>
  <c r="AK135" i="24"/>
  <c r="X135" i="23"/>
  <c r="Y135" i="23" s="1"/>
  <c r="AK134" i="24"/>
  <c r="X134" i="23"/>
  <c r="Y134" i="23" s="1"/>
  <c r="AX151" i="24"/>
  <c r="L151" i="24"/>
  <c r="AC151" i="24" s="1"/>
  <c r="BT151" i="24"/>
  <c r="BS151" i="24"/>
  <c r="M150" i="24"/>
  <c r="AB151" i="24"/>
  <c r="BJ144" i="24" l="1"/>
  <c r="BG144" i="24"/>
  <c r="BJ145" i="24"/>
  <c r="BG145" i="24"/>
  <c r="AO134" i="24"/>
  <c r="AO135" i="24"/>
  <c r="BH145" i="24"/>
  <c r="BH144" i="24"/>
  <c r="AM134" i="24"/>
  <c r="AM135" i="24"/>
  <c r="J144" i="23"/>
  <c r="O144" i="23"/>
  <c r="AN145" i="23"/>
  <c r="AM145" i="23"/>
  <c r="AB145" i="23"/>
  <c r="I145" i="23"/>
  <c r="AA145" i="23"/>
  <c r="P145" i="23"/>
  <c r="N145" i="23"/>
  <c r="K145" i="24"/>
  <c r="G146" i="23"/>
  <c r="H146" i="23" s="1"/>
  <c r="AJ146" i="23"/>
  <c r="AK146" i="23" s="1"/>
  <c r="X136" i="23"/>
  <c r="Y136" i="23" s="1"/>
  <c r="AK136" i="24"/>
  <c r="X137" i="23"/>
  <c r="Y137" i="23" s="1"/>
  <c r="AK137" i="24"/>
  <c r="AB152" i="24"/>
  <c r="M151" i="24"/>
  <c r="BT152" i="24"/>
  <c r="BS152" i="24"/>
  <c r="L152" i="24"/>
  <c r="AC152" i="24" s="1"/>
  <c r="AX152" i="24"/>
  <c r="I62" i="23"/>
  <c r="J62" i="23" s="1"/>
  <c r="AN62" i="23"/>
  <c r="I129" i="23"/>
  <c r="J129" i="23" s="1"/>
  <c r="I128" i="23"/>
  <c r="J128" i="23" s="1"/>
  <c r="I125" i="23"/>
  <c r="J125" i="23" s="1"/>
  <c r="I124" i="23"/>
  <c r="J124" i="23" s="1"/>
  <c r="I117" i="23"/>
  <c r="J117" i="23" s="1"/>
  <c r="I122" i="23"/>
  <c r="I121" i="23"/>
  <c r="I118" i="23"/>
  <c r="J118" i="23" s="1"/>
  <c r="O132" i="23"/>
  <c r="I120" i="23"/>
  <c r="J120" i="23" s="1"/>
  <c r="I123" i="23"/>
  <c r="J123" i="23" s="1"/>
  <c r="I131" i="23"/>
  <c r="J131" i="23" s="1"/>
  <c r="I119" i="23"/>
  <c r="J119" i="23" s="1"/>
  <c r="I130" i="23"/>
  <c r="J130" i="23" s="1"/>
  <c r="I127" i="23"/>
  <c r="J127" i="23" s="1"/>
  <c r="I126" i="23"/>
  <c r="J126" i="23" s="1"/>
  <c r="AN89" i="23"/>
  <c r="I89" i="23"/>
  <c r="J89" i="23" s="1"/>
  <c r="AN112" i="23"/>
  <c r="I112" i="23"/>
  <c r="J112" i="23" s="1"/>
  <c r="I72" i="23"/>
  <c r="J72" i="23" s="1"/>
  <c r="AN72" i="23"/>
  <c r="AN119" i="23"/>
  <c r="AN107" i="23"/>
  <c r="I107" i="23"/>
  <c r="J107" i="23" s="1"/>
  <c r="I95" i="23"/>
  <c r="J95" i="23" s="1"/>
  <c r="AN95" i="23"/>
  <c r="AN83" i="23"/>
  <c r="I83" i="23"/>
  <c r="J83" i="23" s="1"/>
  <c r="AN71" i="23"/>
  <c r="I71" i="23"/>
  <c r="J71" i="23" s="1"/>
  <c r="I101" i="23"/>
  <c r="J101" i="23" s="1"/>
  <c r="AN101" i="23"/>
  <c r="AN124" i="23"/>
  <c r="AN120" i="23"/>
  <c r="AN125" i="23"/>
  <c r="AN88" i="23"/>
  <c r="I88" i="23"/>
  <c r="J88" i="23" s="1"/>
  <c r="I96" i="23"/>
  <c r="J96" i="23" s="1"/>
  <c r="AN96" i="23"/>
  <c r="AN106" i="23"/>
  <c r="I106" i="23"/>
  <c r="J106" i="23" s="1"/>
  <c r="I70" i="23"/>
  <c r="J70" i="23" s="1"/>
  <c r="AN70" i="23"/>
  <c r="AN105" i="23"/>
  <c r="I105" i="23"/>
  <c r="J105" i="23" s="1"/>
  <c r="AN69" i="23"/>
  <c r="I69" i="23"/>
  <c r="J69" i="23" s="1"/>
  <c r="I116" i="23"/>
  <c r="J116" i="23" s="1"/>
  <c r="AN116" i="23"/>
  <c r="AN104" i="23"/>
  <c r="I104" i="23"/>
  <c r="J104" i="23" s="1"/>
  <c r="AN92" i="23"/>
  <c r="I92" i="23"/>
  <c r="J92" i="23" s="1"/>
  <c r="AN80" i="23"/>
  <c r="I80" i="23"/>
  <c r="J80" i="23" s="1"/>
  <c r="I68" i="23"/>
  <c r="J68" i="23" s="1"/>
  <c r="AN68" i="23"/>
  <c r="AN100" i="23"/>
  <c r="I100" i="23"/>
  <c r="J100" i="23" s="1"/>
  <c r="AN108" i="23"/>
  <c r="I108" i="23"/>
  <c r="J108" i="23" s="1"/>
  <c r="AN118" i="23"/>
  <c r="AN94" i="23"/>
  <c r="I94" i="23"/>
  <c r="J94" i="23" s="1"/>
  <c r="AN81" i="23"/>
  <c r="I81" i="23"/>
  <c r="J81" i="23" s="1"/>
  <c r="I115" i="23"/>
  <c r="J115" i="23" s="1"/>
  <c r="AN115" i="23"/>
  <c r="AN103" i="23"/>
  <c r="I103" i="23"/>
  <c r="J103" i="23" s="1"/>
  <c r="AN91" i="23"/>
  <c r="I91" i="23"/>
  <c r="J91" i="23" s="1"/>
  <c r="AN79" i="23"/>
  <c r="I79" i="23"/>
  <c r="J79" i="23" s="1"/>
  <c r="AN67" i="23"/>
  <c r="I67" i="23"/>
  <c r="J67" i="23" s="1"/>
  <c r="AN113" i="23"/>
  <c r="I113" i="23"/>
  <c r="J113" i="23" s="1"/>
  <c r="AN64" i="23"/>
  <c r="I64" i="23"/>
  <c r="J64" i="23" s="1"/>
  <c r="I84" i="23"/>
  <c r="J84" i="23" s="1"/>
  <c r="AN84" i="23"/>
  <c r="AN82" i="23"/>
  <c r="I82" i="23"/>
  <c r="J82" i="23" s="1"/>
  <c r="AN117" i="23"/>
  <c r="AN93" i="23"/>
  <c r="I93" i="23"/>
  <c r="J93" i="23" s="1"/>
  <c r="AN126" i="23"/>
  <c r="I114" i="23"/>
  <c r="J114" i="23" s="1"/>
  <c r="AN114" i="23"/>
  <c r="I102" i="23"/>
  <c r="J102" i="23" s="1"/>
  <c r="AN102" i="23"/>
  <c r="AN90" i="23"/>
  <c r="I90" i="23"/>
  <c r="J90" i="23" s="1"/>
  <c r="I78" i="23"/>
  <c r="J78" i="23" s="1"/>
  <c r="AN78" i="23"/>
  <c r="AN66" i="23"/>
  <c r="I66" i="23"/>
  <c r="J66" i="23" s="1"/>
  <c r="I77" i="23"/>
  <c r="J77" i="23" s="1"/>
  <c r="AN77" i="23"/>
  <c r="AN65" i="23"/>
  <c r="I65" i="23"/>
  <c r="J65" i="23" s="1"/>
  <c r="AN87" i="23"/>
  <c r="I87" i="23"/>
  <c r="J87" i="23" s="1"/>
  <c r="I76" i="23"/>
  <c r="J76" i="23" s="1"/>
  <c r="AN76" i="23"/>
  <c r="AN123" i="23"/>
  <c r="AN111" i="23"/>
  <c r="I111" i="23"/>
  <c r="J111" i="23" s="1"/>
  <c r="AN99" i="23"/>
  <c r="I99" i="23"/>
  <c r="J99" i="23" s="1"/>
  <c r="AN75" i="23"/>
  <c r="I75" i="23"/>
  <c r="J75" i="23" s="1"/>
  <c r="AN110" i="23"/>
  <c r="I110" i="23"/>
  <c r="J110" i="23" s="1"/>
  <c r="AN98" i="23"/>
  <c r="I98" i="23"/>
  <c r="J98" i="23" s="1"/>
  <c r="AN86" i="23"/>
  <c r="I86" i="23"/>
  <c r="J86" i="23" s="1"/>
  <c r="AN74" i="23"/>
  <c r="I74" i="23"/>
  <c r="J74" i="23" s="1"/>
  <c r="AN109" i="23"/>
  <c r="I109" i="23"/>
  <c r="J109" i="23" s="1"/>
  <c r="I97" i="23"/>
  <c r="J97" i="23" s="1"/>
  <c r="AN97" i="23"/>
  <c r="I85" i="23"/>
  <c r="J85" i="23" s="1"/>
  <c r="AN85" i="23"/>
  <c r="I73" i="23"/>
  <c r="J73" i="23" s="1"/>
  <c r="AN73" i="23"/>
  <c r="AO136" i="24" l="1"/>
  <c r="AO137" i="24"/>
  <c r="AM136" i="24"/>
  <c r="AM137" i="24"/>
  <c r="J145" i="23"/>
  <c r="O145" i="23"/>
  <c r="AA146" i="23"/>
  <c r="AB146" i="23"/>
  <c r="I146" i="23"/>
  <c r="P146" i="23"/>
  <c r="N146" i="23"/>
  <c r="AN146" i="23"/>
  <c r="AM146" i="23"/>
  <c r="K146" i="24"/>
  <c r="G147" i="23"/>
  <c r="H147" i="23" s="1"/>
  <c r="BF146" i="24"/>
  <c r="AJ147" i="23"/>
  <c r="AK147" i="23" s="1"/>
  <c r="AK138" i="24"/>
  <c r="X138" i="23"/>
  <c r="Y138" i="23" s="1"/>
  <c r="X139" i="23"/>
  <c r="Y139" i="23" s="1"/>
  <c r="AK139" i="24"/>
  <c r="M152" i="24"/>
  <c r="L153" i="24"/>
  <c r="AC153" i="24" s="1"/>
  <c r="AX153" i="24"/>
  <c r="AB153" i="24"/>
  <c r="BT153" i="24"/>
  <c r="BS153" i="24"/>
  <c r="J122" i="23"/>
  <c r="O122" i="23"/>
  <c r="J121" i="23"/>
  <c r="O121" i="23"/>
  <c r="O69" i="23"/>
  <c r="O119" i="23"/>
  <c r="O128" i="23"/>
  <c r="O97" i="23"/>
  <c r="O65" i="23"/>
  <c r="O115" i="23"/>
  <c r="O131" i="23"/>
  <c r="O129" i="23"/>
  <c r="O75" i="23"/>
  <c r="O105" i="23"/>
  <c r="O123" i="23"/>
  <c r="O85" i="23"/>
  <c r="O120" i="23"/>
  <c r="O62" i="23"/>
  <c r="O103" i="23"/>
  <c r="O100" i="23"/>
  <c r="O114" i="23"/>
  <c r="O101" i="23"/>
  <c r="O72" i="23"/>
  <c r="O76" i="23"/>
  <c r="O127" i="23"/>
  <c r="O87" i="23"/>
  <c r="O125" i="23"/>
  <c r="O81" i="23"/>
  <c r="O74" i="23"/>
  <c r="O66" i="23"/>
  <c r="O92" i="23"/>
  <c r="O70" i="23"/>
  <c r="O71" i="23"/>
  <c r="O112" i="23"/>
  <c r="O118" i="23"/>
  <c r="O116" i="23"/>
  <c r="O84" i="23"/>
  <c r="O102" i="23"/>
  <c r="O93" i="23"/>
  <c r="O111" i="23"/>
  <c r="O79" i="23"/>
  <c r="O94" i="23"/>
  <c r="O106" i="23"/>
  <c r="O110" i="23"/>
  <c r="O107" i="23"/>
  <c r="O64" i="23"/>
  <c r="O68" i="23"/>
  <c r="O77" i="23"/>
  <c r="O67" i="23"/>
  <c r="O86" i="23"/>
  <c r="O82" i="23"/>
  <c r="O104" i="23"/>
  <c r="O83" i="23"/>
  <c r="O89" i="23"/>
  <c r="O95" i="23"/>
  <c r="O113" i="23"/>
  <c r="O80" i="23"/>
  <c r="O99" i="23"/>
  <c r="O78" i="23"/>
  <c r="O91" i="23"/>
  <c r="O117" i="23"/>
  <c r="O88" i="23"/>
  <c r="O130" i="23"/>
  <c r="O109" i="23"/>
  <c r="O73" i="23"/>
  <c r="O98" i="23"/>
  <c r="O90" i="23"/>
  <c r="O108" i="23"/>
  <c r="O96" i="23"/>
  <c r="O126" i="23"/>
  <c r="O124" i="23"/>
  <c r="AN63" i="23"/>
  <c r="I63" i="23"/>
  <c r="J63" i="23" s="1"/>
  <c r="BJ146" i="24" l="1"/>
  <c r="BG146" i="24"/>
  <c r="AO138" i="24"/>
  <c r="AO139" i="24"/>
  <c r="BH146" i="24"/>
  <c r="AM138" i="24"/>
  <c r="AM139" i="24"/>
  <c r="O146" i="23"/>
  <c r="J146" i="23"/>
  <c r="P147" i="23"/>
  <c r="N147" i="23"/>
  <c r="AN147" i="23"/>
  <c r="AM147" i="23"/>
  <c r="I147" i="23"/>
  <c r="AB147" i="23"/>
  <c r="AA147" i="23"/>
  <c r="K147" i="24"/>
  <c r="K148" i="24"/>
  <c r="G148" i="23"/>
  <c r="H148" i="23" s="1"/>
  <c r="BF147" i="24"/>
  <c r="AJ148" i="23"/>
  <c r="AK148" i="23" s="1"/>
  <c r="AK140" i="24"/>
  <c r="X140" i="23"/>
  <c r="Y140" i="23" s="1"/>
  <c r="X141" i="23"/>
  <c r="Y141" i="23" s="1"/>
  <c r="AK141" i="24"/>
  <c r="AB154" i="24"/>
  <c r="BT154" i="24"/>
  <c r="BS154" i="24"/>
  <c r="L154" i="24"/>
  <c r="AC154" i="24" s="1"/>
  <c r="AX154" i="24"/>
  <c r="M153" i="24"/>
  <c r="O63" i="23"/>
  <c r="BJ147" i="24" l="1"/>
  <c r="BG147" i="24"/>
  <c r="AO141" i="24"/>
  <c r="AO140" i="24"/>
  <c r="BH147" i="24"/>
  <c r="AM140" i="24"/>
  <c r="AM141" i="24"/>
  <c r="J147" i="23"/>
  <c r="O147" i="23"/>
  <c r="AB148" i="23"/>
  <c r="AA148" i="23"/>
  <c r="I148" i="23"/>
  <c r="P148" i="23"/>
  <c r="N148" i="23"/>
  <c r="AN148" i="23"/>
  <c r="AM148" i="23"/>
  <c r="BF148" i="24"/>
  <c r="BF149" i="24"/>
  <c r="AJ149" i="23"/>
  <c r="AK149" i="23" s="1"/>
  <c r="G149" i="23"/>
  <c r="H149" i="23" s="1"/>
  <c r="AK142" i="24"/>
  <c r="X142" i="23"/>
  <c r="Y142" i="23" s="1"/>
  <c r="X143" i="23"/>
  <c r="Y143" i="23" s="1"/>
  <c r="AK143" i="24"/>
  <c r="BT155" i="24"/>
  <c r="BS155" i="24"/>
  <c r="AB155" i="24"/>
  <c r="M154" i="24"/>
  <c r="L155" i="24"/>
  <c r="AC155" i="24" s="1"/>
  <c r="AX155" i="24"/>
  <c r="BJ149" i="24" l="1"/>
  <c r="BG149" i="24"/>
  <c r="BJ148" i="24"/>
  <c r="BG148" i="24"/>
  <c r="AO142" i="24"/>
  <c r="AO143" i="24"/>
  <c r="BH149" i="24"/>
  <c r="BH148" i="24"/>
  <c r="AM142" i="24"/>
  <c r="AM143" i="24"/>
  <c r="J148" i="23"/>
  <c r="O148" i="23"/>
  <c r="AA149" i="23"/>
  <c r="I149" i="23"/>
  <c r="AB149" i="23"/>
  <c r="AN149" i="23"/>
  <c r="AM149" i="23"/>
  <c r="P149" i="23"/>
  <c r="N149" i="23"/>
  <c r="K149" i="24"/>
  <c r="G150" i="23"/>
  <c r="H150" i="23" s="1"/>
  <c r="AJ150" i="23"/>
  <c r="AK150" i="23" s="1"/>
  <c r="BF150" i="24"/>
  <c r="X145" i="23"/>
  <c r="Y145" i="23" s="1"/>
  <c r="AK145" i="24"/>
  <c r="AK144" i="24"/>
  <c r="X144" i="23"/>
  <c r="Y144" i="23" s="1"/>
  <c r="M155" i="24"/>
  <c r="AX156" i="24"/>
  <c r="L156" i="24"/>
  <c r="AC156" i="24" s="1"/>
  <c r="BT156" i="24"/>
  <c r="BS156" i="24"/>
  <c r="AB156" i="24"/>
  <c r="BJ150" i="24" l="1"/>
  <c r="BG150" i="24"/>
  <c r="AO144" i="24"/>
  <c r="AO145" i="24"/>
  <c r="BH150" i="24"/>
  <c r="AM144" i="24"/>
  <c r="AM145" i="24"/>
  <c r="AA150" i="23"/>
  <c r="I150" i="23"/>
  <c r="AB150" i="23"/>
  <c r="J149" i="23"/>
  <c r="O149" i="23"/>
  <c r="AN150" i="23"/>
  <c r="AM150" i="23"/>
  <c r="P150" i="23"/>
  <c r="N150" i="23"/>
  <c r="BF151" i="24"/>
  <c r="K150" i="24"/>
  <c r="G151" i="23"/>
  <c r="H151" i="23" s="1"/>
  <c r="AK147" i="24"/>
  <c r="X147" i="23"/>
  <c r="Y147" i="23" s="1"/>
  <c r="AK146" i="24"/>
  <c r="X146" i="23"/>
  <c r="Y146" i="23" s="1"/>
  <c r="BT157" i="24"/>
  <c r="BS157" i="24"/>
  <c r="AX157" i="24"/>
  <c r="L157" i="24"/>
  <c r="AC157" i="24" s="1"/>
  <c r="M156" i="24"/>
  <c r="AB157" i="24"/>
  <c r="BJ151" i="24" l="1"/>
  <c r="BG151" i="24"/>
  <c r="AO146" i="24"/>
  <c r="AO147" i="24"/>
  <c r="BH151" i="24"/>
  <c r="AM146" i="24"/>
  <c r="AM147" i="24"/>
  <c r="J150" i="23"/>
  <c r="O150" i="23"/>
  <c r="P151" i="23"/>
  <c r="N151" i="23"/>
  <c r="AN151" i="23"/>
  <c r="AM151" i="23"/>
  <c r="AB151" i="23"/>
  <c r="I151" i="23"/>
  <c r="AA151" i="23"/>
  <c r="K151" i="24"/>
  <c r="G152" i="23"/>
  <c r="H152" i="23" s="1"/>
  <c r="AJ151" i="23"/>
  <c r="AK151" i="23" s="1"/>
  <c r="AJ152" i="23"/>
  <c r="AK152" i="23" s="1"/>
  <c r="AK149" i="24"/>
  <c r="X149" i="23"/>
  <c r="Y149" i="23" s="1"/>
  <c r="X148" i="23"/>
  <c r="Y148" i="23" s="1"/>
  <c r="AK148" i="24"/>
  <c r="L158" i="24"/>
  <c r="AC158" i="24" s="1"/>
  <c r="AX158" i="24"/>
  <c r="M157" i="24"/>
  <c r="BT158" i="24"/>
  <c r="BS158" i="24"/>
  <c r="AB158" i="24"/>
  <c r="AO149" i="24" l="1"/>
  <c r="AO148" i="24"/>
  <c r="AM149" i="24"/>
  <c r="AM148" i="24"/>
  <c r="AN152" i="23"/>
  <c r="AM152" i="23"/>
  <c r="J151" i="23"/>
  <c r="O151" i="23"/>
  <c r="P152" i="23"/>
  <c r="N152" i="23"/>
  <c r="I152" i="23"/>
  <c r="AA152" i="23"/>
  <c r="AB152" i="23"/>
  <c r="BF152" i="24"/>
  <c r="AJ153" i="23"/>
  <c r="AK153" i="23" s="1"/>
  <c r="K152" i="24"/>
  <c r="G153" i="23"/>
  <c r="H153" i="23" s="1"/>
  <c r="X151" i="23"/>
  <c r="Y151" i="23" s="1"/>
  <c r="AK151" i="24"/>
  <c r="AK150" i="24"/>
  <c r="X150" i="23"/>
  <c r="Y150" i="23" s="1"/>
  <c r="AB159" i="24"/>
  <c r="BT159" i="24"/>
  <c r="BS159" i="24"/>
  <c r="L159" i="24"/>
  <c r="AC159" i="24" s="1"/>
  <c r="AX159" i="24"/>
  <c r="M158" i="24"/>
  <c r="BJ152" i="24" l="1"/>
  <c r="BG152" i="24"/>
  <c r="AO151" i="24"/>
  <c r="AO150" i="24"/>
  <c r="BH152" i="24"/>
  <c r="AM150" i="24"/>
  <c r="AM151" i="24"/>
  <c r="J152" i="23"/>
  <c r="O152" i="23"/>
  <c r="AN153" i="23"/>
  <c r="AM153" i="23"/>
  <c r="P153" i="23"/>
  <c r="N153" i="23"/>
  <c r="I153" i="23"/>
  <c r="AB153" i="23"/>
  <c r="AA153" i="23"/>
  <c r="K153" i="24"/>
  <c r="G154" i="23"/>
  <c r="H154" i="23" s="1"/>
  <c r="BF153" i="24"/>
  <c r="AJ154" i="23"/>
  <c r="AK154" i="23" s="1"/>
  <c r="AK153" i="24"/>
  <c r="X153" i="23"/>
  <c r="Y153" i="23" s="1"/>
  <c r="X152" i="23"/>
  <c r="Y152" i="23" s="1"/>
  <c r="AK152" i="24"/>
  <c r="L160" i="24"/>
  <c r="AC160" i="24" s="1"/>
  <c r="AX160" i="24"/>
  <c r="AB160" i="24"/>
  <c r="M159" i="24"/>
  <c r="BT160" i="24"/>
  <c r="BS160" i="24"/>
  <c r="BJ153" i="24" l="1"/>
  <c r="BG153" i="24"/>
  <c r="AO153" i="24"/>
  <c r="AO152" i="24"/>
  <c r="BH153" i="24"/>
  <c r="AM153" i="24"/>
  <c r="AM152" i="24"/>
  <c r="J153" i="23"/>
  <c r="O153" i="23"/>
  <c r="N154" i="23"/>
  <c r="P154" i="23"/>
  <c r="AB154" i="23"/>
  <c r="AA154" i="23"/>
  <c r="I154" i="23"/>
  <c r="AN154" i="23"/>
  <c r="AM154" i="23"/>
  <c r="K154" i="24"/>
  <c r="G155" i="23"/>
  <c r="H155" i="23" s="1"/>
  <c r="BF154" i="24"/>
  <c r="AJ155" i="23"/>
  <c r="AK155" i="23" s="1"/>
  <c r="BF155" i="24"/>
  <c r="AK155" i="24"/>
  <c r="X155" i="23"/>
  <c r="Y155" i="23" s="1"/>
  <c r="X154" i="23"/>
  <c r="Y154" i="23" s="1"/>
  <c r="AK154" i="24"/>
  <c r="L161" i="24"/>
  <c r="AC161" i="24" s="1"/>
  <c r="AX161" i="24"/>
  <c r="AB161" i="24"/>
  <c r="BT161" i="24"/>
  <c r="BS161" i="24"/>
  <c r="M160" i="24"/>
  <c r="BJ154" i="24" l="1"/>
  <c r="BG154" i="24"/>
  <c r="BJ155" i="24"/>
  <c r="BG155" i="24"/>
  <c r="AO155" i="24"/>
  <c r="AO154" i="24"/>
  <c r="BH155" i="24"/>
  <c r="BH154" i="24"/>
  <c r="AM154" i="24"/>
  <c r="AM155" i="24"/>
  <c r="AM155" i="23"/>
  <c r="AN155" i="23"/>
  <c r="O154" i="23"/>
  <c r="J154" i="23"/>
  <c r="I155" i="23"/>
  <c r="AA155" i="23"/>
  <c r="AB155" i="23"/>
  <c r="P155" i="23"/>
  <c r="N155" i="23"/>
  <c r="K155" i="24"/>
  <c r="G156" i="23"/>
  <c r="H156" i="23" s="1"/>
  <c r="AJ156" i="23"/>
  <c r="AK156" i="23" s="1"/>
  <c r="BF156" i="24"/>
  <c r="X157" i="23"/>
  <c r="Y157" i="23" s="1"/>
  <c r="X156" i="23"/>
  <c r="Y156" i="23" s="1"/>
  <c r="AK156" i="24"/>
  <c r="AB162" i="24"/>
  <c r="AX162" i="24"/>
  <c r="L162" i="24"/>
  <c r="AC162" i="24" s="1"/>
  <c r="BT162" i="24"/>
  <c r="BS162" i="24"/>
  <c r="M161" i="24"/>
  <c r="BJ156" i="24" l="1"/>
  <c r="BG156" i="24"/>
  <c r="AO156" i="24"/>
  <c r="BH156" i="24"/>
  <c r="AM156" i="24"/>
  <c r="P156" i="23"/>
  <c r="N156" i="23"/>
  <c r="AN156" i="23"/>
  <c r="AM156" i="23"/>
  <c r="J155" i="23"/>
  <c r="O155" i="23"/>
  <c r="AB156" i="23"/>
  <c r="AA156" i="23"/>
  <c r="I156" i="23"/>
  <c r="K156" i="24"/>
  <c r="G157" i="23"/>
  <c r="H157" i="23" s="1"/>
  <c r="AJ157" i="23"/>
  <c r="AK157" i="23" s="1"/>
  <c r="BF157" i="24"/>
  <c r="AK157" i="24"/>
  <c r="X158" i="23"/>
  <c r="Y158" i="23" s="1"/>
  <c r="AK158" i="24"/>
  <c r="AX163" i="24"/>
  <c r="L163" i="24"/>
  <c r="AC163" i="24" s="1"/>
  <c r="BT163" i="24"/>
  <c r="BS163" i="24"/>
  <c r="AB163" i="24"/>
  <c r="M162" i="24"/>
  <c r="BJ157" i="24" l="1"/>
  <c r="BG157" i="24"/>
  <c r="AO158" i="24"/>
  <c r="AO157" i="24"/>
  <c r="BH157" i="24"/>
  <c r="AM158" i="24"/>
  <c r="AM157" i="24"/>
  <c r="AB157" i="23"/>
  <c r="I157" i="23"/>
  <c r="AA157" i="23"/>
  <c r="AN157" i="23"/>
  <c r="AM157" i="23"/>
  <c r="P157" i="23"/>
  <c r="N157" i="23"/>
  <c r="O156" i="23"/>
  <c r="J156" i="23"/>
  <c r="K157" i="24"/>
  <c r="G158" i="23"/>
  <c r="H158" i="23" s="1"/>
  <c r="AJ158" i="23"/>
  <c r="AK158" i="23" s="1"/>
  <c r="L164" i="24"/>
  <c r="AC164" i="24" s="1"/>
  <c r="AX164" i="24"/>
  <c r="M163" i="24"/>
  <c r="BT164" i="24"/>
  <c r="BS164" i="24"/>
  <c r="AB164" i="24"/>
  <c r="O157" i="23" l="1"/>
  <c r="J157" i="23"/>
  <c r="AN158" i="23"/>
  <c r="AM158" i="23"/>
  <c r="I158" i="23"/>
  <c r="AB158" i="23"/>
  <c r="AA158" i="23"/>
  <c r="P158" i="23"/>
  <c r="N158" i="23"/>
  <c r="K158" i="24"/>
  <c r="G159" i="23"/>
  <c r="H159" i="23" s="1"/>
  <c r="AK159" i="24"/>
  <c r="X159" i="23"/>
  <c r="Y159" i="23" s="1"/>
  <c r="BF158" i="24"/>
  <c r="AJ159" i="23"/>
  <c r="AK159" i="23" s="1"/>
  <c r="L165" i="24"/>
  <c r="AC165" i="24" s="1"/>
  <c r="AX165" i="24"/>
  <c r="BT165" i="24"/>
  <c r="BS165" i="24"/>
  <c r="AB165" i="24"/>
  <c r="M164" i="24"/>
  <c r="BJ158" i="24" l="1"/>
  <c r="BG158" i="24"/>
  <c r="AO159" i="24"/>
  <c r="BH158" i="24"/>
  <c r="AM159" i="24"/>
  <c r="P159" i="23"/>
  <c r="N159" i="23"/>
  <c r="J158" i="23"/>
  <c r="O158" i="23"/>
  <c r="AB159" i="23"/>
  <c r="AA159" i="23"/>
  <c r="I159" i="23"/>
  <c r="AN159" i="23"/>
  <c r="AM159" i="23"/>
  <c r="K159" i="24"/>
  <c r="G160" i="23"/>
  <c r="H160" i="23" s="1"/>
  <c r="X160" i="23"/>
  <c r="Y160" i="23" s="1"/>
  <c r="AK160" i="24"/>
  <c r="BF159" i="24"/>
  <c r="AJ160" i="23"/>
  <c r="AK160" i="23" s="1"/>
  <c r="BF160" i="24"/>
  <c r="BT166" i="24"/>
  <c r="BS166" i="24"/>
  <c r="AB166" i="24"/>
  <c r="L166" i="24"/>
  <c r="AC166" i="24" s="1"/>
  <c r="AX166" i="24"/>
  <c r="M165" i="24"/>
  <c r="BJ160" i="24" l="1"/>
  <c r="BG160" i="24"/>
  <c r="BJ159" i="24"/>
  <c r="BG159" i="24"/>
  <c r="AO160" i="24"/>
  <c r="BH159" i="24"/>
  <c r="BH160" i="24"/>
  <c r="AM160" i="24"/>
  <c r="AN160" i="23"/>
  <c r="AM160" i="23"/>
  <c r="J159" i="23"/>
  <c r="O159" i="23"/>
  <c r="AA160" i="23"/>
  <c r="I160" i="23"/>
  <c r="AB160" i="23"/>
  <c r="P160" i="23"/>
  <c r="N160" i="23"/>
  <c r="AJ161" i="23"/>
  <c r="AK161" i="23" s="1"/>
  <c r="K160" i="24"/>
  <c r="G161" i="23"/>
  <c r="H161" i="23" s="1"/>
  <c r="X161" i="23"/>
  <c r="Y161" i="23" s="1"/>
  <c r="AK161" i="24"/>
  <c r="L167" i="24"/>
  <c r="AC167" i="24" s="1"/>
  <c r="AX167" i="24"/>
  <c r="BT167" i="24"/>
  <c r="BS167" i="24"/>
  <c r="M166" i="24"/>
  <c r="AB167" i="24"/>
  <c r="AO161" i="24" l="1"/>
  <c r="AM161" i="24"/>
  <c r="J160" i="23"/>
  <c r="O160" i="23"/>
  <c r="AB161" i="23"/>
  <c r="AA161" i="23"/>
  <c r="I161" i="23"/>
  <c r="AN161" i="23"/>
  <c r="AM161" i="23"/>
  <c r="P161" i="23"/>
  <c r="N161" i="23"/>
  <c r="K161" i="24"/>
  <c r="G162" i="23"/>
  <c r="H162" i="23" s="1"/>
  <c r="AK162" i="24"/>
  <c r="X162" i="23"/>
  <c r="Y162" i="23" s="1"/>
  <c r="BF161" i="24"/>
  <c r="AJ162" i="23"/>
  <c r="AK162" i="23" s="1"/>
  <c r="BT168" i="24"/>
  <c r="BS168" i="24"/>
  <c r="AX168" i="24"/>
  <c r="L168" i="24"/>
  <c r="AC168" i="24" s="1"/>
  <c r="AB168" i="24"/>
  <c r="M167" i="24"/>
  <c r="BJ161" i="24" l="1"/>
  <c r="BG161" i="24"/>
  <c r="AO162" i="24"/>
  <c r="BH161" i="24"/>
  <c r="AM162" i="24"/>
  <c r="P162" i="23"/>
  <c r="N162" i="23"/>
  <c r="J161" i="23"/>
  <c r="O161" i="23"/>
  <c r="AN162" i="23"/>
  <c r="AM162" i="23"/>
  <c r="AA162" i="23"/>
  <c r="I162" i="23"/>
  <c r="AB162" i="23"/>
  <c r="K162" i="24"/>
  <c r="G163" i="23"/>
  <c r="H163" i="23" s="1"/>
  <c r="BF162" i="24"/>
  <c r="BF163" i="24"/>
  <c r="AK163" i="24"/>
  <c r="X163" i="23"/>
  <c r="Y163" i="23" s="1"/>
  <c r="BT169" i="24"/>
  <c r="BS169" i="24"/>
  <c r="AB169" i="24"/>
  <c r="M168" i="24"/>
  <c r="AX169" i="24"/>
  <c r="L169" i="24"/>
  <c r="AC169" i="24" s="1"/>
  <c r="BJ163" i="24" l="1"/>
  <c r="BG163" i="24"/>
  <c r="BJ162" i="24"/>
  <c r="BG162" i="24"/>
  <c r="AO163" i="24"/>
  <c r="BH163" i="24"/>
  <c r="BH162" i="24"/>
  <c r="AM163" i="24"/>
  <c r="O162" i="23"/>
  <c r="J162" i="23"/>
  <c r="P163" i="23"/>
  <c r="N163" i="23"/>
  <c r="AA163" i="23"/>
  <c r="I163" i="23"/>
  <c r="AB163" i="23"/>
  <c r="AN163" i="23"/>
  <c r="AM163" i="23"/>
  <c r="X164" i="23"/>
  <c r="Y164" i="23" s="1"/>
  <c r="AK164" i="24"/>
  <c r="K163" i="24"/>
  <c r="G164" i="23"/>
  <c r="H164" i="23" s="1"/>
  <c r="AJ163" i="23"/>
  <c r="AK163" i="23" s="1"/>
  <c r="BF164" i="24"/>
  <c r="AJ164" i="23"/>
  <c r="AK164" i="23" s="1"/>
  <c r="AB170" i="24"/>
  <c r="BT170" i="24"/>
  <c r="BS170" i="24"/>
  <c r="L170" i="24"/>
  <c r="AC170" i="24" s="1"/>
  <c r="AX170" i="24"/>
  <c r="M169" i="24"/>
  <c r="BJ164" i="24" l="1"/>
  <c r="BG164" i="24"/>
  <c r="AO164" i="24"/>
  <c r="BH164" i="24"/>
  <c r="AM164" i="24"/>
  <c r="N164" i="23"/>
  <c r="P164" i="23"/>
  <c r="J163" i="23"/>
  <c r="O163" i="23"/>
  <c r="AB164" i="23"/>
  <c r="AA164" i="23"/>
  <c r="I164" i="23"/>
  <c r="AN164" i="23"/>
  <c r="AM164" i="23"/>
  <c r="AJ165" i="23"/>
  <c r="AK165" i="23" s="1"/>
  <c r="BF165" i="24"/>
  <c r="K164" i="24"/>
  <c r="G165" i="23"/>
  <c r="H165" i="23" s="1"/>
  <c r="AK165" i="24"/>
  <c r="X165" i="23"/>
  <c r="Y165" i="23" s="1"/>
  <c r="L171" i="24"/>
  <c r="AC171" i="24" s="1"/>
  <c r="AX171" i="24"/>
  <c r="M170" i="24"/>
  <c r="BT171" i="24"/>
  <c r="BS171" i="24"/>
  <c r="AB171" i="24"/>
  <c r="BJ165" i="24" l="1"/>
  <c r="BG165" i="24"/>
  <c r="AO165" i="24"/>
  <c r="BH165" i="24"/>
  <c r="AM165" i="24"/>
  <c r="P165" i="23"/>
  <c r="N165" i="23"/>
  <c r="AN165" i="23"/>
  <c r="AM165" i="23"/>
  <c r="J164" i="23"/>
  <c r="O164" i="23"/>
  <c r="I165" i="23"/>
  <c r="AA165" i="23"/>
  <c r="AB165" i="23"/>
  <c r="K165" i="24"/>
  <c r="G166" i="23"/>
  <c r="H166" i="23" s="1"/>
  <c r="BF166" i="24"/>
  <c r="AJ166" i="23"/>
  <c r="AK166" i="23" s="1"/>
  <c r="AK166" i="24"/>
  <c r="X166" i="23"/>
  <c r="Y166" i="23" s="1"/>
  <c r="L172" i="24"/>
  <c r="AC172" i="24" s="1"/>
  <c r="AX172" i="24"/>
  <c r="AB172" i="24"/>
  <c r="M171" i="24"/>
  <c r="BT172" i="24"/>
  <c r="BS172" i="24"/>
  <c r="BJ166" i="24" l="1"/>
  <c r="BG166" i="24"/>
  <c r="AO166" i="24"/>
  <c r="BH166" i="24"/>
  <c r="AM166" i="24"/>
  <c r="J165" i="23"/>
  <c r="O165" i="23"/>
  <c r="N166" i="23"/>
  <c r="P166" i="23"/>
  <c r="AN166" i="23"/>
  <c r="AM166" i="23"/>
  <c r="I166" i="23"/>
  <c r="AB166" i="23"/>
  <c r="AA166" i="23"/>
  <c r="K166" i="24"/>
  <c r="G167" i="23"/>
  <c r="H167" i="23" s="1"/>
  <c r="AK167" i="24"/>
  <c r="X167" i="23"/>
  <c r="Y167" i="23" s="1"/>
  <c r="BF167" i="24"/>
  <c r="AJ167" i="23"/>
  <c r="AK167" i="23" s="1"/>
  <c r="M172" i="24"/>
  <c r="AB173" i="24"/>
  <c r="BT173" i="24"/>
  <c r="BS173" i="24"/>
  <c r="L173" i="24"/>
  <c r="AC173" i="24" s="1"/>
  <c r="AX173" i="24"/>
  <c r="BJ167" i="24" l="1"/>
  <c r="BG167" i="24"/>
  <c r="AO167" i="24"/>
  <c r="BH167" i="24"/>
  <c r="AM167" i="24"/>
  <c r="AB167" i="23"/>
  <c r="I167" i="23"/>
  <c r="AA167" i="23"/>
  <c r="P167" i="23"/>
  <c r="N167" i="23"/>
  <c r="J166" i="23"/>
  <c r="O166" i="23"/>
  <c r="AN167" i="23"/>
  <c r="AM167" i="23"/>
  <c r="AK168" i="24"/>
  <c r="X168" i="23"/>
  <c r="Y168" i="23" s="1"/>
  <c r="K167" i="24"/>
  <c r="G168" i="23"/>
  <c r="H168" i="23" s="1"/>
  <c r="AJ168" i="23"/>
  <c r="AK168" i="23" s="1"/>
  <c r="BT174" i="24"/>
  <c r="BS174" i="24"/>
  <c r="L174" i="24"/>
  <c r="AC174" i="24" s="1"/>
  <c r="AX174" i="24"/>
  <c r="M173" i="24"/>
  <c r="AB174" i="24"/>
  <c r="AO168" i="24" l="1"/>
  <c r="AM168" i="24"/>
  <c r="AN168" i="23"/>
  <c r="AM168" i="23"/>
  <c r="I168" i="23"/>
  <c r="AB168" i="23"/>
  <c r="AA168" i="23"/>
  <c r="P168" i="23"/>
  <c r="N168" i="23"/>
  <c r="J167" i="23"/>
  <c r="O167" i="23"/>
  <c r="AK169" i="24"/>
  <c r="X169" i="23"/>
  <c r="Y169" i="23" s="1"/>
  <c r="BF168" i="24"/>
  <c r="BF169" i="24"/>
  <c r="AJ169" i="23"/>
  <c r="AK169" i="23" s="1"/>
  <c r="K168" i="24"/>
  <c r="G169" i="23"/>
  <c r="H169" i="23" s="1"/>
  <c r="AX175" i="24"/>
  <c r="L175" i="24"/>
  <c r="AC175" i="24" s="1"/>
  <c r="M174" i="24"/>
  <c r="BT175" i="24"/>
  <c r="BS175" i="24"/>
  <c r="AB175" i="24"/>
  <c r="BJ169" i="24" l="1"/>
  <c r="BG169" i="24"/>
  <c r="BJ168" i="24"/>
  <c r="BG168" i="24"/>
  <c r="AO169" i="24"/>
  <c r="BH169" i="24"/>
  <c r="BH168" i="24"/>
  <c r="AM169" i="24"/>
  <c r="I169" i="23"/>
  <c r="AA169" i="23"/>
  <c r="AB169" i="23"/>
  <c r="J168" i="23"/>
  <c r="O168" i="23"/>
  <c r="P169" i="23"/>
  <c r="N169" i="23"/>
  <c r="AN169" i="23"/>
  <c r="AM169" i="23"/>
  <c r="X170" i="23"/>
  <c r="Y170" i="23" s="1"/>
  <c r="AK170" i="24"/>
  <c r="K169" i="24"/>
  <c r="G170" i="23"/>
  <c r="H170" i="23" s="1"/>
  <c r="AJ170" i="23"/>
  <c r="AK170" i="23" s="1"/>
  <c r="M175" i="24"/>
  <c r="L176" i="24"/>
  <c r="AC176" i="24" s="1"/>
  <c r="AX176" i="24"/>
  <c r="BT176" i="24"/>
  <c r="BS176" i="24"/>
  <c r="AB176" i="24"/>
  <c r="AO170" i="24" l="1"/>
  <c r="AM170" i="24"/>
  <c r="AB170" i="23"/>
  <c r="AA170" i="23"/>
  <c r="I170" i="23"/>
  <c r="P170" i="23"/>
  <c r="N170" i="23"/>
  <c r="AN170" i="23"/>
  <c r="AM170" i="23"/>
  <c r="J169" i="23"/>
  <c r="O169" i="23"/>
  <c r="K170" i="24"/>
  <c r="G171" i="23"/>
  <c r="H171" i="23" s="1"/>
  <c r="X171" i="23"/>
  <c r="Y171" i="23" s="1"/>
  <c r="AK171" i="24"/>
  <c r="BF170" i="24"/>
  <c r="BF171" i="24"/>
  <c r="L177" i="24"/>
  <c r="AC177" i="24" s="1"/>
  <c r="AX177" i="24"/>
  <c r="AB177" i="24"/>
  <c r="M176" i="24"/>
  <c r="BT177" i="24"/>
  <c r="BS177" i="24"/>
  <c r="BJ170" i="24" l="1"/>
  <c r="BG170" i="24"/>
  <c r="BJ171" i="24"/>
  <c r="BG171" i="24"/>
  <c r="AO171" i="24"/>
  <c r="BH171" i="24"/>
  <c r="BH170" i="24"/>
  <c r="AM171" i="24"/>
  <c r="AN171" i="23"/>
  <c r="AM171" i="23"/>
  <c r="I171" i="23"/>
  <c r="AB171" i="23"/>
  <c r="AA171" i="23"/>
  <c r="J170" i="23"/>
  <c r="O170" i="23"/>
  <c r="P171" i="23"/>
  <c r="N171" i="23"/>
  <c r="X172" i="23"/>
  <c r="Y172" i="23" s="1"/>
  <c r="AK172" i="24"/>
  <c r="AJ171" i="23"/>
  <c r="AK171" i="23" s="1"/>
  <c r="AJ172" i="23"/>
  <c r="AK172" i="23" s="1"/>
  <c r="K171" i="24"/>
  <c r="G172" i="23"/>
  <c r="H172" i="23" s="1"/>
  <c r="M177" i="24"/>
  <c r="L178" i="24"/>
  <c r="AC178" i="24" s="1"/>
  <c r="AX178" i="24"/>
  <c r="AB178" i="24"/>
  <c r="BT178" i="24"/>
  <c r="BS178" i="24"/>
  <c r="AO172" i="24" l="1"/>
  <c r="AM172" i="24"/>
  <c r="AA172" i="23"/>
  <c r="AB172" i="23"/>
  <c r="I172" i="23"/>
  <c r="AN172" i="23"/>
  <c r="AM172" i="23"/>
  <c r="J171" i="23"/>
  <c r="O171" i="23"/>
  <c r="P172" i="23"/>
  <c r="N172" i="23"/>
  <c r="AK173" i="24"/>
  <c r="X173" i="23"/>
  <c r="Y173" i="23" s="1"/>
  <c r="BF172" i="24"/>
  <c r="BF173" i="24"/>
  <c r="AJ173" i="23"/>
  <c r="AK173" i="23" s="1"/>
  <c r="K172" i="24"/>
  <c r="G173" i="23"/>
  <c r="H173" i="23" s="1"/>
  <c r="L179" i="24"/>
  <c r="AC179" i="24" s="1"/>
  <c r="AX179" i="24"/>
  <c r="BT179" i="24"/>
  <c r="BS179" i="24"/>
  <c r="AB179" i="24"/>
  <c r="M178" i="24"/>
  <c r="BJ173" i="24" l="1"/>
  <c r="BG173" i="24"/>
  <c r="BJ172" i="24"/>
  <c r="BG172" i="24"/>
  <c r="AO173" i="24"/>
  <c r="BH173" i="24"/>
  <c r="BH172" i="24"/>
  <c r="AM173" i="24"/>
  <c r="I173" i="23"/>
  <c r="AB173" i="23"/>
  <c r="AA173" i="23"/>
  <c r="J172" i="23"/>
  <c r="O172" i="23"/>
  <c r="AN173" i="23"/>
  <c r="AM173" i="23"/>
  <c r="P173" i="23"/>
  <c r="N173" i="23"/>
  <c r="K173" i="24"/>
  <c r="G174" i="23"/>
  <c r="H174" i="23" s="1"/>
  <c r="X174" i="23"/>
  <c r="Y174" i="23" s="1"/>
  <c r="AK174" i="24"/>
  <c r="AJ174" i="23"/>
  <c r="AK174" i="23" s="1"/>
  <c r="BF174" i="24"/>
  <c r="AB180" i="24"/>
  <c r="BT180" i="24"/>
  <c r="BS180" i="24"/>
  <c r="AX180" i="24"/>
  <c r="L180" i="24"/>
  <c r="AC180" i="24" s="1"/>
  <c r="M179" i="24"/>
  <c r="BJ174" i="24" l="1"/>
  <c r="BG174" i="24"/>
  <c r="AO174" i="24"/>
  <c r="BH174" i="24"/>
  <c r="AM174" i="24"/>
  <c r="AN174" i="23"/>
  <c r="AM174" i="23"/>
  <c r="P174" i="23"/>
  <c r="N174" i="23"/>
  <c r="AB174" i="23"/>
  <c r="I174" i="23"/>
  <c r="AA174" i="23"/>
  <c r="J173" i="23"/>
  <c r="O173" i="23"/>
  <c r="K174" i="24"/>
  <c r="G175" i="23"/>
  <c r="H175" i="23" s="1"/>
  <c r="AJ175" i="23"/>
  <c r="AK175" i="23" s="1"/>
  <c r="BF175" i="24"/>
  <c r="AK175" i="24"/>
  <c r="X175" i="23"/>
  <c r="Y175" i="23" s="1"/>
  <c r="M180" i="24"/>
  <c r="AB181" i="24"/>
  <c r="BT181" i="24"/>
  <c r="BS181" i="24"/>
  <c r="AX181" i="24"/>
  <c r="L181" i="24"/>
  <c r="AC181" i="24" s="1"/>
  <c r="BJ175" i="24" l="1"/>
  <c r="BG175" i="24"/>
  <c r="AO175" i="24"/>
  <c r="BH175" i="24"/>
  <c r="AM175" i="24"/>
  <c r="J174" i="23"/>
  <c r="O174" i="23"/>
  <c r="P175" i="23"/>
  <c r="N175" i="23"/>
  <c r="I175" i="23"/>
  <c r="AB175" i="23"/>
  <c r="AA175" i="23"/>
  <c r="AN175" i="23"/>
  <c r="AM175" i="23"/>
  <c r="X176" i="23"/>
  <c r="Y176" i="23" s="1"/>
  <c r="AK176" i="24"/>
  <c r="K175" i="24"/>
  <c r="G176" i="23"/>
  <c r="H176" i="23" s="1"/>
  <c r="AJ176" i="23"/>
  <c r="AK176" i="23" s="1"/>
  <c r="AB182" i="24"/>
  <c r="L182" i="24"/>
  <c r="AC182" i="24" s="1"/>
  <c r="AX182" i="24"/>
  <c r="BT182" i="24"/>
  <c r="BS182" i="24"/>
  <c r="M181" i="24"/>
  <c r="AO176" i="24" l="1"/>
  <c r="AM176" i="24"/>
  <c r="P176" i="23"/>
  <c r="N176" i="23"/>
  <c r="J175" i="23"/>
  <c r="O175" i="23"/>
  <c r="AA176" i="23"/>
  <c r="I176" i="23"/>
  <c r="AB176" i="23"/>
  <c r="AN176" i="23"/>
  <c r="AM176" i="23"/>
  <c r="K176" i="24"/>
  <c r="G177" i="23"/>
  <c r="H177" i="23" s="1"/>
  <c r="BF176" i="24"/>
  <c r="BF177" i="24"/>
  <c r="AJ177" i="23"/>
  <c r="AK177" i="23" s="1"/>
  <c r="AK177" i="24"/>
  <c r="X177" i="23"/>
  <c r="Y177" i="23" s="1"/>
  <c r="M182" i="24"/>
  <c r="BY43" i="24"/>
  <c r="BY30" i="24"/>
  <c r="BY56" i="24"/>
  <c r="L183" i="24"/>
  <c r="AC183" i="24" s="1"/>
  <c r="AX183" i="24"/>
  <c r="AB183" i="24"/>
  <c r="BT183" i="24"/>
  <c r="BS183" i="24"/>
  <c r="BJ177" i="24" l="1"/>
  <c r="BG177" i="24"/>
  <c r="BJ176" i="24"/>
  <c r="BG176" i="24"/>
  <c r="AO177" i="24"/>
  <c r="BH177" i="24"/>
  <c r="BH176" i="24"/>
  <c r="AM177" i="24"/>
  <c r="AN177" i="23"/>
  <c r="AM177" i="23"/>
  <c r="AB177" i="23"/>
  <c r="I177" i="23"/>
  <c r="AA177" i="23"/>
  <c r="J176" i="23"/>
  <c r="O176" i="23"/>
  <c r="P177" i="23"/>
  <c r="N177" i="23"/>
  <c r="K177" i="24"/>
  <c r="G178" i="23"/>
  <c r="H178" i="23" s="1"/>
  <c r="H6" i="23" s="1" a="1"/>
  <c r="H6" i="23" s="1"/>
  <c r="AJ178" i="23"/>
  <c r="AK178" i="23" s="1"/>
  <c r="X178" i="23"/>
  <c r="Y178" i="23" s="1"/>
  <c r="AK178" i="24"/>
  <c r="BT184" i="24"/>
  <c r="BS184" i="24"/>
  <c r="M183" i="24"/>
  <c r="L184" i="24"/>
  <c r="AC184" i="24" s="1"/>
  <c r="AX184" i="24"/>
  <c r="AB184" i="24"/>
  <c r="AO178" i="24" l="1"/>
  <c r="AM178" i="24"/>
  <c r="P178" i="23"/>
  <c r="N178" i="23"/>
  <c r="AN178" i="23"/>
  <c r="AM178" i="23"/>
  <c r="J177" i="23"/>
  <c r="O177" i="23"/>
  <c r="AA178" i="23"/>
  <c r="AB178" i="23"/>
  <c r="I178" i="23"/>
  <c r="BF178" i="24"/>
  <c r="BG178" i="24" s="1"/>
  <c r="AJ179" i="23"/>
  <c r="AK179" i="23" s="1"/>
  <c r="BF179" i="24"/>
  <c r="AK179" i="24"/>
  <c r="X179" i="23"/>
  <c r="Y179" i="23" s="1"/>
  <c r="G179" i="23"/>
  <c r="H179" i="23" s="1"/>
  <c r="M184" i="24"/>
  <c r="BY17" i="24"/>
  <c r="BY25" i="24" a="1"/>
  <c r="BY25" i="24" s="1"/>
  <c r="BY26" i="24" a="1"/>
  <c r="BY26" i="24" s="1"/>
  <c r="CL18" i="24" s="1"/>
  <c r="BY38" i="24" a="1"/>
  <c r="BY38" i="24" s="1"/>
  <c r="BY39" i="24" a="1"/>
  <c r="BY39" i="24" s="1"/>
  <c r="CL28" i="24" s="1"/>
  <c r="BJ179" i="24" l="1"/>
  <c r="BG179" i="24"/>
  <c r="BJ178" i="24"/>
  <c r="AO179" i="24"/>
  <c r="BH179" i="24"/>
  <c r="AM179" i="24"/>
  <c r="P179" i="23"/>
  <c r="N179" i="23"/>
  <c r="AA179" i="23"/>
  <c r="I179" i="23"/>
  <c r="AB179" i="23"/>
  <c r="AN179" i="23"/>
  <c r="AM179" i="23"/>
  <c r="J178" i="23"/>
  <c r="O178" i="23"/>
  <c r="K178" i="24"/>
  <c r="BH178" i="24"/>
  <c r="BF180" i="24"/>
  <c r="AJ180" i="23"/>
  <c r="AK180" i="23" s="1"/>
  <c r="K179" i="24"/>
  <c r="G180" i="23"/>
  <c r="H180" i="23" s="1"/>
  <c r="AK180" i="24"/>
  <c r="X180" i="23"/>
  <c r="Y180" i="23" s="1"/>
  <c r="BY14" i="24" a="1"/>
  <c r="BY14" i="24" s="1"/>
  <c r="BY13" i="24" a="1"/>
  <c r="BY13" i="24" s="1"/>
  <c r="BJ180" i="24" l="1"/>
  <c r="BG180" i="24"/>
  <c r="AO180" i="24"/>
  <c r="BH180" i="24"/>
  <c r="AM180" i="24"/>
  <c r="AN180" i="23"/>
  <c r="AM180" i="23"/>
  <c r="J179" i="23"/>
  <c r="O179" i="23"/>
  <c r="I180" i="23"/>
  <c r="AA180" i="23"/>
  <c r="AB180" i="23"/>
  <c r="N180" i="23"/>
  <c r="P180" i="23"/>
  <c r="AJ181" i="23"/>
  <c r="AK181" i="23" s="1"/>
  <c r="BF181" i="24"/>
  <c r="Y180" i="22"/>
  <c r="K180" i="24"/>
  <c r="J180" i="22"/>
  <c r="K180" i="22"/>
  <c r="G181" i="23"/>
  <c r="H181" i="23" s="1"/>
  <c r="F180" i="22"/>
  <c r="AK181" i="24"/>
  <c r="X181" i="23"/>
  <c r="Y181" i="23" s="1"/>
  <c r="Q180" i="22"/>
  <c r="R180" i="22"/>
  <c r="BJ181" i="24" l="1"/>
  <c r="BG181" i="24"/>
  <c r="AO181" i="24"/>
  <c r="BH181" i="24"/>
  <c r="AM181" i="24"/>
  <c r="AN181" i="23"/>
  <c r="AM181" i="23"/>
  <c r="AB181" i="23"/>
  <c r="AA181" i="23"/>
  <c r="I181" i="23"/>
  <c r="J180" i="23"/>
  <c r="O180" i="23"/>
  <c r="N181" i="23"/>
  <c r="P181" i="23"/>
  <c r="R181" i="22"/>
  <c r="F181" i="22"/>
  <c r="Q181" i="22"/>
  <c r="X182" i="23"/>
  <c r="Y182" i="23" s="1"/>
  <c r="AK182" i="24"/>
  <c r="AJ182" i="23"/>
  <c r="AK182" i="23" s="1"/>
  <c r="Y181" i="22"/>
  <c r="K181" i="24"/>
  <c r="J181" i="22"/>
  <c r="G182" i="23"/>
  <c r="H182" i="23" s="1"/>
  <c r="K181" i="22"/>
  <c r="H180" i="22"/>
  <c r="G180" i="22"/>
  <c r="AO182" i="24" l="1"/>
  <c r="AM182" i="24"/>
  <c r="J181" i="23"/>
  <c r="O181" i="23"/>
  <c r="N182" i="23"/>
  <c r="P182" i="23"/>
  <c r="AB182" i="23"/>
  <c r="AA182" i="23"/>
  <c r="I182" i="23"/>
  <c r="AN182" i="23"/>
  <c r="AM182" i="23"/>
  <c r="BF182" i="24"/>
  <c r="AJ183" i="23"/>
  <c r="AK183" i="23" s="1"/>
  <c r="Y182" i="22"/>
  <c r="R182" i="22"/>
  <c r="F182" i="22"/>
  <c r="X183" i="23"/>
  <c r="Y183" i="23" s="1"/>
  <c r="AK183" i="24"/>
  <c r="Q182" i="22"/>
  <c r="K182" i="24"/>
  <c r="J182" i="22"/>
  <c r="K182" i="22"/>
  <c r="H183" i="23"/>
  <c r="G181" i="22"/>
  <c r="H181" i="22"/>
  <c r="BJ182" i="24" l="1"/>
  <c r="BG182" i="24"/>
  <c r="AO183" i="24"/>
  <c r="BH182" i="24"/>
  <c r="AM183" i="24"/>
  <c r="J182" i="23"/>
  <c r="O182" i="23"/>
  <c r="AN183" i="23"/>
  <c r="AM183" i="23"/>
  <c r="P183" i="23"/>
  <c r="N183" i="23"/>
  <c r="I183" i="23"/>
  <c r="AB183" i="23"/>
  <c r="AA183" i="23"/>
  <c r="H182" i="22"/>
  <c r="G182" i="22"/>
  <c r="Q183" i="22"/>
  <c r="R183" i="22"/>
  <c r="F183" i="22"/>
  <c r="AK184" i="24"/>
  <c r="X184" i="23"/>
  <c r="Y184" i="23" s="1"/>
  <c r="K183" i="24"/>
  <c r="J183" i="22"/>
  <c r="K183" i="22"/>
  <c r="H184" i="23"/>
  <c r="BF183" i="24"/>
  <c r="AJ184" i="23"/>
  <c r="AK184" i="23" s="1"/>
  <c r="Y183" i="22"/>
  <c r="BJ183" i="24" l="1"/>
  <c r="BG183" i="24"/>
  <c r="AO184" i="24"/>
  <c r="BH183" i="24"/>
  <c r="AM184" i="24"/>
  <c r="P184" i="23"/>
  <c r="N184" i="23"/>
  <c r="AB184" i="23"/>
  <c r="AA184" i="23"/>
  <c r="I184" i="23"/>
  <c r="AS17" i="23" s="1"/>
  <c r="J183" i="23"/>
  <c r="O183" i="23"/>
  <c r="AN184" i="23"/>
  <c r="AM184" i="23"/>
  <c r="H183" i="22"/>
  <c r="G183" i="22"/>
  <c r="K184" i="24"/>
  <c r="J184" i="22"/>
  <c r="K184" i="22"/>
  <c r="AD46" i="22" s="1" a="1"/>
  <c r="AD46" i="22" s="1"/>
  <c r="BF184" i="24"/>
  <c r="Y184" i="22"/>
  <c r="AD35" i="22" s="1" a="1"/>
  <c r="AD35" i="22" s="1"/>
  <c r="R184" i="22"/>
  <c r="AD24" i="22" s="1" a="1"/>
  <c r="AD24" i="22" s="1"/>
  <c r="Q184" i="22"/>
  <c r="F184" i="22"/>
  <c r="BJ184" i="24" l="1"/>
  <c r="BG184" i="24"/>
  <c r="BH184" i="24"/>
  <c r="AS38" i="23" a="1"/>
  <c r="AS38" i="23" s="1"/>
  <c r="AS39" i="23" a="1"/>
  <c r="AS39" i="23" s="1"/>
  <c r="BF28" i="23" s="1"/>
  <c r="AS18" i="23"/>
  <c r="BY18" i="24"/>
  <c r="AS26" i="23" a="1"/>
  <c r="AS26" i="23" s="1"/>
  <c r="BF18" i="23" s="1"/>
  <c r="AS25" i="23" a="1"/>
  <c r="AS25" i="23" s="1"/>
  <c r="AS51" i="23" a="1"/>
  <c r="AS51" i="23" s="1"/>
  <c r="AS52" i="23" a="1"/>
  <c r="AS52" i="23" s="1"/>
  <c r="BF43" i="23" s="1"/>
  <c r="J184" i="23"/>
  <c r="O184" i="23"/>
  <c r="AD36" i="22" a="1"/>
  <c r="AD36" i="22" s="1"/>
  <c r="AR28" i="22" s="1"/>
  <c r="AD38" i="22"/>
  <c r="AD27" i="22"/>
  <c r="AD25" i="22" a="1"/>
  <c r="AD25" i="22" s="1"/>
  <c r="AR18" i="22" s="1"/>
  <c r="AD49" i="22"/>
  <c r="AD47" i="22" a="1"/>
  <c r="AD47" i="22" s="1"/>
  <c r="AR38" i="22" s="1"/>
  <c r="G184" i="22"/>
  <c r="H184" i="22"/>
  <c r="AD13" i="22" s="1" a="1"/>
  <c r="AD13" i="22" s="1"/>
  <c r="T142" i="22" l="1"/>
  <c r="S140" i="22"/>
  <c r="T140" i="22"/>
  <c r="S141" i="22"/>
  <c r="T141" i="22"/>
  <c r="S142" i="22"/>
  <c r="Z139" i="22"/>
  <c r="AA139" i="22"/>
  <c r="S139" i="22"/>
  <c r="T139" i="22"/>
  <c r="S138" i="22"/>
  <c r="T138" i="22"/>
  <c r="AA131" i="22"/>
  <c r="Z132" i="22"/>
  <c r="Z138" i="22"/>
  <c r="AA138" i="22"/>
  <c r="Z136" i="22"/>
  <c r="AA132" i="22"/>
  <c r="Z133" i="22"/>
  <c r="Z128" i="22"/>
  <c r="AA133" i="22"/>
  <c r="Z131" i="22"/>
  <c r="Z134" i="22"/>
  <c r="AA128" i="22"/>
  <c r="AA134" i="22"/>
  <c r="Z137" i="22"/>
  <c r="Z129" i="22"/>
  <c r="Z135" i="22"/>
  <c r="Z130" i="22"/>
  <c r="AA129" i="22"/>
  <c r="AA135" i="22"/>
  <c r="AA130" i="22"/>
  <c r="AA136" i="22"/>
  <c r="Z127" i="22"/>
  <c r="AA137" i="22"/>
  <c r="AA127" i="22"/>
  <c r="S136" i="22"/>
  <c r="S131" i="22"/>
  <c r="T136" i="22"/>
  <c r="T131" i="22"/>
  <c r="S137" i="22"/>
  <c r="S132" i="22"/>
  <c r="T137" i="22"/>
  <c r="T132" i="22"/>
  <c r="S127" i="22"/>
  <c r="S133" i="22"/>
  <c r="S130" i="22"/>
  <c r="T130" i="22"/>
  <c r="T127" i="22"/>
  <c r="T133" i="22"/>
  <c r="S128" i="22"/>
  <c r="S134" i="22"/>
  <c r="T128" i="22"/>
  <c r="T134" i="22"/>
  <c r="S129" i="22"/>
  <c r="S135" i="22"/>
  <c r="T129" i="22"/>
  <c r="T135" i="22"/>
  <c r="T126" i="22"/>
  <c r="S126" i="22"/>
  <c r="Z126" i="22"/>
  <c r="AA126" i="22"/>
  <c r="S124" i="22"/>
  <c r="T124" i="22"/>
  <c r="S125" i="22"/>
  <c r="T125" i="22"/>
  <c r="AA125" i="22"/>
  <c r="Z125" i="22"/>
  <c r="AS14" i="23" a="1"/>
  <c r="AS14" i="23" s="1"/>
  <c r="AS13" i="23" a="1"/>
  <c r="AS13" i="23" s="1"/>
  <c r="BY41" i="24"/>
  <c r="AS41" i="23"/>
  <c r="BY28" i="24"/>
  <c r="AS28" i="23"/>
  <c r="BY54" i="24"/>
  <c r="AS54" i="23"/>
  <c r="T123" i="22"/>
  <c r="S123" i="22"/>
  <c r="Z124" i="22"/>
  <c r="AA124" i="22"/>
  <c r="AA123" i="22"/>
  <c r="Z123" i="22"/>
  <c r="Z47" i="22"/>
  <c r="AA47" i="22"/>
  <c r="Z36" i="22"/>
  <c r="AA36" i="22"/>
  <c r="AA54" i="22"/>
  <c r="AA18" i="22"/>
  <c r="Z31" i="22"/>
  <c r="Z43" i="22"/>
  <c r="Z49" i="22"/>
  <c r="Z61" i="22"/>
  <c r="AA32" i="22"/>
  <c r="Z9" i="22"/>
  <c r="Z15" i="22"/>
  <c r="Z21" i="22"/>
  <c r="Z33" i="22"/>
  <c r="Z45" i="22"/>
  <c r="Z57" i="22"/>
  <c r="AA9" i="22"/>
  <c r="AA15" i="22"/>
  <c r="AA21" i="22"/>
  <c r="AA33" i="22"/>
  <c r="AA39" i="22"/>
  <c r="AA45" i="22"/>
  <c r="AA51" i="22"/>
  <c r="AA57" i="22"/>
  <c r="Z10" i="22"/>
  <c r="Z16" i="22"/>
  <c r="Z22" i="22"/>
  <c r="Z28" i="22"/>
  <c r="Z34" i="22"/>
  <c r="Z40" i="22"/>
  <c r="Z46" i="22"/>
  <c r="Z52" i="22"/>
  <c r="Z58" i="22"/>
  <c r="Z29" i="22"/>
  <c r="Z41" i="22"/>
  <c r="Z59" i="22"/>
  <c r="AA29" i="22"/>
  <c r="AA35" i="22"/>
  <c r="AA41" i="22"/>
  <c r="AA59" i="22"/>
  <c r="Z54" i="22"/>
  <c r="Z48" i="22"/>
  <c r="AA27" i="22"/>
  <c r="AA30" i="22"/>
  <c r="Z51" i="22"/>
  <c r="AA37" i="22"/>
  <c r="AA31" i="22"/>
  <c r="Z27" i="22"/>
  <c r="Z50" i="22"/>
  <c r="Z11" i="22"/>
  <c r="Z53" i="22"/>
  <c r="Z35" i="22"/>
  <c r="AA10" i="22"/>
  <c r="Z17" i="22"/>
  <c r="AA50" i="22"/>
  <c r="AA38" i="22"/>
  <c r="AA25" i="22"/>
  <c r="Z30" i="22"/>
  <c r="Z18" i="22"/>
  <c r="AA60" i="22"/>
  <c r="AA20" i="22"/>
  <c r="AA26" i="22"/>
  <c r="AA19" i="22"/>
  <c r="AA17" i="22"/>
  <c r="AA42" i="22"/>
  <c r="AA58" i="22"/>
  <c r="AA8" i="22"/>
  <c r="AA14" i="22"/>
  <c r="AA13" i="22"/>
  <c r="Z39" i="22"/>
  <c r="Z37" i="22"/>
  <c r="Z23" i="22"/>
  <c r="Z25" i="22"/>
  <c r="AA53" i="22"/>
  <c r="Z19" i="22"/>
  <c r="AA44" i="22"/>
  <c r="Z12" i="22"/>
  <c r="AA12" i="22"/>
  <c r="AA52" i="22"/>
  <c r="Z55" i="22"/>
  <c r="AA46" i="22"/>
  <c r="Z44" i="22"/>
  <c r="Z42" i="22"/>
  <c r="AA40" i="22"/>
  <c r="Z38" i="22"/>
  <c r="AA34" i="22"/>
  <c r="Z26" i="22"/>
  <c r="Z56" i="22"/>
  <c r="AA22" i="22"/>
  <c r="Z32" i="22"/>
  <c r="AA23" i="22"/>
  <c r="AA28" i="22"/>
  <c r="Z20" i="22"/>
  <c r="AA61" i="22"/>
  <c r="Z13" i="22"/>
  <c r="Z60" i="22"/>
  <c r="AA11" i="22"/>
  <c r="AA16" i="22"/>
  <c r="Z14" i="22"/>
  <c r="AA55" i="22"/>
  <c r="AA48" i="22"/>
  <c r="Z24" i="22"/>
  <c r="Z8" i="22"/>
  <c r="AA49" i="22"/>
  <c r="AA43" i="22"/>
  <c r="AA56" i="22"/>
  <c r="AA24" i="22"/>
  <c r="T11" i="22"/>
  <c r="T23" i="22"/>
  <c r="T47" i="22"/>
  <c r="S18" i="22"/>
  <c r="S55" i="22"/>
  <c r="S30" i="22"/>
  <c r="T13" i="22"/>
  <c r="T25" i="22"/>
  <c r="T37" i="22"/>
  <c r="T49" i="22"/>
  <c r="T61" i="22"/>
  <c r="S19" i="22"/>
  <c r="T15" i="22"/>
  <c r="T51" i="22"/>
  <c r="S33" i="22"/>
  <c r="S11" i="22"/>
  <c r="T8" i="22"/>
  <c r="S14" i="22"/>
  <c r="S50" i="22"/>
  <c r="S23" i="22"/>
  <c r="S47" i="22"/>
  <c r="T20" i="22"/>
  <c r="T44" i="22"/>
  <c r="S26" i="22"/>
  <c r="S31" i="22"/>
  <c r="T55" i="22"/>
  <c r="S13" i="22"/>
  <c r="S25" i="22"/>
  <c r="S37" i="22"/>
  <c r="S38" i="22"/>
  <c r="T46" i="22"/>
  <c r="T58" i="22"/>
  <c r="S52" i="22"/>
  <c r="T42" i="22"/>
  <c r="T41" i="22"/>
  <c r="S17" i="22"/>
  <c r="S44" i="22"/>
  <c r="T30" i="22"/>
  <c r="T59" i="22"/>
  <c r="S40" i="22"/>
  <c r="T56" i="22"/>
  <c r="S20" i="22"/>
  <c r="T14" i="22"/>
  <c r="S56" i="22"/>
  <c r="S28" i="22"/>
  <c r="S48" i="22"/>
  <c r="T32" i="22"/>
  <c r="S45" i="22"/>
  <c r="T38" i="22"/>
  <c r="T31" i="22"/>
  <c r="S60" i="22"/>
  <c r="S16" i="22"/>
  <c r="T43" i="22"/>
  <c r="S36" i="22"/>
  <c r="T40" i="22"/>
  <c r="T18" i="22"/>
  <c r="T48" i="22"/>
  <c r="S42" i="22"/>
  <c r="T34" i="22"/>
  <c r="S51" i="22"/>
  <c r="T19" i="22"/>
  <c r="S24" i="22"/>
  <c r="T26" i="22"/>
  <c r="S53" i="22"/>
  <c r="T52" i="22"/>
  <c r="T28" i="22"/>
  <c r="T57" i="22"/>
  <c r="T27" i="22"/>
  <c r="T17" i="22"/>
  <c r="S58" i="22"/>
  <c r="T35" i="22"/>
  <c r="T16" i="22"/>
  <c r="S32" i="22"/>
  <c r="T60" i="22"/>
  <c r="T22" i="22"/>
  <c r="S39" i="22"/>
  <c r="S12" i="22"/>
  <c r="S57" i="22"/>
  <c r="S29" i="22"/>
  <c r="S15" i="22"/>
  <c r="S49" i="22"/>
  <c r="S22" i="22"/>
  <c r="T24" i="22"/>
  <c r="T10" i="22"/>
  <c r="S27" i="22"/>
  <c r="T54" i="22"/>
  <c r="S41" i="22"/>
  <c r="S61" i="22"/>
  <c r="T39" i="22"/>
  <c r="S10" i="22"/>
  <c r="S21" i="22"/>
  <c r="T45" i="22"/>
  <c r="S59" i="22"/>
  <c r="T50" i="22"/>
  <c r="S43" i="22"/>
  <c r="S9" i="22"/>
  <c r="T33" i="22"/>
  <c r="S35" i="22"/>
  <c r="S46" i="22"/>
  <c r="T12" i="22"/>
  <c r="S8" i="22"/>
  <c r="T36" i="22"/>
  <c r="S54" i="22"/>
  <c r="T21" i="22"/>
  <c r="T53" i="22"/>
  <c r="S34" i="22"/>
  <c r="T9" i="22"/>
  <c r="T29" i="22"/>
  <c r="AD16" i="22"/>
  <c r="AD14" i="22" a="1"/>
  <c r="AD14" i="22" s="1"/>
  <c r="S62" i="22"/>
  <c r="S67" i="22"/>
  <c r="T74" i="22"/>
  <c r="S80" i="22"/>
  <c r="T85" i="22"/>
  <c r="S93" i="22"/>
  <c r="T97" i="22"/>
  <c r="S104" i="22"/>
  <c r="S111" i="22"/>
  <c r="S116" i="22"/>
  <c r="S122" i="22"/>
  <c r="T116" i="22"/>
  <c r="T110" i="22"/>
  <c r="T122" i="22"/>
  <c r="T87" i="22"/>
  <c r="T82" i="22"/>
  <c r="T78" i="22"/>
  <c r="S68" i="22"/>
  <c r="S115" i="22"/>
  <c r="T62" i="22"/>
  <c r="T67" i="22"/>
  <c r="S74" i="22"/>
  <c r="T80" i="22"/>
  <c r="S85" i="22"/>
  <c r="S92" i="22"/>
  <c r="T98" i="22"/>
  <c r="T104" i="22"/>
  <c r="T111" i="22"/>
  <c r="S69" i="22"/>
  <c r="T99" i="22"/>
  <c r="T94" i="22"/>
  <c r="T106" i="22"/>
  <c r="T101" i="22"/>
  <c r="T90" i="22"/>
  <c r="S84" i="22"/>
  <c r="T108" i="22"/>
  <c r="T103" i="22"/>
  <c r="S103" i="22"/>
  <c r="S63" i="22"/>
  <c r="T69" i="22"/>
  <c r="S75" i="22"/>
  <c r="S81" i="22"/>
  <c r="S87" i="22"/>
  <c r="T93" i="22"/>
  <c r="S100" i="22"/>
  <c r="T105" i="22"/>
  <c r="S117" i="22"/>
  <c r="T81" i="22"/>
  <c r="T92" i="22"/>
  <c r="S105" i="22"/>
  <c r="T117" i="22"/>
  <c r="S88" i="22"/>
  <c r="T112" i="22"/>
  <c r="T88" i="22"/>
  <c r="T100" i="22"/>
  <c r="S101" i="22"/>
  <c r="T120" i="22"/>
  <c r="S90" i="22"/>
  <c r="T115" i="22"/>
  <c r="S79" i="22"/>
  <c r="T63" i="22"/>
  <c r="T75" i="22"/>
  <c r="S110" i="22"/>
  <c r="T118" i="22"/>
  <c r="T107" i="22"/>
  <c r="T119" i="22"/>
  <c r="S102" i="22"/>
  <c r="T96" i="22"/>
  <c r="S97" i="22"/>
  <c r="S91" i="22"/>
  <c r="S64" i="22"/>
  <c r="S70" i="22"/>
  <c r="T76" i="22"/>
  <c r="S82" i="22"/>
  <c r="S99" i="22"/>
  <c r="S118" i="22"/>
  <c r="S94" i="22"/>
  <c r="S106" i="22"/>
  <c r="T89" i="22"/>
  <c r="S113" i="22"/>
  <c r="T83" i="22"/>
  <c r="T113" i="22"/>
  <c r="S108" i="22"/>
  <c r="T102" i="22"/>
  <c r="T91" i="22"/>
  <c r="T86" i="22"/>
  <c r="T64" i="22"/>
  <c r="T70" i="22"/>
  <c r="S76" i="22"/>
  <c r="S112" i="22"/>
  <c r="S107" i="22"/>
  <c r="S96" i="22"/>
  <c r="T114" i="22"/>
  <c r="S121" i="22"/>
  <c r="S73" i="22"/>
  <c r="S65" i="22"/>
  <c r="T71" i="22"/>
  <c r="T77" i="22"/>
  <c r="T84" i="22"/>
  <c r="S95" i="22"/>
  <c r="S119" i="22"/>
  <c r="S78" i="22"/>
  <c r="T121" i="22"/>
  <c r="S66" i="22"/>
  <c r="T72" i="22"/>
  <c r="S77" i="22"/>
  <c r="T95" i="22"/>
  <c r="S114" i="22"/>
  <c r="S83" i="22"/>
  <c r="T109" i="22"/>
  <c r="S98" i="22"/>
  <c r="T66" i="22"/>
  <c r="S71" i="22"/>
  <c r="S89" i="22"/>
  <c r="S120" i="22"/>
  <c r="S86" i="22"/>
  <c r="S109" i="22"/>
  <c r="T65" i="22"/>
  <c r="S72" i="22"/>
  <c r="T68" i="22"/>
  <c r="T73" i="22"/>
  <c r="T79" i="22"/>
  <c r="Z62" i="22"/>
  <c r="Z68" i="22"/>
  <c r="Z74" i="22"/>
  <c r="Z80" i="22"/>
  <c r="Z86" i="22"/>
  <c r="AA92" i="22"/>
  <c r="AA98" i="22"/>
  <c r="Z104" i="22"/>
  <c r="AA110" i="22"/>
  <c r="AA116" i="22"/>
  <c r="AA122" i="22"/>
  <c r="AA81" i="22"/>
  <c r="AA88" i="22"/>
  <c r="Z117" i="22"/>
  <c r="Z100" i="22"/>
  <c r="AA107" i="22"/>
  <c r="AA96" i="22"/>
  <c r="AA73" i="22"/>
  <c r="AA62" i="22"/>
  <c r="AA68" i="22"/>
  <c r="AA74" i="22"/>
  <c r="AA80" i="22"/>
  <c r="AA86" i="22"/>
  <c r="Z92" i="22"/>
  <c r="Z98" i="22"/>
  <c r="AA104" i="22"/>
  <c r="Z110" i="22"/>
  <c r="Z115" i="22"/>
  <c r="AA121" i="22"/>
  <c r="AA75" i="22"/>
  <c r="Z99" i="22"/>
  <c r="Z105" i="22"/>
  <c r="Z107" i="22"/>
  <c r="AA101" i="22"/>
  <c r="AA90" i="22"/>
  <c r="Z103" i="22"/>
  <c r="AA91" i="22"/>
  <c r="AA103" i="22"/>
  <c r="AA63" i="22"/>
  <c r="Z69" i="22"/>
  <c r="Z75" i="22"/>
  <c r="Z81" i="22"/>
  <c r="Z87" i="22"/>
  <c r="Z93" i="22"/>
  <c r="AA99" i="22"/>
  <c r="Z106" i="22"/>
  <c r="AA111" i="22"/>
  <c r="AA117" i="22"/>
  <c r="AA94" i="22"/>
  <c r="AA106" i="22"/>
  <c r="Z118" i="22"/>
  <c r="Z101" i="22"/>
  <c r="AA112" i="22"/>
  <c r="Z114" i="22"/>
  <c r="AA83" i="22"/>
  <c r="AA114" i="22"/>
  <c r="AA115" i="22"/>
  <c r="Z85" i="22"/>
  <c r="Z63" i="22"/>
  <c r="AA69" i="22"/>
  <c r="AA87" i="22"/>
  <c r="Z112" i="22"/>
  <c r="AA118" i="22"/>
  <c r="Z94" i="22"/>
  <c r="Z111" i="22"/>
  <c r="Z113" i="22"/>
  <c r="AA113" i="22"/>
  <c r="AA97" i="22"/>
  <c r="AA109" i="22"/>
  <c r="Z116" i="22"/>
  <c r="AA64" i="22"/>
  <c r="Z70" i="22"/>
  <c r="Z76" i="22"/>
  <c r="AA82" i="22"/>
  <c r="Z88" i="22"/>
  <c r="AA93" i="22"/>
  <c r="AA105" i="22"/>
  <c r="Z119" i="22"/>
  <c r="AA85" i="22"/>
  <c r="Z109" i="22"/>
  <c r="Z64" i="22"/>
  <c r="AA70" i="22"/>
  <c r="Z77" i="22"/>
  <c r="Z82" i="22"/>
  <c r="AA100" i="22"/>
  <c r="Z120" i="22"/>
  <c r="AA119" i="22"/>
  <c r="Z89" i="22"/>
  <c r="Z121" i="22"/>
  <c r="Z97" i="22"/>
  <c r="Z65" i="22"/>
  <c r="AA71" i="22"/>
  <c r="AA77" i="22"/>
  <c r="Z83" i="22"/>
  <c r="Z90" i="22"/>
  <c r="Z95" i="22"/>
  <c r="Z79" i="22"/>
  <c r="AA65" i="22"/>
  <c r="AA72" i="22"/>
  <c r="AA76" i="22"/>
  <c r="AA84" i="22"/>
  <c r="AA89" i="22"/>
  <c r="AA95" i="22"/>
  <c r="Z102" i="22"/>
  <c r="Z84" i="22"/>
  <c r="Z66" i="22"/>
  <c r="Z71" i="22"/>
  <c r="Z78" i="22"/>
  <c r="Z108" i="22"/>
  <c r="AA108" i="22"/>
  <c r="Z96" i="22"/>
  <c r="Z91" i="22"/>
  <c r="AA66" i="22"/>
  <c r="Z72" i="22"/>
  <c r="AA79" i="22"/>
  <c r="AA120" i="22"/>
  <c r="Z67" i="22"/>
  <c r="AA67" i="22"/>
  <c r="Z73" i="22"/>
  <c r="AA78" i="22"/>
  <c r="AA102" i="22"/>
  <c r="Z122" i="22"/>
  <c r="AP139" i="23" l="1"/>
  <c r="AO140" i="23"/>
  <c r="AP140" i="23"/>
  <c r="AO141" i="23"/>
  <c r="AP141" i="23"/>
  <c r="AO142" i="23"/>
  <c r="AP142" i="23"/>
  <c r="AO139" i="23"/>
  <c r="AF142" i="23"/>
  <c r="AF140" i="23"/>
  <c r="AE141" i="23"/>
  <c r="AE140" i="23"/>
  <c r="AF141" i="23"/>
  <c r="AE142" i="23"/>
  <c r="R142" i="23"/>
  <c r="Q141" i="23"/>
  <c r="R141" i="23"/>
  <c r="Q142" i="23"/>
  <c r="L140" i="22"/>
  <c r="M140" i="22"/>
  <c r="AE139" i="23"/>
  <c r="AF139" i="23"/>
  <c r="BU131" i="24"/>
  <c r="BU141" i="24"/>
  <c r="BV138" i="24"/>
  <c r="BV131" i="24"/>
  <c r="BV141" i="24"/>
  <c r="BU129" i="24"/>
  <c r="BU136" i="24"/>
  <c r="BU134" i="24"/>
  <c r="BV129" i="24"/>
  <c r="BV136" i="24"/>
  <c r="BV134" i="24"/>
  <c r="BU130" i="24"/>
  <c r="BU135" i="24"/>
  <c r="BV130" i="24"/>
  <c r="BV135" i="24"/>
  <c r="BU127" i="24"/>
  <c r="BU137" i="24"/>
  <c r="BU140" i="24"/>
  <c r="BV127" i="24"/>
  <c r="BV137" i="24"/>
  <c r="BV140" i="24"/>
  <c r="BU132" i="24"/>
  <c r="BU128" i="24"/>
  <c r="BV132" i="24"/>
  <c r="BV128" i="24"/>
  <c r="BU133" i="24"/>
  <c r="BU138" i="24"/>
  <c r="BU139" i="24"/>
  <c r="BV133" i="24"/>
  <c r="BV139" i="24"/>
  <c r="Q138" i="23"/>
  <c r="R138" i="23"/>
  <c r="R140" i="23"/>
  <c r="R139" i="23"/>
  <c r="Q140" i="23"/>
  <c r="Q139" i="23"/>
  <c r="L139" i="22"/>
  <c r="M139" i="22"/>
  <c r="AP138" i="23"/>
  <c r="AO138" i="23"/>
  <c r="AE138" i="23"/>
  <c r="AF138" i="23"/>
  <c r="L138" i="22"/>
  <c r="M138" i="22"/>
  <c r="AE137" i="23"/>
  <c r="AF137" i="23"/>
  <c r="AF136" i="23"/>
  <c r="AE136" i="23"/>
  <c r="Q135" i="23"/>
  <c r="R135" i="23"/>
  <c r="R132" i="23"/>
  <c r="Q132" i="23"/>
  <c r="Q136" i="23"/>
  <c r="Q133" i="23"/>
  <c r="R136" i="23"/>
  <c r="R133" i="23"/>
  <c r="Q137" i="23"/>
  <c r="Q134" i="23"/>
  <c r="R137" i="23"/>
  <c r="R134" i="23"/>
  <c r="AO137" i="23"/>
  <c r="AP137" i="23"/>
  <c r="L127" i="22"/>
  <c r="M127" i="22"/>
  <c r="M128" i="22"/>
  <c r="L128" i="22"/>
  <c r="L129" i="22"/>
  <c r="M129" i="22"/>
  <c r="M130" i="22"/>
  <c r="L130" i="22"/>
  <c r="L131" i="22"/>
  <c r="M131" i="22"/>
  <c r="M132" i="22"/>
  <c r="L132" i="22"/>
  <c r="L133" i="22"/>
  <c r="M133" i="22"/>
  <c r="M134" i="22"/>
  <c r="L134" i="22"/>
  <c r="L135" i="22"/>
  <c r="M135" i="22"/>
  <c r="L136" i="22"/>
  <c r="M136" i="22"/>
  <c r="L137" i="22"/>
  <c r="M137" i="22"/>
  <c r="Q128" i="23"/>
  <c r="R127" i="23"/>
  <c r="R128" i="23"/>
  <c r="R129" i="23"/>
  <c r="Q129" i="23"/>
  <c r="R131" i="23"/>
  <c r="R130" i="23"/>
  <c r="Q130" i="23"/>
  <c r="Q127" i="23"/>
  <c r="Q131" i="23"/>
  <c r="AO127" i="23"/>
  <c r="AO131" i="23"/>
  <c r="AO135" i="23"/>
  <c r="AP127" i="23"/>
  <c r="AP131" i="23"/>
  <c r="AP135" i="23"/>
  <c r="AO128" i="23"/>
  <c r="AO132" i="23"/>
  <c r="AO136" i="23"/>
  <c r="AP128" i="23"/>
  <c r="AP132" i="23"/>
  <c r="AP136" i="23"/>
  <c r="AO133" i="23"/>
  <c r="AO129" i="23"/>
  <c r="AP129" i="23"/>
  <c r="AP133" i="23"/>
  <c r="AO130" i="23"/>
  <c r="AO134" i="23"/>
  <c r="AP130" i="23"/>
  <c r="AP134" i="23"/>
  <c r="AE128" i="23"/>
  <c r="AF61" i="23"/>
  <c r="AF73" i="23"/>
  <c r="AE133" i="23"/>
  <c r="AE135" i="23"/>
  <c r="AF128" i="23"/>
  <c r="AE131" i="23"/>
  <c r="AF62" i="23"/>
  <c r="AF133" i="23"/>
  <c r="AF135" i="23"/>
  <c r="AF131" i="23"/>
  <c r="AF63" i="23"/>
  <c r="AF64" i="23"/>
  <c r="AF65" i="23"/>
  <c r="AE129" i="23"/>
  <c r="AE132" i="23"/>
  <c r="AF66" i="23"/>
  <c r="AE126" i="23"/>
  <c r="AF129" i="23"/>
  <c r="AF132" i="23"/>
  <c r="AF67" i="23"/>
  <c r="AE134" i="23"/>
  <c r="AF126" i="23"/>
  <c r="AF68" i="23"/>
  <c r="AF134" i="23"/>
  <c r="AE130" i="23"/>
  <c r="AF57" i="23"/>
  <c r="AF69" i="23"/>
  <c r="AE127" i="23"/>
  <c r="AF130" i="23"/>
  <c r="AF58" i="23"/>
  <c r="AF70" i="23"/>
  <c r="AF72" i="23"/>
  <c r="AF127" i="23"/>
  <c r="AF59" i="23"/>
  <c r="AF71" i="23"/>
  <c r="AF60" i="23"/>
  <c r="AE125" i="23"/>
  <c r="AF125" i="23"/>
  <c r="AO125" i="23"/>
  <c r="AP125" i="23"/>
  <c r="AO126" i="23"/>
  <c r="AP126" i="23"/>
  <c r="BV126" i="24"/>
  <c r="BV125" i="24"/>
  <c r="BU126" i="24"/>
  <c r="BU125" i="24"/>
  <c r="M126" i="22"/>
  <c r="M125" i="22"/>
  <c r="L126" i="22"/>
  <c r="L125" i="22"/>
  <c r="R125" i="23"/>
  <c r="Q126" i="23"/>
  <c r="Q125" i="23"/>
  <c r="R126" i="23"/>
  <c r="M122" i="22"/>
  <c r="L122" i="22"/>
  <c r="L123" i="22"/>
  <c r="M123" i="22"/>
  <c r="L124" i="22"/>
  <c r="M124" i="22"/>
  <c r="AF160" i="24"/>
  <c r="AE123" i="24"/>
  <c r="AF134" i="24"/>
  <c r="AF180" i="24"/>
  <c r="AF119" i="24"/>
  <c r="AF176" i="24"/>
  <c r="AF39" i="24"/>
  <c r="AE23" i="24"/>
  <c r="AE56" i="24"/>
  <c r="AF183" i="24"/>
  <c r="AE173" i="24"/>
  <c r="AE122" i="24"/>
  <c r="AE145" i="24"/>
  <c r="AE168" i="24"/>
  <c r="AE179" i="24"/>
  <c r="AE178" i="24"/>
  <c r="AF165" i="24"/>
  <c r="AE164" i="24"/>
  <c r="AE151" i="24"/>
  <c r="AE150" i="24"/>
  <c r="AE41" i="24"/>
  <c r="AF42" i="24"/>
  <c r="AF16" i="24"/>
  <c r="AE39" i="24"/>
  <c r="AF54" i="24"/>
  <c r="AE25" i="24"/>
  <c r="AF24" i="24"/>
  <c r="AF23" i="24"/>
  <c r="AE33" i="24"/>
  <c r="AF56" i="24"/>
  <c r="AE49" i="24"/>
  <c r="AE31" i="24"/>
  <c r="AE183" i="24"/>
  <c r="AF173" i="24"/>
  <c r="AF122" i="24"/>
  <c r="AF145" i="24"/>
  <c r="AF168" i="24"/>
  <c r="AF179" i="24"/>
  <c r="AF178" i="24"/>
  <c r="AE165" i="24"/>
  <c r="AF164" i="24"/>
  <c r="AF151" i="24"/>
  <c r="AF150" i="24"/>
  <c r="AF41" i="24"/>
  <c r="AF25" i="24"/>
  <c r="AE46" i="24"/>
  <c r="AF21" i="24"/>
  <c r="AE44" i="24"/>
  <c r="AF49" i="24"/>
  <c r="AF31" i="24"/>
  <c r="AF171" i="24"/>
  <c r="AE182" i="24"/>
  <c r="AE161" i="24"/>
  <c r="AE133" i="24"/>
  <c r="AE156" i="24"/>
  <c r="AE167" i="24"/>
  <c r="AE166" i="24"/>
  <c r="AF153" i="24"/>
  <c r="AE152" i="24"/>
  <c r="AE139" i="24"/>
  <c r="AE138" i="24"/>
  <c r="AE52" i="24"/>
  <c r="AF27" i="24"/>
  <c r="AE50" i="24"/>
  <c r="AF46" i="24"/>
  <c r="AE21" i="24"/>
  <c r="AF44" i="24"/>
  <c r="AE171" i="24"/>
  <c r="AF182" i="24"/>
  <c r="AF161" i="24"/>
  <c r="AF133" i="24"/>
  <c r="AF156" i="24"/>
  <c r="AF167" i="24"/>
  <c r="AF166" i="24"/>
  <c r="AE153" i="24"/>
  <c r="AF152" i="24"/>
  <c r="AF139" i="24"/>
  <c r="AF138" i="24"/>
  <c r="AE29" i="24"/>
  <c r="AF52" i="24"/>
  <c r="AE27" i="24"/>
  <c r="AF50" i="24"/>
  <c r="AE34" i="24"/>
  <c r="AE32" i="24"/>
  <c r="AE19" i="24"/>
  <c r="AF159" i="24"/>
  <c r="AE170" i="24"/>
  <c r="AE136" i="24"/>
  <c r="AE121" i="24"/>
  <c r="AE144" i="24"/>
  <c r="AE155" i="24"/>
  <c r="AE154" i="24"/>
  <c r="AF141" i="24"/>
  <c r="AE140" i="24"/>
  <c r="AE127" i="24"/>
  <c r="AE126" i="24"/>
  <c r="AF29" i="24"/>
  <c r="AE38" i="24"/>
  <c r="AE60" i="24"/>
  <c r="AF34" i="24"/>
  <c r="AE61" i="24"/>
  <c r="AF9" i="24"/>
  <c r="AF32" i="24"/>
  <c r="AF19" i="24"/>
  <c r="AF136" i="24"/>
  <c r="AF144" i="24"/>
  <c r="AF154" i="24"/>
  <c r="AF140" i="24"/>
  <c r="AF126" i="24"/>
  <c r="AE17" i="24"/>
  <c r="AE18" i="24"/>
  <c r="AF15" i="24"/>
  <c r="AF38" i="24"/>
  <c r="AF61" i="24"/>
  <c r="AE20" i="24"/>
  <c r="AE159" i="24"/>
  <c r="AF170" i="24"/>
  <c r="AF121" i="24"/>
  <c r="AF155" i="24"/>
  <c r="AE141" i="24"/>
  <c r="AF127" i="24"/>
  <c r="AE40" i="24"/>
  <c r="AF60" i="24"/>
  <c r="AE9" i="24"/>
  <c r="AE184" i="24"/>
  <c r="AF147" i="24"/>
  <c r="AE158" i="24"/>
  <c r="AE181" i="24"/>
  <c r="AE125" i="24"/>
  <c r="AE132" i="24"/>
  <c r="AE143" i="24"/>
  <c r="AE142" i="24"/>
  <c r="AF129" i="24"/>
  <c r="AE128" i="24"/>
  <c r="AE149" i="24"/>
  <c r="AE30" i="24"/>
  <c r="AF17" i="24"/>
  <c r="AF40" i="24"/>
  <c r="AF18" i="24"/>
  <c r="AE15" i="24"/>
  <c r="AE26" i="24"/>
  <c r="AE47" i="24"/>
  <c r="AE22" i="24"/>
  <c r="AF57" i="24"/>
  <c r="AF20" i="24"/>
  <c r="AF184" i="24"/>
  <c r="AE147" i="24"/>
  <c r="AF158" i="24"/>
  <c r="AF181" i="24"/>
  <c r="AF125" i="24"/>
  <c r="AF132" i="24"/>
  <c r="AF143" i="24"/>
  <c r="AF142" i="24"/>
  <c r="AE129" i="24"/>
  <c r="AF128" i="24"/>
  <c r="AF149" i="24"/>
  <c r="AF30" i="24"/>
  <c r="AF26" i="24"/>
  <c r="AE48" i="24"/>
  <c r="AE59" i="24"/>
  <c r="AF47" i="24"/>
  <c r="AF22" i="24"/>
  <c r="AE57" i="24"/>
  <c r="AE37" i="24"/>
  <c r="AE55" i="24"/>
  <c r="AE172" i="24"/>
  <c r="AF135" i="24"/>
  <c r="AE146" i="24"/>
  <c r="AE169" i="24"/>
  <c r="AE148" i="24"/>
  <c r="AE120" i="24"/>
  <c r="AE131" i="24"/>
  <c r="AE130" i="24"/>
  <c r="AE137" i="24"/>
  <c r="AE175" i="24"/>
  <c r="AE174" i="24"/>
  <c r="AE28" i="24"/>
  <c r="AE14" i="24"/>
  <c r="AF48" i="24"/>
  <c r="AF59" i="24"/>
  <c r="AE10" i="24"/>
  <c r="AF37" i="24"/>
  <c r="AE8" i="24"/>
  <c r="AF55" i="24"/>
  <c r="AF172" i="24"/>
  <c r="AE135" i="24"/>
  <c r="AF146" i="24"/>
  <c r="AF169" i="24"/>
  <c r="AF148" i="24"/>
  <c r="AF120" i="24"/>
  <c r="AF131" i="24"/>
  <c r="AF130" i="24"/>
  <c r="AF137" i="24"/>
  <c r="AF175" i="24"/>
  <c r="AF174" i="24"/>
  <c r="AE53" i="24"/>
  <c r="AF28" i="24"/>
  <c r="AF51" i="24"/>
  <c r="AF14" i="24"/>
  <c r="AE36" i="24"/>
  <c r="AE35" i="24"/>
  <c r="AF10" i="24"/>
  <c r="AF45" i="24"/>
  <c r="AF8" i="24"/>
  <c r="AE43" i="24"/>
  <c r="AE160" i="24"/>
  <c r="AF123" i="24"/>
  <c r="AE134" i="24"/>
  <c r="AE157" i="24"/>
  <c r="AE180" i="24"/>
  <c r="AE124" i="24"/>
  <c r="AE119" i="24"/>
  <c r="AF177" i="24"/>
  <c r="AE176" i="24"/>
  <c r="AE163" i="24"/>
  <c r="AE162" i="24"/>
  <c r="AF53" i="24"/>
  <c r="AE51" i="24"/>
  <c r="AF36" i="24"/>
  <c r="AF35" i="24"/>
  <c r="AE58" i="24"/>
  <c r="AE45" i="24"/>
  <c r="AF43" i="24"/>
  <c r="AF157" i="24"/>
  <c r="AF124" i="24"/>
  <c r="AE177" i="24"/>
  <c r="AF163" i="24"/>
  <c r="AF162" i="24"/>
  <c r="AE42" i="24"/>
  <c r="AE16" i="24"/>
  <c r="AE54" i="24"/>
  <c r="AE24" i="24"/>
  <c r="AF58" i="24"/>
  <c r="AF33" i="24"/>
  <c r="AZ125" i="24"/>
  <c r="AZ131" i="24"/>
  <c r="AZ137" i="24"/>
  <c r="AZ143" i="24"/>
  <c r="AZ149" i="24"/>
  <c r="AZ155" i="24"/>
  <c r="AZ161" i="24"/>
  <c r="AZ167" i="24"/>
  <c r="AZ173" i="24"/>
  <c r="AZ179" i="24"/>
  <c r="BA125" i="24"/>
  <c r="BA131" i="24"/>
  <c r="BA137" i="24"/>
  <c r="BA143" i="24"/>
  <c r="BA149" i="24"/>
  <c r="BA155" i="24"/>
  <c r="BA161" i="24"/>
  <c r="BA167" i="24"/>
  <c r="BA173" i="24"/>
  <c r="BA179" i="24"/>
  <c r="AZ126" i="24"/>
  <c r="AZ132" i="24"/>
  <c r="AZ138" i="24"/>
  <c r="AZ144" i="24"/>
  <c r="AZ150" i="24"/>
  <c r="AZ156" i="24"/>
  <c r="AZ162" i="24"/>
  <c r="AZ168" i="24"/>
  <c r="AZ174" i="24"/>
  <c r="AZ180" i="24"/>
  <c r="BA126" i="24"/>
  <c r="BA132" i="24"/>
  <c r="BA138" i="24"/>
  <c r="BA144" i="24"/>
  <c r="BA150" i="24"/>
  <c r="BA156" i="24"/>
  <c r="BA162" i="24"/>
  <c r="BA168" i="24"/>
  <c r="BA174" i="24"/>
  <c r="BA180" i="24"/>
  <c r="AZ127" i="24"/>
  <c r="AZ133" i="24"/>
  <c r="AZ139" i="24"/>
  <c r="AZ145" i="24"/>
  <c r="AZ151" i="24"/>
  <c r="AZ157" i="24"/>
  <c r="AZ163" i="24"/>
  <c r="AZ169" i="24"/>
  <c r="AZ175" i="24"/>
  <c r="AZ181" i="24"/>
  <c r="BA127" i="24"/>
  <c r="BA133" i="24"/>
  <c r="BA139" i="24"/>
  <c r="BA145" i="24"/>
  <c r="BA151" i="24"/>
  <c r="BA157" i="24"/>
  <c r="BA163" i="24"/>
  <c r="BA169" i="24"/>
  <c r="BA175" i="24"/>
  <c r="BA181" i="24"/>
  <c r="AZ128" i="24"/>
  <c r="AZ134" i="24"/>
  <c r="AZ140" i="24"/>
  <c r="AZ146" i="24"/>
  <c r="AZ152" i="24"/>
  <c r="AZ158" i="24"/>
  <c r="AZ164" i="24"/>
  <c r="AZ170" i="24"/>
  <c r="AZ176" i="24"/>
  <c r="AZ182" i="24"/>
  <c r="BA160" i="24"/>
  <c r="BA172" i="24"/>
  <c r="BA184" i="24"/>
  <c r="BA128" i="24"/>
  <c r="BA134" i="24"/>
  <c r="BA140" i="24"/>
  <c r="BA146" i="24"/>
  <c r="BA152" i="24"/>
  <c r="BA158" i="24"/>
  <c r="BA164" i="24"/>
  <c r="BA170" i="24"/>
  <c r="BA176" i="24"/>
  <c r="BA182" i="24"/>
  <c r="AZ129" i="24"/>
  <c r="AZ135" i="24"/>
  <c r="AZ141" i="24"/>
  <c r="AZ147" i="24"/>
  <c r="AZ153" i="24"/>
  <c r="AZ159" i="24"/>
  <c r="AZ165" i="24"/>
  <c r="AZ171" i="24"/>
  <c r="AZ177" i="24"/>
  <c r="AZ183" i="24"/>
  <c r="BA130" i="24"/>
  <c r="BA129" i="24"/>
  <c r="BA135" i="24"/>
  <c r="BA141" i="24"/>
  <c r="BA147" i="24"/>
  <c r="BA153" i="24"/>
  <c r="BA159" i="24"/>
  <c r="BA165" i="24"/>
  <c r="BA171" i="24"/>
  <c r="BA177" i="24"/>
  <c r="BA183" i="24"/>
  <c r="BA136" i="24"/>
  <c r="BA142" i="24"/>
  <c r="BA148" i="24"/>
  <c r="BA154" i="24"/>
  <c r="BA166" i="24"/>
  <c r="BA178" i="24"/>
  <c r="AZ130" i="24"/>
  <c r="AZ136" i="24"/>
  <c r="AZ142" i="24"/>
  <c r="AZ148" i="24"/>
  <c r="AZ154" i="24"/>
  <c r="AZ160" i="24"/>
  <c r="AZ166" i="24"/>
  <c r="AZ172" i="24"/>
  <c r="AZ178" i="24"/>
  <c r="AZ184" i="24"/>
  <c r="AZ123" i="24"/>
  <c r="AZ122" i="24"/>
  <c r="AZ121" i="24"/>
  <c r="BA33" i="24"/>
  <c r="AZ10" i="24"/>
  <c r="BA43" i="24"/>
  <c r="BA42" i="24"/>
  <c r="BA41" i="24"/>
  <c r="BA28" i="24"/>
  <c r="AZ26" i="24"/>
  <c r="BA49" i="24"/>
  <c r="BA60" i="24"/>
  <c r="AZ23" i="24"/>
  <c r="BA123" i="24"/>
  <c r="BA122" i="24"/>
  <c r="BA121" i="24"/>
  <c r="AZ33" i="24"/>
  <c r="BA10" i="24"/>
  <c r="AZ8" i="24"/>
  <c r="AZ30" i="24"/>
  <c r="AZ29" i="24"/>
  <c r="BA26" i="24"/>
  <c r="AZ37" i="24"/>
  <c r="AZ48" i="24"/>
  <c r="BA23" i="24"/>
  <c r="AZ56" i="24"/>
  <c r="BA8" i="24"/>
  <c r="AZ31" i="24"/>
  <c r="BA30" i="24"/>
  <c r="BA29" i="24"/>
  <c r="AZ16" i="24"/>
  <c r="BA51" i="24"/>
  <c r="BA37" i="24"/>
  <c r="BA48" i="24"/>
  <c r="AZ120" i="24"/>
  <c r="BA21" i="24"/>
  <c r="BA56" i="24"/>
  <c r="BA31" i="24"/>
  <c r="AZ18" i="24"/>
  <c r="AZ17" i="24"/>
  <c r="BA16" i="24"/>
  <c r="AZ51" i="24"/>
  <c r="AZ14" i="24"/>
  <c r="AZ25" i="24"/>
  <c r="AZ36" i="24"/>
  <c r="AZ11" i="24"/>
  <c r="BA120" i="24"/>
  <c r="AZ21" i="24"/>
  <c r="AZ44" i="24"/>
  <c r="BA18" i="24"/>
  <c r="BA17" i="24"/>
  <c r="BA39" i="24"/>
  <c r="BA14" i="24"/>
  <c r="BA25" i="24"/>
  <c r="BA36" i="24"/>
  <c r="AZ59" i="24"/>
  <c r="BA11" i="24"/>
  <c r="BA22" i="24"/>
  <c r="BA9" i="24"/>
  <c r="BA19" i="24"/>
  <c r="BA27" i="24"/>
  <c r="AZ50" i="24"/>
  <c r="BA13" i="24"/>
  <c r="BA24" i="24"/>
  <c r="AZ22" i="24"/>
  <c r="BA44" i="24"/>
  <c r="AZ19" i="24"/>
  <c r="AZ39" i="24"/>
  <c r="AZ13" i="24"/>
  <c r="AZ24" i="24"/>
  <c r="BA59" i="24"/>
  <c r="AZ46" i="24"/>
  <c r="AZ47" i="24"/>
  <c r="BA57" i="24"/>
  <c r="AZ9" i="24"/>
  <c r="AZ32" i="24"/>
  <c r="BA46" i="24"/>
  <c r="AZ52" i="24"/>
  <c r="AZ27" i="24"/>
  <c r="BA50" i="24"/>
  <c r="AZ12" i="24"/>
  <c r="BA47" i="24"/>
  <c r="AZ124" i="24"/>
  <c r="AZ57" i="24"/>
  <c r="BA32" i="24"/>
  <c r="AZ55" i="24"/>
  <c r="BA52" i="24"/>
  <c r="BA15" i="24"/>
  <c r="BA12" i="24"/>
  <c r="BA124" i="24"/>
  <c r="BA45" i="24"/>
  <c r="BA55" i="24"/>
  <c r="AZ54" i="24"/>
  <c r="AZ53" i="24"/>
  <c r="AZ40" i="24"/>
  <c r="AZ15" i="24"/>
  <c r="AZ38" i="24"/>
  <c r="AZ61" i="24"/>
  <c r="AZ35" i="24"/>
  <c r="AZ45" i="24"/>
  <c r="AZ58" i="24"/>
  <c r="AZ20" i="24"/>
  <c r="AZ34" i="24"/>
  <c r="BA54" i="24"/>
  <c r="BA53" i="24"/>
  <c r="BA40" i="24"/>
  <c r="BA38" i="24"/>
  <c r="BA61" i="24"/>
  <c r="BA35" i="24"/>
  <c r="BA58" i="24"/>
  <c r="BA20" i="24"/>
  <c r="AZ43" i="24"/>
  <c r="BA34" i="24"/>
  <c r="AZ42" i="24"/>
  <c r="AZ41" i="24"/>
  <c r="AZ28" i="24"/>
  <c r="AZ49" i="24"/>
  <c r="AZ60" i="24"/>
  <c r="BV8" i="24"/>
  <c r="BV20" i="24"/>
  <c r="BV32" i="24"/>
  <c r="BV44" i="24"/>
  <c r="BV56" i="24"/>
  <c r="BV68" i="24"/>
  <c r="BU18" i="24"/>
  <c r="BU30" i="24"/>
  <c r="BU42" i="24"/>
  <c r="BU54" i="24"/>
  <c r="BV9" i="24"/>
  <c r="BV21" i="24"/>
  <c r="BV33" i="24"/>
  <c r="BV45" i="24"/>
  <c r="BV57" i="24"/>
  <c r="BV69" i="24"/>
  <c r="BU19" i="24"/>
  <c r="BU31" i="24"/>
  <c r="BU43" i="24"/>
  <c r="BU55" i="24"/>
  <c r="BV10" i="24"/>
  <c r="BV22" i="24"/>
  <c r="BV34" i="24"/>
  <c r="BV46" i="24"/>
  <c r="BV58" i="24"/>
  <c r="BU8" i="24"/>
  <c r="BU20" i="24"/>
  <c r="BU32" i="24"/>
  <c r="BU44" i="24"/>
  <c r="BU56" i="24"/>
  <c r="BV11" i="24"/>
  <c r="BV23" i="24"/>
  <c r="BV35" i="24"/>
  <c r="BV47" i="24"/>
  <c r="BV59" i="24"/>
  <c r="BU9" i="24"/>
  <c r="BU21" i="24"/>
  <c r="BU33" i="24"/>
  <c r="BU45" i="24"/>
  <c r="BU57" i="24"/>
  <c r="BV12" i="24"/>
  <c r="BV24" i="24"/>
  <c r="BV36" i="24"/>
  <c r="BV48" i="24"/>
  <c r="BV60" i="24"/>
  <c r="BU10" i="24"/>
  <c r="BU22" i="24"/>
  <c r="BU34" i="24"/>
  <c r="BU46" i="24"/>
  <c r="BU58" i="24"/>
  <c r="BV13" i="24"/>
  <c r="BV25" i="24"/>
  <c r="BV37" i="24"/>
  <c r="BV49" i="24"/>
  <c r="BV61" i="24"/>
  <c r="BU11" i="24"/>
  <c r="BU23" i="24"/>
  <c r="BU35" i="24"/>
  <c r="BU47" i="24"/>
  <c r="BU59" i="24"/>
  <c r="BV67" i="24"/>
  <c r="BV14" i="24"/>
  <c r="BV26" i="24"/>
  <c r="BV38" i="24"/>
  <c r="BV50" i="24"/>
  <c r="BV62" i="24"/>
  <c r="BU12" i="24"/>
  <c r="BU24" i="24"/>
  <c r="BU36" i="24"/>
  <c r="BU48" i="24"/>
  <c r="BU60" i="24"/>
  <c r="BV31" i="24"/>
  <c r="BV55" i="24"/>
  <c r="BU41" i="24"/>
  <c r="BV15" i="24"/>
  <c r="BV27" i="24"/>
  <c r="BV39" i="24"/>
  <c r="BV51" i="24"/>
  <c r="BV63" i="24"/>
  <c r="BU13" i="24"/>
  <c r="BU25" i="24"/>
  <c r="BU37" i="24"/>
  <c r="BU49" i="24"/>
  <c r="BU61" i="24"/>
  <c r="BV16" i="24"/>
  <c r="BV28" i="24"/>
  <c r="BV40" i="24"/>
  <c r="BV52" i="24"/>
  <c r="BV64" i="24"/>
  <c r="BU14" i="24"/>
  <c r="BU26" i="24"/>
  <c r="BU38" i="24"/>
  <c r="BU50" i="24"/>
  <c r="BU62" i="24"/>
  <c r="BV17" i="24"/>
  <c r="BV29" i="24"/>
  <c r="BV41" i="24"/>
  <c r="BV53" i="24"/>
  <c r="BV65" i="24"/>
  <c r="BU15" i="24"/>
  <c r="BU27" i="24"/>
  <c r="BU39" i="24"/>
  <c r="BU51" i="24"/>
  <c r="BU63" i="24"/>
  <c r="BV19" i="24"/>
  <c r="BV43" i="24"/>
  <c r="BU17" i="24"/>
  <c r="BU53" i="24"/>
  <c r="BV18" i="24"/>
  <c r="BV30" i="24"/>
  <c r="BV42" i="24"/>
  <c r="BV54" i="24"/>
  <c r="BV66" i="24"/>
  <c r="BU16" i="24"/>
  <c r="BU28" i="24"/>
  <c r="BU40" i="24"/>
  <c r="BU52" i="24"/>
  <c r="BU29" i="24"/>
  <c r="BV122" i="24"/>
  <c r="BU122" i="24"/>
  <c r="BU124" i="24"/>
  <c r="BV124" i="24"/>
  <c r="BU123" i="24"/>
  <c r="BV123" i="24"/>
  <c r="R8" i="23"/>
  <c r="R20" i="23"/>
  <c r="R32" i="23"/>
  <c r="R44" i="23"/>
  <c r="R56" i="23"/>
  <c r="Q14" i="23"/>
  <c r="Q26" i="23"/>
  <c r="Q38" i="23"/>
  <c r="Q50" i="23"/>
  <c r="Q53" i="23"/>
  <c r="R9" i="23"/>
  <c r="R21" i="23"/>
  <c r="R33" i="23"/>
  <c r="R45" i="23"/>
  <c r="R57" i="23"/>
  <c r="Q15" i="23"/>
  <c r="Q27" i="23"/>
  <c r="Q39" i="23"/>
  <c r="Q51" i="23"/>
  <c r="R10" i="23"/>
  <c r="R22" i="23"/>
  <c r="R34" i="23"/>
  <c r="R46" i="23"/>
  <c r="R58" i="23"/>
  <c r="Q16" i="23"/>
  <c r="Q28" i="23"/>
  <c r="Q40" i="23"/>
  <c r="Q52" i="23"/>
  <c r="Q41" i="23"/>
  <c r="R11" i="23"/>
  <c r="R23" i="23"/>
  <c r="R35" i="23"/>
  <c r="R47" i="23"/>
  <c r="R59" i="23"/>
  <c r="Q17" i="23"/>
  <c r="Q29" i="23"/>
  <c r="R12" i="23"/>
  <c r="R24" i="23"/>
  <c r="R36" i="23"/>
  <c r="R48" i="23"/>
  <c r="R60" i="23"/>
  <c r="Q18" i="23"/>
  <c r="Q30" i="23"/>
  <c r="Q42" i="23"/>
  <c r="Q54" i="23"/>
  <c r="R13" i="23"/>
  <c r="R25" i="23"/>
  <c r="R37" i="23"/>
  <c r="R49" i="23"/>
  <c r="R61" i="23"/>
  <c r="Q19" i="23"/>
  <c r="Q31" i="23"/>
  <c r="Q43" i="23"/>
  <c r="Q55" i="23"/>
  <c r="R19" i="23"/>
  <c r="Q49" i="23"/>
  <c r="R14" i="23"/>
  <c r="R26" i="23"/>
  <c r="R38" i="23"/>
  <c r="R50" i="23"/>
  <c r="Q8" i="23"/>
  <c r="Q20" i="23"/>
  <c r="Q32" i="23"/>
  <c r="Q44" i="23"/>
  <c r="Q56" i="23"/>
  <c r="Q25" i="23"/>
  <c r="R15" i="23"/>
  <c r="R27" i="23"/>
  <c r="R39" i="23"/>
  <c r="R51" i="23"/>
  <c r="Q9" i="23"/>
  <c r="Q21" i="23"/>
  <c r="Q33" i="23"/>
  <c r="Q45" i="23"/>
  <c r="Q57" i="23"/>
  <c r="R31" i="23"/>
  <c r="Q61" i="23"/>
  <c r="R16" i="23"/>
  <c r="R28" i="23"/>
  <c r="R40" i="23"/>
  <c r="R52" i="23"/>
  <c r="Q10" i="23"/>
  <c r="Q22" i="23"/>
  <c r="Q34" i="23"/>
  <c r="Q46" i="23"/>
  <c r="Q58" i="23"/>
  <c r="R55" i="23"/>
  <c r="R17" i="23"/>
  <c r="R29" i="23"/>
  <c r="R41" i="23"/>
  <c r="R53" i="23"/>
  <c r="Q11" i="23"/>
  <c r="Q23" i="23"/>
  <c r="Q35" i="23"/>
  <c r="Q47" i="23"/>
  <c r="Q59" i="23"/>
  <c r="Q13" i="23"/>
  <c r="R18" i="23"/>
  <c r="R30" i="23"/>
  <c r="R42" i="23"/>
  <c r="R54" i="23"/>
  <c r="Q12" i="23"/>
  <c r="Q24" i="23"/>
  <c r="Q36" i="23"/>
  <c r="Q48" i="23"/>
  <c r="Q60" i="23"/>
  <c r="R43" i="23"/>
  <c r="Q37" i="23"/>
  <c r="AP19" i="23"/>
  <c r="AP31" i="23"/>
  <c r="AP43" i="23"/>
  <c r="AP55" i="23"/>
  <c r="AO13" i="23"/>
  <c r="AO25" i="23"/>
  <c r="AO37" i="23"/>
  <c r="AO49" i="23"/>
  <c r="AO61" i="23"/>
  <c r="AP8" i="23"/>
  <c r="AP20" i="23"/>
  <c r="AP32" i="23"/>
  <c r="AP44" i="23"/>
  <c r="AP56" i="23"/>
  <c r="AO14" i="23"/>
  <c r="AO26" i="23"/>
  <c r="AO38" i="23"/>
  <c r="AO50" i="23"/>
  <c r="AO62" i="23"/>
  <c r="AP9" i="23"/>
  <c r="AP21" i="23"/>
  <c r="AP33" i="23"/>
  <c r="AP45" i="23"/>
  <c r="AP57" i="23"/>
  <c r="AO15" i="23"/>
  <c r="AO27" i="23"/>
  <c r="AO39" i="23"/>
  <c r="AO51" i="23"/>
  <c r="AP10" i="23"/>
  <c r="AP22" i="23"/>
  <c r="AP34" i="23"/>
  <c r="AP46" i="23"/>
  <c r="AP58" i="23"/>
  <c r="AO16" i="23"/>
  <c r="AO28" i="23"/>
  <c r="AO40" i="23"/>
  <c r="AO52" i="23"/>
  <c r="AO36" i="23"/>
  <c r="AP11" i="23"/>
  <c r="AP23" i="23"/>
  <c r="AP35" i="23"/>
  <c r="AP47" i="23"/>
  <c r="AP59" i="23"/>
  <c r="AO17" i="23"/>
  <c r="AO29" i="23"/>
  <c r="AO41" i="23"/>
  <c r="AO53" i="23"/>
  <c r="AO12" i="23"/>
  <c r="AP12" i="23"/>
  <c r="AP24" i="23"/>
  <c r="AP36" i="23"/>
  <c r="AP48" i="23"/>
  <c r="AP60" i="23"/>
  <c r="AO18" i="23"/>
  <c r="AO30" i="23"/>
  <c r="AO42" i="23"/>
  <c r="AO54" i="23"/>
  <c r="AO48" i="23"/>
  <c r="AP13" i="23"/>
  <c r="AP25" i="23"/>
  <c r="AP37" i="23"/>
  <c r="AP49" i="23"/>
  <c r="AP61" i="23"/>
  <c r="AO19" i="23"/>
  <c r="AO31" i="23"/>
  <c r="AO43" i="23"/>
  <c r="AO55" i="23"/>
  <c r="AO24" i="23"/>
  <c r="AP14" i="23"/>
  <c r="AP26" i="23"/>
  <c r="AP38" i="23"/>
  <c r="AP50" i="23"/>
  <c r="AO8" i="23"/>
  <c r="AO20" i="23"/>
  <c r="AO32" i="23"/>
  <c r="AO44" i="23"/>
  <c r="AO56" i="23"/>
  <c r="AO60" i="23"/>
  <c r="AP15" i="23"/>
  <c r="AP27" i="23"/>
  <c r="AP39" i="23"/>
  <c r="AP51" i="23"/>
  <c r="AO9" i="23"/>
  <c r="AO21" i="23"/>
  <c r="AO33" i="23"/>
  <c r="AO45" i="23"/>
  <c r="AO57" i="23"/>
  <c r="AP16" i="23"/>
  <c r="AP28" i="23"/>
  <c r="AP40" i="23"/>
  <c r="AP52" i="23"/>
  <c r="AO10" i="23"/>
  <c r="AO22" i="23"/>
  <c r="AO34" i="23"/>
  <c r="AO46" i="23"/>
  <c r="AO58" i="23"/>
  <c r="AP17" i="23"/>
  <c r="AP29" i="23"/>
  <c r="AP41" i="23"/>
  <c r="AP53" i="23"/>
  <c r="AO11" i="23"/>
  <c r="AO23" i="23"/>
  <c r="AO35" i="23"/>
  <c r="AO47" i="23"/>
  <c r="AO59" i="23"/>
  <c r="AP18" i="23"/>
  <c r="AP30" i="23"/>
  <c r="AP42" i="23"/>
  <c r="AP54" i="23"/>
  <c r="AF8" i="23"/>
  <c r="AF20" i="23"/>
  <c r="AF32" i="23"/>
  <c r="AF44" i="23"/>
  <c r="AF56" i="23"/>
  <c r="AE17" i="23"/>
  <c r="AE29" i="23"/>
  <c r="AE41" i="23"/>
  <c r="AE53" i="23"/>
  <c r="AF23" i="23"/>
  <c r="AF9" i="23"/>
  <c r="AF21" i="23"/>
  <c r="AF33" i="23"/>
  <c r="AF45" i="23"/>
  <c r="AE18" i="23"/>
  <c r="AE30" i="23"/>
  <c r="AE42" i="23"/>
  <c r="AE54" i="23"/>
  <c r="AE19" i="23"/>
  <c r="AE8" i="23"/>
  <c r="AF10" i="23"/>
  <c r="AF22" i="23"/>
  <c r="AE31" i="23"/>
  <c r="AE43" i="23"/>
  <c r="AE55" i="23"/>
  <c r="AF12" i="23"/>
  <c r="AF24" i="23"/>
  <c r="AF36" i="23"/>
  <c r="AF48" i="23"/>
  <c r="AE9" i="23"/>
  <c r="AE21" i="23"/>
  <c r="AE33" i="23"/>
  <c r="AE45" i="23"/>
  <c r="AE57" i="23"/>
  <c r="AE32" i="23"/>
  <c r="AF13" i="23"/>
  <c r="AF25" i="23"/>
  <c r="AF37" i="23"/>
  <c r="AF49" i="23"/>
  <c r="AE10" i="23"/>
  <c r="AE22" i="23"/>
  <c r="AE34" i="23"/>
  <c r="AE46" i="23"/>
  <c r="AE58" i="23"/>
  <c r="AF41" i="23"/>
  <c r="AF11" i="23"/>
  <c r="AE56" i="23"/>
  <c r="AF14" i="23"/>
  <c r="AF26" i="23"/>
  <c r="AF38" i="23"/>
  <c r="AF50" i="23"/>
  <c r="AE11" i="23"/>
  <c r="AE23" i="23"/>
  <c r="AE35" i="23"/>
  <c r="AE47" i="23"/>
  <c r="AE59" i="23"/>
  <c r="AE14" i="23"/>
  <c r="AF15" i="23"/>
  <c r="AF27" i="23"/>
  <c r="AF39" i="23"/>
  <c r="AF51" i="23"/>
  <c r="AE12" i="23"/>
  <c r="AE24" i="23"/>
  <c r="AE36" i="23"/>
  <c r="AE48" i="23"/>
  <c r="AE60" i="23"/>
  <c r="AF53" i="23"/>
  <c r="AF16" i="23"/>
  <c r="AF28" i="23"/>
  <c r="AF40" i="23"/>
  <c r="AF52" i="23"/>
  <c r="AE13" i="23"/>
  <c r="AE25" i="23"/>
  <c r="AE37" i="23"/>
  <c r="AE49" i="23"/>
  <c r="AE61" i="23"/>
  <c r="AE38" i="23"/>
  <c r="AF47" i="23"/>
  <c r="AF17" i="23"/>
  <c r="AF29" i="23"/>
  <c r="AE26" i="23"/>
  <c r="AE50" i="23"/>
  <c r="AE44" i="23"/>
  <c r="AF18" i="23"/>
  <c r="AF30" i="23"/>
  <c r="AF42" i="23"/>
  <c r="AF54" i="23"/>
  <c r="AE15" i="23"/>
  <c r="AE27" i="23"/>
  <c r="AE39" i="23"/>
  <c r="AE51" i="23"/>
  <c r="AF34" i="23"/>
  <c r="AF35" i="23"/>
  <c r="AF19" i="23"/>
  <c r="AF31" i="23"/>
  <c r="AF43" i="23"/>
  <c r="AF55" i="23"/>
  <c r="AE16" i="23"/>
  <c r="AE28" i="23"/>
  <c r="AE40" i="23"/>
  <c r="AE52" i="23"/>
  <c r="AF46" i="23"/>
  <c r="AE20" i="23"/>
  <c r="AP114" i="23"/>
  <c r="AP79" i="23"/>
  <c r="AO64" i="23"/>
  <c r="AO65" i="23"/>
  <c r="AO114" i="23"/>
  <c r="AO89" i="23"/>
  <c r="AP118" i="23"/>
  <c r="AO113" i="23"/>
  <c r="AP111" i="23"/>
  <c r="AP117" i="23"/>
  <c r="AO103" i="23"/>
  <c r="BU64" i="24"/>
  <c r="BV70" i="24"/>
  <c r="BU76" i="24"/>
  <c r="BV82" i="24"/>
  <c r="BV88" i="24"/>
  <c r="BU94" i="24"/>
  <c r="BU100" i="24"/>
  <c r="BV106" i="24"/>
  <c r="BU112" i="24"/>
  <c r="BU118" i="24"/>
  <c r="AP124" i="23"/>
  <c r="AP98" i="23"/>
  <c r="AO112" i="23"/>
  <c r="AO108" i="23"/>
  <c r="AP112" i="23"/>
  <c r="AO87" i="23"/>
  <c r="AP68" i="23"/>
  <c r="AP100" i="23"/>
  <c r="AO74" i="23"/>
  <c r="AO123" i="23"/>
  <c r="AO86" i="23"/>
  <c r="BU65" i="24"/>
  <c r="BV71" i="24"/>
  <c r="BV77" i="24"/>
  <c r="BV83" i="24"/>
  <c r="BV89" i="24"/>
  <c r="BV95" i="24"/>
  <c r="BV101" i="24"/>
  <c r="BU107" i="24"/>
  <c r="BV113" i="24"/>
  <c r="BV119" i="24"/>
  <c r="BU109" i="24"/>
  <c r="BV80" i="24"/>
  <c r="BU111" i="24"/>
  <c r="BV118" i="24"/>
  <c r="AO124" i="23"/>
  <c r="AO92" i="23"/>
  <c r="AP81" i="23"/>
  <c r="AO81" i="23"/>
  <c r="AP99" i="23"/>
  <c r="AO117" i="23"/>
  <c r="AO73" i="23"/>
  <c r="AO99" i="23"/>
  <c r="AO100" i="23"/>
  <c r="AP123" i="23"/>
  <c r="AP63" i="23"/>
  <c r="BU71" i="24"/>
  <c r="BU77" i="24"/>
  <c r="BU83" i="24"/>
  <c r="BU89" i="24"/>
  <c r="BU95" i="24"/>
  <c r="BU101" i="24"/>
  <c r="BV107" i="24"/>
  <c r="BU113" i="24"/>
  <c r="BU119" i="24"/>
  <c r="BV103" i="24"/>
  <c r="BU86" i="24"/>
  <c r="BV116" i="24"/>
  <c r="BV105" i="24"/>
  <c r="BU117" i="24"/>
  <c r="AP91" i="23"/>
  <c r="AP90" i="23"/>
  <c r="AO105" i="23"/>
  <c r="AP94" i="23"/>
  <c r="AO82" i="23"/>
  <c r="AP101" i="23"/>
  <c r="AP104" i="23"/>
  <c r="AP96" i="23"/>
  <c r="AP122" i="23"/>
  <c r="AP121" i="23"/>
  <c r="BU66" i="24"/>
  <c r="BV72" i="24"/>
  <c r="BV78" i="24"/>
  <c r="BV84" i="24"/>
  <c r="BV90" i="24"/>
  <c r="BV96" i="24"/>
  <c r="BV102" i="24"/>
  <c r="BV108" i="24"/>
  <c r="BV114" i="24"/>
  <c r="BV120" i="24"/>
  <c r="BU120" i="24"/>
  <c r="BV121" i="24"/>
  <c r="BU92" i="24"/>
  <c r="BU110" i="24"/>
  <c r="BU99" i="24"/>
  <c r="AO75" i="23"/>
  <c r="AP105" i="23"/>
  <c r="AP108" i="23"/>
  <c r="AO102" i="23"/>
  <c r="AP92" i="23"/>
  <c r="AP66" i="23"/>
  <c r="AP71" i="23"/>
  <c r="AO67" i="23"/>
  <c r="AP109" i="23"/>
  <c r="AO122" i="23"/>
  <c r="AO69" i="23"/>
  <c r="BU72" i="24"/>
  <c r="BU78" i="24"/>
  <c r="BU84" i="24"/>
  <c r="BU90" i="24"/>
  <c r="BU96" i="24"/>
  <c r="BU102" i="24"/>
  <c r="BU108" i="24"/>
  <c r="BU114" i="24"/>
  <c r="BU74" i="24"/>
  <c r="BV99" i="24"/>
  <c r="AP65" i="23"/>
  <c r="AO78" i="23"/>
  <c r="AP93" i="23"/>
  <c r="AO98" i="23"/>
  <c r="AP72" i="23"/>
  <c r="AP85" i="23"/>
  <c r="AO88" i="23"/>
  <c r="AP119" i="23"/>
  <c r="AO109" i="23"/>
  <c r="AO119" i="23"/>
  <c r="AP116" i="23"/>
  <c r="BU67" i="24"/>
  <c r="BV73" i="24"/>
  <c r="BU79" i="24"/>
  <c r="BV85" i="24"/>
  <c r="BU91" i="24"/>
  <c r="BU97" i="24"/>
  <c r="BV115" i="24"/>
  <c r="BV110" i="24"/>
  <c r="BV111" i="24"/>
  <c r="AO70" i="23"/>
  <c r="AP64" i="23"/>
  <c r="AP88" i="23"/>
  <c r="AP107" i="23"/>
  <c r="AP115" i="23"/>
  <c r="AP95" i="23"/>
  <c r="AP62" i="23"/>
  <c r="AO68" i="23"/>
  <c r="AO71" i="23"/>
  <c r="AO95" i="23"/>
  <c r="BU73" i="24"/>
  <c r="BV79" i="24"/>
  <c r="BU85" i="24"/>
  <c r="BV91" i="24"/>
  <c r="BV97" i="24"/>
  <c r="BU103" i="24"/>
  <c r="BV109" i="24"/>
  <c r="BU115" i="24"/>
  <c r="BU121" i="24"/>
  <c r="BU98" i="24"/>
  <c r="BU116" i="24"/>
  <c r="BU105" i="24"/>
  <c r="AP73" i="23"/>
  <c r="AO91" i="23"/>
  <c r="AP80" i="23"/>
  <c r="AO93" i="23"/>
  <c r="AP82" i="23"/>
  <c r="AP74" i="23"/>
  <c r="AO104" i="23"/>
  <c r="AO76" i="23"/>
  <c r="AO118" i="23"/>
  <c r="AO80" i="23"/>
  <c r="BV104" i="24"/>
  <c r="BV93" i="24"/>
  <c r="AP67" i="23"/>
  <c r="AO63" i="23"/>
  <c r="AP110" i="23"/>
  <c r="AP76" i="23"/>
  <c r="AO101" i="23"/>
  <c r="AO97" i="23"/>
  <c r="AO66" i="23"/>
  <c r="AO96" i="23"/>
  <c r="AO120" i="23"/>
  <c r="AO79" i="23"/>
  <c r="BU68" i="24"/>
  <c r="BV74" i="24"/>
  <c r="BU80" i="24"/>
  <c r="BV86" i="24"/>
  <c r="BV92" i="24"/>
  <c r="BV98" i="24"/>
  <c r="BU104" i="24"/>
  <c r="BU87" i="24"/>
  <c r="AO83" i="23"/>
  <c r="AO107" i="23"/>
  <c r="AO115" i="23"/>
  <c r="AO106" i="23"/>
  <c r="AO116" i="23"/>
  <c r="AO110" i="23"/>
  <c r="AO111" i="23"/>
  <c r="AP86" i="23"/>
  <c r="AP120" i="23"/>
  <c r="AP87" i="23"/>
  <c r="BV75" i="24"/>
  <c r="BU81" i="24"/>
  <c r="BV87" i="24"/>
  <c r="BU93" i="24"/>
  <c r="BV117" i="24"/>
  <c r="AO90" i="23"/>
  <c r="AP75" i="23"/>
  <c r="AP102" i="23"/>
  <c r="AO84" i="23"/>
  <c r="AP103" i="23"/>
  <c r="AP77" i="23"/>
  <c r="AP106" i="23"/>
  <c r="AO94" i="23"/>
  <c r="AO121" i="23"/>
  <c r="AP83" i="23"/>
  <c r="BU69" i="24"/>
  <c r="BU75" i="24"/>
  <c r="BV81" i="24"/>
  <c r="AP69" i="23"/>
  <c r="AP89" i="23"/>
  <c r="AO72" i="23"/>
  <c r="AP70" i="23"/>
  <c r="AP113" i="23"/>
  <c r="AP78" i="23"/>
  <c r="AP97" i="23"/>
  <c r="AO77" i="23"/>
  <c r="AO85" i="23"/>
  <c r="AP84" i="23"/>
  <c r="BU70" i="24"/>
  <c r="BV76" i="24"/>
  <c r="BU82" i="24"/>
  <c r="BU88" i="24"/>
  <c r="BV94" i="24"/>
  <c r="BV100" i="24"/>
  <c r="BU106" i="24"/>
  <c r="BV112" i="24"/>
  <c r="AS16" i="23"/>
  <c r="BY16" i="24"/>
  <c r="BA64" i="24"/>
  <c r="BA70" i="24"/>
  <c r="BA76" i="24"/>
  <c r="BA82" i="24"/>
  <c r="BA88" i="24"/>
  <c r="BA94" i="24"/>
  <c r="AF102" i="23"/>
  <c r="AE124" i="23"/>
  <c r="AZ64" i="24"/>
  <c r="AZ70" i="24"/>
  <c r="AZ76" i="24"/>
  <c r="AZ82" i="24"/>
  <c r="AZ88" i="24"/>
  <c r="AZ94" i="24"/>
  <c r="AZ100" i="24"/>
  <c r="AZ106" i="24"/>
  <c r="AZ112" i="24"/>
  <c r="AZ118" i="24"/>
  <c r="AE121" i="23"/>
  <c r="AE112" i="23"/>
  <c r="AF75" i="23"/>
  <c r="AF103" i="23"/>
  <c r="AF78" i="23"/>
  <c r="AE91" i="23"/>
  <c r="AE93" i="23"/>
  <c r="AE70" i="23"/>
  <c r="AE72" i="23"/>
  <c r="AZ73" i="24"/>
  <c r="BA109" i="24"/>
  <c r="AE68" i="23"/>
  <c r="AE89" i="23"/>
  <c r="AF121" i="23"/>
  <c r="AE107" i="23"/>
  <c r="AF124" i="23"/>
  <c r="BA65" i="24"/>
  <c r="BA71" i="24"/>
  <c r="AZ77" i="24"/>
  <c r="AZ83" i="24"/>
  <c r="AZ89" i="24"/>
  <c r="BA95" i="24"/>
  <c r="BA101" i="24"/>
  <c r="BA107" i="24"/>
  <c r="BA113" i="24"/>
  <c r="BA119" i="24"/>
  <c r="AF120" i="23"/>
  <c r="AE115" i="23"/>
  <c r="AF87" i="23"/>
  <c r="AE75" i="23"/>
  <c r="AF94" i="23"/>
  <c r="AF91" i="23"/>
  <c r="AF83" i="23"/>
  <c r="AF101" i="23"/>
  <c r="AE82" i="23"/>
  <c r="AF122" i="23"/>
  <c r="AZ97" i="24"/>
  <c r="AZ103" i="24"/>
  <c r="AZ115" i="24"/>
  <c r="AF92" i="23"/>
  <c r="AE86" i="23"/>
  <c r="AE118" i="23"/>
  <c r="BA106" i="24"/>
  <c r="AF108" i="23"/>
  <c r="AZ65" i="24"/>
  <c r="AZ71" i="24"/>
  <c r="BA77" i="24"/>
  <c r="BA83" i="24"/>
  <c r="BA89" i="24"/>
  <c r="AZ95" i="24"/>
  <c r="AZ101" i="24"/>
  <c r="AZ107" i="24"/>
  <c r="AZ113" i="24"/>
  <c r="AZ119" i="24"/>
  <c r="AE120" i="23"/>
  <c r="AF118" i="23"/>
  <c r="AF99" i="23"/>
  <c r="AE64" i="23"/>
  <c r="AE79" i="23"/>
  <c r="AF107" i="23"/>
  <c r="AE74" i="23"/>
  <c r="AE94" i="23"/>
  <c r="AF88" i="23"/>
  <c r="AZ85" i="24"/>
  <c r="AF76" i="23"/>
  <c r="AE99" i="23"/>
  <c r="AF82" i="23"/>
  <c r="BA112" i="24"/>
  <c r="AE123" i="23"/>
  <c r="BA66" i="24"/>
  <c r="AZ72" i="24"/>
  <c r="AZ78" i="24"/>
  <c r="BA84" i="24"/>
  <c r="AZ90" i="24"/>
  <c r="AZ96" i="24"/>
  <c r="AZ102" i="24"/>
  <c r="BA108" i="24"/>
  <c r="BA114" i="24"/>
  <c r="AE109" i="23"/>
  <c r="AF111" i="23"/>
  <c r="AE84" i="23"/>
  <c r="AE103" i="23"/>
  <c r="AF81" i="23"/>
  <c r="AE80" i="23"/>
  <c r="AE63" i="23"/>
  <c r="AE106" i="23"/>
  <c r="AE73" i="23"/>
  <c r="AZ79" i="24"/>
  <c r="AF115" i="23"/>
  <c r="AF90" i="23"/>
  <c r="AZ111" i="24"/>
  <c r="AF109" i="23"/>
  <c r="AF123" i="23"/>
  <c r="AZ66" i="24"/>
  <c r="BA72" i="24"/>
  <c r="BA78" i="24"/>
  <c r="AZ84" i="24"/>
  <c r="BA90" i="24"/>
  <c r="BA96" i="24"/>
  <c r="BA102" i="24"/>
  <c r="AZ108" i="24"/>
  <c r="AZ114" i="24"/>
  <c r="AE113" i="23"/>
  <c r="AF117" i="23"/>
  <c r="AE96" i="23"/>
  <c r="AF93" i="23"/>
  <c r="AE76" i="23"/>
  <c r="AF74" i="23"/>
  <c r="AE97" i="23"/>
  <c r="BA67" i="24"/>
  <c r="AE66" i="23"/>
  <c r="AZ117" i="24"/>
  <c r="AE62" i="23"/>
  <c r="BA100" i="24"/>
  <c r="AE122" i="23"/>
  <c r="AZ67" i="24"/>
  <c r="BA73" i="24"/>
  <c r="BA79" i="24"/>
  <c r="BA85" i="24"/>
  <c r="BA91" i="24"/>
  <c r="BA97" i="24"/>
  <c r="BA103" i="24"/>
  <c r="AZ109" i="24"/>
  <c r="BA115" i="24"/>
  <c r="AE114" i="23"/>
  <c r="AF119" i="23"/>
  <c r="AE108" i="23"/>
  <c r="AF80" i="23"/>
  <c r="AF95" i="23"/>
  <c r="AF105" i="23"/>
  <c r="AE81" i="23"/>
  <c r="AE87" i="23"/>
  <c r="AF86" i="23"/>
  <c r="AF89" i="23"/>
  <c r="AZ91" i="24"/>
  <c r="AF112" i="23"/>
  <c r="AF98" i="23"/>
  <c r="AE95" i="23"/>
  <c r="AE101" i="23"/>
  <c r="AZ62" i="24"/>
  <c r="AZ68" i="24"/>
  <c r="BA74" i="24"/>
  <c r="BA80" i="24"/>
  <c r="BA86" i="24"/>
  <c r="BA92" i="24"/>
  <c r="AZ98" i="24"/>
  <c r="AZ104" i="24"/>
  <c r="AZ110" i="24"/>
  <c r="BA116" i="24"/>
  <c r="AF116" i="23"/>
  <c r="AE117" i="23"/>
  <c r="AF100" i="23"/>
  <c r="AF104" i="23"/>
  <c r="AE104" i="23"/>
  <c r="AE78" i="23"/>
  <c r="AE88" i="23"/>
  <c r="AE100" i="23"/>
  <c r="AF110" i="23"/>
  <c r="BA69" i="24"/>
  <c r="AZ99" i="24"/>
  <c r="AF114" i="23"/>
  <c r="AF97" i="23"/>
  <c r="AF77" i="23"/>
  <c r="AZ63" i="24"/>
  <c r="BA68" i="24"/>
  <c r="AZ74" i="24"/>
  <c r="AZ80" i="24"/>
  <c r="AZ86" i="24"/>
  <c r="AZ92" i="24"/>
  <c r="BA98" i="24"/>
  <c r="BA104" i="24"/>
  <c r="BA110" i="24"/>
  <c r="AZ116" i="24"/>
  <c r="AE110" i="23"/>
  <c r="AE119" i="23"/>
  <c r="AE85" i="23"/>
  <c r="AE65" i="23"/>
  <c r="AF84" i="23"/>
  <c r="AE90" i="23"/>
  <c r="AE67" i="23"/>
  <c r="AE71" i="23"/>
  <c r="AF79" i="23"/>
  <c r="AZ87" i="24"/>
  <c r="AE105" i="23"/>
  <c r="AE111" i="23"/>
  <c r="AF106" i="23"/>
  <c r="BA62" i="24"/>
  <c r="AZ69" i="24"/>
  <c r="AZ75" i="24"/>
  <c r="BA81" i="24"/>
  <c r="BA87" i="24"/>
  <c r="AZ93" i="24"/>
  <c r="BA99" i="24"/>
  <c r="BA105" i="24"/>
  <c r="BA111" i="24"/>
  <c r="BA117" i="24"/>
  <c r="AE116" i="23"/>
  <c r="AF113" i="23"/>
  <c r="AE77" i="23"/>
  <c r="AE69" i="23"/>
  <c r="AE102" i="23"/>
  <c r="AE92" i="23"/>
  <c r="AF85" i="23"/>
  <c r="AE83" i="23"/>
  <c r="BA63" i="24"/>
  <c r="BA75" i="24"/>
  <c r="AZ81" i="24"/>
  <c r="BA93" i="24"/>
  <c r="AZ105" i="24"/>
  <c r="AE98" i="23"/>
  <c r="AF96" i="23"/>
  <c r="BA118" i="24"/>
  <c r="Q124" i="23"/>
  <c r="R124" i="23"/>
  <c r="Q123" i="23"/>
  <c r="AF67" i="24"/>
  <c r="AF73" i="24"/>
  <c r="AF79" i="24"/>
  <c r="AE85" i="24"/>
  <c r="AF91" i="24"/>
  <c r="AF97" i="24"/>
  <c r="AF103" i="24"/>
  <c r="AF109" i="24"/>
  <c r="AE115" i="24"/>
  <c r="Q116" i="23"/>
  <c r="R113" i="23"/>
  <c r="Q105" i="23"/>
  <c r="R85" i="23"/>
  <c r="Q70" i="23"/>
  <c r="R80" i="23"/>
  <c r="R96" i="23"/>
  <c r="R93" i="23"/>
  <c r="R82" i="23"/>
  <c r="R77" i="23"/>
  <c r="Q121" i="23"/>
  <c r="AE67" i="24"/>
  <c r="AE73" i="24"/>
  <c r="AE79" i="24"/>
  <c r="AF85" i="24"/>
  <c r="AE91" i="24"/>
  <c r="AE97" i="24"/>
  <c r="AE103" i="24"/>
  <c r="AE109" i="24"/>
  <c r="AF115" i="24"/>
  <c r="Q117" i="23"/>
  <c r="R112" i="23"/>
  <c r="R81" i="23"/>
  <c r="Q80" i="23"/>
  <c r="R88" i="23"/>
  <c r="R98" i="23"/>
  <c r="Q78" i="23"/>
  <c r="Q94" i="23"/>
  <c r="Q82" i="23"/>
  <c r="R89" i="23"/>
  <c r="R67" i="23"/>
  <c r="Q77" i="23"/>
  <c r="AE87" i="24"/>
  <c r="AE117" i="24"/>
  <c r="Q107" i="23"/>
  <c r="Q74" i="23"/>
  <c r="Q68" i="23"/>
  <c r="AF88" i="24"/>
  <c r="Q108" i="23"/>
  <c r="Q98" i="23"/>
  <c r="Q115" i="23"/>
  <c r="R75" i="23"/>
  <c r="R106" i="23"/>
  <c r="R63" i="23"/>
  <c r="AE77" i="24"/>
  <c r="R78" i="23"/>
  <c r="AF84" i="24"/>
  <c r="R83" i="23"/>
  <c r="AE63" i="24"/>
  <c r="AF68" i="24"/>
  <c r="AF74" i="24"/>
  <c r="AF80" i="24"/>
  <c r="AE86" i="24"/>
  <c r="AE92" i="24"/>
  <c r="AE98" i="24"/>
  <c r="AF104" i="24"/>
  <c r="AE110" i="24"/>
  <c r="AF116" i="24"/>
  <c r="Q118" i="23"/>
  <c r="Q111" i="23"/>
  <c r="Q95" i="23"/>
  <c r="Q76" i="23"/>
  <c r="Q79" i="23"/>
  <c r="Q62" i="23"/>
  <c r="Q84" i="23"/>
  <c r="R73" i="23"/>
  <c r="AE81" i="24"/>
  <c r="AF99" i="24"/>
  <c r="Q102" i="23"/>
  <c r="R99" i="23"/>
  <c r="AE100" i="24"/>
  <c r="R117" i="23"/>
  <c r="R62" i="23"/>
  <c r="Q73" i="23"/>
  <c r="R116" i="23"/>
  <c r="Q101" i="23"/>
  <c r="Q96" i="23"/>
  <c r="Q87" i="23"/>
  <c r="R94" i="23"/>
  <c r="R122" i="23"/>
  <c r="AE95" i="24"/>
  <c r="R109" i="23"/>
  <c r="Q66" i="23"/>
  <c r="AF72" i="24"/>
  <c r="AE108" i="24"/>
  <c r="R87" i="23"/>
  <c r="Q65" i="23"/>
  <c r="AF62" i="24"/>
  <c r="AE68" i="24"/>
  <c r="AE74" i="24"/>
  <c r="AE80" i="24"/>
  <c r="AF86" i="24"/>
  <c r="AF92" i="24"/>
  <c r="AF98" i="24"/>
  <c r="AE104" i="24"/>
  <c r="AF110" i="24"/>
  <c r="AE116" i="24"/>
  <c r="Q119" i="23"/>
  <c r="Q113" i="23"/>
  <c r="R97" i="23"/>
  <c r="R64" i="23"/>
  <c r="R95" i="23"/>
  <c r="Q103" i="23"/>
  <c r="R79" i="23"/>
  <c r="R92" i="23"/>
  <c r="Q93" i="23"/>
  <c r="Q89" i="23"/>
  <c r="R74" i="23"/>
  <c r="AE62" i="24"/>
  <c r="AE69" i="24"/>
  <c r="AE75" i="24"/>
  <c r="AF81" i="24"/>
  <c r="AF87" i="24"/>
  <c r="AE93" i="24"/>
  <c r="AE99" i="24"/>
  <c r="AE105" i="24"/>
  <c r="AE111" i="24"/>
  <c r="AF117" i="24"/>
  <c r="R114" i="23"/>
  <c r="R111" i="23"/>
  <c r="Q110" i="23"/>
  <c r="Q104" i="23"/>
  <c r="Q85" i="23"/>
  <c r="R71" i="23"/>
  <c r="R102" i="23"/>
  <c r="Q106" i="23"/>
  <c r="AF75" i="24"/>
  <c r="AF105" i="24"/>
  <c r="R86" i="23"/>
  <c r="Q71" i="23"/>
  <c r="AE82" i="24"/>
  <c r="AF112" i="24"/>
  <c r="Q99" i="23"/>
  <c r="R105" i="23"/>
  <c r="Q69" i="23"/>
  <c r="Q97" i="23"/>
  <c r="R100" i="23"/>
  <c r="AF65" i="24"/>
  <c r="AE113" i="24"/>
  <c r="R90" i="23"/>
  <c r="R65" i="23"/>
  <c r="AF66" i="24"/>
  <c r="AE114" i="24"/>
  <c r="Q67" i="23"/>
  <c r="AF63" i="24"/>
  <c r="AF69" i="24"/>
  <c r="AF93" i="24"/>
  <c r="AF111" i="24"/>
  <c r="Q120" i="23"/>
  <c r="R101" i="23"/>
  <c r="AF106" i="24"/>
  <c r="Q114" i="23"/>
  <c r="Q64" i="23"/>
  <c r="R70" i="23"/>
  <c r="R107" i="23"/>
  <c r="Q83" i="23"/>
  <c r="R118" i="23"/>
  <c r="R72" i="23"/>
  <c r="AF83" i="24"/>
  <c r="AE101" i="24"/>
  <c r="R115" i="23"/>
  <c r="Q90" i="23"/>
  <c r="AE78" i="24"/>
  <c r="R119" i="23"/>
  <c r="Q109" i="23"/>
  <c r="AF64" i="24"/>
  <c r="AE70" i="24"/>
  <c r="AF76" i="24"/>
  <c r="AF94" i="24"/>
  <c r="AF118" i="24"/>
  <c r="Q72" i="23"/>
  <c r="Q92" i="23"/>
  <c r="AE71" i="24"/>
  <c r="R68" i="23"/>
  <c r="AE102" i="24"/>
  <c r="Q86" i="23"/>
  <c r="AE64" i="24"/>
  <c r="AF70" i="24"/>
  <c r="AE76" i="24"/>
  <c r="AF82" i="24"/>
  <c r="AE88" i="24"/>
  <c r="AE94" i="24"/>
  <c r="AF100" i="24"/>
  <c r="AE106" i="24"/>
  <c r="AE112" i="24"/>
  <c r="AE118" i="24"/>
  <c r="R76" i="23"/>
  <c r="AE107" i="24"/>
  <c r="R104" i="23"/>
  <c r="AF90" i="24"/>
  <c r="Q75" i="23"/>
  <c r="R121" i="23"/>
  <c r="AE65" i="24"/>
  <c r="AF71" i="24"/>
  <c r="AF77" i="24"/>
  <c r="AE83" i="24"/>
  <c r="AE89" i="24"/>
  <c r="AF95" i="24"/>
  <c r="AF101" i="24"/>
  <c r="AF107" i="24"/>
  <c r="AF113" i="24"/>
  <c r="R108" i="23"/>
  <c r="AF89" i="24"/>
  <c r="R69" i="23"/>
  <c r="R123" i="23"/>
  <c r="AE96" i="24"/>
  <c r="R110" i="23"/>
  <c r="Q91" i="23"/>
  <c r="Q122" i="23"/>
  <c r="AE66" i="24"/>
  <c r="AE72" i="24"/>
  <c r="AF78" i="24"/>
  <c r="AE84" i="24"/>
  <c r="AE90" i="24"/>
  <c r="AF96" i="24"/>
  <c r="AF102" i="24"/>
  <c r="AF108" i="24"/>
  <c r="AF114" i="24"/>
  <c r="R120" i="23"/>
  <c r="Q112" i="23"/>
  <c r="Q88" i="23"/>
  <c r="R84" i="23"/>
  <c r="Q100" i="23"/>
  <c r="Q81" i="23"/>
  <c r="R103" i="23"/>
  <c r="R91" i="23"/>
  <c r="R66" i="23"/>
  <c r="Q63" i="23"/>
  <c r="M17" i="22"/>
  <c r="M29" i="22"/>
  <c r="M41" i="22"/>
  <c r="L10" i="22"/>
  <c r="L22" i="22"/>
  <c r="M56" i="22"/>
  <c r="L35" i="22"/>
  <c r="M18" i="22"/>
  <c r="M30" i="22"/>
  <c r="M42" i="22"/>
  <c r="L11" i="22"/>
  <c r="L23" i="22"/>
  <c r="M57" i="22"/>
  <c r="L36" i="22"/>
  <c r="L48" i="22"/>
  <c r="L60" i="22"/>
  <c r="M19" i="22"/>
  <c r="M31" i="22"/>
  <c r="M43" i="22"/>
  <c r="L12" i="22"/>
  <c r="L24" i="22"/>
  <c r="M58" i="22"/>
  <c r="L37" i="22"/>
  <c r="L49" i="22"/>
  <c r="L61" i="22"/>
  <c r="M8" i="22"/>
  <c r="M20" i="22"/>
  <c r="M32" i="22"/>
  <c r="M44" i="22"/>
  <c r="L13" i="22"/>
  <c r="L25" i="22"/>
  <c r="M59" i="22"/>
  <c r="L38" i="22"/>
  <c r="L50" i="22"/>
  <c r="M49" i="22"/>
  <c r="L34" i="22"/>
  <c r="M9" i="22"/>
  <c r="M21" i="22"/>
  <c r="M33" i="22"/>
  <c r="M45" i="22"/>
  <c r="L14" i="22"/>
  <c r="L26" i="22"/>
  <c r="M60" i="22"/>
  <c r="L39" i="22"/>
  <c r="L51" i="22"/>
  <c r="L18" i="22"/>
  <c r="L55" i="22"/>
  <c r="M10" i="22"/>
  <c r="M22" i="22"/>
  <c r="M34" i="22"/>
  <c r="M46" i="22"/>
  <c r="L15" i="22"/>
  <c r="L27" i="22"/>
  <c r="M61" i="22"/>
  <c r="L40" i="22"/>
  <c r="L52" i="22"/>
  <c r="M37" i="22"/>
  <c r="L31" i="22"/>
  <c r="M11" i="22"/>
  <c r="M23" i="22"/>
  <c r="M35" i="22"/>
  <c r="M47" i="22"/>
  <c r="L16" i="22"/>
  <c r="L28" i="22"/>
  <c r="L29" i="22"/>
  <c r="L41" i="22"/>
  <c r="L53" i="22"/>
  <c r="M52" i="22"/>
  <c r="L46" i="22"/>
  <c r="M12" i="22"/>
  <c r="M24" i="22"/>
  <c r="M36" i="22"/>
  <c r="M48" i="22"/>
  <c r="L17" i="22"/>
  <c r="M51" i="22"/>
  <c r="L30" i="22"/>
  <c r="L42" i="22"/>
  <c r="L54" i="22"/>
  <c r="M25" i="22"/>
  <c r="L43" i="22"/>
  <c r="L47" i="22"/>
  <c r="M13" i="22"/>
  <c r="L59" i="22"/>
  <c r="M14" i="22"/>
  <c r="M26" i="22"/>
  <c r="M38" i="22"/>
  <c r="M50" i="22"/>
  <c r="L19" i="22"/>
  <c r="M53" i="22"/>
  <c r="L32" i="22"/>
  <c r="L44" i="22"/>
  <c r="L56" i="22"/>
  <c r="M16" i="22"/>
  <c r="M40" i="22"/>
  <c r="L9" i="22"/>
  <c r="M55" i="22"/>
  <c r="M15" i="22"/>
  <c r="M27" i="22"/>
  <c r="M39" i="22"/>
  <c r="L8" i="22"/>
  <c r="L20" i="22"/>
  <c r="M54" i="22"/>
  <c r="L33" i="22"/>
  <c r="L45" i="22"/>
  <c r="L57" i="22"/>
  <c r="M28" i="22"/>
  <c r="L21" i="22"/>
  <c r="L58" i="22"/>
  <c r="M62" i="22"/>
  <c r="L68" i="22"/>
  <c r="M75" i="22"/>
  <c r="L80" i="22"/>
  <c r="L86" i="22"/>
  <c r="M92" i="22"/>
  <c r="M98" i="22"/>
  <c r="L104" i="22"/>
  <c r="L110" i="22"/>
  <c r="M116" i="22"/>
  <c r="M121" i="22"/>
  <c r="L81" i="22"/>
  <c r="L98" i="22"/>
  <c r="M111" i="22"/>
  <c r="L118" i="22"/>
  <c r="M120" i="22"/>
  <c r="L120" i="22"/>
  <c r="L97" i="22"/>
  <c r="M78" i="22"/>
  <c r="L102" i="22"/>
  <c r="L62" i="22"/>
  <c r="M68" i="22"/>
  <c r="L75" i="22"/>
  <c r="M80" i="22"/>
  <c r="M87" i="22"/>
  <c r="L92" i="22"/>
  <c r="L99" i="22"/>
  <c r="M104" i="22"/>
  <c r="M110" i="22"/>
  <c r="L116" i="22"/>
  <c r="M86" i="22"/>
  <c r="M105" i="22"/>
  <c r="M93" i="22"/>
  <c r="L111" i="22"/>
  <c r="L83" i="22"/>
  <c r="L114" i="22"/>
  <c r="L90" i="22"/>
  <c r="M85" i="22"/>
  <c r="M115" i="22"/>
  <c r="L63" i="22"/>
  <c r="L69" i="22"/>
  <c r="M74" i="22"/>
  <c r="L93" i="22"/>
  <c r="L117" i="22"/>
  <c r="M99" i="22"/>
  <c r="M118" i="22"/>
  <c r="L106" i="22"/>
  <c r="L95" i="22"/>
  <c r="L119" i="22"/>
  <c r="L100" i="22"/>
  <c r="L73" i="22"/>
  <c r="M63" i="22"/>
  <c r="M69" i="22"/>
  <c r="L74" i="22"/>
  <c r="M81" i="22"/>
  <c r="L87" i="22"/>
  <c r="L105" i="22"/>
  <c r="M117" i="22"/>
  <c r="M101" i="22"/>
  <c r="M89" i="22"/>
  <c r="M113" i="22"/>
  <c r="M103" i="22"/>
  <c r="L65" i="22"/>
  <c r="M70" i="22"/>
  <c r="M76" i="22"/>
  <c r="M82" i="22"/>
  <c r="L89" i="22"/>
  <c r="M94" i="22"/>
  <c r="M100" i="22"/>
  <c r="M106" i="22"/>
  <c r="M112" i="22"/>
  <c r="M95" i="22"/>
  <c r="L108" i="22"/>
  <c r="L84" i="22"/>
  <c r="M91" i="22"/>
  <c r="M67" i="22"/>
  <c r="M65" i="22"/>
  <c r="L70" i="22"/>
  <c r="L76" i="22"/>
  <c r="L82" i="22"/>
  <c r="L88" i="22"/>
  <c r="L94" i="22"/>
  <c r="L101" i="22"/>
  <c r="L112" i="22"/>
  <c r="L107" i="22"/>
  <c r="M119" i="22"/>
  <c r="L115" i="22"/>
  <c r="L85" i="22"/>
  <c r="M64" i="22"/>
  <c r="M71" i="22"/>
  <c r="M77" i="22"/>
  <c r="M83" i="22"/>
  <c r="M88" i="22"/>
  <c r="M114" i="22"/>
  <c r="L96" i="22"/>
  <c r="M102" i="22"/>
  <c r="M97" i="22"/>
  <c r="L91" i="22"/>
  <c r="L64" i="22"/>
  <c r="L71" i="22"/>
  <c r="L77" i="22"/>
  <c r="M107" i="22"/>
  <c r="M73" i="22"/>
  <c r="L109" i="22"/>
  <c r="L66" i="22"/>
  <c r="L72" i="22"/>
  <c r="L79" i="22"/>
  <c r="M84" i="22"/>
  <c r="M90" i="22"/>
  <c r="L103" i="22"/>
  <c r="L113" i="22"/>
  <c r="M109" i="22"/>
  <c r="M79" i="22"/>
  <c r="M66" i="22"/>
  <c r="M72" i="22"/>
  <c r="L78" i="22"/>
  <c r="M108" i="22"/>
  <c r="L121" i="22"/>
  <c r="M96" i="22"/>
  <c r="L67" i="22"/>
  <c r="AD12" i="24" l="1"/>
  <c r="AE12" i="24"/>
  <c r="AB12" i="24"/>
  <c r="AF12" i="24"/>
  <c r="AA12" i="24"/>
  <c r="AB11" i="24"/>
  <c r="AF11" i="24"/>
  <c r="AA11" i="24"/>
  <c r="AE11" i="24"/>
  <c r="AF13" i="24"/>
  <c r="AA13" i="24"/>
  <c r="AB13" i="24"/>
  <c r="AD13" i="24"/>
  <c r="BY51" i="24" a="1"/>
  <c r="BY51" i="24" s="1"/>
  <c r="AD11" i="24"/>
  <c r="BY52" i="24" a="1"/>
  <c r="BY52" i="24" s="1"/>
  <c r="CL43" i="24" s="1"/>
  <c r="AE13" i="2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tc={18E5A2A4-4328-4013-9C5A-7FF3FFE52F37}</author>
    <author>tc={B28540D2-8971-4B31-876F-24BE58C058FA}</author>
    <author>tc={361F45E2-544C-4814-986A-5F23748796D7}</author>
    <author>tc={84201E2F-7D32-4D3E-A68C-2A395C0AFEB1}</author>
    <author>tc={A873C920-16AD-4BAC-9C3D-8B9354B93FEC}</author>
    <author>tc={0621FDE1-092F-4B0A-B6B9-713897DF0CC5}</author>
    <author>tc={6744EB57-859E-42EA-B4F2-F10942B49A22}</author>
    <author>tc={33530D03-226A-4358-A568-CF8D6E16063E}</author>
    <author>tc={DEE131DF-B99E-49E5-B71E-E8FA46139EA4}</author>
    <author>tc={D7D1BB5E-BF21-4496-ACA8-360768C57861}</author>
    <author>tc={A4FE517B-52ED-47DC-A9CE-D59F3913061A}</author>
    <author>tc={C9ADCFB2-7E30-41ED-B43B-6911BE354135}</author>
  </authors>
  <commentList>
    <comment ref="AE3" authorId="0" shapeId="0" xr:uid="{18E5A2A4-4328-4013-9C5A-7FF3FFE52F37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Saturation value or carrying capalcity</t>
      </text>
    </comment>
    <comment ref="AE4" authorId="1" shapeId="0" xr:uid="{B28540D2-8971-4B31-876F-24BE58C058FA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Point of inflection</t>
      </text>
    </comment>
    <comment ref="AE5" authorId="2" shapeId="0" xr:uid="{361F45E2-544C-4814-986A-5F23748796D7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Slope or decay time</t>
      </text>
    </comment>
    <comment ref="AE6" authorId="3" shapeId="0" xr:uid="{84201E2F-7D32-4D3E-A68C-2A395C0AFEB1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backdating of starting day</t>
      </text>
    </comment>
    <comment ref="B29" authorId="4" shapeId="0" xr:uid="{A873C920-16AD-4BAC-9C3D-8B9354B93FEC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Data from https://github.com/CSSEGISandData</t>
      </text>
    </comment>
    <comment ref="B62" authorId="5" shapeId="0" xr:uid="{0621FDE1-092F-4B0A-B6B9-713897DF0CC5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first red zones (north)</t>
      </text>
    </comment>
    <comment ref="B68" authorId="6" shapeId="0" xr:uid="{6744EB57-859E-42EA-B4F2-F10942B49A22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partial lockdown (north)</t>
      </text>
    </comment>
    <comment ref="B72" authorId="7" shapeId="0" xr:uid="{33530D03-226A-4358-A568-CF8D6E16063E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school closure (Italy)</t>
      </text>
    </comment>
    <comment ref="B75" authorId="8" shapeId="0" xr:uid="{DEE131DF-B99E-49E5-B71E-E8FA46139EA4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full lockdown (northern Italy)</t>
      </text>
    </comment>
    <comment ref="B77" authorId="9" shapeId="0" xr:uid="{D7D1BB5E-BF21-4496-ACA8-360768C57861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partial lockdown (Italy)</t>
      </text>
    </comment>
    <comment ref="B79" authorId="10" shapeId="0" xr:uid="{A4FE517B-52ED-47DC-A9CE-D59F3913061A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full lockdown (Italy)</t>
      </text>
    </comment>
    <comment ref="B90" authorId="11" shapeId="0" xr:uid="{C9ADCFB2-7E30-41ED-B43B-6911BE354135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reinforced lockdown (Italy)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tc={A31BDA61-CB03-4589-AEDD-5DBC77775160}</author>
    <author>tc={7BE39CE0-31A0-4271-9AA0-823748DBF6B6}</author>
    <author>tc={6309FC12-6801-488A-98E6-0897E47B5D66}</author>
    <author>tc={9F495C09-5724-4158-AA5F-E592AFE5A86E}</author>
    <author>tc={35848DFF-2269-48CA-BBD5-939EFA41CE4B}</author>
    <author>tc={55BA04F6-DD5C-404D-9143-067D1A800A3A}</author>
    <author>tc={BDDA7B4B-B1F4-44B2-A550-3674E961B52E}</author>
    <author>tc={4CDB76F3-57CC-4212-B53F-F8F165375B94}</author>
    <author>tc={CE65C50C-3F83-4631-A90E-C07B7C5721E9}</author>
    <author>tc={92B8577E-1708-4B0F-85FD-31A0291F718A}</author>
    <author>tc={67CE4491-269D-478E-850E-4FD0904AA888}</author>
    <author>tc={12A51D8D-BC18-4F3B-A122-CB2A491B9543}</author>
  </authors>
  <commentList>
    <comment ref="AT3" authorId="0" shapeId="0" xr:uid="{A31BDA61-CB03-4589-AEDD-5DBC77775160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Saturation value or carrying capalcity</t>
      </text>
    </comment>
    <comment ref="AT4" authorId="1" shapeId="0" xr:uid="{7BE39CE0-31A0-4271-9AA0-823748DBF6B6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Point of inflection</t>
      </text>
    </comment>
    <comment ref="AT5" authorId="2" shapeId="0" xr:uid="{6309FC12-6801-488A-98E6-0897E47B5D66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Slope or decay time</t>
      </text>
    </comment>
    <comment ref="AT6" authorId="3" shapeId="0" xr:uid="{9F495C09-5724-4158-AA5F-E592AFE5A86E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backdating of starting day</t>
      </text>
    </comment>
    <comment ref="B29" authorId="4" shapeId="0" xr:uid="{35848DFF-2269-48CA-BBD5-939EFA41CE4B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see previous sheet</t>
      </text>
    </comment>
    <comment ref="B62" authorId="5" shapeId="0" xr:uid="{55BA04F6-DD5C-404D-9143-067D1A800A3A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first red zones (north)</t>
      </text>
    </comment>
    <comment ref="B68" authorId="6" shapeId="0" xr:uid="{BDDA7B4B-B1F4-44B2-A550-3674E961B52E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partial lockdown (north)</t>
      </text>
    </comment>
    <comment ref="B72" authorId="7" shapeId="0" xr:uid="{4CDB76F3-57CC-4212-B53F-F8F165375B94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school closure (Italy)</t>
      </text>
    </comment>
    <comment ref="B75" authorId="8" shapeId="0" xr:uid="{CE65C50C-3F83-4631-A90E-C07B7C5721E9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full lockdown (northern Italy)</t>
      </text>
    </comment>
    <comment ref="B77" authorId="9" shapeId="0" xr:uid="{92B8577E-1708-4B0F-85FD-31A0291F718A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partial lockdown (Italy)</t>
      </text>
    </comment>
    <comment ref="B79" authorId="10" shapeId="0" xr:uid="{67CE4491-269D-478E-850E-4FD0904AA888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full lockdown (Italy)</t>
      </text>
    </comment>
    <comment ref="B90" authorId="11" shapeId="0" xr:uid="{12A51D8D-BC18-4F3B-A122-CB2A491B9543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reinforced lockdown (Italy)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tc={BB0CE72B-86F5-40CC-A38D-61CE1AB51BF1}</author>
    <author>tc={0A75884C-28A9-44E8-B517-A5859A3D3EC5}</author>
    <author>tc={9DA0AE34-ACAD-4BEE-AFA0-4063CA815C6D}</author>
    <author>tc={C0E20805-0FA1-4030-9D4B-CC20AC2CEB72}</author>
    <author>tc={3D06FFC5-AE5C-40AF-951E-8817B4F3A121}</author>
    <author>tc={F1B3988C-7831-496F-82F5-0B82EE836187}</author>
    <author>tc={13AB517F-BD4E-4746-AF07-A982E4FB6ACE}</author>
    <author>tc={DDE92F60-776B-4CDE-B4EB-B14A18B23E6B}</author>
    <author>tc={4D0715D5-E2BE-4259-9DBA-1C570C2BC087}</author>
    <author>tc={45A3707D-7D38-4419-9325-AB8727F4742B}</author>
    <author>tc={05E3B6D9-8618-4BF7-8E63-7AFE3A48A850}</author>
  </authors>
  <commentList>
    <comment ref="BZ3" authorId="0" shapeId="0" xr:uid="{BB0CE72B-86F5-40CC-A38D-61CE1AB51BF1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Saturation value or carrying capalcity</t>
      </text>
    </comment>
    <comment ref="BZ4" authorId="1" shapeId="0" xr:uid="{0A75884C-28A9-44E8-B517-A5859A3D3EC5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Point of inflection</t>
      </text>
    </comment>
    <comment ref="BZ5" authorId="2" shapeId="0" xr:uid="{9DA0AE34-ACAD-4BEE-AFA0-4063CA815C6D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Slope or decay time</t>
      </text>
    </comment>
    <comment ref="BZ6" authorId="3" shapeId="0" xr:uid="{C0E20805-0FA1-4030-9D4B-CC20AC2CEB72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backdating of starting day</t>
      </text>
    </comment>
    <comment ref="B62" authorId="4" shapeId="0" xr:uid="{3D06FFC5-AE5C-40AF-951E-8817B4F3A121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first red zones (north)</t>
      </text>
    </comment>
    <comment ref="B68" authorId="5" shapeId="0" xr:uid="{F1B3988C-7831-496F-82F5-0B82EE836187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partial lockdown (north)</t>
      </text>
    </comment>
    <comment ref="B72" authorId="6" shapeId="0" xr:uid="{13AB517F-BD4E-4746-AF07-A982E4FB6ACE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school closure (Italy)</t>
      </text>
    </comment>
    <comment ref="B75" authorId="7" shapeId="0" xr:uid="{DDE92F60-776B-4CDE-B4EB-B14A18B23E6B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full lockdown (northern Italy)</t>
      </text>
    </comment>
    <comment ref="B77" authorId="8" shapeId="0" xr:uid="{4D0715D5-E2BE-4259-9DBA-1C570C2BC087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partial lockdown (Italy)</t>
      </text>
    </comment>
    <comment ref="B79" authorId="9" shapeId="0" xr:uid="{45A3707D-7D38-4419-9325-AB8727F4742B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full lockdown (Italy)</t>
      </text>
    </comment>
    <comment ref="B90" authorId="10" shapeId="0" xr:uid="{05E3B6D9-8618-4BF7-8E63-7AFE3A48A850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reinforced lockdown (Italy)</t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897CD08-FC61-4FE4-AB7F-5BD4BDD5E72A}" keepAlive="1" name="Query - dpc-covid19-ita-andamento-nazionale" description="Connessione alla query 'dpc-covid19-ita-andamento-nazionale' nella cartella di lavoro." type="5" refreshedVersion="6" background="1" saveData="1">
    <dbPr connection="Provider=Microsoft.Mashup.OleDb.1;Data Source=$Workbook$;Location=dpc-covid19-ita-andamento-nazionale;Extended Properties=&quot;&quot;" command="SELECT * FROM [dpc-covid19-ita-andamento-nazionale]"/>
  </connection>
  <connection id="2" xr16:uid="{AB9125BF-B115-49B9-91F9-CD5F3A8576B4}" keepAlive="1" name="Query - dpc-covid19-ita-andamento-nazionale (10)" description="Connessione alla query 'dpc-covid19-ita-andamento-nazionale (10)' nella cartella di lavoro." type="5" refreshedVersion="6" background="1" saveData="1">
    <dbPr connection="Provider=Microsoft.Mashup.OleDb.1;Data Source=$Workbook$;Location=&quot;dpc-covid19-ita-andamento-nazionale (10)&quot;;Extended Properties=&quot;&quot;" command="SELECT * FROM [dpc-covid19-ita-andamento-nazionale (10)]"/>
  </connection>
  <connection id="3" xr16:uid="{600A235F-1026-4113-A353-F496C5298061}" keepAlive="1" name="Query - dpc-covid19-ita-andamento-nazionale (2)" description="Connessione alla query 'dpc-covid19-ita-andamento-nazionale (2)' nella cartella di lavoro." type="5" refreshedVersion="6" background="1" saveData="1">
    <dbPr connection="Provider=Microsoft.Mashup.OleDb.1;Data Source=$Workbook$;Location=&quot;dpc-covid19-ita-andamento-nazionale (2)&quot;;Extended Properties=&quot;&quot;" command="SELECT * FROM [dpc-covid19-ita-andamento-nazionale (2)]"/>
  </connection>
  <connection id="4" xr16:uid="{34ADFF1E-043C-4677-B979-DBE7398C19BF}" keepAlive="1" name="Query - dpc-covid19-ita-andamento-nazionale (3)" description="Connessione alla query 'dpc-covid19-ita-andamento-nazionale (3)' nella cartella di lavoro." type="5" refreshedVersion="6" background="1" saveData="1">
    <dbPr connection="Provider=Microsoft.Mashup.OleDb.1;Data Source=$Workbook$;Location=&quot;dpc-covid19-ita-andamento-nazionale (3)&quot;;Extended Properties=&quot;&quot;" command="SELECT * FROM [dpc-covid19-ita-andamento-nazionale (3)]"/>
  </connection>
  <connection id="5" xr16:uid="{0A0BBF4F-D2A7-4A62-A8DD-1FCF29187A2E}" keepAlive="1" name="Query - dpc-covid19-ita-andamento-nazionale (4)" description="Connessione alla query 'dpc-covid19-ita-andamento-nazionale (4)' nella cartella di lavoro." type="5" refreshedVersion="6" background="1" saveData="1">
    <dbPr connection="Provider=Microsoft.Mashup.OleDb.1;Data Source=$Workbook$;Location=&quot;dpc-covid19-ita-andamento-nazionale (4)&quot;;Extended Properties=&quot;&quot;" command="SELECT * FROM [dpc-covid19-ita-andamento-nazionale (4)]"/>
  </connection>
  <connection id="6" xr16:uid="{5198AC09-F82A-476C-B5AC-29C3DDF427FA}" keepAlive="1" name="Query - dpc-covid19-ita-andamento-nazionale (5)" description="Connessione alla query 'dpc-covid19-ita-andamento-nazionale (5)' nella cartella di lavoro." type="5" refreshedVersion="6" background="1" saveData="1">
    <dbPr connection="Provider=Microsoft.Mashup.OleDb.1;Data Source=$Workbook$;Location=&quot;dpc-covid19-ita-andamento-nazionale (5)&quot;;Extended Properties=&quot;&quot;" command="SELECT * FROM [dpc-covid19-ita-andamento-nazionale (5)]"/>
  </connection>
  <connection id="7" xr16:uid="{0CDB0A75-ABD7-426A-87B7-2465E15FBDF3}" keepAlive="1" name="Query - dpc-covid19-ita-andamento-nazionale (6)" description="Connessione alla query 'dpc-covid19-ita-andamento-nazionale (6)' nella cartella di lavoro." type="5" refreshedVersion="6" background="1" saveData="1">
    <dbPr connection="Provider=Microsoft.Mashup.OleDb.1;Data Source=$Workbook$;Location=&quot;dpc-covid19-ita-andamento-nazionale (6)&quot;;Extended Properties=&quot;&quot;" command="SELECT * FROM [dpc-covid19-ita-andamento-nazionale (6)]"/>
  </connection>
  <connection id="8" xr16:uid="{33750D60-6E02-4074-A863-BEA5FD4335F3}" keepAlive="1" name="Query - dpc-covid19-ita-andamento-nazionale (7)" description="Connessione alla query 'dpc-covid19-ita-andamento-nazionale (7)' nella cartella di lavoro." type="5" refreshedVersion="6" background="1" saveData="1">
    <dbPr connection="Provider=Microsoft.Mashup.OleDb.1;Data Source=$Workbook$;Location=&quot;dpc-covid19-ita-andamento-nazionale (7)&quot;;Extended Properties=&quot;&quot;" command="SELECT * FROM [dpc-covid19-ita-andamento-nazionale (7)]"/>
  </connection>
  <connection id="9" xr16:uid="{6D24FD6D-E97C-47AA-8BA3-4DE573F0DB36}" keepAlive="1" name="Query - dpc-covid19-ita-andamento-nazionale (8)" description="Connessione alla query 'dpc-covid19-ita-andamento-nazionale (8)' nella cartella di lavoro." type="5" refreshedVersion="6" background="1" saveData="1">
    <dbPr connection="Provider=Microsoft.Mashup.OleDb.1;Data Source=$Workbook$;Location=&quot;dpc-covid19-ita-andamento-nazionale (8)&quot;;Extended Properties=&quot;&quot;" command="SELECT * FROM [dpc-covid19-ita-andamento-nazionale (8)]"/>
  </connection>
  <connection id="10" xr16:uid="{09B9BECC-52F0-443E-85DF-E1447200184C}" keepAlive="1" name="Query - dpc-covid19-ita-andamento-nazionale (9)" description="Connessione alla query 'dpc-covid19-ita-andamento-nazionale (9)' nella cartella di lavoro." type="5" refreshedVersion="6" background="1" saveData="1">
    <dbPr connection="Provider=Microsoft.Mashup.OleDb.1;Data Source=$Workbook$;Location=&quot;dpc-covid19-ita-andamento-nazionale (9)&quot;;Extended Properties=&quot;&quot;" command="SELECT * FROM [dpc-covid19-ita-andamento-nazionale (9)]"/>
  </connection>
  <connection id="11" xr16:uid="{D9C35F96-02C9-490F-87B0-9FE8BEB6F2D3}" keepAlive="1" name="Query - dpc-covid19-ita-regioni" description="Connessione alla query 'dpc-covid19-ita-regioni' nella cartella di lavoro." type="5" refreshedVersion="6" background="1" saveData="1">
    <dbPr connection="Provider=Microsoft.Mashup.OleDb.1;Data Source=$Workbook$;Location=dpc-covid19-ita-regioni;Extended Properties=&quot;&quot;" command="SELECT * FROM [dpc-covid19-ita-regioni]"/>
  </connection>
  <connection id="12" xr16:uid="{7B5BDFD5-A01D-4A93-9334-AF9EAE70351E}" keepAlive="1" name="Query - dpc-covid19-ita-regioni (2)" description="Connessione alla query 'dpc-covid19-ita-regioni (2)' nella cartella di lavoro." type="5" refreshedVersion="6" background="1" saveData="1">
    <dbPr connection="Provider=Microsoft.Mashup.OleDb.1;Data Source=$Workbook$;Location=&quot;dpc-covid19-ita-regioni (2)&quot;;Extended Properties=&quot;&quot;" command="SELECT * FROM [dpc-covid19-ita-regioni (2)]"/>
  </connection>
  <connection id="13" xr16:uid="{78D4B2F2-C57B-4E13-890E-FD5C70175E5E}" keepAlive="1" name="Query - dpc-covid19-ita-regioni (3)" description="Connessione alla query 'dpc-covid19-ita-regioni (3)' nella cartella di lavoro." type="5" refreshedVersion="6" background="1" saveData="1">
    <dbPr connection="Provider=Microsoft.Mashup.OleDb.1;Data Source=$Workbook$;Location=&quot;dpc-covid19-ita-regioni (3)&quot;;Extended Properties=&quot;&quot;" command="SELECT * FROM [dpc-covid19-ita-regioni (3)]"/>
  </connection>
  <connection id="14" xr16:uid="{0E1B982F-57E9-4809-885F-F9AC207D6541}" keepAlive="1" name="Query - dpc-covid19-ita-regioni (4)" description="Connessione alla query 'dpc-covid19-ita-regioni (4)' nella cartella di lavoro." type="5" refreshedVersion="6" background="1" saveData="1">
    <dbPr connection="Provider=Microsoft.Mashup.OleDb.1;Data Source=$Workbook$;Location=&quot;dpc-covid19-ita-regioni (4)&quot;;Extended Properties=&quot;&quot;" command="SELECT * FROM [dpc-covid19-ita-regioni (4)]"/>
  </connection>
  <connection id="15" xr16:uid="{0F897742-E816-4FE8-822F-0141BD59699A}" keepAlive="1" name="Query - dpc-covid19-ita-regioni (5)" description="Connessione alla query 'dpc-covid19-ita-regioni (5)' nella cartella di lavoro." type="5" refreshedVersion="6" background="1" saveData="1">
    <dbPr connection="Provider=Microsoft.Mashup.OleDb.1;Data Source=$Workbook$;Location=&quot;dpc-covid19-ita-regioni (5)&quot;;Extended Properties=&quot;&quot;" command="SELECT * FROM [dpc-covid19-ita-regioni (5)]"/>
  </connection>
  <connection id="16" xr16:uid="{35EC220A-A28A-4804-A7E9-6B59E3FB97E2}" keepAlive="1" name="Query - Tabella1" description="Connessione alla query 'Tabella1' nella cartella di lavoro." type="5" refreshedVersion="6" background="1" saveData="1">
    <dbPr connection="Provider=Microsoft.Mashup.OleDb.1;Data Source=$Workbook$;Location=Tabella1;Extended Properties=&quot;&quot;" command="SELECT * FROM [Tabella1]"/>
  </connection>
  <connection id="17" xr16:uid="{5D9F261F-A413-4AEC-B44E-7E0DE2E4FEB1}" keepAlive="1" name="Query - time_series_covid19_confirmed_global" description="Connessione alla query 'time_series_covid19_confirmed_global' nella cartella di lavoro." type="5" refreshedVersion="6" background="1" saveData="1">
    <dbPr connection="Provider=Microsoft.Mashup.OleDb.1;Data Source=$Workbook$;Location=time_series_covid19_confirmed_global;Extended Properties=&quot;&quot;" command="SELECT * FROM [time_series_covid19_confirmed_global]"/>
  </connection>
  <connection id="18" xr16:uid="{32D9E78D-2352-4A60-B92C-007831B03845}" keepAlive="1" name="ThisWorkbookDataModel" description="Modello di dati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19" xr16:uid="{D40C31B4-445A-4A48-8814-96FBC01F01BB}" name="WorksheetConnection_COVID-19 Italy cases trend - B fit.xlsx!dpc_covid19_ita_andamento_nazionale" type="102" refreshedVersion="6" minRefreshableVersion="5">
    <extLst>
      <ext xmlns:x15="http://schemas.microsoft.com/office/spreadsheetml/2010/11/main" uri="{DE250136-89BD-433C-8126-D09CA5730AF9}">
        <x15:connection id="dpc_covid19_ita_andamento_nazionale" autoDelete="1">
          <x15:rangePr sourceName="_xlcn.WorksheetConnection_COVID19ItalycasestrendBfit.xlsxdpc_covid19_ita_andamento_nazionale"/>
        </x15:connection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<sst xmlns="http://schemas.openxmlformats.org/spreadsheetml/2006/main" count="35302" uniqueCount="4861">
  <si>
    <t>K=</t>
  </si>
  <si>
    <t>Mean_of_y</t>
  </si>
  <si>
    <t>df</t>
  </si>
  <si>
    <t>SE_of_y</t>
  </si>
  <si>
    <r>
      <t>R</t>
    </r>
    <r>
      <rPr>
        <vertAlign val="superscript"/>
        <sz val="11"/>
        <color theme="1"/>
        <rFont val="Calibri"/>
        <family val="2"/>
        <scheme val="minor"/>
      </rPr>
      <t>2</t>
    </r>
  </si>
  <si>
    <t>Critical_t</t>
  </si>
  <si>
    <t>CI</t>
  </si>
  <si>
    <t>Upper CI</t>
  </si>
  <si>
    <t>Lower CI</t>
  </si>
  <si>
    <t>Date</t>
  </si>
  <si>
    <t>Day</t>
  </si>
  <si>
    <t>Iterative non-linear least squares regression</t>
  </si>
  <si>
    <t>data</t>
  </si>
  <si>
    <t>stato</t>
  </si>
  <si>
    <t>ricoverati_con_sintomi</t>
  </si>
  <si>
    <t>terapia_intensiva</t>
  </si>
  <si>
    <t>totale_ospedalizzati</t>
  </si>
  <si>
    <t>isolamento_domiciliare</t>
  </si>
  <si>
    <t>dimessi_guariti</t>
  </si>
  <si>
    <t>deceduti</t>
  </si>
  <si>
    <t>totale_casi</t>
  </si>
  <si>
    <t>tamponi</t>
  </si>
  <si>
    <t>ITA</t>
  </si>
  <si>
    <t>note_it</t>
  </si>
  <si>
    <t>note_en</t>
  </si>
  <si>
    <t/>
  </si>
  <si>
    <t>pd-IT-0003</t>
  </si>
  <si>
    <t>pd-EN-0003</t>
  </si>
  <si>
    <t>pd-IT-0005</t>
  </si>
  <si>
    <t>pd-EN-0005</t>
  </si>
  <si>
    <t>nd-IT-0002</t>
  </si>
  <si>
    <t>nd-EN-0002</t>
  </si>
  <si>
    <t>nd-IT-0004;nd-IT-0006</t>
  </si>
  <si>
    <t>nd-EN-0004;nd-EN-0006</t>
  </si>
  <si>
    <t>nd-IT-0009</t>
  </si>
  <si>
    <t>nd-EN-0009</t>
  </si>
  <si>
    <t>nd-IT-0012;nd-IT-0014</t>
  </si>
  <si>
    <t>nd-EN-0012;nd-EN-0014</t>
  </si>
  <si>
    <t>codice_regione</t>
  </si>
  <si>
    <t>denominazione_regione</t>
  </si>
  <si>
    <t>lat</t>
  </si>
  <si>
    <t>long</t>
  </si>
  <si>
    <t>Abruzzo</t>
  </si>
  <si>
    <t>Basilicata</t>
  </si>
  <si>
    <t>P.A. Bolzano</t>
  </si>
  <si>
    <t>Calabria</t>
  </si>
  <si>
    <t>Campania</t>
  </si>
  <si>
    <t>Friuli Venezia Giulia</t>
  </si>
  <si>
    <t>Lazio</t>
  </si>
  <si>
    <t>Liguria</t>
  </si>
  <si>
    <t>Lombardia</t>
  </si>
  <si>
    <t>Marche</t>
  </si>
  <si>
    <t>Molise</t>
  </si>
  <si>
    <t>Piemonte</t>
  </si>
  <si>
    <t>Puglia</t>
  </si>
  <si>
    <t>Sardegna</t>
  </si>
  <si>
    <t>Sicilia</t>
  </si>
  <si>
    <t>Toscana</t>
  </si>
  <si>
    <t>P.A. Trento</t>
  </si>
  <si>
    <t>Umbria</t>
  </si>
  <si>
    <t>Valle d'Aosta</t>
  </si>
  <si>
    <t>Veneto</t>
  </si>
  <si>
    <t>pd-IT-0002</t>
  </si>
  <si>
    <t>pd-EN-0002</t>
  </si>
  <si>
    <t>pd-IT-0004</t>
  </si>
  <si>
    <t>pd-EN-0004</t>
  </si>
  <si>
    <t>nd-IT-0001</t>
  </si>
  <si>
    <t>nd-EN-0001</t>
  </si>
  <si>
    <t>nd-IT-0005</t>
  </si>
  <si>
    <t>nd-EN-0005</t>
  </si>
  <si>
    <t>nd-IT-0003</t>
  </si>
  <si>
    <t>nd-EN-0003</t>
  </si>
  <si>
    <t>nd-IT-0008</t>
  </si>
  <si>
    <t>nd-EN-0008</t>
  </si>
  <si>
    <t>nd-IT-0013</t>
  </si>
  <si>
    <t>nd-EN-0013</t>
  </si>
  <si>
    <t>nd-IT-0011</t>
  </si>
  <si>
    <t>nd-EN-0011</t>
  </si>
  <si>
    <t>region</t>
  </si>
  <si>
    <t>r. Upper CI</t>
  </si>
  <si>
    <t>r. Lower CI</t>
  </si>
  <si>
    <t>o.r. Upper CI</t>
  </si>
  <si>
    <t>o.r. Lower CI</t>
  </si>
  <si>
    <t>outside</t>
  </si>
  <si>
    <t>Italy cumulative</t>
  </si>
  <si>
    <t>Italy fit</t>
  </si>
  <si>
    <t>pd-IT-0007</t>
  </si>
  <si>
    <t>pd-EN-0007</t>
  </si>
  <si>
    <t>pd-IT-0006</t>
  </si>
  <si>
    <t>pd-EN-0006</t>
  </si>
  <si>
    <t>totale_positivi</t>
  </si>
  <si>
    <t>variazione_totale_positivi</t>
  </si>
  <si>
    <t>nuovi_positivi</t>
  </si>
  <si>
    <t>pd-IT-0009</t>
  </si>
  <si>
    <t>pd-EN-0009</t>
  </si>
  <si>
    <t>Emilia-Romagna</t>
  </si>
  <si>
    <t>pd-IT-0008</t>
  </si>
  <si>
    <t>pd-EN-0008</t>
  </si>
  <si>
    <t>Peak value</t>
  </si>
  <si>
    <t>SOLVER models</t>
  </si>
  <si>
    <t>Colonna1</t>
  </si>
  <si>
    <t>Colonna2</t>
  </si>
  <si>
    <t>Colonna3</t>
  </si>
  <si>
    <t>Colonna4</t>
  </si>
  <si>
    <t>Colonna5</t>
  </si>
  <si>
    <t>Colonna6</t>
  </si>
  <si>
    <t>Colonna7</t>
  </si>
  <si>
    <t>pd-IT-0011</t>
  </si>
  <si>
    <t>pd-EN-0011</t>
  </si>
  <si>
    <t>dc-IT-0003</t>
  </si>
  <si>
    <t>dc-EN-0003</t>
  </si>
  <si>
    <t>pd-IT-0010</t>
  </si>
  <si>
    <t>pd-EN-0010</t>
  </si>
  <si>
    <t>dc-IT-0002</t>
  </si>
  <si>
    <t>dc-EN-0002</t>
  </si>
  <si>
    <t>fitting parameter - constraint (none)</t>
  </si>
  <si>
    <t>Italy sum</t>
  </si>
  <si>
    <t>Lombardy fit</t>
  </si>
  <si>
    <t xml:space="preserve">rest of Italy </t>
  </si>
  <si>
    <t>rest of Italy fit</t>
  </si>
  <si>
    <t>Whole country sum</t>
  </si>
  <si>
    <r>
      <t>R</t>
    </r>
    <r>
      <rPr>
        <vertAlign val="superscript"/>
        <sz val="11"/>
        <color theme="3"/>
        <rFont val="Calibri"/>
        <family val="2"/>
        <scheme val="minor"/>
      </rPr>
      <t>2</t>
    </r>
  </si>
  <si>
    <t>rest of Italy</t>
  </si>
  <si>
    <t>Whole country fit</t>
  </si>
  <si>
    <t>Colonna22</t>
  </si>
  <si>
    <t>Colonna32</t>
  </si>
  <si>
    <t>Colonna33</t>
  </si>
  <si>
    <t>Colonna322</t>
  </si>
  <si>
    <t>t-Peak</t>
  </si>
  <si>
    <t>Whole contry fit</t>
  </si>
  <si>
    <t>Saturation value</t>
  </si>
  <si>
    <t>DO NOT EXECUTE</t>
  </si>
  <si>
    <t>Solver method: GRG2 non linear engine - option: default</t>
  </si>
  <si>
    <t>Etichette di riga</t>
  </si>
  <si>
    <t>Totale complessivo</t>
  </si>
  <si>
    <t>24-feb</t>
  </si>
  <si>
    <t>25-feb</t>
  </si>
  <si>
    <t>26-feb</t>
  </si>
  <si>
    <t>27-feb</t>
  </si>
  <si>
    <t>28-feb</t>
  </si>
  <si>
    <t>29-feb</t>
  </si>
  <si>
    <t>01-mar</t>
  </si>
  <si>
    <t>02-mar</t>
  </si>
  <si>
    <t>03-mar</t>
  </si>
  <si>
    <t>04-mar</t>
  </si>
  <si>
    <t>05-mar</t>
  </si>
  <si>
    <t>06-mar</t>
  </si>
  <si>
    <t>07-mar</t>
  </si>
  <si>
    <t>08-mar</t>
  </si>
  <si>
    <t>09-mar</t>
  </si>
  <si>
    <t>10-mar</t>
  </si>
  <si>
    <t>11-mar</t>
  </si>
  <si>
    <t>12-mar</t>
  </si>
  <si>
    <t>13-mar</t>
  </si>
  <si>
    <t>14-mar</t>
  </si>
  <si>
    <t>15-mar</t>
  </si>
  <si>
    <t>16-mar</t>
  </si>
  <si>
    <t>17-mar</t>
  </si>
  <si>
    <t>18-mar</t>
  </si>
  <si>
    <t>19-mar</t>
  </si>
  <si>
    <t>20-mar</t>
  </si>
  <si>
    <t>21-mar</t>
  </si>
  <si>
    <t>22-mar</t>
  </si>
  <si>
    <t>23-mar</t>
  </si>
  <si>
    <t>24-mar</t>
  </si>
  <si>
    <t>25-mar</t>
  </si>
  <si>
    <t>26-mar</t>
  </si>
  <si>
    <t>27-mar</t>
  </si>
  <si>
    <t>28-mar</t>
  </si>
  <si>
    <t>29-mar</t>
  </si>
  <si>
    <t>30-mar</t>
  </si>
  <si>
    <t>31-mar</t>
  </si>
  <si>
    <t>01-apr</t>
  </si>
  <si>
    <t>02-apr</t>
  </si>
  <si>
    <t>03-apr</t>
  </si>
  <si>
    <t>04-apr</t>
  </si>
  <si>
    <t>05-apr</t>
  </si>
  <si>
    <t>06-apr</t>
  </si>
  <si>
    <t>07-apr</t>
  </si>
  <si>
    <t>08-apr</t>
  </si>
  <si>
    <t>09-apr</t>
  </si>
  <si>
    <t>10-apr</t>
  </si>
  <si>
    <t>11-apr</t>
  </si>
  <si>
    <t>12-apr</t>
  </si>
  <si>
    <t>13-apr</t>
  </si>
  <si>
    <t>14-apr</t>
  </si>
  <si>
    <t>dc-IT-0005</t>
  </si>
  <si>
    <t>dc-EN-0005</t>
  </si>
  <si>
    <t>dc-IT-0004</t>
  </si>
  <si>
    <t>dc-EN-0004</t>
  </si>
  <si>
    <t>15-apr</t>
  </si>
  <si>
    <t>16-apr</t>
  </si>
  <si>
    <t>17-apr</t>
  </si>
  <si>
    <t>18-apr</t>
  </si>
  <si>
    <t>casi_testati</t>
  </si>
  <si>
    <t>dc-IT-0007</t>
  </si>
  <si>
    <t>dc-EN-0007</t>
  </si>
  <si>
    <t>pd-IT-0013</t>
  </si>
  <si>
    <t>pd-EN-0013</t>
  </si>
  <si>
    <t>22424</t>
  </si>
  <si>
    <t>6528</t>
  </si>
  <si>
    <t>14783</t>
  </si>
  <si>
    <t>22234</t>
  </si>
  <si>
    <t>34994</t>
  </si>
  <si>
    <t>88776</t>
  </si>
  <si>
    <t>27544</t>
  </si>
  <si>
    <t>22702</t>
  </si>
  <si>
    <t>21103</t>
  </si>
  <si>
    <t>183757</t>
  </si>
  <si>
    <t>27099</t>
  </si>
  <si>
    <t>3482</t>
  </si>
  <si>
    <t>71644</t>
  </si>
  <si>
    <t>41580</t>
  </si>
  <si>
    <t>13760</t>
  </si>
  <si>
    <t>49772</t>
  </si>
  <si>
    <t>84620</t>
  </si>
  <si>
    <t>16685</t>
  </si>
  <si>
    <t>16790</t>
  </si>
  <si>
    <t>3802</t>
  </si>
  <si>
    <t>161231</t>
  </si>
  <si>
    <t>22552</t>
  </si>
  <si>
    <t>6868</t>
  </si>
  <si>
    <t>15089</t>
  </si>
  <si>
    <t>22847</t>
  </si>
  <si>
    <t>36153</t>
  </si>
  <si>
    <t>90894</t>
  </si>
  <si>
    <t>28777</t>
  </si>
  <si>
    <t>23067</t>
  </si>
  <si>
    <t>21979</t>
  </si>
  <si>
    <t>173333</t>
  </si>
  <si>
    <t>dc-IT-0006</t>
  </si>
  <si>
    <t>dc-EN-0006</t>
  </si>
  <si>
    <t>28006</t>
  </si>
  <si>
    <t>3683</t>
  </si>
  <si>
    <t>73192</t>
  </si>
  <si>
    <t>43119</t>
  </si>
  <si>
    <t>14160</t>
  </si>
  <si>
    <t>51373</t>
  </si>
  <si>
    <t>85946</t>
  </si>
  <si>
    <t>17347</t>
  </si>
  <si>
    <t>17099</t>
  </si>
  <si>
    <t>3910</t>
  </si>
  <si>
    <t>163757</t>
  </si>
  <si>
    <t>23901</t>
  </si>
  <si>
    <t>7470</t>
  </si>
  <si>
    <t>15405</t>
  </si>
  <si>
    <t>23914</t>
  </si>
  <si>
    <t>37505</t>
  </si>
  <si>
    <t>93367</t>
  </si>
  <si>
    <t>31352</t>
  </si>
  <si>
    <t>24046</t>
  </si>
  <si>
    <t>22670</t>
  </si>
  <si>
    <t>pd-IT-0012</t>
  </si>
  <si>
    <t>pd-EN-0012</t>
  </si>
  <si>
    <t>29090</t>
  </si>
  <si>
    <t>4015</t>
  </si>
  <si>
    <t>76406</t>
  </si>
  <si>
    <t>44760</t>
  </si>
  <si>
    <t>14526</t>
  </si>
  <si>
    <t>55093</t>
  </si>
  <si>
    <t>87717</t>
  </si>
  <si>
    <t>17705</t>
  </si>
  <si>
    <t>17873</t>
  </si>
  <si>
    <t>3969</t>
  </si>
  <si>
    <t>167129</t>
  </si>
  <si>
    <t>19-apr</t>
  </si>
  <si>
    <t>20-apr</t>
  </si>
  <si>
    <t>21-apr</t>
  </si>
  <si>
    <t>24317</t>
  </si>
  <si>
    <t>8040</t>
  </si>
  <si>
    <t>15736</t>
  </si>
  <si>
    <t>24878</t>
  </si>
  <si>
    <t>38679</t>
  </si>
  <si>
    <t>96824</t>
  </si>
  <si>
    <t>32871</t>
  </si>
  <si>
    <t>25244</t>
  </si>
  <si>
    <t>23756</t>
  </si>
  <si>
    <t>184323</t>
  </si>
  <si>
    <t>30543</t>
  </si>
  <si>
    <t>4252</t>
  </si>
  <si>
    <t>81176</t>
  </si>
  <si>
    <t>46925</t>
  </si>
  <si>
    <t>15354</t>
  </si>
  <si>
    <t>58732</t>
  </si>
  <si>
    <t>91747</t>
  </si>
  <si>
    <t>17672</t>
  </si>
  <si>
    <t>18679</t>
  </si>
  <si>
    <t>4011</t>
  </si>
  <si>
    <t>171735</t>
  </si>
  <si>
    <t>22-apr</t>
  </si>
  <si>
    <r>
      <t>R</t>
    </r>
    <r>
      <rPr>
        <vertAlign val="superscript"/>
        <sz val="11"/>
        <rFont val="Calibri"/>
        <family val="2"/>
        <scheme val="minor"/>
      </rPr>
      <t>2</t>
    </r>
  </si>
  <si>
    <t>Italy sum of regions</t>
  </si>
  <si>
    <t>Lower CI_</t>
  </si>
  <si>
    <t>Upper CI_</t>
  </si>
  <si>
    <t>rest of Italy data</t>
  </si>
  <si>
    <t>Upper CI__</t>
  </si>
  <si>
    <t>Lower CI__</t>
  </si>
  <si>
    <t>Italy cumul. Fit</t>
  </si>
  <si>
    <t>rest of Italy cum. Data</t>
  </si>
  <si>
    <t>Peak value (mode)</t>
  </si>
  <si>
    <t>Modeling function: Lognormal</t>
  </si>
  <si>
    <t>Italiy sum of regions  (Norm.)</t>
  </si>
  <si>
    <t>Italy fit (Norm:)</t>
  </si>
  <si>
    <t>rest of Italy fit (Norm.)</t>
  </si>
  <si>
    <t>&lt; x__________ Today___________ y&gt;</t>
  </si>
  <si>
    <t>Italy sum of regions (Norm.)</t>
  </si>
  <si>
    <t>Italy cum. Fit (Norm.)</t>
  </si>
  <si>
    <t>24751</t>
  </si>
  <si>
    <t>8511</t>
  </si>
  <si>
    <t>16442</t>
  </si>
  <si>
    <t>26187</t>
  </si>
  <si>
    <t>pd-IT-0014</t>
  </si>
  <si>
    <t>pd-EN-0014</t>
  </si>
  <si>
    <t>99714</t>
  </si>
  <si>
    <t>34057</t>
  </si>
  <si>
    <t>26298</t>
  </si>
  <si>
    <t>pd-IT-0016</t>
  </si>
  <si>
    <t>pd-EN-0016</t>
  </si>
  <si>
    <t>25045</t>
  </si>
  <si>
    <t>190451</t>
  </si>
  <si>
    <t>31673</t>
  </si>
  <si>
    <t>4478</t>
  </si>
  <si>
    <t>84648</t>
  </si>
  <si>
    <t>49403</t>
  </si>
  <si>
    <t>16094</t>
  </si>
  <si>
    <t>62150</t>
  </si>
  <si>
    <t>94426</t>
  </si>
  <si>
    <t>18656</t>
  </si>
  <si>
    <t>19627</t>
  </si>
  <si>
    <t>4133</t>
  </si>
  <si>
    <t>177154</t>
  </si>
  <si>
    <t>pd-IT-0015;pd-IT-0017</t>
  </si>
  <si>
    <t>pd-EN-0015;pd-EN-0017</t>
  </si>
  <si>
    <t>23-apr</t>
  </si>
  <si>
    <t>25397</t>
  </si>
  <si>
    <t>9026</t>
  </si>
  <si>
    <t>17024</t>
  </si>
  <si>
    <t>26811</t>
  </si>
  <si>
    <t>40053</t>
  </si>
  <si>
    <t>102495</t>
  </si>
  <si>
    <t>35547</t>
  </si>
  <si>
    <t>86545</t>
  </si>
  <si>
    <t>26040</t>
  </si>
  <si>
    <t>196406</t>
  </si>
  <si>
    <t>33113</t>
  </si>
  <si>
    <t>4718</t>
  </si>
  <si>
    <t>89392</t>
  </si>
  <si>
    <t>51517</t>
  </si>
  <si>
    <t>18050</t>
  </si>
  <si>
    <t>63626</t>
  </si>
  <si>
    <t>96180</t>
  </si>
  <si>
    <t>19250</t>
  </si>
  <si>
    <t>20733</t>
  </si>
  <si>
    <t>4454</t>
  </si>
  <si>
    <t>181473</t>
  </si>
  <si>
    <t>24-apr</t>
  </si>
  <si>
    <t>p=</t>
  </si>
  <si>
    <t>Italy</t>
  </si>
  <si>
    <t>25959</t>
  </si>
  <si>
    <t>9792</t>
  </si>
  <si>
    <t>17573</t>
  </si>
  <si>
    <t>41399</t>
  </si>
  <si>
    <t>105628</t>
  </si>
  <si>
    <t>37211</t>
  </si>
  <si>
    <t>90582</t>
  </si>
  <si>
    <t>26898</t>
  </si>
  <si>
    <t>202827</t>
  </si>
  <si>
    <t>34256</t>
  </si>
  <si>
    <t>5089</t>
  </si>
  <si>
    <t>93325</t>
  </si>
  <si>
    <t>53500</t>
  </si>
  <si>
    <t>18480</t>
  </si>
  <si>
    <t>64892</t>
  </si>
  <si>
    <t>98753</t>
  </si>
  <si>
    <t>19394</t>
  </si>
  <si>
    <t>21842</t>
  </si>
  <si>
    <t>4694</t>
  </si>
  <si>
    <t>186426</t>
  </si>
  <si>
    <t>25-apr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</si>
  <si>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</si>
  <si>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</si>
  <si>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</si>
  <si>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</si>
  <si>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</si>
  <si>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</si>
  <si>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</si>
  <si>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</si>
  <si>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</si>
  <si>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</si>
  <si>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</si>
  <si>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</si>
  <si>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</si>
  <si>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</si>
  <si>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</si>
  <si>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</si>
  <si>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</si>
  <si>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</si>
  <si>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</si>
  <si>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</si>
  <si>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</si>
  <si>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</si>
  <si>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</si>
  <si>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</si>
  <si>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</si>
  <si>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</si>
  <si>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</si>
  <si>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</si>
  <si>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</si>
  <si>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</si>
  <si>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</si>
  <si>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</si>
  <si>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</si>
  <si>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</si>
  <si>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</si>
  <si>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</si>
  <si>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</si>
  <si>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</si>
  <si>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</si>
  <si>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</si>
  <si>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</si>
  <si>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</si>
  <si>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</si>
  <si>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</si>
  <si>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</si>
  <si>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</si>
  <si>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</si>
  <si>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</si>
  <si>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</si>
  <si>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</si>
  <si>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</si>
  <si>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</si>
  <si>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</si>
  <si>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</si>
  <si>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</si>
  <si>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</si>
  <si>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</si>
  <si>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</si>
  <si>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</si>
  <si>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</si>
  <si>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</si>
  <si>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</si>
  <si>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</si>
  <si>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</si>
  <si>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</si>
  <si>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</si>
  <si>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</si>
  <si>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</si>
  <si>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</si>
  <si>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</si>
  <si>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</si>
  <si>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</si>
  <si>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</si>
  <si>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</si>
  <si>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</si>
  <si>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</si>
  <si>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</si>
  <si>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</si>
  <si>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</si>
  <si>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</si>
  <si>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</si>
  <si>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</si>
  <si>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</si>
  <si>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</si>
  <si>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</si>
  <si>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</si>
  <si>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</si>
  <si>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</si>
  <si>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</si>
  <si>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</si>
  <si>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</si>
  <si>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</si>
  <si>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</si>
  <si>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</si>
  <si>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</si>
  <si>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</si>
  <si>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</si>
  <si>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</si>
  <si>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</si>
  <si>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</si>
  <si>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</si>
  <si>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</si>
  <si>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</si>
  <si>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</si>
  <si>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</si>
  <si>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</si>
  <si>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</si>
  <si>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</si>
  <si>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</si>
  <si>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</si>
  <si>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</si>
  <si>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</si>
  <si>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2/1/20</t>
  </si>
  <si>
    <t>2/2/20</t>
  </si>
  <si>
    <t>2/3/20</t>
  </si>
  <si>
    <t>2/4/20</t>
  </si>
  <si>
    <t>2/5/20</t>
  </si>
  <si>
    <t>2/6/20</t>
  </si>
  <si>
    <t>2/7/20</t>
  </si>
  <si>
    <t>2/8/20</t>
  </si>
  <si>
    <t>2/9/20</t>
  </si>
  <si>
    <t>2/10/20</t>
  </si>
  <si>
    <t>2/11/20</t>
  </si>
  <si>
    <t>2/12/20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</si>
  <si>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</si>
  <si>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</si>
  <si>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</si>
  <si>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</si>
  <si>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</si>
  <si>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</si>
  <si>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</si>
  <si>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</si>
  <si>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</si>
  <si>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</si>
  <si>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</si>
  <si>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</si>
  <si>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</si>
  <si>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</si>
  <si>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</si>
  <si>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</si>
  <si>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</si>
  <si>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3/1/20</t>
  </si>
  <si>
    <t>3/2/20</t>
  </si>
  <si>
    <t>3/3/20</t>
  </si>
  <si>
    <t>3/4/20</t>
  </si>
  <si>
    <t>3/5/20</t>
  </si>
  <si>
    <t>3/6/20</t>
  </si>
  <si>
    <t>3/7/20</t>
  </si>
  <si>
    <t>3/8/20</t>
  </si>
  <si>
    <t>3/9/20</t>
  </si>
  <si>
    <t>3/10/20</t>
  </si>
  <si>
    <t>3/11/20</t>
  </si>
  <si>
    <t>3/12/20</t>
  </si>
  <si>
    <t>3/13/20</t>
  </si>
  <si>
    <t>3/14/20</t>
  </si>
  <si>
    <t>3/15/20</t>
  </si>
  <si>
    <t>3/16/20</t>
  </si>
  <si>
    <t>3/17/20</t>
  </si>
  <si>
    <t>3/18/20</t>
  </si>
  <si>
    <t>3/19/20</t>
  </si>
  <si>
    <t>3/20/20</t>
  </si>
  <si>
    <t>3/21/20</t>
  </si>
  <si>
    <t>3/22/20</t>
  </si>
  <si>
    <t>3/23/20</t>
  </si>
  <si>
    <t>3/24/20</t>
  </si>
  <si>
    <t>3/25/20</t>
  </si>
  <si>
    <t>3/26/20</t>
  </si>
  <si>
    <t>3/27/20</t>
  </si>
  <si>
    <t>3/28/20</t>
  </si>
  <si>
    <t>3/29/20</t>
  </si>
  <si>
    <t>3/30/20</t>
  </si>
  <si>
    <t>3/31/20</t>
  </si>
  <si>
    <t>4/1/20</t>
  </si>
  <si>
    <t>4/2/20</t>
  </si>
  <si>
    <t>4/3/20</t>
  </si>
  <si>
    <t>4/4/20</t>
  </si>
  <si>
    <t>4/5/20</t>
  </si>
  <si>
    <t>4/6/20</t>
  </si>
  <si>
    <t>4/7/20</t>
  </si>
  <si>
    <t>4/8/20</t>
  </si>
  <si>
    <t>4/9/20</t>
  </si>
  <si>
    <t>4/10/20</t>
  </si>
  <si>
    <t>4/11/20</t>
  </si>
  <si>
    <t>4/12/20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</si>
  <si>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</si>
  <si>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</si>
  <si>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</si>
  <si>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</si>
  <si>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</si>
  <si>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</si>
  <si>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</si>
  <si>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</si>
  <si>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</si>
  <si>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</si>
  <si>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</si>
  <si>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</si>
  <si>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Afghanistan</t>
  </si>
  <si>
    <t>33.0</t>
  </si>
  <si>
    <t>65.0</t>
  </si>
  <si>
    <t>0</t>
  </si>
  <si>
    <t>1</t>
  </si>
  <si>
    <t>4</t>
  </si>
  <si>
    <t>5</t>
  </si>
  <si>
    <t>7</t>
  </si>
  <si>
    <t>11</t>
  </si>
  <si>
    <t>16</t>
  </si>
  <si>
    <t>21</t>
  </si>
  <si>
    <t>22</t>
  </si>
  <si>
    <t>24</t>
  </si>
  <si>
    <t>40</t>
  </si>
  <si>
    <t>74</t>
  </si>
  <si>
    <t>84</t>
  </si>
  <si>
    <t>94</t>
  </si>
  <si>
    <t>110</t>
  </si>
  <si>
    <t>120</t>
  </si>
  <si>
    <t>170</t>
  </si>
  <si>
    <t>174</t>
  </si>
  <si>
    <t>237</t>
  </si>
  <si>
    <t>273</t>
  </si>
  <si>
    <t>281</t>
  </si>
  <si>
    <t>299</t>
  </si>
  <si>
    <t>349</t>
  </si>
  <si>
    <t>367</t>
  </si>
  <si>
    <t>423</t>
  </si>
  <si>
    <t>444</t>
  </si>
  <si>
    <t>484</t>
  </si>
  <si>
    <t>521</t>
  </si>
  <si>
    <t>555</t>
  </si>
  <si>
    <t>607</t>
  </si>
  <si>
    <t>665</t>
  </si>
  <si>
    <t>714</t>
  </si>
  <si>
    <t>784</t>
  </si>
  <si>
    <t>840</t>
  </si>
  <si>
    <t>906</t>
  </si>
  <si>
    <t>933</t>
  </si>
  <si>
    <t>996</t>
  </si>
  <si>
    <t>1026</t>
  </si>
  <si>
    <t>1092</t>
  </si>
  <si>
    <t>1176</t>
  </si>
  <si>
    <t>1279</t>
  </si>
  <si>
    <t>1351</t>
  </si>
  <si>
    <t>Albania</t>
  </si>
  <si>
    <t>41.1533</t>
  </si>
  <si>
    <t>20.1683</t>
  </si>
  <si>
    <t>2</t>
  </si>
  <si>
    <t>10</t>
  </si>
  <si>
    <t>12</t>
  </si>
  <si>
    <t>23</t>
  </si>
  <si>
    <t>33</t>
  </si>
  <si>
    <t>38</t>
  </si>
  <si>
    <t>42</t>
  </si>
  <si>
    <t>51</t>
  </si>
  <si>
    <t>55</t>
  </si>
  <si>
    <t>59</t>
  </si>
  <si>
    <t>64</t>
  </si>
  <si>
    <t>70</t>
  </si>
  <si>
    <t>76</t>
  </si>
  <si>
    <t>89</t>
  </si>
  <si>
    <t>104</t>
  </si>
  <si>
    <t>123</t>
  </si>
  <si>
    <t>146</t>
  </si>
  <si>
    <t>186</t>
  </si>
  <si>
    <t>197</t>
  </si>
  <si>
    <t>212</t>
  </si>
  <si>
    <t>223</t>
  </si>
  <si>
    <t>243</t>
  </si>
  <si>
    <t>259</t>
  </si>
  <si>
    <t>277</t>
  </si>
  <si>
    <t>304</t>
  </si>
  <si>
    <t>333</t>
  </si>
  <si>
    <t>361</t>
  </si>
  <si>
    <t>377</t>
  </si>
  <si>
    <t>383</t>
  </si>
  <si>
    <t>400</t>
  </si>
  <si>
    <t>409</t>
  </si>
  <si>
    <t>416</t>
  </si>
  <si>
    <t>433</t>
  </si>
  <si>
    <t>446</t>
  </si>
  <si>
    <t>467</t>
  </si>
  <si>
    <t>475</t>
  </si>
  <si>
    <t>494</t>
  </si>
  <si>
    <t>518</t>
  </si>
  <si>
    <t>539</t>
  </si>
  <si>
    <t>548</t>
  </si>
  <si>
    <t>562</t>
  </si>
  <si>
    <t>584</t>
  </si>
  <si>
    <t>609</t>
  </si>
  <si>
    <t>634</t>
  </si>
  <si>
    <t>663</t>
  </si>
  <si>
    <t>678</t>
  </si>
  <si>
    <t>Algeria</t>
  </si>
  <si>
    <t>28.0339</t>
  </si>
  <si>
    <t>1.6596</t>
  </si>
  <si>
    <t>3</t>
  </si>
  <si>
    <t>17</t>
  </si>
  <si>
    <t>19</t>
  </si>
  <si>
    <t>20</t>
  </si>
  <si>
    <t>26</t>
  </si>
  <si>
    <t>37</t>
  </si>
  <si>
    <t>48</t>
  </si>
  <si>
    <t>54</t>
  </si>
  <si>
    <t>60</t>
  </si>
  <si>
    <t>87</t>
  </si>
  <si>
    <t>90</t>
  </si>
  <si>
    <t>139</t>
  </si>
  <si>
    <t>201</t>
  </si>
  <si>
    <t>230</t>
  </si>
  <si>
    <t>264</t>
  </si>
  <si>
    <t>302</t>
  </si>
  <si>
    <t>454</t>
  </si>
  <si>
    <t>511</t>
  </si>
  <si>
    <t>716</t>
  </si>
  <si>
    <t>847</t>
  </si>
  <si>
    <t>986</t>
  </si>
  <si>
    <t>1171</t>
  </si>
  <si>
    <t>1251</t>
  </si>
  <si>
    <t>1320</t>
  </si>
  <si>
    <t>1423</t>
  </si>
  <si>
    <t>1468</t>
  </si>
  <si>
    <t>1572</t>
  </si>
  <si>
    <t>1666</t>
  </si>
  <si>
    <t>1761</t>
  </si>
  <si>
    <t>1825</t>
  </si>
  <si>
    <t>1914</t>
  </si>
  <si>
    <t>1983</t>
  </si>
  <si>
    <t>2070</t>
  </si>
  <si>
    <t>2160</t>
  </si>
  <si>
    <t>2268</t>
  </si>
  <si>
    <t>2418</t>
  </si>
  <si>
    <t>2534</t>
  </si>
  <si>
    <t>2629</t>
  </si>
  <si>
    <t>2718</t>
  </si>
  <si>
    <t>2811</t>
  </si>
  <si>
    <t>2910</t>
  </si>
  <si>
    <t>3007</t>
  </si>
  <si>
    <t>3127</t>
  </si>
  <si>
    <t>Andorra</t>
  </si>
  <si>
    <t>42.5063</t>
  </si>
  <si>
    <t>1.5218</t>
  </si>
  <si>
    <t>39</t>
  </si>
  <si>
    <t>53</t>
  </si>
  <si>
    <t>75</t>
  </si>
  <si>
    <t>88</t>
  </si>
  <si>
    <t>113</t>
  </si>
  <si>
    <t>133</t>
  </si>
  <si>
    <t>164</t>
  </si>
  <si>
    <t>188</t>
  </si>
  <si>
    <t>224</t>
  </si>
  <si>
    <t>267</t>
  </si>
  <si>
    <t>308</t>
  </si>
  <si>
    <t>334</t>
  </si>
  <si>
    <t>370</t>
  </si>
  <si>
    <t>376</t>
  </si>
  <si>
    <t>390</t>
  </si>
  <si>
    <t>428</t>
  </si>
  <si>
    <t>439</t>
  </si>
  <si>
    <t>466</t>
  </si>
  <si>
    <t>501</t>
  </si>
  <si>
    <t>525</t>
  </si>
  <si>
    <t>545</t>
  </si>
  <si>
    <t>564</t>
  </si>
  <si>
    <t>583</t>
  </si>
  <si>
    <t>601</t>
  </si>
  <si>
    <t>638</t>
  </si>
  <si>
    <t>646</t>
  </si>
  <si>
    <t>659</t>
  </si>
  <si>
    <t>673</t>
  </si>
  <si>
    <t>696</t>
  </si>
  <si>
    <t>704</t>
  </si>
  <si>
    <t>713</t>
  </si>
  <si>
    <t>717</t>
  </si>
  <si>
    <t>723</t>
  </si>
  <si>
    <t>731</t>
  </si>
  <si>
    <t>Angola</t>
  </si>
  <si>
    <t>-11.2027</t>
  </si>
  <si>
    <t>17.8739</t>
  </si>
  <si>
    <t>8</t>
  </si>
  <si>
    <t>14</t>
  </si>
  <si>
    <t>25</t>
  </si>
  <si>
    <t>Antigua and Barbuda</t>
  </si>
  <si>
    <t>17.0608</t>
  </si>
  <si>
    <t>-61.7964</t>
  </si>
  <si>
    <t>9</t>
  </si>
  <si>
    <t>15</t>
  </si>
  <si>
    <t>Argentina</t>
  </si>
  <si>
    <t>-38.4161</t>
  </si>
  <si>
    <t>-63.6167</t>
  </si>
  <si>
    <t>31</t>
  </si>
  <si>
    <t>34</t>
  </si>
  <si>
    <t>45</t>
  </si>
  <si>
    <t>56</t>
  </si>
  <si>
    <t>68</t>
  </si>
  <si>
    <t>79</t>
  </si>
  <si>
    <t>97</t>
  </si>
  <si>
    <t>128</t>
  </si>
  <si>
    <t>158</t>
  </si>
  <si>
    <t>266</t>
  </si>
  <si>
    <t>301</t>
  </si>
  <si>
    <t>387</t>
  </si>
  <si>
    <t>502</t>
  </si>
  <si>
    <t>589</t>
  </si>
  <si>
    <t>690</t>
  </si>
  <si>
    <t>745</t>
  </si>
  <si>
    <t>820</t>
  </si>
  <si>
    <t>1054</t>
  </si>
  <si>
    <t>1133</t>
  </si>
  <si>
    <t>1265</t>
  </si>
  <si>
    <t>1451</t>
  </si>
  <si>
    <t>1554</t>
  </si>
  <si>
    <t>1628</t>
  </si>
  <si>
    <t>1715</t>
  </si>
  <si>
    <t>1795</t>
  </si>
  <si>
    <t>1975</t>
  </si>
  <si>
    <t>2142</t>
  </si>
  <si>
    <t>2208</t>
  </si>
  <si>
    <t>2277</t>
  </si>
  <si>
    <t>2443</t>
  </si>
  <si>
    <t>2571</t>
  </si>
  <si>
    <t>2669</t>
  </si>
  <si>
    <t>2758</t>
  </si>
  <si>
    <t>2839</t>
  </si>
  <si>
    <t>2941</t>
  </si>
  <si>
    <t>3031</t>
  </si>
  <si>
    <t>3144</t>
  </si>
  <si>
    <t>3435</t>
  </si>
  <si>
    <t>3607</t>
  </si>
  <si>
    <t>Armenia</t>
  </si>
  <si>
    <t>40.0691</t>
  </si>
  <si>
    <t>45.0382</t>
  </si>
  <si>
    <t>18</t>
  </si>
  <si>
    <t>52</t>
  </si>
  <si>
    <t>78</t>
  </si>
  <si>
    <t>115</t>
  </si>
  <si>
    <t>136</t>
  </si>
  <si>
    <t>160</t>
  </si>
  <si>
    <t>194</t>
  </si>
  <si>
    <t>235</t>
  </si>
  <si>
    <t>249</t>
  </si>
  <si>
    <t>265</t>
  </si>
  <si>
    <t>290</t>
  </si>
  <si>
    <t>329</t>
  </si>
  <si>
    <t>407</t>
  </si>
  <si>
    <t>424</t>
  </si>
  <si>
    <t>482</t>
  </si>
  <si>
    <t>532</t>
  </si>
  <si>
    <t>571</t>
  </si>
  <si>
    <t>736</t>
  </si>
  <si>
    <t>770</t>
  </si>
  <si>
    <t>822</t>
  </si>
  <si>
    <t>833</t>
  </si>
  <si>
    <t>853</t>
  </si>
  <si>
    <t>881</t>
  </si>
  <si>
    <t>921</t>
  </si>
  <si>
    <t>937</t>
  </si>
  <si>
    <t>967</t>
  </si>
  <si>
    <t>1013</t>
  </si>
  <si>
    <t>1039</t>
  </si>
  <si>
    <t>1067</t>
  </si>
  <si>
    <t>1111</t>
  </si>
  <si>
    <t>1159</t>
  </si>
  <si>
    <t>1201</t>
  </si>
  <si>
    <t>1248</t>
  </si>
  <si>
    <t>1291</t>
  </si>
  <si>
    <t>1339</t>
  </si>
  <si>
    <t>1401</t>
  </si>
  <si>
    <t>1473</t>
  </si>
  <si>
    <t>1523</t>
  </si>
  <si>
    <t>1596</t>
  </si>
  <si>
    <t>Australian Capital Territory</t>
  </si>
  <si>
    <t>Australia</t>
  </si>
  <si>
    <t>-35.4735</t>
  </si>
  <si>
    <t>149.0124</t>
  </si>
  <si>
    <t>6</t>
  </si>
  <si>
    <t>32</t>
  </si>
  <si>
    <t>62</t>
  </si>
  <si>
    <t>71</t>
  </si>
  <si>
    <t>77</t>
  </si>
  <si>
    <t>80</t>
  </si>
  <si>
    <t>91</t>
  </si>
  <si>
    <t>93</t>
  </si>
  <si>
    <t>96</t>
  </si>
  <si>
    <t>99</t>
  </si>
  <si>
    <t>100</t>
  </si>
  <si>
    <t>103</t>
  </si>
  <si>
    <t>102</t>
  </si>
  <si>
    <t>105</t>
  </si>
  <si>
    <t>New South Wales</t>
  </si>
  <si>
    <t>-33.8688</t>
  </si>
  <si>
    <t>151.2093</t>
  </si>
  <si>
    <t>13</t>
  </si>
  <si>
    <t>28</t>
  </si>
  <si>
    <t>65</t>
  </si>
  <si>
    <t>92</t>
  </si>
  <si>
    <t>112</t>
  </si>
  <si>
    <t>134</t>
  </si>
  <si>
    <t>171</t>
  </si>
  <si>
    <t>210</t>
  </si>
  <si>
    <t>307</t>
  </si>
  <si>
    <t>353</t>
  </si>
  <si>
    <t>436</t>
  </si>
  <si>
    <t>669</t>
  </si>
  <si>
    <t>818</t>
  </si>
  <si>
    <t>1029</t>
  </si>
  <si>
    <t>1219</t>
  </si>
  <si>
    <t>1405</t>
  </si>
  <si>
    <t>1617</t>
  </si>
  <si>
    <t>1791</t>
  </si>
  <si>
    <t>2032</t>
  </si>
  <si>
    <t>2182</t>
  </si>
  <si>
    <t>2298</t>
  </si>
  <si>
    <t>2389</t>
  </si>
  <si>
    <t>2493</t>
  </si>
  <si>
    <t>2580</t>
  </si>
  <si>
    <t>2637</t>
  </si>
  <si>
    <t>2686</t>
  </si>
  <si>
    <t>2734</t>
  </si>
  <si>
    <t>2773</t>
  </si>
  <si>
    <t>2822</t>
  </si>
  <si>
    <t>2857</t>
  </si>
  <si>
    <t>2863</t>
  </si>
  <si>
    <t>2870</t>
  </si>
  <si>
    <t>2886</t>
  </si>
  <si>
    <t>2897</t>
  </si>
  <si>
    <t>2926</t>
  </si>
  <si>
    <t>2936</t>
  </si>
  <si>
    <t>2957</t>
  </si>
  <si>
    <t>2963</t>
  </si>
  <si>
    <t>2969</t>
  </si>
  <si>
    <t>2971</t>
  </si>
  <si>
    <t>2976</t>
  </si>
  <si>
    <t>2982</t>
  </si>
  <si>
    <t>Northern Territory</t>
  </si>
  <si>
    <t>-12.4634</t>
  </si>
  <si>
    <t>130.8456</t>
  </si>
  <si>
    <t>27</t>
  </si>
  <si>
    <t>Queensland</t>
  </si>
  <si>
    <t>-28.0167</t>
  </si>
  <si>
    <t>153.4</t>
  </si>
  <si>
    <t>35</t>
  </si>
  <si>
    <t>46</t>
  </si>
  <si>
    <t>61</t>
  </si>
  <si>
    <t>144</t>
  </si>
  <si>
    <t>184</t>
  </si>
  <si>
    <t>221</t>
  </si>
  <si>
    <t>319</t>
  </si>
  <si>
    <t>397</t>
  </si>
  <si>
    <t>443</t>
  </si>
  <si>
    <t>493</t>
  </si>
  <si>
    <t>625</t>
  </si>
  <si>
    <t>656</t>
  </si>
  <si>
    <t>689</t>
  </si>
  <si>
    <t>743</t>
  </si>
  <si>
    <t>781</t>
  </si>
  <si>
    <t>835</t>
  </si>
  <si>
    <t>873</t>
  </si>
  <si>
    <t>900</t>
  </si>
  <si>
    <t>907</t>
  </si>
  <si>
    <t>934</t>
  </si>
  <si>
    <t>943</t>
  </si>
  <si>
    <t>953</t>
  </si>
  <si>
    <t>965</t>
  </si>
  <si>
    <t>974</t>
  </si>
  <si>
    <t>983</t>
  </si>
  <si>
    <t>987</t>
  </si>
  <si>
    <t>998</t>
  </si>
  <si>
    <t>999</t>
  </si>
  <si>
    <t>1001</t>
  </si>
  <si>
    <t>1007</t>
  </si>
  <si>
    <t>1015</t>
  </si>
  <si>
    <t>1019</t>
  </si>
  <si>
    <t>1024</t>
  </si>
  <si>
    <t>South Australia</t>
  </si>
  <si>
    <t>-34.9285</t>
  </si>
  <si>
    <t>138.6007</t>
  </si>
  <si>
    <t>29</t>
  </si>
  <si>
    <t>50</t>
  </si>
  <si>
    <t>67</t>
  </si>
  <si>
    <t>257</t>
  </si>
  <si>
    <t>287</t>
  </si>
  <si>
    <t>305</t>
  </si>
  <si>
    <t>337</t>
  </si>
  <si>
    <t>396</t>
  </si>
  <si>
    <t>411</t>
  </si>
  <si>
    <t>415</t>
  </si>
  <si>
    <t>420</t>
  </si>
  <si>
    <t>429</t>
  </si>
  <si>
    <t>435</t>
  </si>
  <si>
    <t>437</t>
  </si>
  <si>
    <t>438</t>
  </si>
  <si>
    <t>Tasmania</t>
  </si>
  <si>
    <t>-41.4545</t>
  </si>
  <si>
    <t>145.9707</t>
  </si>
  <si>
    <t>36</t>
  </si>
  <si>
    <t>47</t>
  </si>
  <si>
    <t>66</t>
  </si>
  <si>
    <t>69</t>
  </si>
  <si>
    <t>72</t>
  </si>
  <si>
    <t>82</t>
  </si>
  <si>
    <t>86</t>
  </si>
  <si>
    <t>98</t>
  </si>
  <si>
    <t>111</t>
  </si>
  <si>
    <t>122</t>
  </si>
  <si>
    <t>165</t>
  </si>
  <si>
    <t>169</t>
  </si>
  <si>
    <t>180</t>
  </si>
  <si>
    <t>195</t>
  </si>
  <si>
    <t>200</t>
  </si>
  <si>
    <t>205</t>
  </si>
  <si>
    <t>207</t>
  </si>
  <si>
    <t>Victoria</t>
  </si>
  <si>
    <t>-37.8136</t>
  </si>
  <si>
    <t>144.9631</t>
  </si>
  <si>
    <t>49</t>
  </si>
  <si>
    <t>57</t>
  </si>
  <si>
    <t>121</t>
  </si>
  <si>
    <t>229</t>
  </si>
  <si>
    <t>355</t>
  </si>
  <si>
    <t>520</t>
  </si>
  <si>
    <t>574</t>
  </si>
  <si>
    <t>685</t>
  </si>
  <si>
    <t>769</t>
  </si>
  <si>
    <t>821</t>
  </si>
  <si>
    <t>917</t>
  </si>
  <si>
    <t>968</t>
  </si>
  <si>
    <t>1036</t>
  </si>
  <si>
    <t>1085</t>
  </si>
  <si>
    <t>1115</t>
  </si>
  <si>
    <t>1135</t>
  </si>
  <si>
    <t>1158</t>
  </si>
  <si>
    <t>1191</t>
  </si>
  <si>
    <t>1212</t>
  </si>
  <si>
    <t>1228</t>
  </si>
  <si>
    <t>1241</t>
  </si>
  <si>
    <t>1268</t>
  </si>
  <si>
    <t>1281</t>
  </si>
  <si>
    <t>1299</t>
  </si>
  <si>
    <t>1302</t>
  </si>
  <si>
    <t>1319</t>
  </si>
  <si>
    <t>1328</t>
  </si>
  <si>
    <t>1329</t>
  </si>
  <si>
    <t>1336</t>
  </si>
  <si>
    <t>1337</t>
  </si>
  <si>
    <t>1343</t>
  </si>
  <si>
    <t>Western Australia</t>
  </si>
  <si>
    <t>-31.9505</t>
  </si>
  <si>
    <t>115.8605</t>
  </si>
  <si>
    <t>140</t>
  </si>
  <si>
    <t>175</t>
  </si>
  <si>
    <t>231</t>
  </si>
  <si>
    <t>278</t>
  </si>
  <si>
    <t>311</t>
  </si>
  <si>
    <t>364</t>
  </si>
  <si>
    <t>392</t>
  </si>
  <si>
    <t>453</t>
  </si>
  <si>
    <t>460</t>
  </si>
  <si>
    <t>481</t>
  </si>
  <si>
    <t>495</t>
  </si>
  <si>
    <t>506</t>
  </si>
  <si>
    <t>514</t>
  </si>
  <si>
    <t>517</t>
  </si>
  <si>
    <t>527</t>
  </si>
  <si>
    <t>541</t>
  </si>
  <si>
    <t>544</t>
  </si>
  <si>
    <t>546</t>
  </si>
  <si>
    <t>Austria</t>
  </si>
  <si>
    <t>47.5162</t>
  </si>
  <si>
    <t>14.5501</t>
  </si>
  <si>
    <t>41</t>
  </si>
  <si>
    <t>131</t>
  </si>
  <si>
    <t>182</t>
  </si>
  <si>
    <t>246</t>
  </si>
  <si>
    <t>504</t>
  </si>
  <si>
    <t>655</t>
  </si>
  <si>
    <t>860</t>
  </si>
  <si>
    <t>1018</t>
  </si>
  <si>
    <t>1332</t>
  </si>
  <si>
    <t>1646</t>
  </si>
  <si>
    <t>2013</t>
  </si>
  <si>
    <t>2388</t>
  </si>
  <si>
    <t>2814</t>
  </si>
  <si>
    <t>3582</t>
  </si>
  <si>
    <t>4474</t>
  </si>
  <si>
    <t>5283</t>
  </si>
  <si>
    <t>5588</t>
  </si>
  <si>
    <t>6909</t>
  </si>
  <si>
    <t>7657</t>
  </si>
  <si>
    <t>8271</t>
  </si>
  <si>
    <t>8788</t>
  </si>
  <si>
    <t>9618</t>
  </si>
  <si>
    <t>10180</t>
  </si>
  <si>
    <t>10711</t>
  </si>
  <si>
    <t>11129</t>
  </si>
  <si>
    <t>11524</t>
  </si>
  <si>
    <t>11781</t>
  </si>
  <si>
    <t>12051</t>
  </si>
  <si>
    <t>12297</t>
  </si>
  <si>
    <t>12639</t>
  </si>
  <si>
    <t>12942</t>
  </si>
  <si>
    <t>13244</t>
  </si>
  <si>
    <t>13555</t>
  </si>
  <si>
    <t>13806</t>
  </si>
  <si>
    <t>13945</t>
  </si>
  <si>
    <t>14041</t>
  </si>
  <si>
    <t>14226</t>
  </si>
  <si>
    <t>14336</t>
  </si>
  <si>
    <t>14476</t>
  </si>
  <si>
    <t>14595</t>
  </si>
  <si>
    <t>14671</t>
  </si>
  <si>
    <t>14749</t>
  </si>
  <si>
    <t>14795</t>
  </si>
  <si>
    <t>14873</t>
  </si>
  <si>
    <t>14925</t>
  </si>
  <si>
    <t>15002</t>
  </si>
  <si>
    <t>15071</t>
  </si>
  <si>
    <t>Azerbaijan</t>
  </si>
  <si>
    <t>40.1431</t>
  </si>
  <si>
    <t>47.5769</t>
  </si>
  <si>
    <t>44</t>
  </si>
  <si>
    <t>209</t>
  </si>
  <si>
    <t>298</t>
  </si>
  <si>
    <t>359</t>
  </si>
  <si>
    <t>641</t>
  </si>
  <si>
    <t>926</t>
  </si>
  <si>
    <t>991</t>
  </si>
  <si>
    <t>1058</t>
  </si>
  <si>
    <t>1098</t>
  </si>
  <si>
    <t>1148</t>
  </si>
  <si>
    <t>1197</t>
  </si>
  <si>
    <t>1253</t>
  </si>
  <si>
    <t>1283</t>
  </si>
  <si>
    <t>1340</t>
  </si>
  <si>
    <t>1373</t>
  </si>
  <si>
    <t>1398</t>
  </si>
  <si>
    <t>1436</t>
  </si>
  <si>
    <t>1480</t>
  </si>
  <si>
    <t>1518</t>
  </si>
  <si>
    <t>1548</t>
  </si>
  <si>
    <t>1592</t>
  </si>
  <si>
    <t>Bahamas</t>
  </si>
  <si>
    <t>25.0343</t>
  </si>
  <si>
    <t>-77.3963</t>
  </si>
  <si>
    <t>73</t>
  </si>
  <si>
    <t>Bahrain</t>
  </si>
  <si>
    <t>26.0275</t>
  </si>
  <si>
    <t>50.55</t>
  </si>
  <si>
    <t>85</t>
  </si>
  <si>
    <t>95</t>
  </si>
  <si>
    <t>214</t>
  </si>
  <si>
    <t>228</t>
  </si>
  <si>
    <t>256</t>
  </si>
  <si>
    <t>285</t>
  </si>
  <si>
    <t>419</t>
  </si>
  <si>
    <t>458</t>
  </si>
  <si>
    <t>476</t>
  </si>
  <si>
    <t>499</t>
  </si>
  <si>
    <t>515</t>
  </si>
  <si>
    <t>567</t>
  </si>
  <si>
    <t>569</t>
  </si>
  <si>
    <t>643</t>
  </si>
  <si>
    <t>672</t>
  </si>
  <si>
    <t>688</t>
  </si>
  <si>
    <t>700</t>
  </si>
  <si>
    <t>756</t>
  </si>
  <si>
    <t>811</t>
  </si>
  <si>
    <t>823</t>
  </si>
  <si>
    <t>887</t>
  </si>
  <si>
    <t>925</t>
  </si>
  <si>
    <t>1040</t>
  </si>
  <si>
    <t>1136</t>
  </si>
  <si>
    <t>1361</t>
  </si>
  <si>
    <t>1528</t>
  </si>
  <si>
    <t>1671</t>
  </si>
  <si>
    <t>1700</t>
  </si>
  <si>
    <t>1740</t>
  </si>
  <si>
    <t>1773</t>
  </si>
  <si>
    <t>1881</t>
  </si>
  <si>
    <t>1907</t>
  </si>
  <si>
    <t>1973</t>
  </si>
  <si>
    <t>2027</t>
  </si>
  <si>
    <t>2217</t>
  </si>
  <si>
    <t>2518</t>
  </si>
  <si>
    <t>Bangladesh</t>
  </si>
  <si>
    <t>23.685</t>
  </si>
  <si>
    <t>90.3563</t>
  </si>
  <si>
    <t>218</t>
  </si>
  <si>
    <t>330</t>
  </si>
  <si>
    <t>621</t>
  </si>
  <si>
    <t>803</t>
  </si>
  <si>
    <t>1012</t>
  </si>
  <si>
    <t>1231</t>
  </si>
  <si>
    <t>1838</t>
  </si>
  <si>
    <t>2144</t>
  </si>
  <si>
    <t>2456</t>
  </si>
  <si>
    <t>2948</t>
  </si>
  <si>
    <t>3382</t>
  </si>
  <si>
    <t>3772</t>
  </si>
  <si>
    <t>4186</t>
  </si>
  <si>
    <t>4689</t>
  </si>
  <si>
    <t>Barbados</t>
  </si>
  <si>
    <t>13.1939</t>
  </si>
  <si>
    <t>-59.5432</t>
  </si>
  <si>
    <t>63</t>
  </si>
  <si>
    <t>Belarus</t>
  </si>
  <si>
    <t>53.7098</t>
  </si>
  <si>
    <t>27.9534</t>
  </si>
  <si>
    <t>81</t>
  </si>
  <si>
    <t>152</t>
  </si>
  <si>
    <t>163</t>
  </si>
  <si>
    <t>351</t>
  </si>
  <si>
    <t>440</t>
  </si>
  <si>
    <t>861</t>
  </si>
  <si>
    <t>1066</t>
  </si>
  <si>
    <t>1486</t>
  </si>
  <si>
    <t>1981</t>
  </si>
  <si>
    <t>2226</t>
  </si>
  <si>
    <t>2578</t>
  </si>
  <si>
    <t>2919</t>
  </si>
  <si>
    <t>3281</t>
  </si>
  <si>
    <t>3728</t>
  </si>
  <si>
    <t>4204</t>
  </si>
  <si>
    <t>4779</t>
  </si>
  <si>
    <t>6264</t>
  </si>
  <si>
    <t>6723</t>
  </si>
  <si>
    <t>7281</t>
  </si>
  <si>
    <t>8022</t>
  </si>
  <si>
    <t>8773</t>
  </si>
  <si>
    <t>Belgium</t>
  </si>
  <si>
    <t>50.8333</t>
  </si>
  <si>
    <t>4.0</t>
  </si>
  <si>
    <t>109</t>
  </si>
  <si>
    <t>239</t>
  </si>
  <si>
    <t>314</t>
  </si>
  <si>
    <t>559</t>
  </si>
  <si>
    <t>886</t>
  </si>
  <si>
    <t>1243</t>
  </si>
  <si>
    <t>2257</t>
  </si>
  <si>
    <t>2815</t>
  </si>
  <si>
    <t>3401</t>
  </si>
  <si>
    <t>3743</t>
  </si>
  <si>
    <t>4269</t>
  </si>
  <si>
    <t>4937</t>
  </si>
  <si>
    <t>6235</t>
  </si>
  <si>
    <t>7284</t>
  </si>
  <si>
    <t>9134</t>
  </si>
  <si>
    <t>10836</t>
  </si>
  <si>
    <t>11899</t>
  </si>
  <si>
    <t>12775</t>
  </si>
  <si>
    <t>13964</t>
  </si>
  <si>
    <t>15348</t>
  </si>
  <si>
    <t>16770</t>
  </si>
  <si>
    <t>18431</t>
  </si>
  <si>
    <t>19691</t>
  </si>
  <si>
    <t>20814</t>
  </si>
  <si>
    <t>22194</t>
  </si>
  <si>
    <t>23403</t>
  </si>
  <si>
    <t>24983</t>
  </si>
  <si>
    <t>26667</t>
  </si>
  <si>
    <t>28018</t>
  </si>
  <si>
    <t>29647</t>
  </si>
  <si>
    <t>30589</t>
  </si>
  <si>
    <t>31119</t>
  </si>
  <si>
    <t>33573</t>
  </si>
  <si>
    <t>34809</t>
  </si>
  <si>
    <t>36138</t>
  </si>
  <si>
    <t>37183</t>
  </si>
  <si>
    <t>38496</t>
  </si>
  <si>
    <t>39983</t>
  </si>
  <si>
    <t>40956</t>
  </si>
  <si>
    <t>41889</t>
  </si>
  <si>
    <t>42797</t>
  </si>
  <si>
    <t>44293</t>
  </si>
  <si>
    <t>Benin</t>
  </si>
  <si>
    <t>9.3077</t>
  </si>
  <si>
    <t>2.3158</t>
  </si>
  <si>
    <t>Bhutan</t>
  </si>
  <si>
    <t>27.5142</t>
  </si>
  <si>
    <t>90.4336</t>
  </si>
  <si>
    <t>Bolivia</t>
  </si>
  <si>
    <t>-16.2902</t>
  </si>
  <si>
    <t>-63.5887</t>
  </si>
  <si>
    <t>43</t>
  </si>
  <si>
    <t>107</t>
  </si>
  <si>
    <t>132</t>
  </si>
  <si>
    <t>157</t>
  </si>
  <si>
    <t>183</t>
  </si>
  <si>
    <t>268</t>
  </si>
  <si>
    <t>275</t>
  </si>
  <si>
    <t>300</t>
  </si>
  <si>
    <t>354</t>
  </si>
  <si>
    <t>441</t>
  </si>
  <si>
    <t>465</t>
  </si>
  <si>
    <t>598</t>
  </si>
  <si>
    <t>703</t>
  </si>
  <si>
    <t>807</t>
  </si>
  <si>
    <t>Bosnia and Herzegovina</t>
  </si>
  <si>
    <t>43.9159</t>
  </si>
  <si>
    <t>17.6791</t>
  </si>
  <si>
    <t>126</t>
  </si>
  <si>
    <t>166</t>
  </si>
  <si>
    <t>176</t>
  </si>
  <si>
    <t>191</t>
  </si>
  <si>
    <t>258</t>
  </si>
  <si>
    <t>323</t>
  </si>
  <si>
    <t>368</t>
  </si>
  <si>
    <t>459</t>
  </si>
  <si>
    <t>533</t>
  </si>
  <si>
    <t>579</t>
  </si>
  <si>
    <t>624</t>
  </si>
  <si>
    <t>654</t>
  </si>
  <si>
    <t>674</t>
  </si>
  <si>
    <t>764</t>
  </si>
  <si>
    <t>804</t>
  </si>
  <si>
    <t>858</t>
  </si>
  <si>
    <t>901</t>
  </si>
  <si>
    <t>946</t>
  </si>
  <si>
    <t>1009</t>
  </si>
  <si>
    <t>1037</t>
  </si>
  <si>
    <t>1083</t>
  </si>
  <si>
    <t>1110</t>
  </si>
  <si>
    <t>1167</t>
  </si>
  <si>
    <t>1214</t>
  </si>
  <si>
    <t>1285</t>
  </si>
  <si>
    <t>1309</t>
  </si>
  <si>
    <t>1342</t>
  </si>
  <si>
    <t>1368</t>
  </si>
  <si>
    <t>1413</t>
  </si>
  <si>
    <t>1421</t>
  </si>
  <si>
    <t>Brazil</t>
  </si>
  <si>
    <t>-14.235</t>
  </si>
  <si>
    <t>-51.9253</t>
  </si>
  <si>
    <t>151</t>
  </si>
  <si>
    <t>162</t>
  </si>
  <si>
    <t>321</t>
  </si>
  <si>
    <t>372</t>
  </si>
  <si>
    <t>793</t>
  </si>
  <si>
    <t>1021</t>
  </si>
  <si>
    <t>1546</t>
  </si>
  <si>
    <t>1924</t>
  </si>
  <si>
    <t>2247</t>
  </si>
  <si>
    <t>2554</t>
  </si>
  <si>
    <t>2985</t>
  </si>
  <si>
    <t>3417</t>
  </si>
  <si>
    <t>3904</t>
  </si>
  <si>
    <t>4256</t>
  </si>
  <si>
    <t>4579</t>
  </si>
  <si>
    <t>5717</t>
  </si>
  <si>
    <t>6836</t>
  </si>
  <si>
    <t>8044</t>
  </si>
  <si>
    <t>9056</t>
  </si>
  <si>
    <t>10360</t>
  </si>
  <si>
    <t>11130</t>
  </si>
  <si>
    <t>12161</t>
  </si>
  <si>
    <t>14034</t>
  </si>
  <si>
    <t>16170</t>
  </si>
  <si>
    <t>18092</t>
  </si>
  <si>
    <t>19638</t>
  </si>
  <si>
    <t>20727</t>
  </si>
  <si>
    <t>22192</t>
  </si>
  <si>
    <t>23430</t>
  </si>
  <si>
    <t>25262</t>
  </si>
  <si>
    <t>28320</t>
  </si>
  <si>
    <t>30425</t>
  </si>
  <si>
    <t>33682</t>
  </si>
  <si>
    <t>36658</t>
  </si>
  <si>
    <t>38654</t>
  </si>
  <si>
    <t>40743</t>
  </si>
  <si>
    <t>43079</t>
  </si>
  <si>
    <t>45757</t>
  </si>
  <si>
    <t>50036</t>
  </si>
  <si>
    <t>54043</t>
  </si>
  <si>
    <t>Brunei</t>
  </si>
  <si>
    <t>4.5353</t>
  </si>
  <si>
    <t>114.7277</t>
  </si>
  <si>
    <t>83</t>
  </si>
  <si>
    <t>114</t>
  </si>
  <si>
    <t>127</t>
  </si>
  <si>
    <t>129</t>
  </si>
  <si>
    <t>135</t>
  </si>
  <si>
    <t>137</t>
  </si>
  <si>
    <t>138</t>
  </si>
  <si>
    <t>Bulgaria</t>
  </si>
  <si>
    <t>42.7339</t>
  </si>
  <si>
    <t>25.4858</t>
  </si>
  <si>
    <t>187</t>
  </si>
  <si>
    <t>242</t>
  </si>
  <si>
    <t>293</t>
  </si>
  <si>
    <t>331</t>
  </si>
  <si>
    <t>346</t>
  </si>
  <si>
    <t>399</t>
  </si>
  <si>
    <t>422</t>
  </si>
  <si>
    <t>457</t>
  </si>
  <si>
    <t>485</t>
  </si>
  <si>
    <t>503</t>
  </si>
  <si>
    <t>531</t>
  </si>
  <si>
    <t>549</t>
  </si>
  <si>
    <t>577</t>
  </si>
  <si>
    <t>593</t>
  </si>
  <si>
    <t>618</t>
  </si>
  <si>
    <t>635</t>
  </si>
  <si>
    <t>661</t>
  </si>
  <si>
    <t>675</t>
  </si>
  <si>
    <t>747</t>
  </si>
  <si>
    <t>800</t>
  </si>
  <si>
    <t>846</t>
  </si>
  <si>
    <t>878</t>
  </si>
  <si>
    <t>894</t>
  </si>
  <si>
    <t>929</t>
  </si>
  <si>
    <t>975</t>
  </si>
  <si>
    <t>1097</t>
  </si>
  <si>
    <t>1234</t>
  </si>
  <si>
    <t>Burkina Faso</t>
  </si>
  <si>
    <t>12.2383</t>
  </si>
  <si>
    <t>-1.5616</t>
  </si>
  <si>
    <t>222</t>
  </si>
  <si>
    <t>261</t>
  </si>
  <si>
    <t>282</t>
  </si>
  <si>
    <t>288</t>
  </si>
  <si>
    <t>318</t>
  </si>
  <si>
    <t>345</t>
  </si>
  <si>
    <t>384</t>
  </si>
  <si>
    <t>414</t>
  </si>
  <si>
    <t>497</t>
  </si>
  <si>
    <t>528</t>
  </si>
  <si>
    <t>542</t>
  </si>
  <si>
    <t>557</t>
  </si>
  <si>
    <t>565</t>
  </si>
  <si>
    <t>576</t>
  </si>
  <si>
    <t>581</t>
  </si>
  <si>
    <t>600</t>
  </si>
  <si>
    <t>616</t>
  </si>
  <si>
    <t>629</t>
  </si>
  <si>
    <t>Cabo Verde</t>
  </si>
  <si>
    <t>16.5388</t>
  </si>
  <si>
    <t>-23.0418</t>
  </si>
  <si>
    <t>58</t>
  </si>
  <si>
    <t>Cambodia</t>
  </si>
  <si>
    <t>11.55</t>
  </si>
  <si>
    <t>104.9167</t>
  </si>
  <si>
    <t>117</t>
  </si>
  <si>
    <t>119</t>
  </si>
  <si>
    <t>Cameroon</t>
  </si>
  <si>
    <t>3.8480000000000003</t>
  </si>
  <si>
    <t>11.5021</t>
  </si>
  <si>
    <t>193</t>
  </si>
  <si>
    <t>233</t>
  </si>
  <si>
    <t>306</t>
  </si>
  <si>
    <t>509</t>
  </si>
  <si>
    <t>650</t>
  </si>
  <si>
    <t>658</t>
  </si>
  <si>
    <t>730</t>
  </si>
  <si>
    <t>848</t>
  </si>
  <si>
    <t>1017</t>
  </si>
  <si>
    <t>1163</t>
  </si>
  <si>
    <t>1334</t>
  </si>
  <si>
    <t>1430</t>
  </si>
  <si>
    <t>Alberta</t>
  </si>
  <si>
    <t>Canada</t>
  </si>
  <si>
    <t>53.9333</t>
  </si>
  <si>
    <t>-116.5765</t>
  </si>
  <si>
    <t>358</t>
  </si>
  <si>
    <t>486</t>
  </si>
  <si>
    <t>754</t>
  </si>
  <si>
    <t>969</t>
  </si>
  <si>
    <t>1075</t>
  </si>
  <si>
    <t>1181</t>
  </si>
  <si>
    <t>1250</t>
  </si>
  <si>
    <t>1567</t>
  </si>
  <si>
    <t>1732</t>
  </si>
  <si>
    <t>1870</t>
  </si>
  <si>
    <t>1996</t>
  </si>
  <si>
    <t>2397</t>
  </si>
  <si>
    <t>2562</t>
  </si>
  <si>
    <t>2803</t>
  </si>
  <si>
    <t>2908</t>
  </si>
  <si>
    <t>3095</t>
  </si>
  <si>
    <t>3720</t>
  </si>
  <si>
    <t>4017</t>
  </si>
  <si>
    <t>British Columbia</t>
  </si>
  <si>
    <t>49.2827</t>
  </si>
  <si>
    <t>-123.1207</t>
  </si>
  <si>
    <t>271</t>
  </si>
  <si>
    <t>472</t>
  </si>
  <si>
    <t>617</t>
  </si>
  <si>
    <t>725</t>
  </si>
  <si>
    <t>884</t>
  </si>
  <si>
    <t>970</t>
  </si>
  <si>
    <t>1121</t>
  </si>
  <si>
    <t>1174</t>
  </si>
  <si>
    <t>1203</t>
  </si>
  <si>
    <t>1266</t>
  </si>
  <si>
    <t>1370</t>
  </si>
  <si>
    <t>1445</t>
  </si>
  <si>
    <t>1490</t>
  </si>
  <si>
    <t>1517</t>
  </si>
  <si>
    <t>1561</t>
  </si>
  <si>
    <t>1575</t>
  </si>
  <si>
    <t>1618</t>
  </si>
  <si>
    <t>1647</t>
  </si>
  <si>
    <t>1724</t>
  </si>
  <si>
    <t>1824</t>
  </si>
  <si>
    <t>1853</t>
  </si>
  <si>
    <t>Grand Princess</t>
  </si>
  <si>
    <t>37.6489</t>
  </si>
  <si>
    <t>-122.6655</t>
  </si>
  <si>
    <t>-1</t>
  </si>
  <si>
    <t>Manitoba</t>
  </si>
  <si>
    <t>53.7609</t>
  </si>
  <si>
    <t>-98.8139</t>
  </si>
  <si>
    <t>167</t>
  </si>
  <si>
    <t>203</t>
  </si>
  <si>
    <t>217</t>
  </si>
  <si>
    <t>250</t>
  </si>
  <si>
    <t>253</t>
  </si>
  <si>
    <t>254</t>
  </si>
  <si>
    <t>255</t>
  </si>
  <si>
    <t>262</t>
  </si>
  <si>
    <t>263</t>
  </si>
  <si>
    <t>New Brunswick</t>
  </si>
  <si>
    <t>46.5653</t>
  </si>
  <si>
    <t>-66.4619</t>
  </si>
  <si>
    <t>108</t>
  </si>
  <si>
    <t>116</t>
  </si>
  <si>
    <t>118</t>
  </si>
  <si>
    <t>Newfoundland and Labrador</t>
  </si>
  <si>
    <t>53.1355</t>
  </si>
  <si>
    <t>-57.6604</t>
  </si>
  <si>
    <t>148</t>
  </si>
  <si>
    <t>226</t>
  </si>
  <si>
    <t>232</t>
  </si>
  <si>
    <t>241</t>
  </si>
  <si>
    <t>244</t>
  </si>
  <si>
    <t>247</t>
  </si>
  <si>
    <t>252</t>
  </si>
  <si>
    <t>Nova Scotia</t>
  </si>
  <si>
    <t>44.681999999999995</t>
  </si>
  <si>
    <t>-63.7443</t>
  </si>
  <si>
    <t>147</t>
  </si>
  <si>
    <t>173</t>
  </si>
  <si>
    <t>236</t>
  </si>
  <si>
    <t>310</t>
  </si>
  <si>
    <t>342</t>
  </si>
  <si>
    <t>445</t>
  </si>
  <si>
    <t>474</t>
  </si>
  <si>
    <t>606</t>
  </si>
  <si>
    <t>649</t>
  </si>
  <si>
    <t>721</t>
  </si>
  <si>
    <t>737</t>
  </si>
  <si>
    <t>772</t>
  </si>
  <si>
    <t>827</t>
  </si>
  <si>
    <t>Ontario</t>
  </si>
  <si>
    <t>51.2538</t>
  </si>
  <si>
    <t>-85.3232</t>
  </si>
  <si>
    <t>177</t>
  </si>
  <si>
    <t>185</t>
  </si>
  <si>
    <t>425</t>
  </si>
  <si>
    <t>588</t>
  </si>
  <si>
    <t>994</t>
  </si>
  <si>
    <t>1144</t>
  </si>
  <si>
    <t>1355</t>
  </si>
  <si>
    <t>1706</t>
  </si>
  <si>
    <t>1966</t>
  </si>
  <si>
    <t>2392</t>
  </si>
  <si>
    <t>2793</t>
  </si>
  <si>
    <t>3255</t>
  </si>
  <si>
    <t>3630</t>
  </si>
  <si>
    <t>4354</t>
  </si>
  <si>
    <t>4347</t>
  </si>
  <si>
    <t>4726</t>
  </si>
  <si>
    <t>5276</t>
  </si>
  <si>
    <t>5759</t>
  </si>
  <si>
    <t>6237</t>
  </si>
  <si>
    <t>6648</t>
  </si>
  <si>
    <t>7049</t>
  </si>
  <si>
    <t>7953</t>
  </si>
  <si>
    <t>8447</t>
  </si>
  <si>
    <t>9840</t>
  </si>
  <si>
    <t>10456</t>
  </si>
  <si>
    <t>11013</t>
  </si>
  <si>
    <t>11561</t>
  </si>
  <si>
    <t>12063</t>
  </si>
  <si>
    <t>12715</t>
  </si>
  <si>
    <t>13718</t>
  </si>
  <si>
    <t>14068</t>
  </si>
  <si>
    <t>14550</t>
  </si>
  <si>
    <t>Prince Edward Island</t>
  </si>
  <si>
    <t>46.5107</t>
  </si>
  <si>
    <t>-63.4168</t>
  </si>
  <si>
    <t>Quebec</t>
  </si>
  <si>
    <t>52.9399</t>
  </si>
  <si>
    <t>-73.5491</t>
  </si>
  <si>
    <t>181</t>
  </si>
  <si>
    <t>219</t>
  </si>
  <si>
    <t>628</t>
  </si>
  <si>
    <t>1632</t>
  </si>
  <si>
    <t>2024</t>
  </si>
  <si>
    <t>2498</t>
  </si>
  <si>
    <t>2840</t>
  </si>
  <si>
    <t>3430</t>
  </si>
  <si>
    <t>4162</t>
  </si>
  <si>
    <t>4611</t>
  </si>
  <si>
    <t>5518</t>
  </si>
  <si>
    <t>6101</t>
  </si>
  <si>
    <t>7944</t>
  </si>
  <si>
    <t>8580</t>
  </si>
  <si>
    <t>9340</t>
  </si>
  <si>
    <t>10031</t>
  </si>
  <si>
    <t>10912</t>
  </si>
  <si>
    <t>11677</t>
  </si>
  <si>
    <t>12292</t>
  </si>
  <si>
    <t>12846</t>
  </si>
  <si>
    <t>13557</t>
  </si>
  <si>
    <t>14248</t>
  </si>
  <si>
    <t>14860</t>
  </si>
  <si>
    <t>15857</t>
  </si>
  <si>
    <t>16798</t>
  </si>
  <si>
    <t>17521</t>
  </si>
  <si>
    <t>17950</t>
  </si>
  <si>
    <t>19319</t>
  </si>
  <si>
    <t>20126</t>
  </si>
  <si>
    <t>20965</t>
  </si>
  <si>
    <t>21838</t>
  </si>
  <si>
    <t>22616</t>
  </si>
  <si>
    <t>Saskatchewan</t>
  </si>
  <si>
    <t>-106.4509</t>
  </si>
  <si>
    <t>156</t>
  </si>
  <si>
    <t>206</t>
  </si>
  <si>
    <t>220</t>
  </si>
  <si>
    <t>260</t>
  </si>
  <si>
    <t>289</t>
  </si>
  <si>
    <t>313</t>
  </si>
  <si>
    <t>315</t>
  </si>
  <si>
    <t>316</t>
  </si>
  <si>
    <t>320</t>
  </si>
  <si>
    <t>326</t>
  </si>
  <si>
    <t>341</t>
  </si>
  <si>
    <t>Central African Republic</t>
  </si>
  <si>
    <t>6.6111</t>
  </si>
  <si>
    <t>20.9394</t>
  </si>
  <si>
    <t>Chad</t>
  </si>
  <si>
    <t>15.4542</t>
  </si>
  <si>
    <t>18.7322</t>
  </si>
  <si>
    <t>Chile</t>
  </si>
  <si>
    <t>-35.6751</t>
  </si>
  <si>
    <t>-71.543</t>
  </si>
  <si>
    <t>155</t>
  </si>
  <si>
    <t>238</t>
  </si>
  <si>
    <t>434</t>
  </si>
  <si>
    <t>537</t>
  </si>
  <si>
    <t>632</t>
  </si>
  <si>
    <t>746</t>
  </si>
  <si>
    <t>922</t>
  </si>
  <si>
    <t>1142</t>
  </si>
  <si>
    <t>1306</t>
  </si>
  <si>
    <t>1610</t>
  </si>
  <si>
    <t>1909</t>
  </si>
  <si>
    <t>2139</t>
  </si>
  <si>
    <t>2449</t>
  </si>
  <si>
    <t>2738</t>
  </si>
  <si>
    <t>3404</t>
  </si>
  <si>
    <t>3737</t>
  </si>
  <si>
    <t>4161</t>
  </si>
  <si>
    <t>4471</t>
  </si>
  <si>
    <t>4815</t>
  </si>
  <si>
    <t>5116</t>
  </si>
  <si>
    <t>5546</t>
  </si>
  <si>
    <t>5972</t>
  </si>
  <si>
    <t>6501</t>
  </si>
  <si>
    <t>6927</t>
  </si>
  <si>
    <t>7213</t>
  </si>
  <si>
    <t>7525</t>
  </si>
  <si>
    <t>7917</t>
  </si>
  <si>
    <t>8273</t>
  </si>
  <si>
    <t>8807</t>
  </si>
  <si>
    <t>9252</t>
  </si>
  <si>
    <t>9730</t>
  </si>
  <si>
    <t>10088</t>
  </si>
  <si>
    <t>10507</t>
  </si>
  <si>
    <t>10832</t>
  </si>
  <si>
    <t>11296</t>
  </si>
  <si>
    <t>11812</t>
  </si>
  <si>
    <t>12306</t>
  </si>
  <si>
    <t>Anhui</t>
  </si>
  <si>
    <t>China</t>
  </si>
  <si>
    <t>31.8257</t>
  </si>
  <si>
    <t>117.2264</t>
  </si>
  <si>
    <t>106</t>
  </si>
  <si>
    <t>297</t>
  </si>
  <si>
    <t>340</t>
  </si>
  <si>
    <t>408</t>
  </si>
  <si>
    <t>480</t>
  </si>
  <si>
    <t>530</t>
  </si>
  <si>
    <t>591</t>
  </si>
  <si>
    <t>733</t>
  </si>
  <si>
    <t>779</t>
  </si>
  <si>
    <t>830</t>
  </si>
  <si>
    <t>889</t>
  </si>
  <si>
    <t>910</t>
  </si>
  <si>
    <t>950</t>
  </si>
  <si>
    <t>962</t>
  </si>
  <si>
    <t>973</t>
  </si>
  <si>
    <t>982</t>
  </si>
  <si>
    <t>988</t>
  </si>
  <si>
    <t>989</t>
  </si>
  <si>
    <t>990</t>
  </si>
  <si>
    <t>Beijing</t>
  </si>
  <si>
    <t>40.1824</t>
  </si>
  <si>
    <t>116.4142</t>
  </si>
  <si>
    <t>168</t>
  </si>
  <si>
    <t>274</t>
  </si>
  <si>
    <t>352</t>
  </si>
  <si>
    <t>366</t>
  </si>
  <si>
    <t>375</t>
  </si>
  <si>
    <t>380</t>
  </si>
  <si>
    <t>381</t>
  </si>
  <si>
    <t>393</t>
  </si>
  <si>
    <t>395</t>
  </si>
  <si>
    <t>410</t>
  </si>
  <si>
    <t>413</t>
  </si>
  <si>
    <t>418</t>
  </si>
  <si>
    <t>426</t>
  </si>
  <si>
    <t>442</t>
  </si>
  <si>
    <t>452</t>
  </si>
  <si>
    <t>456</t>
  </si>
  <si>
    <t>469</t>
  </si>
  <si>
    <t>491</t>
  </si>
  <si>
    <t>522</t>
  </si>
  <si>
    <t>558</t>
  </si>
  <si>
    <t>561</t>
  </si>
  <si>
    <t>566</t>
  </si>
  <si>
    <t>573</t>
  </si>
  <si>
    <t>580</t>
  </si>
  <si>
    <t>582</t>
  </si>
  <si>
    <t>585</t>
  </si>
  <si>
    <t>586</t>
  </si>
  <si>
    <t>587</t>
  </si>
  <si>
    <t>590</t>
  </si>
  <si>
    <t>Chongqing</t>
  </si>
  <si>
    <t>30.0572</t>
  </si>
  <si>
    <t>107.874</t>
  </si>
  <si>
    <t>211</t>
  </si>
  <si>
    <t>389</t>
  </si>
  <si>
    <t>468</t>
  </si>
  <si>
    <t>505</t>
  </si>
  <si>
    <t>529</t>
  </si>
  <si>
    <t>551</t>
  </si>
  <si>
    <t>553</t>
  </si>
  <si>
    <t>560</t>
  </si>
  <si>
    <t>572</t>
  </si>
  <si>
    <t>575</t>
  </si>
  <si>
    <t>578</t>
  </si>
  <si>
    <t>Fujian</t>
  </si>
  <si>
    <t>26.0789</t>
  </si>
  <si>
    <t>117.9874</t>
  </si>
  <si>
    <t>101</t>
  </si>
  <si>
    <t>159</t>
  </si>
  <si>
    <t>179</t>
  </si>
  <si>
    <t>215</t>
  </si>
  <si>
    <t>272</t>
  </si>
  <si>
    <t>279</t>
  </si>
  <si>
    <t>292</t>
  </si>
  <si>
    <t>294</t>
  </si>
  <si>
    <t>296</t>
  </si>
  <si>
    <t>303</t>
  </si>
  <si>
    <t>322</t>
  </si>
  <si>
    <t>328</t>
  </si>
  <si>
    <t>338</t>
  </si>
  <si>
    <t>343</t>
  </si>
  <si>
    <t>350</t>
  </si>
  <si>
    <t>Gansu</t>
  </si>
  <si>
    <t>37.8099</t>
  </si>
  <si>
    <t>101.0583</t>
  </si>
  <si>
    <t>124</t>
  </si>
  <si>
    <t>125</t>
  </si>
  <si>
    <t>Guangdong</t>
  </si>
  <si>
    <t>23.3417</t>
  </si>
  <si>
    <t>113.4244</t>
  </si>
  <si>
    <t>535</t>
  </si>
  <si>
    <t>813</t>
  </si>
  <si>
    <t>895</t>
  </si>
  <si>
    <t>1034</t>
  </si>
  <si>
    <t>1095</t>
  </si>
  <si>
    <t>1131</t>
  </si>
  <si>
    <t>1177</t>
  </si>
  <si>
    <t>1261</t>
  </si>
  <si>
    <t>1294</t>
  </si>
  <si>
    <t>1316</t>
  </si>
  <si>
    <t>1322</t>
  </si>
  <si>
    <t>1331</t>
  </si>
  <si>
    <t>1333</t>
  </si>
  <si>
    <t>1345</t>
  </si>
  <si>
    <t>1347</t>
  </si>
  <si>
    <t>1348</t>
  </si>
  <si>
    <t>1349</t>
  </si>
  <si>
    <t>1350</t>
  </si>
  <si>
    <t>1352</t>
  </si>
  <si>
    <t>1353</t>
  </si>
  <si>
    <t>1356</t>
  </si>
  <si>
    <t>1360</t>
  </si>
  <si>
    <t>1364</t>
  </si>
  <si>
    <t>1378</t>
  </si>
  <si>
    <t>1395</t>
  </si>
  <si>
    <t>1400</t>
  </si>
  <si>
    <t>1415</t>
  </si>
  <si>
    <t>1428</t>
  </si>
  <si>
    <t>1433</t>
  </si>
  <si>
    <t>1448</t>
  </si>
  <si>
    <t>1456</t>
  </si>
  <si>
    <t>1467</t>
  </si>
  <si>
    <t>1475</t>
  </si>
  <si>
    <t>1484</t>
  </si>
  <si>
    <t>1494</t>
  </si>
  <si>
    <t>1501</t>
  </si>
  <si>
    <t>1507</t>
  </si>
  <si>
    <t>1514</t>
  </si>
  <si>
    <t>1516</t>
  </si>
  <si>
    <t>1524</t>
  </si>
  <si>
    <t>1532</t>
  </si>
  <si>
    <t>1533</t>
  </si>
  <si>
    <t>1536</t>
  </si>
  <si>
    <t>1539</t>
  </si>
  <si>
    <t>1544</t>
  </si>
  <si>
    <t>1552</t>
  </si>
  <si>
    <t>1555</t>
  </si>
  <si>
    <t>1564</t>
  </si>
  <si>
    <t>1566</t>
  </si>
  <si>
    <t>1571</t>
  </si>
  <si>
    <t>1577</t>
  </si>
  <si>
    <t>1579</t>
  </si>
  <si>
    <t>1580</t>
  </si>
  <si>
    <t>1581</t>
  </si>
  <si>
    <t>1582</t>
  </si>
  <si>
    <t>1585</t>
  </si>
  <si>
    <t>Guangxi</t>
  </si>
  <si>
    <t>23.8298</t>
  </si>
  <si>
    <t>108.7881</t>
  </si>
  <si>
    <t>150</t>
  </si>
  <si>
    <t>172</t>
  </si>
  <si>
    <t>245</t>
  </si>
  <si>
    <t>251</t>
  </si>
  <si>
    <t>Guizhou</t>
  </si>
  <si>
    <t>26.8154</t>
  </si>
  <si>
    <t>106.8748</t>
  </si>
  <si>
    <t>143</t>
  </si>
  <si>
    <t>Hainan</t>
  </si>
  <si>
    <t>19.1959</t>
  </si>
  <si>
    <t>109.7453</t>
  </si>
  <si>
    <t>Hebei</t>
  </si>
  <si>
    <t>39.549</t>
  </si>
  <si>
    <t>116.1306</t>
  </si>
  <si>
    <t>283</t>
  </si>
  <si>
    <t>291</t>
  </si>
  <si>
    <t>309</t>
  </si>
  <si>
    <t>312</t>
  </si>
  <si>
    <t>317</t>
  </si>
  <si>
    <t>325</t>
  </si>
  <si>
    <t>327</t>
  </si>
  <si>
    <t>Heilongjiang</t>
  </si>
  <si>
    <t>47.861999999999995</t>
  </si>
  <si>
    <t>127.7615</t>
  </si>
  <si>
    <t>190</t>
  </si>
  <si>
    <t>227</t>
  </si>
  <si>
    <t>295</t>
  </si>
  <si>
    <t>360</t>
  </si>
  <si>
    <t>378</t>
  </si>
  <si>
    <t>464</t>
  </si>
  <si>
    <t>470</t>
  </si>
  <si>
    <t>479</t>
  </si>
  <si>
    <t>483</t>
  </si>
  <si>
    <t>488</t>
  </si>
  <si>
    <t>489</t>
  </si>
  <si>
    <t>524</t>
  </si>
  <si>
    <t>684</t>
  </si>
  <si>
    <t>740</t>
  </si>
  <si>
    <t>819</t>
  </si>
  <si>
    <t>841</t>
  </si>
  <si>
    <t>872</t>
  </si>
  <si>
    <t>892</t>
  </si>
  <si>
    <t>898</t>
  </si>
  <si>
    <t>905</t>
  </si>
  <si>
    <t>913</t>
  </si>
  <si>
    <t>928</t>
  </si>
  <si>
    <t>930</t>
  </si>
  <si>
    <t>Henan</t>
  </si>
  <si>
    <t>33.882</t>
  </si>
  <si>
    <t>113.61399999999999</t>
  </si>
  <si>
    <t>851</t>
  </si>
  <si>
    <t>914</t>
  </si>
  <si>
    <t>981</t>
  </si>
  <si>
    <t>1033</t>
  </si>
  <si>
    <t>1073</t>
  </si>
  <si>
    <t>1105</t>
  </si>
  <si>
    <t>1169</t>
  </si>
  <si>
    <t>1184</t>
  </si>
  <si>
    <t>1246</t>
  </si>
  <si>
    <t>1257</t>
  </si>
  <si>
    <t>1262</t>
  </si>
  <si>
    <t>1267</t>
  </si>
  <si>
    <t>1270</t>
  </si>
  <si>
    <t>1271</t>
  </si>
  <si>
    <t>1272</t>
  </si>
  <si>
    <t>1273</t>
  </si>
  <si>
    <t>1274</t>
  </si>
  <si>
    <t>1275</t>
  </si>
  <si>
    <t>1276</t>
  </si>
  <si>
    <t>Hong Kong</t>
  </si>
  <si>
    <t>22.3</t>
  </si>
  <si>
    <t>114.2</t>
  </si>
  <si>
    <t>145</t>
  </si>
  <si>
    <t>208</t>
  </si>
  <si>
    <t>356</t>
  </si>
  <si>
    <t>386</t>
  </si>
  <si>
    <t>519</t>
  </si>
  <si>
    <t>682</t>
  </si>
  <si>
    <t>765</t>
  </si>
  <si>
    <t>802</t>
  </si>
  <si>
    <t>845</t>
  </si>
  <si>
    <t>862</t>
  </si>
  <si>
    <t>890</t>
  </si>
  <si>
    <t>935</t>
  </si>
  <si>
    <t>960</t>
  </si>
  <si>
    <t>1000</t>
  </si>
  <si>
    <t>1004</t>
  </si>
  <si>
    <t>1025</t>
  </si>
  <si>
    <t>1035</t>
  </si>
  <si>
    <t>Hubei</t>
  </si>
  <si>
    <t>30.9756</t>
  </si>
  <si>
    <t>112.2707</t>
  </si>
  <si>
    <t>761</t>
  </si>
  <si>
    <t>3554</t>
  </si>
  <si>
    <t>4903</t>
  </si>
  <si>
    <t>5806</t>
  </si>
  <si>
    <t>7153</t>
  </si>
  <si>
    <t>11177</t>
  </si>
  <si>
    <t>13522</t>
  </si>
  <si>
    <t>16678</t>
  </si>
  <si>
    <t>19665</t>
  </si>
  <si>
    <t>22112</t>
  </si>
  <si>
    <t>24953</t>
  </si>
  <si>
    <t>27100</t>
  </si>
  <si>
    <t>29631</t>
  </si>
  <si>
    <t>31728</t>
  </si>
  <si>
    <t>33366</t>
  </si>
  <si>
    <t>48206</t>
  </si>
  <si>
    <t>54406</t>
  </si>
  <si>
    <t>56249</t>
  </si>
  <si>
    <t>58182</t>
  </si>
  <si>
    <t>59989</t>
  </si>
  <si>
    <t>61682</t>
  </si>
  <si>
    <t>62031</t>
  </si>
  <si>
    <t>62442</t>
  </si>
  <si>
    <t>62662</t>
  </si>
  <si>
    <t>64084</t>
  </si>
  <si>
    <t>64287</t>
  </si>
  <si>
    <t>64786</t>
  </si>
  <si>
    <t>65187</t>
  </si>
  <si>
    <t>65596</t>
  </si>
  <si>
    <t>65914</t>
  </si>
  <si>
    <t>66337</t>
  </si>
  <si>
    <t>66907</t>
  </si>
  <si>
    <t>67103</t>
  </si>
  <si>
    <t>67217</t>
  </si>
  <si>
    <t>67332</t>
  </si>
  <si>
    <t>67466</t>
  </si>
  <si>
    <t>67592</t>
  </si>
  <si>
    <t>67666</t>
  </si>
  <si>
    <t>67707</t>
  </si>
  <si>
    <t>67743</t>
  </si>
  <si>
    <t>67760</t>
  </si>
  <si>
    <t>67773</t>
  </si>
  <si>
    <t>67781</t>
  </si>
  <si>
    <t>67786</t>
  </si>
  <si>
    <t>67790</t>
  </si>
  <si>
    <t>67794</t>
  </si>
  <si>
    <t>67798</t>
  </si>
  <si>
    <t>67799</t>
  </si>
  <si>
    <t>67800</t>
  </si>
  <si>
    <t>67801</t>
  </si>
  <si>
    <t>67802</t>
  </si>
  <si>
    <t>67803</t>
  </si>
  <si>
    <t>68128</t>
  </si>
  <si>
    <t>Hunan</t>
  </si>
  <si>
    <t>27.6104</t>
  </si>
  <si>
    <t>111.7088</t>
  </si>
  <si>
    <t>332</t>
  </si>
  <si>
    <t>463</t>
  </si>
  <si>
    <t>711</t>
  </si>
  <si>
    <t>838</t>
  </si>
  <si>
    <t>879</t>
  </si>
  <si>
    <t>912</t>
  </si>
  <si>
    <t>1006</t>
  </si>
  <si>
    <t>1008</t>
  </si>
  <si>
    <t>1010</t>
  </si>
  <si>
    <t>1011</t>
  </si>
  <si>
    <t>1016</t>
  </si>
  <si>
    <t>Inner Mongolia</t>
  </si>
  <si>
    <t>44.0935</t>
  </si>
  <si>
    <t>113.9448</t>
  </si>
  <si>
    <t>189</t>
  </si>
  <si>
    <t>Jiangsu</t>
  </si>
  <si>
    <t>32.9711</t>
  </si>
  <si>
    <t>119.455</t>
  </si>
  <si>
    <t>202</t>
  </si>
  <si>
    <t>373</t>
  </si>
  <si>
    <t>492</t>
  </si>
  <si>
    <t>543</t>
  </si>
  <si>
    <t>570</t>
  </si>
  <si>
    <t>604</t>
  </si>
  <si>
    <t>626</t>
  </si>
  <si>
    <t>631</t>
  </si>
  <si>
    <t>633</t>
  </si>
  <si>
    <t>636</t>
  </si>
  <si>
    <t>640</t>
  </si>
  <si>
    <t>644</t>
  </si>
  <si>
    <t>645</t>
  </si>
  <si>
    <t>647</t>
  </si>
  <si>
    <t>651</t>
  </si>
  <si>
    <t>652</t>
  </si>
  <si>
    <t>653</t>
  </si>
  <si>
    <t>Jiangxi</t>
  </si>
  <si>
    <t>27.614</t>
  </si>
  <si>
    <t>115.7221</t>
  </si>
  <si>
    <t>240</t>
  </si>
  <si>
    <t>286</t>
  </si>
  <si>
    <t>391</t>
  </si>
  <si>
    <t>698</t>
  </si>
  <si>
    <t>771</t>
  </si>
  <si>
    <t>844</t>
  </si>
  <si>
    <t>936</t>
  </si>
  <si>
    <t>Jilin</t>
  </si>
  <si>
    <t>43.6661</t>
  </si>
  <si>
    <t>126.1923</t>
  </si>
  <si>
    <t>Liaoning</t>
  </si>
  <si>
    <t>41.2956</t>
  </si>
  <si>
    <t>122.6085</t>
  </si>
  <si>
    <t>141</t>
  </si>
  <si>
    <t>142</t>
  </si>
  <si>
    <t>Macau</t>
  </si>
  <si>
    <t>22.1667</t>
  </si>
  <si>
    <t>113.55</t>
  </si>
  <si>
    <t>30</t>
  </si>
  <si>
    <t>Ningxia</t>
  </si>
  <si>
    <t>37.2692</t>
  </si>
  <si>
    <t>106.1655</t>
  </si>
  <si>
    <t>Qinghai</t>
  </si>
  <si>
    <t>35.7452</t>
  </si>
  <si>
    <t>95.9956</t>
  </si>
  <si>
    <t>Shaanxi</t>
  </si>
  <si>
    <t>35.1917</t>
  </si>
  <si>
    <t>108.8701</t>
  </si>
  <si>
    <t>213</t>
  </si>
  <si>
    <t>225</t>
  </si>
  <si>
    <t>248</t>
  </si>
  <si>
    <t>Shandong</t>
  </si>
  <si>
    <t>36.3427</t>
  </si>
  <si>
    <t>118.1498</t>
  </si>
  <si>
    <t>130</t>
  </si>
  <si>
    <t>347</t>
  </si>
  <si>
    <t>487</t>
  </si>
  <si>
    <t>523</t>
  </si>
  <si>
    <t>749</t>
  </si>
  <si>
    <t>750</t>
  </si>
  <si>
    <t>755</t>
  </si>
  <si>
    <t>758</t>
  </si>
  <si>
    <t>760</t>
  </si>
  <si>
    <t>762</t>
  </si>
  <si>
    <t>767</t>
  </si>
  <si>
    <t>768</t>
  </si>
  <si>
    <t>773</t>
  </si>
  <si>
    <t>774</t>
  </si>
  <si>
    <t>775</t>
  </si>
  <si>
    <t>778</t>
  </si>
  <si>
    <t>780</t>
  </si>
  <si>
    <t>783</t>
  </si>
  <si>
    <t>787</t>
  </si>
  <si>
    <t>Shanghai</t>
  </si>
  <si>
    <t>31.201999999999998</t>
  </si>
  <si>
    <t>121.4491</t>
  </si>
  <si>
    <t>335</t>
  </si>
  <si>
    <t>336</t>
  </si>
  <si>
    <t>339</t>
  </si>
  <si>
    <t>344</t>
  </si>
  <si>
    <t>363</t>
  </si>
  <si>
    <t>371</t>
  </si>
  <si>
    <t>404</t>
  </si>
  <si>
    <t>451</t>
  </si>
  <si>
    <t>498</t>
  </si>
  <si>
    <t>516</t>
  </si>
  <si>
    <t>526</t>
  </si>
  <si>
    <t>536</t>
  </si>
  <si>
    <t>538</t>
  </si>
  <si>
    <t>552</t>
  </si>
  <si>
    <t>622</t>
  </si>
  <si>
    <t>639</t>
  </si>
  <si>
    <t>Shanxi</t>
  </si>
  <si>
    <t>37.5777</t>
  </si>
  <si>
    <t>112.2922</t>
  </si>
  <si>
    <t>Sichuan</t>
  </si>
  <si>
    <t>30.6171</t>
  </si>
  <si>
    <t>102.7103</t>
  </si>
  <si>
    <t>405</t>
  </si>
  <si>
    <t>417</t>
  </si>
  <si>
    <t>508</t>
  </si>
  <si>
    <t>534</t>
  </si>
  <si>
    <t>540</t>
  </si>
  <si>
    <t>547</t>
  </si>
  <si>
    <t>550</t>
  </si>
  <si>
    <t>554</t>
  </si>
  <si>
    <t>Tianjin</t>
  </si>
  <si>
    <t>39.3054</t>
  </si>
  <si>
    <t>117.323</t>
  </si>
  <si>
    <t>161</t>
  </si>
  <si>
    <t>Tibet</t>
  </si>
  <si>
    <t>31.6927</t>
  </si>
  <si>
    <t>88.0924</t>
  </si>
  <si>
    <t>Xinjiang</t>
  </si>
  <si>
    <t>41.1129</t>
  </si>
  <si>
    <t>85.2401</t>
  </si>
  <si>
    <t>Yunnan</t>
  </si>
  <si>
    <t>24.974</t>
  </si>
  <si>
    <t>101.48700000000001</t>
  </si>
  <si>
    <t>149</t>
  </si>
  <si>
    <t>153</t>
  </si>
  <si>
    <t>154</t>
  </si>
  <si>
    <t>178</t>
  </si>
  <si>
    <t>Zhejiang</t>
  </si>
  <si>
    <t>29.1832</t>
  </si>
  <si>
    <t>120.0934</t>
  </si>
  <si>
    <t>599</t>
  </si>
  <si>
    <t>724</t>
  </si>
  <si>
    <t>829</t>
  </si>
  <si>
    <t>954</t>
  </si>
  <si>
    <t>1048</t>
  </si>
  <si>
    <t>1117</t>
  </si>
  <si>
    <t>1145</t>
  </si>
  <si>
    <t>1155</t>
  </si>
  <si>
    <t>1162</t>
  </si>
  <si>
    <t>1172</t>
  </si>
  <si>
    <t>1175</t>
  </si>
  <si>
    <t>1205</t>
  </si>
  <si>
    <t>1206</t>
  </si>
  <si>
    <t>1213</t>
  </si>
  <si>
    <t>1215</t>
  </si>
  <si>
    <t>1227</t>
  </si>
  <si>
    <t>1232</t>
  </si>
  <si>
    <t>1233</t>
  </si>
  <si>
    <t>1236</t>
  </si>
  <si>
    <t>1238</t>
  </si>
  <si>
    <t>1240</t>
  </si>
  <si>
    <t>1247</t>
  </si>
  <si>
    <t>1254</t>
  </si>
  <si>
    <t>1255</t>
  </si>
  <si>
    <t>1258</t>
  </si>
  <si>
    <t>1260</t>
  </si>
  <si>
    <t>1263</t>
  </si>
  <si>
    <t>1264</t>
  </si>
  <si>
    <t>Colombia</t>
  </si>
  <si>
    <t>4.5709</t>
  </si>
  <si>
    <t>-74.2973</t>
  </si>
  <si>
    <t>196</t>
  </si>
  <si>
    <t>608</t>
  </si>
  <si>
    <t>702</t>
  </si>
  <si>
    <t>798</t>
  </si>
  <si>
    <t>1065</t>
  </si>
  <si>
    <t>1161</t>
  </si>
  <si>
    <t>1406</t>
  </si>
  <si>
    <t>1485</t>
  </si>
  <si>
    <t>1780</t>
  </si>
  <si>
    <t>2054</t>
  </si>
  <si>
    <t>2223</t>
  </si>
  <si>
    <t>2473</t>
  </si>
  <si>
    <t>2709</t>
  </si>
  <si>
    <t>2776</t>
  </si>
  <si>
    <t>2852</t>
  </si>
  <si>
    <t>2979</t>
  </si>
  <si>
    <t>3105</t>
  </si>
  <si>
    <t>3233</t>
  </si>
  <si>
    <t>3439</t>
  </si>
  <si>
    <t>3792</t>
  </si>
  <si>
    <t>3977</t>
  </si>
  <si>
    <t>4149</t>
  </si>
  <si>
    <t>4356</t>
  </si>
  <si>
    <t>4561</t>
  </si>
  <si>
    <t>4881</t>
  </si>
  <si>
    <t>Congo (Brazzaville)</t>
  </si>
  <si>
    <t>-4.0383</t>
  </si>
  <si>
    <t>21.7587</t>
  </si>
  <si>
    <t>Congo (Kinshasa)</t>
  </si>
  <si>
    <t>234</t>
  </si>
  <si>
    <t>394</t>
  </si>
  <si>
    <t>Costa Rica</t>
  </si>
  <si>
    <t>9.7489</t>
  </si>
  <si>
    <t>-83.7534</t>
  </si>
  <si>
    <t>595</t>
  </si>
  <si>
    <t>612</t>
  </si>
  <si>
    <t>642</t>
  </si>
  <si>
    <t>660</t>
  </si>
  <si>
    <t>662</t>
  </si>
  <si>
    <t>681</t>
  </si>
  <si>
    <t>686</t>
  </si>
  <si>
    <t>687</t>
  </si>
  <si>
    <t>Cote d'Ivoire</t>
  </si>
  <si>
    <t>7.54</t>
  </si>
  <si>
    <t>-5.5471</t>
  </si>
  <si>
    <t>801</t>
  </si>
  <si>
    <t>916</t>
  </si>
  <si>
    <t>952</t>
  </si>
  <si>
    <t>1077</t>
  </si>
  <si>
    <t>Croatia</t>
  </si>
  <si>
    <t>45.1</t>
  </si>
  <si>
    <t>15.2</t>
  </si>
  <si>
    <t>382</t>
  </si>
  <si>
    <t>657</t>
  </si>
  <si>
    <t>790</t>
  </si>
  <si>
    <t>867</t>
  </si>
  <si>
    <t>963</t>
  </si>
  <si>
    <t>1079</t>
  </si>
  <si>
    <t>1126</t>
  </si>
  <si>
    <t>1182</t>
  </si>
  <si>
    <t>1222</t>
  </si>
  <si>
    <t>1282</t>
  </si>
  <si>
    <t>1407</t>
  </si>
  <si>
    <t>1495</t>
  </si>
  <si>
    <t>1534</t>
  </si>
  <si>
    <t>1600</t>
  </si>
  <si>
    <t>1650</t>
  </si>
  <si>
    <t>1704</t>
  </si>
  <si>
    <t>1741</t>
  </si>
  <si>
    <t>1814</t>
  </si>
  <si>
    <t>1832</t>
  </si>
  <si>
    <t>1871</t>
  </si>
  <si>
    <t>1908</t>
  </si>
  <si>
    <t>1950</t>
  </si>
  <si>
    <t>2009</t>
  </si>
  <si>
    <t>Diamond Princess</t>
  </si>
  <si>
    <t>0.0</t>
  </si>
  <si>
    <t>691</t>
  </si>
  <si>
    <t>705</t>
  </si>
  <si>
    <t>706</t>
  </si>
  <si>
    <t>712</t>
  </si>
  <si>
    <t>Cuba</t>
  </si>
  <si>
    <t>22.0</t>
  </si>
  <si>
    <t>-80.0</t>
  </si>
  <si>
    <t>269</t>
  </si>
  <si>
    <t>620</t>
  </si>
  <si>
    <t>726</t>
  </si>
  <si>
    <t>766</t>
  </si>
  <si>
    <t>814</t>
  </si>
  <si>
    <t>923</t>
  </si>
  <si>
    <t>1087</t>
  </si>
  <si>
    <t>1137</t>
  </si>
  <si>
    <t>1189</t>
  </si>
  <si>
    <t>1235</t>
  </si>
  <si>
    <t>Cyprus</t>
  </si>
  <si>
    <t>35.1264</t>
  </si>
  <si>
    <t>33.4299</t>
  </si>
  <si>
    <t>695</t>
  </si>
  <si>
    <t>715</t>
  </si>
  <si>
    <t>735</t>
  </si>
  <si>
    <t>795</t>
  </si>
  <si>
    <t>Czechia</t>
  </si>
  <si>
    <t>49.8175</t>
  </si>
  <si>
    <t>15.472999999999999</t>
  </si>
  <si>
    <t>694</t>
  </si>
  <si>
    <t>995</t>
  </si>
  <si>
    <t>1120</t>
  </si>
  <si>
    <t>1394</t>
  </si>
  <si>
    <t>1654</t>
  </si>
  <si>
    <t>1925</t>
  </si>
  <si>
    <t>2279</t>
  </si>
  <si>
    <t>2631</t>
  </si>
  <si>
    <t>2817</t>
  </si>
  <si>
    <t>3001</t>
  </si>
  <si>
    <t>3308</t>
  </si>
  <si>
    <t>3508</t>
  </si>
  <si>
    <t>3858</t>
  </si>
  <si>
    <t>4091</t>
  </si>
  <si>
    <t>4472</t>
  </si>
  <si>
    <t>4587</t>
  </si>
  <si>
    <t>4822</t>
  </si>
  <si>
    <t>5017</t>
  </si>
  <si>
    <t>5312</t>
  </si>
  <si>
    <t>5569</t>
  </si>
  <si>
    <t>5732</t>
  </si>
  <si>
    <t>5831</t>
  </si>
  <si>
    <t>5991</t>
  </si>
  <si>
    <t>6059</t>
  </si>
  <si>
    <t>6111</t>
  </si>
  <si>
    <t>6216</t>
  </si>
  <si>
    <t>6433</t>
  </si>
  <si>
    <t>6549</t>
  </si>
  <si>
    <t>6606</t>
  </si>
  <si>
    <t>6746</t>
  </si>
  <si>
    <t>6900</t>
  </si>
  <si>
    <t>7033</t>
  </si>
  <si>
    <t>7132</t>
  </si>
  <si>
    <t>7187</t>
  </si>
  <si>
    <t>7273</t>
  </si>
  <si>
    <t>Faroe Islands</t>
  </si>
  <si>
    <t>Denmark</t>
  </si>
  <si>
    <t>61.8926</t>
  </si>
  <si>
    <t>-6.9118</t>
  </si>
  <si>
    <t>Greenland</t>
  </si>
  <si>
    <t>71.7069</t>
  </si>
  <si>
    <t>-42.6043</t>
  </si>
  <si>
    <t>56.2639</t>
  </si>
  <si>
    <t>9.5018</t>
  </si>
  <si>
    <t>615</t>
  </si>
  <si>
    <t>864</t>
  </si>
  <si>
    <t>977</t>
  </si>
  <si>
    <t>1057</t>
  </si>
  <si>
    <t>1151</t>
  </si>
  <si>
    <t>1326</t>
  </si>
  <si>
    <t>1450</t>
  </si>
  <si>
    <t>1591</t>
  </si>
  <si>
    <t>1877</t>
  </si>
  <si>
    <t>2046</t>
  </si>
  <si>
    <t>2201</t>
  </si>
  <si>
    <t>2395</t>
  </si>
  <si>
    <t>2577</t>
  </si>
  <si>
    <t>2860</t>
  </si>
  <si>
    <t>3107</t>
  </si>
  <si>
    <t>3386</t>
  </si>
  <si>
    <t>3757</t>
  </si>
  <si>
    <t>4077</t>
  </si>
  <si>
    <t>4369</t>
  </si>
  <si>
    <t>4681</t>
  </si>
  <si>
    <t>5071</t>
  </si>
  <si>
    <t>5402</t>
  </si>
  <si>
    <t>5635</t>
  </si>
  <si>
    <t>5819</t>
  </si>
  <si>
    <t>5996</t>
  </si>
  <si>
    <t>6174</t>
  </si>
  <si>
    <t>6318</t>
  </si>
  <si>
    <t>6511</t>
  </si>
  <si>
    <t>6681</t>
  </si>
  <si>
    <t>6879</t>
  </si>
  <si>
    <t>7073</t>
  </si>
  <si>
    <t>7242</t>
  </si>
  <si>
    <t>7384</t>
  </si>
  <si>
    <t>7515</t>
  </si>
  <si>
    <t>7695</t>
  </si>
  <si>
    <t>7912</t>
  </si>
  <si>
    <t>8073</t>
  </si>
  <si>
    <t>8210</t>
  </si>
  <si>
    <t>Djibouti</t>
  </si>
  <si>
    <t>11.8251</t>
  </si>
  <si>
    <t>42.5903</t>
  </si>
  <si>
    <t>732</t>
  </si>
  <si>
    <t>945</t>
  </si>
  <si>
    <t>Dominican Republic</t>
  </si>
  <si>
    <t>18.7357</t>
  </si>
  <si>
    <t>-70.1627</t>
  </si>
  <si>
    <t>719</t>
  </si>
  <si>
    <t>859</t>
  </si>
  <si>
    <t>1109</t>
  </si>
  <si>
    <t>1284</t>
  </si>
  <si>
    <t>1380</t>
  </si>
  <si>
    <t>1488</t>
  </si>
  <si>
    <t>1745</t>
  </si>
  <si>
    <t>1828</t>
  </si>
  <si>
    <t>1956</t>
  </si>
  <si>
    <t>2111</t>
  </si>
  <si>
    <t>2349</t>
  </si>
  <si>
    <t>2620</t>
  </si>
  <si>
    <t>2759</t>
  </si>
  <si>
    <t>2967</t>
  </si>
  <si>
    <t>3167</t>
  </si>
  <si>
    <t>3286</t>
  </si>
  <si>
    <t>3614</t>
  </si>
  <si>
    <t>3755</t>
  </si>
  <si>
    <t>4126</t>
  </si>
  <si>
    <t>4335</t>
  </si>
  <si>
    <t>4680</t>
  </si>
  <si>
    <t>4964</t>
  </si>
  <si>
    <t>5044</t>
  </si>
  <si>
    <t>5300</t>
  </si>
  <si>
    <t>5543</t>
  </si>
  <si>
    <t>5749</t>
  </si>
  <si>
    <t>Ecuador</t>
  </si>
  <si>
    <t>-1.8312</t>
  </si>
  <si>
    <t>-78.1834</t>
  </si>
  <si>
    <t>199</t>
  </si>
  <si>
    <t>789</t>
  </si>
  <si>
    <t>1082</t>
  </si>
  <si>
    <t>1173</t>
  </si>
  <si>
    <t>1403</t>
  </si>
  <si>
    <t>1595</t>
  </si>
  <si>
    <t>1823</t>
  </si>
  <si>
    <t>1962</t>
  </si>
  <si>
    <t>2240</t>
  </si>
  <si>
    <t>2748</t>
  </si>
  <si>
    <t>3163</t>
  </si>
  <si>
    <t>3368</t>
  </si>
  <si>
    <t>3465</t>
  </si>
  <si>
    <t>3646</t>
  </si>
  <si>
    <t>3747</t>
  </si>
  <si>
    <t>4450</t>
  </si>
  <si>
    <t>4965</t>
  </si>
  <si>
    <t>7161</t>
  </si>
  <si>
    <t>7257</t>
  </si>
  <si>
    <t>7466</t>
  </si>
  <si>
    <t>7529</t>
  </si>
  <si>
    <t>7603</t>
  </si>
  <si>
    <t>7858</t>
  </si>
  <si>
    <t>8225</t>
  </si>
  <si>
    <t>8450</t>
  </si>
  <si>
    <t>9022</t>
  </si>
  <si>
    <t>9468</t>
  </si>
  <si>
    <t>10128</t>
  </si>
  <si>
    <t>10398</t>
  </si>
  <si>
    <t>10850</t>
  </si>
  <si>
    <t>11183</t>
  </si>
  <si>
    <t>22719</t>
  </si>
  <si>
    <t>Egypt</t>
  </si>
  <si>
    <t>26.0</t>
  </si>
  <si>
    <t>30.0</t>
  </si>
  <si>
    <t>402</t>
  </si>
  <si>
    <t>710</t>
  </si>
  <si>
    <t>865</t>
  </si>
  <si>
    <t>985</t>
  </si>
  <si>
    <t>1070</t>
  </si>
  <si>
    <t>1560</t>
  </si>
  <si>
    <t>1699</t>
  </si>
  <si>
    <t>1794</t>
  </si>
  <si>
    <t>1939</t>
  </si>
  <si>
    <t>2065</t>
  </si>
  <si>
    <t>2190</t>
  </si>
  <si>
    <t>2350</t>
  </si>
  <si>
    <t>2505</t>
  </si>
  <si>
    <t>2673</t>
  </si>
  <si>
    <t>2844</t>
  </si>
  <si>
    <t>3032</t>
  </si>
  <si>
    <t>3333</t>
  </si>
  <si>
    <t>3490</t>
  </si>
  <si>
    <t>3659</t>
  </si>
  <si>
    <t>3891</t>
  </si>
  <si>
    <t>4092</t>
  </si>
  <si>
    <t>El Salvador</t>
  </si>
  <si>
    <t>13.7942</t>
  </si>
  <si>
    <t>-88.8965</t>
  </si>
  <si>
    <t>Equatorial Guinea</t>
  </si>
  <si>
    <t>1.5</t>
  </si>
  <si>
    <t>10.0</t>
  </si>
  <si>
    <t>Eritrea</t>
  </si>
  <si>
    <t>15.1794</t>
  </si>
  <si>
    <t>39.7823</t>
  </si>
  <si>
    <t>Estonia</t>
  </si>
  <si>
    <t>58.5953</t>
  </si>
  <si>
    <t>25.0136</t>
  </si>
  <si>
    <t>369</t>
  </si>
  <si>
    <t>679</t>
  </si>
  <si>
    <t>961</t>
  </si>
  <si>
    <t>1108</t>
  </si>
  <si>
    <t>1149</t>
  </si>
  <si>
    <t>1185</t>
  </si>
  <si>
    <t>1207</t>
  </si>
  <si>
    <t>1304</t>
  </si>
  <si>
    <t>1434</t>
  </si>
  <si>
    <t>1459</t>
  </si>
  <si>
    <t>1512</t>
  </si>
  <si>
    <t>1535</t>
  </si>
  <si>
    <t>1559</t>
  </si>
  <si>
    <t>1605</t>
  </si>
  <si>
    <t>Eswatini</t>
  </si>
  <si>
    <t>-26.5225</t>
  </si>
  <si>
    <t>31.4659</t>
  </si>
  <si>
    <t>Ethiopia</t>
  </si>
  <si>
    <t>9.145</t>
  </si>
  <si>
    <t>40.4897</t>
  </si>
  <si>
    <t>Fiji</t>
  </si>
  <si>
    <t>-17.7134</t>
  </si>
  <si>
    <t>178.065</t>
  </si>
  <si>
    <t>Finland</t>
  </si>
  <si>
    <t>64.0</t>
  </si>
  <si>
    <t>450</t>
  </si>
  <si>
    <t>792</t>
  </si>
  <si>
    <t>880</t>
  </si>
  <si>
    <t>958</t>
  </si>
  <si>
    <t>1041</t>
  </si>
  <si>
    <t>1418</t>
  </si>
  <si>
    <t>1446</t>
  </si>
  <si>
    <t>1615</t>
  </si>
  <si>
    <t>1882</t>
  </si>
  <si>
    <t>1927</t>
  </si>
  <si>
    <t>2176</t>
  </si>
  <si>
    <t>2308</t>
  </si>
  <si>
    <t>2487</t>
  </si>
  <si>
    <t>2605</t>
  </si>
  <si>
    <t>2769</t>
  </si>
  <si>
    <t>2905</t>
  </si>
  <si>
    <t>2974</t>
  </si>
  <si>
    <t>3064</t>
  </si>
  <si>
    <t>3161</t>
  </si>
  <si>
    <t>3237</t>
  </si>
  <si>
    <t>3369</t>
  </si>
  <si>
    <t>3489</t>
  </si>
  <si>
    <t>3681</t>
  </si>
  <si>
    <t>3783</t>
  </si>
  <si>
    <t>3868</t>
  </si>
  <si>
    <t>4014</t>
  </si>
  <si>
    <t>4129</t>
  </si>
  <si>
    <t>4284</t>
  </si>
  <si>
    <t>4395</t>
  </si>
  <si>
    <t>French Guiana</t>
  </si>
  <si>
    <t>France</t>
  </si>
  <si>
    <t>3.9339</t>
  </si>
  <si>
    <t>-53.1258</t>
  </si>
  <si>
    <t>French Polynesia</t>
  </si>
  <si>
    <t>-17.6797</t>
  </si>
  <si>
    <t>149.4068</t>
  </si>
  <si>
    <t>Guadeloupe</t>
  </si>
  <si>
    <t>16.25</t>
  </si>
  <si>
    <t>-61.5833</t>
  </si>
  <si>
    <t>Mayotte</t>
  </si>
  <si>
    <t>-12.8275</t>
  </si>
  <si>
    <t>45.1662</t>
  </si>
  <si>
    <t>New Caledonia</t>
  </si>
  <si>
    <t>-20.9043</t>
  </si>
  <si>
    <t>165.618</t>
  </si>
  <si>
    <t>Reunion</t>
  </si>
  <si>
    <t>-21.1351</t>
  </si>
  <si>
    <t>55.2471</t>
  </si>
  <si>
    <t>362</t>
  </si>
  <si>
    <t>388</t>
  </si>
  <si>
    <t>412</t>
  </si>
  <si>
    <t>Saint Barthelemy</t>
  </si>
  <si>
    <t>17.9</t>
  </si>
  <si>
    <t>-62.8333</t>
  </si>
  <si>
    <t>St Martin</t>
  </si>
  <si>
    <t>18.0708</t>
  </si>
  <si>
    <t>-63.0501</t>
  </si>
  <si>
    <t>Martinique</t>
  </si>
  <si>
    <t>14.6415</t>
  </si>
  <si>
    <t>-61.0242</t>
  </si>
  <si>
    <t>46.2276</t>
  </si>
  <si>
    <t>2.2137</t>
  </si>
  <si>
    <t>204</t>
  </si>
  <si>
    <t>949</t>
  </si>
  <si>
    <t>1209</t>
  </si>
  <si>
    <t>1784</t>
  </si>
  <si>
    <t>2281</t>
  </si>
  <si>
    <t>3661</t>
  </si>
  <si>
    <t>4469</t>
  </si>
  <si>
    <t>4499</t>
  </si>
  <si>
    <t>6633</t>
  </si>
  <si>
    <t>7652</t>
  </si>
  <si>
    <t>9043</t>
  </si>
  <si>
    <t>10871</t>
  </si>
  <si>
    <t>12612</t>
  </si>
  <si>
    <t>14282</t>
  </si>
  <si>
    <t>16018</t>
  </si>
  <si>
    <t>19856</t>
  </si>
  <si>
    <t>22304</t>
  </si>
  <si>
    <t>25233</t>
  </si>
  <si>
    <t>29155</t>
  </si>
  <si>
    <t>32964</t>
  </si>
  <si>
    <t>37575</t>
  </si>
  <si>
    <t>40174</t>
  </si>
  <si>
    <t>44550</t>
  </si>
  <si>
    <t>52128</t>
  </si>
  <si>
    <t>56989</t>
  </si>
  <si>
    <t>59105</t>
  </si>
  <si>
    <t>64338</t>
  </si>
  <si>
    <t>68605</t>
  </si>
  <si>
    <t>70478</t>
  </si>
  <si>
    <t>74390</t>
  </si>
  <si>
    <t>78167</t>
  </si>
  <si>
    <t>82048</t>
  </si>
  <si>
    <t>86334</t>
  </si>
  <si>
    <t>90676</t>
  </si>
  <si>
    <t>93790</t>
  </si>
  <si>
    <t>120633</t>
  </si>
  <si>
    <t>124298</t>
  </si>
  <si>
    <t>129257</t>
  </si>
  <si>
    <t>132473</t>
  </si>
  <si>
    <t>144944</t>
  </si>
  <si>
    <t>146923</t>
  </si>
  <si>
    <t>146906</t>
  </si>
  <si>
    <t>151808</t>
  </si>
  <si>
    <t>154188</t>
  </si>
  <si>
    <t>156921</t>
  </si>
  <si>
    <t>154715</t>
  </si>
  <si>
    <t>157026</t>
  </si>
  <si>
    <t>158636</t>
  </si>
  <si>
    <t>Gabon</t>
  </si>
  <si>
    <t>-0.8037</t>
  </si>
  <si>
    <t>11.6094</t>
  </si>
  <si>
    <t>Gambia</t>
  </si>
  <si>
    <t>13.4432</t>
  </si>
  <si>
    <t>-15.3101</t>
  </si>
  <si>
    <t>Georgia</t>
  </si>
  <si>
    <t>42.3154</t>
  </si>
  <si>
    <t>43.3569</t>
  </si>
  <si>
    <t>348</t>
  </si>
  <si>
    <t>Germany</t>
  </si>
  <si>
    <t>51.0</t>
  </si>
  <si>
    <t>9.0</t>
  </si>
  <si>
    <t>670</t>
  </si>
  <si>
    <t>799</t>
  </si>
  <si>
    <t>1457</t>
  </si>
  <si>
    <t>2078</t>
  </si>
  <si>
    <t>3675</t>
  </si>
  <si>
    <t>4585</t>
  </si>
  <si>
    <t>5795</t>
  </si>
  <si>
    <t>7272</t>
  </si>
  <si>
    <t>9257</t>
  </si>
  <si>
    <t>12327</t>
  </si>
  <si>
    <t>15320</t>
  </si>
  <si>
    <t>19848</t>
  </si>
  <si>
    <t>22213</t>
  </si>
  <si>
    <t>24873</t>
  </si>
  <si>
    <t>29056</t>
  </si>
  <si>
    <t>32986</t>
  </si>
  <si>
    <t>37323</t>
  </si>
  <si>
    <t>43938</t>
  </si>
  <si>
    <t>50871</t>
  </si>
  <si>
    <t>57695</t>
  </si>
  <si>
    <t>62095</t>
  </si>
  <si>
    <t>66885</t>
  </si>
  <si>
    <t>71808</t>
  </si>
  <si>
    <t>77872</t>
  </si>
  <si>
    <t>84794</t>
  </si>
  <si>
    <t>91159</t>
  </si>
  <si>
    <t>96092</t>
  </si>
  <si>
    <t>100123</t>
  </si>
  <si>
    <t>103374</t>
  </si>
  <si>
    <t>107663</t>
  </si>
  <si>
    <t>113296</t>
  </si>
  <si>
    <t>118181</t>
  </si>
  <si>
    <t>122171</t>
  </si>
  <si>
    <t>124908</t>
  </si>
  <si>
    <t>127854</t>
  </si>
  <si>
    <t>130072</t>
  </si>
  <si>
    <t>131359</t>
  </si>
  <si>
    <t>134753</t>
  </si>
  <si>
    <t>137698</t>
  </si>
  <si>
    <t>141397</t>
  </si>
  <si>
    <t>143342</t>
  </si>
  <si>
    <t>145184</t>
  </si>
  <si>
    <t>147065</t>
  </si>
  <si>
    <t>148291</t>
  </si>
  <si>
    <t>150648</t>
  </si>
  <si>
    <t>153129</t>
  </si>
  <si>
    <t>154999</t>
  </si>
  <si>
    <t>Ghana</t>
  </si>
  <si>
    <t>7.9465</t>
  </si>
  <si>
    <t>-1.0232</t>
  </si>
  <si>
    <t>834</t>
  </si>
  <si>
    <t>1042</t>
  </si>
  <si>
    <t>1154</t>
  </si>
  <si>
    <t>Greece</t>
  </si>
  <si>
    <t>39.0742</t>
  </si>
  <si>
    <t>21.8243</t>
  </si>
  <si>
    <t>966</t>
  </si>
  <si>
    <t>1061</t>
  </si>
  <si>
    <t>1156</t>
  </si>
  <si>
    <t>1314</t>
  </si>
  <si>
    <t>1613</t>
  </si>
  <si>
    <t>1673</t>
  </si>
  <si>
    <t>1735</t>
  </si>
  <si>
    <t>1755</t>
  </si>
  <si>
    <t>1884</t>
  </si>
  <si>
    <t>1955</t>
  </si>
  <si>
    <t>2011</t>
  </si>
  <si>
    <t>2081</t>
  </si>
  <si>
    <t>2114</t>
  </si>
  <si>
    <t>2145</t>
  </si>
  <si>
    <t>2170</t>
  </si>
  <si>
    <t>2192</t>
  </si>
  <si>
    <t>2207</t>
  </si>
  <si>
    <t>2224</t>
  </si>
  <si>
    <t>2235</t>
  </si>
  <si>
    <t>2245</t>
  </si>
  <si>
    <t>2401</t>
  </si>
  <si>
    <t>2408</t>
  </si>
  <si>
    <t>2463</t>
  </si>
  <si>
    <t>2490</t>
  </si>
  <si>
    <t>Guatemala</t>
  </si>
  <si>
    <t>15.7835</t>
  </si>
  <si>
    <t>-90.2308</t>
  </si>
  <si>
    <t>430</t>
  </si>
  <si>
    <t>Guinea</t>
  </si>
  <si>
    <t>9.9456</t>
  </si>
  <si>
    <t>-9.6966</t>
  </si>
  <si>
    <t>477</t>
  </si>
  <si>
    <t>Guyana</t>
  </si>
  <si>
    <t>5.0</t>
  </si>
  <si>
    <t>-58.75</t>
  </si>
  <si>
    <t>Haiti</t>
  </si>
  <si>
    <t>18.9712</t>
  </si>
  <si>
    <t>-72.2852</t>
  </si>
  <si>
    <t>Holy See</t>
  </si>
  <si>
    <t>41.9029</t>
  </si>
  <si>
    <t>12.4534</t>
  </si>
  <si>
    <t>Honduras</t>
  </si>
  <si>
    <t>-86.2419</t>
  </si>
  <si>
    <t>510</t>
  </si>
  <si>
    <t>Hungary</t>
  </si>
  <si>
    <t>47.1625</t>
  </si>
  <si>
    <t>19.5033</t>
  </si>
  <si>
    <t>447</t>
  </si>
  <si>
    <t>623</t>
  </si>
  <si>
    <t>744</t>
  </si>
  <si>
    <t>817</t>
  </si>
  <si>
    <t>980</t>
  </si>
  <si>
    <t>1190</t>
  </si>
  <si>
    <t>1310</t>
  </si>
  <si>
    <t>1410</t>
  </si>
  <si>
    <t>1458</t>
  </si>
  <si>
    <t>1652</t>
  </si>
  <si>
    <t>1763</t>
  </si>
  <si>
    <t>1834</t>
  </si>
  <si>
    <t>1916</t>
  </si>
  <si>
    <t>1984</t>
  </si>
  <si>
    <t>2098</t>
  </si>
  <si>
    <t>2168</t>
  </si>
  <si>
    <t>2284</t>
  </si>
  <si>
    <t>Iceland</t>
  </si>
  <si>
    <t>64.9631</t>
  </si>
  <si>
    <t>-19.0208</t>
  </si>
  <si>
    <t>473</t>
  </si>
  <si>
    <t>568</t>
  </si>
  <si>
    <t>648</t>
  </si>
  <si>
    <t>1020</t>
  </si>
  <si>
    <t>1086</t>
  </si>
  <si>
    <t>1220</t>
  </si>
  <si>
    <t>1417</t>
  </si>
  <si>
    <t>1562</t>
  </si>
  <si>
    <t>1586</t>
  </si>
  <si>
    <t>1616</t>
  </si>
  <si>
    <t>1648</t>
  </si>
  <si>
    <t>1675</t>
  </si>
  <si>
    <t>1689</t>
  </si>
  <si>
    <t>1701</t>
  </si>
  <si>
    <t>1711</t>
  </si>
  <si>
    <t>1720</t>
  </si>
  <si>
    <t>1727</t>
  </si>
  <si>
    <t>1739</t>
  </si>
  <si>
    <t>1754</t>
  </si>
  <si>
    <t>1760</t>
  </si>
  <si>
    <t>1771</t>
  </si>
  <si>
    <t>1778</t>
  </si>
  <si>
    <t>1785</t>
  </si>
  <si>
    <t>1789</t>
  </si>
  <si>
    <t>India</t>
  </si>
  <si>
    <t>21.0</t>
  </si>
  <si>
    <t>78.0</t>
  </si>
  <si>
    <t>727</t>
  </si>
  <si>
    <t>1397</t>
  </si>
  <si>
    <t>1998</t>
  </si>
  <si>
    <t>2543</t>
  </si>
  <si>
    <t>2567</t>
  </si>
  <si>
    <t>3082</t>
  </si>
  <si>
    <t>3588</t>
  </si>
  <si>
    <t>4778</t>
  </si>
  <si>
    <t>5311</t>
  </si>
  <si>
    <t>5916</t>
  </si>
  <si>
    <t>6725</t>
  </si>
  <si>
    <t>7598</t>
  </si>
  <si>
    <t>8446</t>
  </si>
  <si>
    <t>9205</t>
  </si>
  <si>
    <t>10453</t>
  </si>
  <si>
    <t>11487</t>
  </si>
  <si>
    <t>12322</t>
  </si>
  <si>
    <t>13430</t>
  </si>
  <si>
    <t>14352</t>
  </si>
  <si>
    <t>15722</t>
  </si>
  <si>
    <t>17615</t>
  </si>
  <si>
    <t>18539</t>
  </si>
  <si>
    <t>20080</t>
  </si>
  <si>
    <t>21370</t>
  </si>
  <si>
    <t>23077</t>
  </si>
  <si>
    <t>24530</t>
  </si>
  <si>
    <t>Indonesia</t>
  </si>
  <si>
    <t>-0.7893</t>
  </si>
  <si>
    <t>113.9213</t>
  </si>
  <si>
    <t>893</t>
  </si>
  <si>
    <t>1046</t>
  </si>
  <si>
    <t>1414</t>
  </si>
  <si>
    <t>1677</t>
  </si>
  <si>
    <t>1790</t>
  </si>
  <si>
    <t>1986</t>
  </si>
  <si>
    <t>2092</t>
  </si>
  <si>
    <t>2273</t>
  </si>
  <si>
    <t>2491</t>
  </si>
  <si>
    <t>2956</t>
  </si>
  <si>
    <t>3293</t>
  </si>
  <si>
    <t>3512</t>
  </si>
  <si>
    <t>3842</t>
  </si>
  <si>
    <t>4241</t>
  </si>
  <si>
    <t>4557</t>
  </si>
  <si>
    <t>4839</t>
  </si>
  <si>
    <t>5136</t>
  </si>
  <si>
    <t>5516</t>
  </si>
  <si>
    <t>5923</t>
  </si>
  <si>
    <t>6248</t>
  </si>
  <si>
    <t>6575</t>
  </si>
  <si>
    <t>6760</t>
  </si>
  <si>
    <t>7135</t>
  </si>
  <si>
    <t>7418</t>
  </si>
  <si>
    <t>7775</t>
  </si>
  <si>
    <t>8211</t>
  </si>
  <si>
    <t>Iran</t>
  </si>
  <si>
    <t>32.0</t>
  </si>
  <si>
    <t>53.0</t>
  </si>
  <si>
    <t>978</t>
  </si>
  <si>
    <t>2336</t>
  </si>
  <si>
    <t>2922</t>
  </si>
  <si>
    <t>3513</t>
  </si>
  <si>
    <t>4747</t>
  </si>
  <si>
    <t>5823</t>
  </si>
  <si>
    <t>6566</t>
  </si>
  <si>
    <t>8042</t>
  </si>
  <si>
    <t>9000</t>
  </si>
  <si>
    <t>10075</t>
  </si>
  <si>
    <t>11364</t>
  </si>
  <si>
    <t>12729</t>
  </si>
  <si>
    <t>13938</t>
  </si>
  <si>
    <t>14991</t>
  </si>
  <si>
    <t>16169</t>
  </si>
  <si>
    <t>17361</t>
  </si>
  <si>
    <t>18407</t>
  </si>
  <si>
    <t>19644</t>
  </si>
  <si>
    <t>20610</t>
  </si>
  <si>
    <t>21638</t>
  </si>
  <si>
    <t>23049</t>
  </si>
  <si>
    <t>24811</t>
  </si>
  <si>
    <t>27017</t>
  </si>
  <si>
    <t>29406</t>
  </si>
  <si>
    <t>32332</t>
  </si>
  <si>
    <t>35408</t>
  </si>
  <si>
    <t>38309</t>
  </si>
  <si>
    <t>41495</t>
  </si>
  <si>
    <t>44605</t>
  </si>
  <si>
    <t>47593</t>
  </si>
  <si>
    <t>50468</t>
  </si>
  <si>
    <t>53183</t>
  </si>
  <si>
    <t>55743</t>
  </si>
  <si>
    <t>58226</t>
  </si>
  <si>
    <t>60500</t>
  </si>
  <si>
    <t>62589</t>
  </si>
  <si>
    <t>64586</t>
  </si>
  <si>
    <t>66220</t>
  </si>
  <si>
    <t>68192</t>
  </si>
  <si>
    <t>70029</t>
  </si>
  <si>
    <t>71686</t>
  </si>
  <si>
    <t>73303</t>
  </si>
  <si>
    <t>74877</t>
  </si>
  <si>
    <t>76389</t>
  </si>
  <si>
    <t>77995</t>
  </si>
  <si>
    <t>79494</t>
  </si>
  <si>
    <t>80868</t>
  </si>
  <si>
    <t>82211</t>
  </si>
  <si>
    <t>83505</t>
  </si>
  <si>
    <t>84802</t>
  </si>
  <si>
    <t>85996</t>
  </si>
  <si>
    <t>87026</t>
  </si>
  <si>
    <t>88194</t>
  </si>
  <si>
    <t>Iraq</t>
  </si>
  <si>
    <t>44.0</t>
  </si>
  <si>
    <t>192</t>
  </si>
  <si>
    <t>630</t>
  </si>
  <si>
    <t>728</t>
  </si>
  <si>
    <t>1031</t>
  </si>
  <si>
    <t>1122</t>
  </si>
  <si>
    <t>1202</t>
  </si>
  <si>
    <t>1318</t>
  </si>
  <si>
    <t>1482</t>
  </si>
  <si>
    <t>1513</t>
  </si>
  <si>
    <t>1574</t>
  </si>
  <si>
    <t>1602</t>
  </si>
  <si>
    <t>1631</t>
  </si>
  <si>
    <t>1708</t>
  </si>
  <si>
    <t>Ireland</t>
  </si>
  <si>
    <t>53.1424</t>
  </si>
  <si>
    <t>-7.6921</t>
  </si>
  <si>
    <t>683</t>
  </si>
  <si>
    <t>785</t>
  </si>
  <si>
    <t>1125</t>
  </si>
  <si>
    <t>1819</t>
  </si>
  <si>
    <t>2121</t>
  </si>
  <si>
    <t>2415</t>
  </si>
  <si>
    <t>2615</t>
  </si>
  <si>
    <t>3235</t>
  </si>
  <si>
    <t>3447</t>
  </si>
  <si>
    <t>3849</t>
  </si>
  <si>
    <t>4273</t>
  </si>
  <si>
    <t>4604</t>
  </si>
  <si>
    <t>4994</t>
  </si>
  <si>
    <t>5364</t>
  </si>
  <si>
    <t>5709</t>
  </si>
  <si>
    <t>6074</t>
  </si>
  <si>
    <t>6574</t>
  </si>
  <si>
    <t>8089</t>
  </si>
  <si>
    <t>8928</t>
  </si>
  <si>
    <t>9655</t>
  </si>
  <si>
    <t>10647</t>
  </si>
  <si>
    <t>11479</t>
  </si>
  <si>
    <t>12547</t>
  </si>
  <si>
    <t>13271</t>
  </si>
  <si>
    <t>13980</t>
  </si>
  <si>
    <t>14758</t>
  </si>
  <si>
    <t>15251</t>
  </si>
  <si>
    <t>15652</t>
  </si>
  <si>
    <t>16040</t>
  </si>
  <si>
    <t>16671</t>
  </si>
  <si>
    <t>17607</t>
  </si>
  <si>
    <t>18184</t>
  </si>
  <si>
    <t>Israel</t>
  </si>
  <si>
    <t>31.0</t>
  </si>
  <si>
    <t>35.0</t>
  </si>
  <si>
    <t>427</t>
  </si>
  <si>
    <t>883</t>
  </si>
  <si>
    <t>1071</t>
  </si>
  <si>
    <t>2369</t>
  </si>
  <si>
    <t>2693</t>
  </si>
  <si>
    <t>3035</t>
  </si>
  <si>
    <t>3619</t>
  </si>
  <si>
    <t>4247</t>
  </si>
  <si>
    <t>4695</t>
  </si>
  <si>
    <t>5358</t>
  </si>
  <si>
    <t>6092</t>
  </si>
  <si>
    <t>6857</t>
  </si>
  <si>
    <t>7428</t>
  </si>
  <si>
    <t>7851</t>
  </si>
  <si>
    <t>8430</t>
  </si>
  <si>
    <t>8904</t>
  </si>
  <si>
    <t>9248</t>
  </si>
  <si>
    <t>9404</t>
  </si>
  <si>
    <t>9968</t>
  </si>
  <si>
    <t>10408</t>
  </si>
  <si>
    <t>10743</t>
  </si>
  <si>
    <t>11145</t>
  </si>
  <si>
    <t>11586</t>
  </si>
  <si>
    <t>12046</t>
  </si>
  <si>
    <t>12501</t>
  </si>
  <si>
    <t>12758</t>
  </si>
  <si>
    <t>12982</t>
  </si>
  <si>
    <t>13265</t>
  </si>
  <si>
    <t>13491</t>
  </si>
  <si>
    <t>13713</t>
  </si>
  <si>
    <t>13942</t>
  </si>
  <si>
    <t>14498</t>
  </si>
  <si>
    <t>14803</t>
  </si>
  <si>
    <t>15058</t>
  </si>
  <si>
    <t>43.0</t>
  </si>
  <si>
    <t>12.0</t>
  </si>
  <si>
    <t>888</t>
  </si>
  <si>
    <t>1128</t>
  </si>
  <si>
    <t>1694</t>
  </si>
  <si>
    <t>2036</t>
  </si>
  <si>
    <t>2502</t>
  </si>
  <si>
    <t>3089</t>
  </si>
  <si>
    <t>4636</t>
  </si>
  <si>
    <t>5883</t>
  </si>
  <si>
    <t>7375</t>
  </si>
  <si>
    <t>9172</t>
  </si>
  <si>
    <t>10149</t>
  </si>
  <si>
    <t>12462</t>
  </si>
  <si>
    <t>17660</t>
  </si>
  <si>
    <t>21157</t>
  </si>
  <si>
    <t>24747</t>
  </si>
  <si>
    <t>27980</t>
  </si>
  <si>
    <t>31506</t>
  </si>
  <si>
    <t>35713</t>
  </si>
  <si>
    <t>41035</t>
  </si>
  <si>
    <t>47021</t>
  </si>
  <si>
    <t>53578</t>
  </si>
  <si>
    <t>59138</t>
  </si>
  <si>
    <t>63927</t>
  </si>
  <si>
    <t>69176</t>
  </si>
  <si>
    <t>74386</t>
  </si>
  <si>
    <t>80589</t>
  </si>
  <si>
    <t>86498</t>
  </si>
  <si>
    <t>92472</t>
  </si>
  <si>
    <t>97689</t>
  </si>
  <si>
    <t>101739</t>
  </si>
  <si>
    <t>105792</t>
  </si>
  <si>
    <t>110574</t>
  </si>
  <si>
    <t>115242</t>
  </si>
  <si>
    <t>119827</t>
  </si>
  <si>
    <t>124632</t>
  </si>
  <si>
    <t>128948</t>
  </si>
  <si>
    <t>132547</t>
  </si>
  <si>
    <t>135586</t>
  </si>
  <si>
    <t>139422</t>
  </si>
  <si>
    <t>143626</t>
  </si>
  <si>
    <t>147577</t>
  </si>
  <si>
    <t>152271</t>
  </si>
  <si>
    <t>156363</t>
  </si>
  <si>
    <t>159516</t>
  </si>
  <si>
    <t>162488</t>
  </si>
  <si>
    <t>165155</t>
  </si>
  <si>
    <t>168941</t>
  </si>
  <si>
    <t>172434</t>
  </si>
  <si>
    <t>175925</t>
  </si>
  <si>
    <t>178972</t>
  </si>
  <si>
    <t>181228</t>
  </si>
  <si>
    <t>183957</t>
  </si>
  <si>
    <t>187327</t>
  </si>
  <si>
    <t>189973</t>
  </si>
  <si>
    <t>192994</t>
  </si>
  <si>
    <t>Jamaica</t>
  </si>
  <si>
    <t>18.1096</t>
  </si>
  <si>
    <t>-77.2975</t>
  </si>
  <si>
    <t>Japan</t>
  </si>
  <si>
    <t>36.0</t>
  </si>
  <si>
    <t>138.0</t>
  </si>
  <si>
    <t>461</t>
  </si>
  <si>
    <t>701</t>
  </si>
  <si>
    <t>839</t>
  </si>
  <si>
    <t>924</t>
  </si>
  <si>
    <t>1101</t>
  </si>
  <si>
    <t>1193</t>
  </si>
  <si>
    <t>1307</t>
  </si>
  <si>
    <t>1387</t>
  </si>
  <si>
    <t>1693</t>
  </si>
  <si>
    <t>1866</t>
  </si>
  <si>
    <t>1953</t>
  </si>
  <si>
    <t>2178</t>
  </si>
  <si>
    <t>2495</t>
  </si>
  <si>
    <t>2617</t>
  </si>
  <si>
    <t>3139</t>
  </si>
  <si>
    <t>3654</t>
  </si>
  <si>
    <t>3906</t>
  </si>
  <si>
    <t>4257</t>
  </si>
  <si>
    <t>4667</t>
  </si>
  <si>
    <t>5530</t>
  </si>
  <si>
    <t>6005</t>
  </si>
  <si>
    <t>6748</t>
  </si>
  <si>
    <t>7370</t>
  </si>
  <si>
    <t>7645</t>
  </si>
  <si>
    <t>8100</t>
  </si>
  <si>
    <t>8626</t>
  </si>
  <si>
    <t>9787</t>
  </si>
  <si>
    <t>10296</t>
  </si>
  <si>
    <t>10797</t>
  </si>
  <si>
    <t>11135</t>
  </si>
  <si>
    <t>11512</t>
  </si>
  <si>
    <t>12368</t>
  </si>
  <si>
    <t>12829</t>
  </si>
  <si>
    <t>Jordan</t>
  </si>
  <si>
    <t>31.24</t>
  </si>
  <si>
    <t>36.51</t>
  </si>
  <si>
    <t>401</t>
  </si>
  <si>
    <t>Kazakhstan</t>
  </si>
  <si>
    <t>48.0196</t>
  </si>
  <si>
    <t>66.9237</t>
  </si>
  <si>
    <t>284</t>
  </si>
  <si>
    <t>697</t>
  </si>
  <si>
    <t>812</t>
  </si>
  <si>
    <t>951</t>
  </si>
  <si>
    <t>1091</t>
  </si>
  <si>
    <t>1295</t>
  </si>
  <si>
    <t>1402</t>
  </si>
  <si>
    <t>1676</t>
  </si>
  <si>
    <t>1852</t>
  </si>
  <si>
    <t>1995</t>
  </si>
  <si>
    <t>2135</t>
  </si>
  <si>
    <t>2289</t>
  </si>
  <si>
    <t>2482</t>
  </si>
  <si>
    <t>Kenya</t>
  </si>
  <si>
    <t>-0.0236</t>
  </si>
  <si>
    <t>37.9062</t>
  </si>
  <si>
    <t>216</t>
  </si>
  <si>
    <t>270</t>
  </si>
  <si>
    <t>Korea, South</t>
  </si>
  <si>
    <t>128.0</t>
  </si>
  <si>
    <t>602</t>
  </si>
  <si>
    <t>1766</t>
  </si>
  <si>
    <t>2337</t>
  </si>
  <si>
    <t>3150</t>
  </si>
  <si>
    <t>3736</t>
  </si>
  <si>
    <t>5186</t>
  </si>
  <si>
    <t>5621</t>
  </si>
  <si>
    <t>6088</t>
  </si>
  <si>
    <t>6593</t>
  </si>
  <si>
    <t>7041</t>
  </si>
  <si>
    <t>7314</t>
  </si>
  <si>
    <t>7478</t>
  </si>
  <si>
    <t>7513</t>
  </si>
  <si>
    <t>7755</t>
  </si>
  <si>
    <t>7869</t>
  </si>
  <si>
    <t>7979</t>
  </si>
  <si>
    <t>8086</t>
  </si>
  <si>
    <t>8162</t>
  </si>
  <si>
    <t>8236</t>
  </si>
  <si>
    <t>8320</t>
  </si>
  <si>
    <t>8413</t>
  </si>
  <si>
    <t>8565</t>
  </si>
  <si>
    <t>8652</t>
  </si>
  <si>
    <t>8799</t>
  </si>
  <si>
    <t>8961</t>
  </si>
  <si>
    <t>9037</t>
  </si>
  <si>
    <t>9137</t>
  </si>
  <si>
    <t>9241</t>
  </si>
  <si>
    <t>9332</t>
  </si>
  <si>
    <t>9478</t>
  </si>
  <si>
    <t>9583</t>
  </si>
  <si>
    <t>9661</t>
  </si>
  <si>
    <t>9786</t>
  </si>
  <si>
    <t>9887</t>
  </si>
  <si>
    <t>9976</t>
  </si>
  <si>
    <t>10062</t>
  </si>
  <si>
    <t>10156</t>
  </si>
  <si>
    <t>10237</t>
  </si>
  <si>
    <t>10284</t>
  </si>
  <si>
    <t>10331</t>
  </si>
  <si>
    <t>10384</t>
  </si>
  <si>
    <t>10423</t>
  </si>
  <si>
    <t>10450</t>
  </si>
  <si>
    <t>10480</t>
  </si>
  <si>
    <t>10512</t>
  </si>
  <si>
    <t>10537</t>
  </si>
  <si>
    <t>10564</t>
  </si>
  <si>
    <t>10591</t>
  </si>
  <si>
    <t>10613</t>
  </si>
  <si>
    <t>10635</t>
  </si>
  <si>
    <t>10653</t>
  </si>
  <si>
    <t>10661</t>
  </si>
  <si>
    <t>10674</t>
  </si>
  <si>
    <t>10683</t>
  </si>
  <si>
    <t>10694</t>
  </si>
  <si>
    <t>10708</t>
  </si>
  <si>
    <t>10718</t>
  </si>
  <si>
    <t>Kuwait</t>
  </si>
  <si>
    <t>29.5</t>
  </si>
  <si>
    <t>47.75</t>
  </si>
  <si>
    <t>556</t>
  </si>
  <si>
    <t>855</t>
  </si>
  <si>
    <t>993</t>
  </si>
  <si>
    <t>1300</t>
  </si>
  <si>
    <t>1658</t>
  </si>
  <si>
    <t>1751</t>
  </si>
  <si>
    <t>1915</t>
  </si>
  <si>
    <t>2080</t>
  </si>
  <si>
    <t>2248</t>
  </si>
  <si>
    <t>2399</t>
  </si>
  <si>
    <t>2614</t>
  </si>
  <si>
    <t>Kyrgyzstan</t>
  </si>
  <si>
    <t>41.2044</t>
  </si>
  <si>
    <t>74.7661</t>
  </si>
  <si>
    <t>280</t>
  </si>
  <si>
    <t>449</t>
  </si>
  <si>
    <t>Latvia</t>
  </si>
  <si>
    <t>56.8796</t>
  </si>
  <si>
    <t>24.6032</t>
  </si>
  <si>
    <t>398</t>
  </si>
  <si>
    <t>666</t>
  </si>
  <si>
    <t>739</t>
  </si>
  <si>
    <t>748</t>
  </si>
  <si>
    <t>Lebanon</t>
  </si>
  <si>
    <t>33.8547</t>
  </si>
  <si>
    <t>35.8623</t>
  </si>
  <si>
    <t>619</t>
  </si>
  <si>
    <t>668</t>
  </si>
  <si>
    <t>677</t>
  </si>
  <si>
    <t>Liberia</t>
  </si>
  <si>
    <t>6.4281</t>
  </si>
  <si>
    <t>-9.4295</t>
  </si>
  <si>
    <t>Liechtenstein</t>
  </si>
  <si>
    <t>47.14</t>
  </si>
  <si>
    <t>9.55</t>
  </si>
  <si>
    <t>Lithuania</t>
  </si>
  <si>
    <t>55.1694</t>
  </si>
  <si>
    <t>23.8813</t>
  </si>
  <si>
    <t>843</t>
  </si>
  <si>
    <t>955</t>
  </si>
  <si>
    <t>1053</t>
  </si>
  <si>
    <t>1062</t>
  </si>
  <si>
    <t>1239</t>
  </si>
  <si>
    <t>1298</t>
  </si>
  <si>
    <t>Luxembourg</t>
  </si>
  <si>
    <t>49.8153</t>
  </si>
  <si>
    <t>6.1296</t>
  </si>
  <si>
    <t>875</t>
  </si>
  <si>
    <t>1099</t>
  </si>
  <si>
    <t>1453</t>
  </si>
  <si>
    <t>1831</t>
  </si>
  <si>
    <t>1988</t>
  </si>
  <si>
    <t>2319</t>
  </si>
  <si>
    <t>2612</t>
  </si>
  <si>
    <t>2729</t>
  </si>
  <si>
    <t>2804</t>
  </si>
  <si>
    <t>2843</t>
  </si>
  <si>
    <t>2970</t>
  </si>
  <si>
    <t>3034</t>
  </si>
  <si>
    <t>3115</t>
  </si>
  <si>
    <t>3223</t>
  </si>
  <si>
    <t>3270</t>
  </si>
  <si>
    <t>3292</t>
  </si>
  <si>
    <t>3307</t>
  </si>
  <si>
    <t>3373</t>
  </si>
  <si>
    <t>3444</t>
  </si>
  <si>
    <t>3480</t>
  </si>
  <si>
    <t>3537</t>
  </si>
  <si>
    <t>3550</t>
  </si>
  <si>
    <t>3558</t>
  </si>
  <si>
    <t>3618</t>
  </si>
  <si>
    <t>3665</t>
  </si>
  <si>
    <t>3695</t>
  </si>
  <si>
    <t>Madagascar</t>
  </si>
  <si>
    <t>-18.7669</t>
  </si>
  <si>
    <t>46.8691</t>
  </si>
  <si>
    <t>Malaysia</t>
  </si>
  <si>
    <t>2.5</t>
  </si>
  <si>
    <t>112.5</t>
  </si>
  <si>
    <t>1030</t>
  </si>
  <si>
    <t>1183</t>
  </si>
  <si>
    <t>1624</t>
  </si>
  <si>
    <t>1796</t>
  </si>
  <si>
    <t>2031</t>
  </si>
  <si>
    <t>2161</t>
  </si>
  <si>
    <t>2320</t>
  </si>
  <si>
    <t>2470</t>
  </si>
  <si>
    <t>2626</t>
  </si>
  <si>
    <t>2766</t>
  </si>
  <si>
    <t>3116</t>
  </si>
  <si>
    <t>3483</t>
  </si>
  <si>
    <t>3662</t>
  </si>
  <si>
    <t>3793</t>
  </si>
  <si>
    <t>3963</t>
  </si>
  <si>
    <t>4119</t>
  </si>
  <si>
    <t>4228</t>
  </si>
  <si>
    <t>4346</t>
  </si>
  <si>
    <t>4530</t>
  </si>
  <si>
    <t>4683</t>
  </si>
  <si>
    <t>4817</t>
  </si>
  <si>
    <t>4987</t>
  </si>
  <si>
    <t>5072</t>
  </si>
  <si>
    <t>5182</t>
  </si>
  <si>
    <t>5251</t>
  </si>
  <si>
    <t>5305</t>
  </si>
  <si>
    <t>5389</t>
  </si>
  <si>
    <t>5425</t>
  </si>
  <si>
    <t>5482</t>
  </si>
  <si>
    <t>5532</t>
  </si>
  <si>
    <t>5603</t>
  </si>
  <si>
    <t>5691</t>
  </si>
  <si>
    <t>Maldives</t>
  </si>
  <si>
    <t>3.2028</t>
  </si>
  <si>
    <t>73.2207</t>
  </si>
  <si>
    <t>Malta</t>
  </si>
  <si>
    <t>35.9375</t>
  </si>
  <si>
    <t>14.3754</t>
  </si>
  <si>
    <t>431</t>
  </si>
  <si>
    <t>Mauritania</t>
  </si>
  <si>
    <t>21.0079</t>
  </si>
  <si>
    <t>10.9408</t>
  </si>
  <si>
    <t>Mauritius</t>
  </si>
  <si>
    <t>-20.2</t>
  </si>
  <si>
    <t>57.5</t>
  </si>
  <si>
    <t>324</t>
  </si>
  <si>
    <t>Mexico</t>
  </si>
  <si>
    <t>23.6345</t>
  </si>
  <si>
    <t>-102.5528</t>
  </si>
  <si>
    <t>1094</t>
  </si>
  <si>
    <t>1510</t>
  </si>
  <si>
    <t>1688</t>
  </si>
  <si>
    <t>1890</t>
  </si>
  <si>
    <t>2143</t>
  </si>
  <si>
    <t>2439</t>
  </si>
  <si>
    <t>2785</t>
  </si>
  <si>
    <t>3181</t>
  </si>
  <si>
    <t>3441</t>
  </si>
  <si>
    <t>3844</t>
  </si>
  <si>
    <t>4219</t>
  </si>
  <si>
    <t>4661</t>
  </si>
  <si>
    <t>5014</t>
  </si>
  <si>
    <t>5399</t>
  </si>
  <si>
    <t>5847</t>
  </si>
  <si>
    <t>6297</t>
  </si>
  <si>
    <t>6875</t>
  </si>
  <si>
    <t>7497</t>
  </si>
  <si>
    <t>8261</t>
  </si>
  <si>
    <t>8772</t>
  </si>
  <si>
    <t>9501</t>
  </si>
  <si>
    <t>11633</t>
  </si>
  <si>
    <t>Moldova</t>
  </si>
  <si>
    <t>47.4116</t>
  </si>
  <si>
    <t>28.3699</t>
  </si>
  <si>
    <t>752</t>
  </si>
  <si>
    <t>1056</t>
  </si>
  <si>
    <t>1289</t>
  </si>
  <si>
    <t>1438</t>
  </si>
  <si>
    <t>1662</t>
  </si>
  <si>
    <t>1712</t>
  </si>
  <si>
    <t>1934</t>
  </si>
  <si>
    <t>2049</t>
  </si>
  <si>
    <t>2154</t>
  </si>
  <si>
    <t>2264</t>
  </si>
  <si>
    <t>2378</t>
  </si>
  <si>
    <t>2472</t>
  </si>
  <si>
    <t>2548</t>
  </si>
  <si>
    <t>2778</t>
  </si>
  <si>
    <t>3110</t>
  </si>
  <si>
    <t>Monaco</t>
  </si>
  <si>
    <t>43.7333</t>
  </si>
  <si>
    <t>7.4167</t>
  </si>
  <si>
    <t>Mongolia</t>
  </si>
  <si>
    <t>46.8625</t>
  </si>
  <si>
    <t>103.8467</t>
  </si>
  <si>
    <t>Montenegro</t>
  </si>
  <si>
    <t>42.5</t>
  </si>
  <si>
    <t>19.3</t>
  </si>
  <si>
    <t>Morocco</t>
  </si>
  <si>
    <t>31.7917</t>
  </si>
  <si>
    <t>-7.0926</t>
  </si>
  <si>
    <t>708</t>
  </si>
  <si>
    <t>791</t>
  </si>
  <si>
    <t>919</t>
  </si>
  <si>
    <t>1374</t>
  </si>
  <si>
    <t>1545</t>
  </si>
  <si>
    <t>1661</t>
  </si>
  <si>
    <t>1888</t>
  </si>
  <si>
    <t>2283</t>
  </si>
  <si>
    <t>2564</t>
  </si>
  <si>
    <t>2685</t>
  </si>
  <si>
    <t>2855</t>
  </si>
  <si>
    <t>3046</t>
  </si>
  <si>
    <t>3209</t>
  </si>
  <si>
    <t>3446</t>
  </si>
  <si>
    <t>3568</t>
  </si>
  <si>
    <t>3758</t>
  </si>
  <si>
    <t>Namibia</t>
  </si>
  <si>
    <t>-22.9576</t>
  </si>
  <si>
    <t>18.4904</t>
  </si>
  <si>
    <t>Nepal</t>
  </si>
  <si>
    <t>28.1667</t>
  </si>
  <si>
    <t>84.25</t>
  </si>
  <si>
    <t>Aruba</t>
  </si>
  <si>
    <t>Netherlands</t>
  </si>
  <si>
    <t>12.5186</t>
  </si>
  <si>
    <t>-70.0358</t>
  </si>
  <si>
    <t>Curacao</t>
  </si>
  <si>
    <t>12.1696</t>
  </si>
  <si>
    <t>-68.99</t>
  </si>
  <si>
    <t>Sint Maarten</t>
  </si>
  <si>
    <t>18.0425</t>
  </si>
  <si>
    <t>-63.0548</t>
  </si>
  <si>
    <t>52.1326</t>
  </si>
  <si>
    <t>5.2913</t>
  </si>
  <si>
    <t>959</t>
  </si>
  <si>
    <t>1705</t>
  </si>
  <si>
    <t>2051</t>
  </si>
  <si>
    <t>2460</t>
  </si>
  <si>
    <t>2994</t>
  </si>
  <si>
    <t>3631</t>
  </si>
  <si>
    <t>4749</t>
  </si>
  <si>
    <t>5560</t>
  </si>
  <si>
    <t>6412</t>
  </si>
  <si>
    <t>7431</t>
  </si>
  <si>
    <t>8603</t>
  </si>
  <si>
    <t>9762</t>
  </si>
  <si>
    <t>10866</t>
  </si>
  <si>
    <t>11750</t>
  </si>
  <si>
    <t>12595</t>
  </si>
  <si>
    <t>13614</t>
  </si>
  <si>
    <t>14697</t>
  </si>
  <si>
    <t>15723</t>
  </si>
  <si>
    <t>16627</t>
  </si>
  <si>
    <t>17851</t>
  </si>
  <si>
    <t>18803</t>
  </si>
  <si>
    <t>19580</t>
  </si>
  <si>
    <t>20549</t>
  </si>
  <si>
    <t>21762</t>
  </si>
  <si>
    <t>23097</t>
  </si>
  <si>
    <t>24413</t>
  </si>
  <si>
    <t>25587</t>
  </si>
  <si>
    <t>26551</t>
  </si>
  <si>
    <t>27419</t>
  </si>
  <si>
    <t>28153</t>
  </si>
  <si>
    <t>29214</t>
  </si>
  <si>
    <t>30449</t>
  </si>
  <si>
    <t>31589</t>
  </si>
  <si>
    <t>32655</t>
  </si>
  <si>
    <t>33405</t>
  </si>
  <si>
    <t>34134</t>
  </si>
  <si>
    <t>34842</t>
  </si>
  <si>
    <t>35729</t>
  </si>
  <si>
    <t>36535</t>
  </si>
  <si>
    <t>New Zealand</t>
  </si>
  <si>
    <t>-40.9006</t>
  </si>
  <si>
    <t>174.886</t>
  </si>
  <si>
    <t>797</t>
  </si>
  <si>
    <t>868</t>
  </si>
  <si>
    <t>1106</t>
  </si>
  <si>
    <t>1160</t>
  </si>
  <si>
    <t>1210</t>
  </si>
  <si>
    <t>1312</t>
  </si>
  <si>
    <t>1330</t>
  </si>
  <si>
    <t>1366</t>
  </si>
  <si>
    <t>1386</t>
  </si>
  <si>
    <t>1409</t>
  </si>
  <si>
    <t>1422</t>
  </si>
  <si>
    <t>1431</t>
  </si>
  <si>
    <t>1440</t>
  </si>
  <si>
    <t>1461</t>
  </si>
  <si>
    <t>Nicaragua</t>
  </si>
  <si>
    <t>12.8654</t>
  </si>
  <si>
    <t>-85.2072</t>
  </si>
  <si>
    <t>Niger</t>
  </si>
  <si>
    <t>17.6078</t>
  </si>
  <si>
    <t>8.0817</t>
  </si>
  <si>
    <t>627</t>
  </si>
  <si>
    <t>671</t>
  </si>
  <si>
    <t>Nigeria</t>
  </si>
  <si>
    <t>9.082</t>
  </si>
  <si>
    <t>8.6753</t>
  </si>
  <si>
    <t>276</t>
  </si>
  <si>
    <t>North Macedonia</t>
  </si>
  <si>
    <t>41.6086</t>
  </si>
  <si>
    <t>21.7453</t>
  </si>
  <si>
    <t>828</t>
  </si>
  <si>
    <t>854</t>
  </si>
  <si>
    <t>908</t>
  </si>
  <si>
    <t>1081</t>
  </si>
  <si>
    <t>1170</t>
  </si>
  <si>
    <t>1225</t>
  </si>
  <si>
    <t>1259</t>
  </si>
  <si>
    <t>Norway</t>
  </si>
  <si>
    <t>60.472</t>
  </si>
  <si>
    <t>8.4689</t>
  </si>
  <si>
    <t>1090</t>
  </si>
  <si>
    <t>1221</t>
  </si>
  <si>
    <t>1463</t>
  </si>
  <si>
    <t>1550</t>
  </si>
  <si>
    <t>1746</t>
  </si>
  <si>
    <t>2118</t>
  </si>
  <si>
    <t>2385</t>
  </si>
  <si>
    <t>2621</t>
  </si>
  <si>
    <t>3084</t>
  </si>
  <si>
    <t>4445</t>
  </si>
  <si>
    <t>4641</t>
  </si>
  <si>
    <t>4863</t>
  </si>
  <si>
    <t>5147</t>
  </si>
  <si>
    <t>5370</t>
  </si>
  <si>
    <t>5550</t>
  </si>
  <si>
    <t>5687</t>
  </si>
  <si>
    <t>5865</t>
  </si>
  <si>
    <t>6086</t>
  </si>
  <si>
    <t>6211</t>
  </si>
  <si>
    <t>6314</t>
  </si>
  <si>
    <t>6409</t>
  </si>
  <si>
    <t>6525</t>
  </si>
  <si>
    <t>6603</t>
  </si>
  <si>
    <t>6623</t>
  </si>
  <si>
    <t>6740</t>
  </si>
  <si>
    <t>6896</t>
  </si>
  <si>
    <t>6937</t>
  </si>
  <si>
    <t>7036</t>
  </si>
  <si>
    <t>7078</t>
  </si>
  <si>
    <t>7156</t>
  </si>
  <si>
    <t>7191</t>
  </si>
  <si>
    <t>7338</t>
  </si>
  <si>
    <t>7401</t>
  </si>
  <si>
    <t>7463</t>
  </si>
  <si>
    <t>Oman</t>
  </si>
  <si>
    <t>57.0</t>
  </si>
  <si>
    <t>1069</t>
  </si>
  <si>
    <t>1180</t>
  </si>
  <si>
    <t>1508</t>
  </si>
  <si>
    <t>1614</t>
  </si>
  <si>
    <t>1716</t>
  </si>
  <si>
    <t>Pakistan</t>
  </si>
  <si>
    <t>30.3753</t>
  </si>
  <si>
    <t>69.3451</t>
  </si>
  <si>
    <t>776</t>
  </si>
  <si>
    <t>972</t>
  </si>
  <si>
    <t>1063</t>
  </si>
  <si>
    <t>1597</t>
  </si>
  <si>
    <t>1717</t>
  </si>
  <si>
    <t>1938</t>
  </si>
  <si>
    <t>2421</t>
  </si>
  <si>
    <t>2818</t>
  </si>
  <si>
    <t>3157</t>
  </si>
  <si>
    <t>3766</t>
  </si>
  <si>
    <t>4035</t>
  </si>
  <si>
    <t>4263</t>
  </si>
  <si>
    <t>4489</t>
  </si>
  <si>
    <t>5011</t>
  </si>
  <si>
    <t>5230</t>
  </si>
  <si>
    <t>5496</t>
  </si>
  <si>
    <t>5837</t>
  </si>
  <si>
    <t>6383</t>
  </si>
  <si>
    <t>6919</t>
  </si>
  <si>
    <t>7025</t>
  </si>
  <si>
    <t>7638</t>
  </si>
  <si>
    <t>8348</t>
  </si>
  <si>
    <t>8418</t>
  </si>
  <si>
    <t>9565</t>
  </si>
  <si>
    <t>10076</t>
  </si>
  <si>
    <t>11155</t>
  </si>
  <si>
    <t>11940</t>
  </si>
  <si>
    <t>Panama</t>
  </si>
  <si>
    <t>8.538</t>
  </si>
  <si>
    <t>-80.7821</t>
  </si>
  <si>
    <t>786</t>
  </si>
  <si>
    <t>1317</t>
  </si>
  <si>
    <t>1801</t>
  </si>
  <si>
    <t>2100</t>
  </si>
  <si>
    <t>2249</t>
  </si>
  <si>
    <t>2528</t>
  </si>
  <si>
    <t>2752</t>
  </si>
  <si>
    <t>3234</t>
  </si>
  <si>
    <t>3400</t>
  </si>
  <si>
    <t>3472</t>
  </si>
  <si>
    <t>3574</t>
  </si>
  <si>
    <t>3751</t>
  </si>
  <si>
    <t>4016</t>
  </si>
  <si>
    <t>4210</t>
  </si>
  <si>
    <t>4467</t>
  </si>
  <si>
    <t>4658</t>
  </si>
  <si>
    <t>4821</t>
  </si>
  <si>
    <t>5166</t>
  </si>
  <si>
    <t>5338</t>
  </si>
  <si>
    <t>Papua New Guinea</t>
  </si>
  <si>
    <t>-6.315</t>
  </si>
  <si>
    <t>143.9555</t>
  </si>
  <si>
    <t>Paraguay</t>
  </si>
  <si>
    <t>-23.4425</t>
  </si>
  <si>
    <t>-58.4438</t>
  </si>
  <si>
    <t>Peru</t>
  </si>
  <si>
    <t>-9.19</t>
  </si>
  <si>
    <t>-75.0152</t>
  </si>
  <si>
    <t>852</t>
  </si>
  <si>
    <t>1323</t>
  </si>
  <si>
    <t>2561</t>
  </si>
  <si>
    <t>2954</t>
  </si>
  <si>
    <t>4342</t>
  </si>
  <si>
    <t>5256</t>
  </si>
  <si>
    <t>5897</t>
  </si>
  <si>
    <t>6848</t>
  </si>
  <si>
    <t>7519</t>
  </si>
  <si>
    <t>9784</t>
  </si>
  <si>
    <t>10303</t>
  </si>
  <si>
    <t>11475</t>
  </si>
  <si>
    <t>12491</t>
  </si>
  <si>
    <t>13489</t>
  </si>
  <si>
    <t>14420</t>
  </si>
  <si>
    <t>15628</t>
  </si>
  <si>
    <t>16325</t>
  </si>
  <si>
    <t>17837</t>
  </si>
  <si>
    <t>20914</t>
  </si>
  <si>
    <t>21648</t>
  </si>
  <si>
    <t>Philippines</t>
  </si>
  <si>
    <t>13.0</t>
  </si>
  <si>
    <t>122.0</t>
  </si>
  <si>
    <t>462</t>
  </si>
  <si>
    <t>707</t>
  </si>
  <si>
    <t>2084</t>
  </si>
  <si>
    <t>2311</t>
  </si>
  <si>
    <t>2633</t>
  </si>
  <si>
    <t>3018</t>
  </si>
  <si>
    <t>3094</t>
  </si>
  <si>
    <t>3246</t>
  </si>
  <si>
    <t>3660</t>
  </si>
  <si>
    <t>3764</t>
  </si>
  <si>
    <t>3870</t>
  </si>
  <si>
    <t>4076</t>
  </si>
  <si>
    <t>4195</t>
  </si>
  <si>
    <t>4428</t>
  </si>
  <si>
    <t>4648</t>
  </si>
  <si>
    <t>4932</t>
  </si>
  <si>
    <t>5223</t>
  </si>
  <si>
    <t>5453</t>
  </si>
  <si>
    <t>5660</t>
  </si>
  <si>
    <t>5878</t>
  </si>
  <si>
    <t>6087</t>
  </si>
  <si>
    <t>6259</t>
  </si>
  <si>
    <t>6459</t>
  </si>
  <si>
    <t>6599</t>
  </si>
  <si>
    <t>6710</t>
  </si>
  <si>
    <t>6981</t>
  </si>
  <si>
    <t>7192</t>
  </si>
  <si>
    <t>Poland</t>
  </si>
  <si>
    <t>51.9194</t>
  </si>
  <si>
    <t>19.1451</t>
  </si>
  <si>
    <t>1051</t>
  </si>
  <si>
    <t>1389</t>
  </si>
  <si>
    <t>1638</t>
  </si>
  <si>
    <t>1862</t>
  </si>
  <si>
    <t>2055</t>
  </si>
  <si>
    <t>2946</t>
  </si>
  <si>
    <t>3383</t>
  </si>
  <si>
    <t>3627</t>
  </si>
  <si>
    <t>4102</t>
  </si>
  <si>
    <t>4413</t>
  </si>
  <si>
    <t>4848</t>
  </si>
  <si>
    <t>5205</t>
  </si>
  <si>
    <t>5575</t>
  </si>
  <si>
    <t>5955</t>
  </si>
  <si>
    <t>6356</t>
  </si>
  <si>
    <t>6674</t>
  </si>
  <si>
    <t>6934</t>
  </si>
  <si>
    <t>7202</t>
  </si>
  <si>
    <t>7582</t>
  </si>
  <si>
    <t>7918</t>
  </si>
  <si>
    <t>8379</t>
  </si>
  <si>
    <t>8742</t>
  </si>
  <si>
    <t>9287</t>
  </si>
  <si>
    <t>9593</t>
  </si>
  <si>
    <t>9856</t>
  </si>
  <si>
    <t>10169</t>
  </si>
  <si>
    <t>10511</t>
  </si>
  <si>
    <t>10892</t>
  </si>
  <si>
    <t>Portugal</t>
  </si>
  <si>
    <t>39.3999</t>
  </si>
  <si>
    <t>-8.2245</t>
  </si>
  <si>
    <t>448</t>
  </si>
  <si>
    <t>1280</t>
  </si>
  <si>
    <t>2060</t>
  </si>
  <si>
    <t>2362</t>
  </si>
  <si>
    <t>2995</t>
  </si>
  <si>
    <t>3544</t>
  </si>
  <si>
    <t>4268</t>
  </si>
  <si>
    <t>5170</t>
  </si>
  <si>
    <t>5962</t>
  </si>
  <si>
    <t>6408</t>
  </si>
  <si>
    <t>7443</t>
  </si>
  <si>
    <t>8251</t>
  </si>
  <si>
    <t>9034</t>
  </si>
  <si>
    <t>9886</t>
  </si>
  <si>
    <t>10524</t>
  </si>
  <si>
    <t>11278</t>
  </si>
  <si>
    <t>11730</t>
  </si>
  <si>
    <t>12442</t>
  </si>
  <si>
    <t>13141</t>
  </si>
  <si>
    <t>13956</t>
  </si>
  <si>
    <t>15472</t>
  </si>
  <si>
    <t>15987</t>
  </si>
  <si>
    <t>16585</t>
  </si>
  <si>
    <t>16934</t>
  </si>
  <si>
    <t>17448</t>
  </si>
  <si>
    <t>18091</t>
  </si>
  <si>
    <t>18841</t>
  </si>
  <si>
    <t>19022</t>
  </si>
  <si>
    <t>19685</t>
  </si>
  <si>
    <t>20206</t>
  </si>
  <si>
    <t>20863</t>
  </si>
  <si>
    <t>21379</t>
  </si>
  <si>
    <t>21982</t>
  </si>
  <si>
    <t>22353</t>
  </si>
  <si>
    <t>22797</t>
  </si>
  <si>
    <t>Qatar</t>
  </si>
  <si>
    <t>25.3548</t>
  </si>
  <si>
    <t>51.1839</t>
  </si>
  <si>
    <t>693</t>
  </si>
  <si>
    <t>1325</t>
  </si>
  <si>
    <t>1604</t>
  </si>
  <si>
    <t>2057</t>
  </si>
  <si>
    <t>2210</t>
  </si>
  <si>
    <t>2376</t>
  </si>
  <si>
    <t>2512</t>
  </si>
  <si>
    <t>2728</t>
  </si>
  <si>
    <t>3231</t>
  </si>
  <si>
    <t>3428</t>
  </si>
  <si>
    <t>3711</t>
  </si>
  <si>
    <t>4103</t>
  </si>
  <si>
    <t>4663</t>
  </si>
  <si>
    <t>5008</t>
  </si>
  <si>
    <t>5448</t>
  </si>
  <si>
    <t>6015</t>
  </si>
  <si>
    <t>6533</t>
  </si>
  <si>
    <t>7141</t>
  </si>
  <si>
    <t>7764</t>
  </si>
  <si>
    <t>8525</t>
  </si>
  <si>
    <t>Romania</t>
  </si>
  <si>
    <t>45.9432</t>
  </si>
  <si>
    <t>24.9668</t>
  </si>
  <si>
    <t>794</t>
  </si>
  <si>
    <t>1292</t>
  </si>
  <si>
    <t>1452</t>
  </si>
  <si>
    <t>1815</t>
  </si>
  <si>
    <t>2109</t>
  </si>
  <si>
    <t>3183</t>
  </si>
  <si>
    <t>3613</t>
  </si>
  <si>
    <t>3864</t>
  </si>
  <si>
    <t>4057</t>
  </si>
  <si>
    <t>4417</t>
  </si>
  <si>
    <t>4761</t>
  </si>
  <si>
    <t>5202</t>
  </si>
  <si>
    <t>5467</t>
  </si>
  <si>
    <t>5990</t>
  </si>
  <si>
    <t>6300</t>
  </si>
  <si>
    <t>7216</t>
  </si>
  <si>
    <t>7707</t>
  </si>
  <si>
    <t>8067</t>
  </si>
  <si>
    <t>8746</t>
  </si>
  <si>
    <t>8936</t>
  </si>
  <si>
    <t>9242</t>
  </si>
  <si>
    <t>9710</t>
  </si>
  <si>
    <t>10096</t>
  </si>
  <si>
    <t>10417</t>
  </si>
  <si>
    <t>Russia</t>
  </si>
  <si>
    <t>60.0</t>
  </si>
  <si>
    <t>90.0</t>
  </si>
  <si>
    <t>1836</t>
  </si>
  <si>
    <t>2777</t>
  </si>
  <si>
    <t>3548</t>
  </si>
  <si>
    <t>4731</t>
  </si>
  <si>
    <t>6343</t>
  </si>
  <si>
    <t>8672</t>
  </si>
  <si>
    <t>10131</t>
  </si>
  <si>
    <t>11917</t>
  </si>
  <si>
    <t>13584</t>
  </si>
  <si>
    <t>15770</t>
  </si>
  <si>
    <t>18328</t>
  </si>
  <si>
    <t>21102</t>
  </si>
  <si>
    <t>24490</t>
  </si>
  <si>
    <t>27938</t>
  </si>
  <si>
    <t>32008</t>
  </si>
  <si>
    <t>36793</t>
  </si>
  <si>
    <t>42853</t>
  </si>
  <si>
    <t>47121</t>
  </si>
  <si>
    <t>52763</t>
  </si>
  <si>
    <t>57999</t>
  </si>
  <si>
    <t>62773</t>
  </si>
  <si>
    <t>68622</t>
  </si>
  <si>
    <t>Rwanda</t>
  </si>
  <si>
    <t>-1.9403</t>
  </si>
  <si>
    <t>29.8739</t>
  </si>
  <si>
    <t>Saint Lucia</t>
  </si>
  <si>
    <t>13.9094</t>
  </si>
  <si>
    <t>-60.9789</t>
  </si>
  <si>
    <t>Saint Vincent and the Grenadines</t>
  </si>
  <si>
    <t>12.9843</t>
  </si>
  <si>
    <t>-61.2872</t>
  </si>
  <si>
    <t>San Marino</t>
  </si>
  <si>
    <t>43.9424</t>
  </si>
  <si>
    <t>12.4578</t>
  </si>
  <si>
    <t>455</t>
  </si>
  <si>
    <t>513</t>
  </si>
  <si>
    <t>Saudi Arabia</t>
  </si>
  <si>
    <t>24.0</t>
  </si>
  <si>
    <t>45.0</t>
  </si>
  <si>
    <t>1104</t>
  </si>
  <si>
    <t>1563</t>
  </si>
  <si>
    <t>1885</t>
  </si>
  <si>
    <t>2039</t>
  </si>
  <si>
    <t>2179</t>
  </si>
  <si>
    <t>2402</t>
  </si>
  <si>
    <t>2795</t>
  </si>
  <si>
    <t>2932</t>
  </si>
  <si>
    <t>3287</t>
  </si>
  <si>
    <t>3651</t>
  </si>
  <si>
    <t>4033</t>
  </si>
  <si>
    <t>4462</t>
  </si>
  <si>
    <t>4934</t>
  </si>
  <si>
    <t>5369</t>
  </si>
  <si>
    <t>5862</t>
  </si>
  <si>
    <t>6380</t>
  </si>
  <si>
    <t>7142</t>
  </si>
  <si>
    <t>8274</t>
  </si>
  <si>
    <t>9362</t>
  </si>
  <si>
    <t>10484</t>
  </si>
  <si>
    <t>11631</t>
  </si>
  <si>
    <t>12772</t>
  </si>
  <si>
    <t>13930</t>
  </si>
  <si>
    <t>15102</t>
  </si>
  <si>
    <t>Senegal</t>
  </si>
  <si>
    <t>14.4974</t>
  </si>
  <si>
    <t>-14.4524</t>
  </si>
  <si>
    <t>Serbia</t>
  </si>
  <si>
    <t>44.0165</t>
  </si>
  <si>
    <t>21.0059</t>
  </si>
  <si>
    <t>741</t>
  </si>
  <si>
    <t>1060</t>
  </si>
  <si>
    <t>1476</t>
  </si>
  <si>
    <t>2200</t>
  </si>
  <si>
    <t>2447</t>
  </si>
  <si>
    <t>2666</t>
  </si>
  <si>
    <t>2867</t>
  </si>
  <si>
    <t>3380</t>
  </si>
  <si>
    <t>4054</t>
  </si>
  <si>
    <t>4465</t>
  </si>
  <si>
    <t>4873</t>
  </si>
  <si>
    <t>5318</t>
  </si>
  <si>
    <t>5690</t>
  </si>
  <si>
    <t>5994</t>
  </si>
  <si>
    <t>6630</t>
  </si>
  <si>
    <t>Seychelles</t>
  </si>
  <si>
    <t>-4.6796</t>
  </si>
  <si>
    <t>55.492</t>
  </si>
  <si>
    <t>Singapore</t>
  </si>
  <si>
    <t>1.2833</t>
  </si>
  <si>
    <t>103.8333</t>
  </si>
  <si>
    <t>385</t>
  </si>
  <si>
    <t>432</t>
  </si>
  <si>
    <t>1049</t>
  </si>
  <si>
    <t>1114</t>
  </si>
  <si>
    <t>1375</t>
  </si>
  <si>
    <t>1481</t>
  </si>
  <si>
    <t>1623</t>
  </si>
  <si>
    <t>1910</t>
  </si>
  <si>
    <t>2108</t>
  </si>
  <si>
    <t>2299</t>
  </si>
  <si>
    <t>2532</t>
  </si>
  <si>
    <t>2918</t>
  </si>
  <si>
    <t>3252</t>
  </si>
  <si>
    <t>3699</t>
  </si>
  <si>
    <t>4427</t>
  </si>
  <si>
    <t>5050</t>
  </si>
  <si>
    <t>5992</t>
  </si>
  <si>
    <t>6588</t>
  </si>
  <si>
    <t>8014</t>
  </si>
  <si>
    <t>9125</t>
  </si>
  <si>
    <t>10141</t>
  </si>
  <si>
    <t>11178</t>
  </si>
  <si>
    <t>12075</t>
  </si>
  <si>
    <t>Slovakia</t>
  </si>
  <si>
    <t>48.669</t>
  </si>
  <si>
    <t>19.699</t>
  </si>
  <si>
    <t>471</t>
  </si>
  <si>
    <t>742</t>
  </si>
  <si>
    <t>863</t>
  </si>
  <si>
    <t>1089</t>
  </si>
  <si>
    <t>1199</t>
  </si>
  <si>
    <t>1244</t>
  </si>
  <si>
    <t>Slovenia</t>
  </si>
  <si>
    <t>46.1512</t>
  </si>
  <si>
    <t>14.9955</t>
  </si>
  <si>
    <t>897</t>
  </si>
  <si>
    <t>997</t>
  </si>
  <si>
    <t>1059</t>
  </si>
  <si>
    <t>1124</t>
  </si>
  <si>
    <t>1188</t>
  </si>
  <si>
    <t>1335</t>
  </si>
  <si>
    <t>1344</t>
  </si>
  <si>
    <t>Somalia</t>
  </si>
  <si>
    <t>5.1521</t>
  </si>
  <si>
    <t>46.1996</t>
  </si>
  <si>
    <t>South Africa</t>
  </si>
  <si>
    <t>-30.5595</t>
  </si>
  <si>
    <t>22.9375</t>
  </si>
  <si>
    <t>709</t>
  </si>
  <si>
    <t>927</t>
  </si>
  <si>
    <t>1187</t>
  </si>
  <si>
    <t>1462</t>
  </si>
  <si>
    <t>1505</t>
  </si>
  <si>
    <t>1655</t>
  </si>
  <si>
    <t>1686</t>
  </si>
  <si>
    <t>1749</t>
  </si>
  <si>
    <t>1845</t>
  </si>
  <si>
    <t>2003</t>
  </si>
  <si>
    <t>2028</t>
  </si>
  <si>
    <t>2173</t>
  </si>
  <si>
    <t>2272</t>
  </si>
  <si>
    <t>2506</t>
  </si>
  <si>
    <t>2783</t>
  </si>
  <si>
    <t>3158</t>
  </si>
  <si>
    <t>3300</t>
  </si>
  <si>
    <t>3635</t>
  </si>
  <si>
    <t>3953</t>
  </si>
  <si>
    <t>4220</t>
  </si>
  <si>
    <t>Spain</t>
  </si>
  <si>
    <t>40.0</t>
  </si>
  <si>
    <t>-4.0</t>
  </si>
  <si>
    <t>500</t>
  </si>
  <si>
    <t>1695</t>
  </si>
  <si>
    <t>5232</t>
  </si>
  <si>
    <t>6391</t>
  </si>
  <si>
    <t>7798</t>
  </si>
  <si>
    <t>9942</t>
  </si>
  <si>
    <t>11748</t>
  </si>
  <si>
    <t>13910</t>
  </si>
  <si>
    <t>17963</t>
  </si>
  <si>
    <t>20410</t>
  </si>
  <si>
    <t>25374</t>
  </si>
  <si>
    <t>28768</t>
  </si>
  <si>
    <t>35136</t>
  </si>
  <si>
    <t>39885</t>
  </si>
  <si>
    <t>49515</t>
  </si>
  <si>
    <t>57786</t>
  </si>
  <si>
    <t>65719</t>
  </si>
  <si>
    <t>73235</t>
  </si>
  <si>
    <t>80110</t>
  </si>
  <si>
    <t>87956</t>
  </si>
  <si>
    <t>95923</t>
  </si>
  <si>
    <t>104118</t>
  </si>
  <si>
    <t>112065</t>
  </si>
  <si>
    <t>119199</t>
  </si>
  <si>
    <t>126168</t>
  </si>
  <si>
    <t>131646</t>
  </si>
  <si>
    <t>136675</t>
  </si>
  <si>
    <t>141942</t>
  </si>
  <si>
    <t>148220</t>
  </si>
  <si>
    <t>153222</t>
  </si>
  <si>
    <t>158273</t>
  </si>
  <si>
    <t>163027</t>
  </si>
  <si>
    <t>166831</t>
  </si>
  <si>
    <t>170099</t>
  </si>
  <si>
    <t>172541</t>
  </si>
  <si>
    <t>177644</t>
  </si>
  <si>
    <t>184948</t>
  </si>
  <si>
    <t>190839</t>
  </si>
  <si>
    <t>191726</t>
  </si>
  <si>
    <t>198674</t>
  </si>
  <si>
    <t>200210</t>
  </si>
  <si>
    <t>204178</t>
  </si>
  <si>
    <t>208389</t>
  </si>
  <si>
    <t>213024</t>
  </si>
  <si>
    <t>219764</t>
  </si>
  <si>
    <t>Sri Lanka</t>
  </si>
  <si>
    <t>7.0</t>
  </si>
  <si>
    <t>81.0</t>
  </si>
  <si>
    <t>198</t>
  </si>
  <si>
    <t>Sudan</t>
  </si>
  <si>
    <t>12.8628</t>
  </si>
  <si>
    <t>30.2176</t>
  </si>
  <si>
    <t>Suriname</t>
  </si>
  <si>
    <t>3.9193</t>
  </si>
  <si>
    <t>-56.0278</t>
  </si>
  <si>
    <t>Sweden</t>
  </si>
  <si>
    <t>63.0</t>
  </si>
  <si>
    <t>16.0</t>
  </si>
  <si>
    <t>1022</t>
  </si>
  <si>
    <t>1103</t>
  </si>
  <si>
    <t>1439</t>
  </si>
  <si>
    <t>1639</t>
  </si>
  <si>
    <t>2286</t>
  </si>
  <si>
    <t>2526</t>
  </si>
  <si>
    <t>3069</t>
  </si>
  <si>
    <t>3700</t>
  </si>
  <si>
    <t>4028</t>
  </si>
  <si>
    <t>4435</t>
  </si>
  <si>
    <t>4947</t>
  </si>
  <si>
    <t>5568</t>
  </si>
  <si>
    <t>6131</t>
  </si>
  <si>
    <t>6443</t>
  </si>
  <si>
    <t>6830</t>
  </si>
  <si>
    <t>7206</t>
  </si>
  <si>
    <t>7693</t>
  </si>
  <si>
    <t>8419</t>
  </si>
  <si>
    <t>9141</t>
  </si>
  <si>
    <t>9685</t>
  </si>
  <si>
    <t>10151</t>
  </si>
  <si>
    <t>10483</t>
  </si>
  <si>
    <t>10948</t>
  </si>
  <si>
    <t>11445</t>
  </si>
  <si>
    <t>11927</t>
  </si>
  <si>
    <t>12540</t>
  </si>
  <si>
    <t>13216</t>
  </si>
  <si>
    <t>13822</t>
  </si>
  <si>
    <t>14385</t>
  </si>
  <si>
    <t>14777</t>
  </si>
  <si>
    <t>15322</t>
  </si>
  <si>
    <t>16004</t>
  </si>
  <si>
    <t>16755</t>
  </si>
  <si>
    <t>17567</t>
  </si>
  <si>
    <t>Switzerland</t>
  </si>
  <si>
    <t>46.8182</t>
  </si>
  <si>
    <t>8.2275</t>
  </si>
  <si>
    <t>374</t>
  </si>
  <si>
    <t>1139</t>
  </si>
  <si>
    <t>1359</t>
  </si>
  <si>
    <t>2700</t>
  </si>
  <si>
    <t>3028</t>
  </si>
  <si>
    <t>4075</t>
  </si>
  <si>
    <t>5294</t>
  </si>
  <si>
    <t>7474</t>
  </si>
  <si>
    <t>8795</t>
  </si>
  <si>
    <t>9877</t>
  </si>
  <si>
    <t>10897</t>
  </si>
  <si>
    <t>11811</t>
  </si>
  <si>
    <t>12928</t>
  </si>
  <si>
    <t>14076</t>
  </si>
  <si>
    <t>14829</t>
  </si>
  <si>
    <t>15922</t>
  </si>
  <si>
    <t>16605</t>
  </si>
  <si>
    <t>17768</t>
  </si>
  <si>
    <t>18827</t>
  </si>
  <si>
    <t>19606</t>
  </si>
  <si>
    <t>20505</t>
  </si>
  <si>
    <t>21100</t>
  </si>
  <si>
    <t>21657</t>
  </si>
  <si>
    <t>22253</t>
  </si>
  <si>
    <t>23280</t>
  </si>
  <si>
    <t>24051</t>
  </si>
  <si>
    <t>24551</t>
  </si>
  <si>
    <t>25107</t>
  </si>
  <si>
    <t>25415</t>
  </si>
  <si>
    <t>25688</t>
  </si>
  <si>
    <t>25936</t>
  </si>
  <si>
    <t>26336</t>
  </si>
  <si>
    <t>26732</t>
  </si>
  <si>
    <t>27078</t>
  </si>
  <si>
    <t>27404</t>
  </si>
  <si>
    <t>27740</t>
  </si>
  <si>
    <t>27944</t>
  </si>
  <si>
    <t>28063</t>
  </si>
  <si>
    <t>28268</t>
  </si>
  <si>
    <t>28496</t>
  </si>
  <si>
    <t>28677</t>
  </si>
  <si>
    <t>Taiwan*</t>
  </si>
  <si>
    <t>23.7</t>
  </si>
  <si>
    <t>121.0</t>
  </si>
  <si>
    <t>379</t>
  </si>
  <si>
    <t>Tanzania</t>
  </si>
  <si>
    <t>-6.369</t>
  </si>
  <si>
    <t>34.8888</t>
  </si>
  <si>
    <t>Thailand</t>
  </si>
  <si>
    <t>15.0</t>
  </si>
  <si>
    <t>101.0</t>
  </si>
  <si>
    <t>1045</t>
  </si>
  <si>
    <t>1245</t>
  </si>
  <si>
    <t>1388</t>
  </si>
  <si>
    <t>1651</t>
  </si>
  <si>
    <t>1875</t>
  </si>
  <si>
    <t>1978</t>
  </si>
  <si>
    <t>2067</t>
  </si>
  <si>
    <t>2169</t>
  </si>
  <si>
    <t>2220</t>
  </si>
  <si>
    <t>2258</t>
  </si>
  <si>
    <t>2423</t>
  </si>
  <si>
    <t>2551</t>
  </si>
  <si>
    <t>2579</t>
  </si>
  <si>
    <t>2613</t>
  </si>
  <si>
    <t>2643</t>
  </si>
  <si>
    <t>2672</t>
  </si>
  <si>
    <t>2733</t>
  </si>
  <si>
    <t>2765</t>
  </si>
  <si>
    <t>2792</t>
  </si>
  <si>
    <t>2826</t>
  </si>
  <si>
    <t>2907</t>
  </si>
  <si>
    <t>Togo</t>
  </si>
  <si>
    <t>8.6195</t>
  </si>
  <si>
    <t>0.8248</t>
  </si>
  <si>
    <t>Trinidad and Tobago</t>
  </si>
  <si>
    <t>10.6918</t>
  </si>
  <si>
    <t>-61.2225</t>
  </si>
  <si>
    <t>Tunisia</t>
  </si>
  <si>
    <t>34.0</t>
  </si>
  <si>
    <t>596</t>
  </si>
  <si>
    <t>909</t>
  </si>
  <si>
    <t>918</t>
  </si>
  <si>
    <t>Turkey</t>
  </si>
  <si>
    <t>38.9637</t>
  </si>
  <si>
    <t>35.2433</t>
  </si>
  <si>
    <t>1529</t>
  </si>
  <si>
    <t>1872</t>
  </si>
  <si>
    <t>2433</t>
  </si>
  <si>
    <t>3629</t>
  </si>
  <si>
    <t>5698</t>
  </si>
  <si>
    <t>7402</t>
  </si>
  <si>
    <t>9217</t>
  </si>
  <si>
    <t>10827</t>
  </si>
  <si>
    <t>13531</t>
  </si>
  <si>
    <t>15679</t>
  </si>
  <si>
    <t>18135</t>
  </si>
  <si>
    <t>20921</t>
  </si>
  <si>
    <t>23934</t>
  </si>
  <si>
    <t>27069</t>
  </si>
  <si>
    <t>30217</t>
  </si>
  <si>
    <t>34109</t>
  </si>
  <si>
    <t>38226</t>
  </si>
  <si>
    <t>42282</t>
  </si>
  <si>
    <t>47029</t>
  </si>
  <si>
    <t>52167</t>
  </si>
  <si>
    <t>56956</t>
  </si>
  <si>
    <t>61049</t>
  </si>
  <si>
    <t>65111</t>
  </si>
  <si>
    <t>69392</t>
  </si>
  <si>
    <t>74193</t>
  </si>
  <si>
    <t>78546</t>
  </si>
  <si>
    <t>82329</t>
  </si>
  <si>
    <t>86306</t>
  </si>
  <si>
    <t>90980</t>
  </si>
  <si>
    <t>95591</t>
  </si>
  <si>
    <t>98674</t>
  </si>
  <si>
    <t>101790</t>
  </si>
  <si>
    <t>104912</t>
  </si>
  <si>
    <t>Uganda</t>
  </si>
  <si>
    <t>1.0</t>
  </si>
  <si>
    <t>Ukraine</t>
  </si>
  <si>
    <t>48.3794</t>
  </si>
  <si>
    <t>31.1656</t>
  </si>
  <si>
    <t>1072</t>
  </si>
  <si>
    <t>1308</t>
  </si>
  <si>
    <t>1668</t>
  </si>
  <si>
    <t>1892</t>
  </si>
  <si>
    <t>2203</t>
  </si>
  <si>
    <t>2511</t>
  </si>
  <si>
    <t>3102</t>
  </si>
  <si>
    <t>3372</t>
  </si>
  <si>
    <t>4662</t>
  </si>
  <si>
    <t>5106</t>
  </si>
  <si>
    <t>5449</t>
  </si>
  <si>
    <t>5710</t>
  </si>
  <si>
    <t>6125</t>
  </si>
  <si>
    <t>6592</t>
  </si>
  <si>
    <t>7170</t>
  </si>
  <si>
    <t>8125</t>
  </si>
  <si>
    <t>United Arab Emirates</t>
  </si>
  <si>
    <t>54.0</t>
  </si>
  <si>
    <t>611</t>
  </si>
  <si>
    <t>664</t>
  </si>
  <si>
    <t>1799</t>
  </si>
  <si>
    <t>2076</t>
  </si>
  <si>
    <t>2359</t>
  </si>
  <si>
    <t>2659</t>
  </si>
  <si>
    <t>2990</t>
  </si>
  <si>
    <t>3360</t>
  </si>
  <si>
    <t>4123</t>
  </si>
  <si>
    <t>4521</t>
  </si>
  <si>
    <t>4933</t>
  </si>
  <si>
    <t>5365</t>
  </si>
  <si>
    <t>5825</t>
  </si>
  <si>
    <t>6302</t>
  </si>
  <si>
    <t>6781</t>
  </si>
  <si>
    <t>7265</t>
  </si>
  <si>
    <t>8238</t>
  </si>
  <si>
    <t>8756</t>
  </si>
  <si>
    <t>9281</t>
  </si>
  <si>
    <t>Bermuda</t>
  </si>
  <si>
    <t>United Kingdom</t>
  </si>
  <si>
    <t>32.3078</t>
  </si>
  <si>
    <t>-64.7505</t>
  </si>
  <si>
    <t>Cayman Islands</t>
  </si>
  <si>
    <t>19.3133</t>
  </si>
  <si>
    <t>-81.2546</t>
  </si>
  <si>
    <t>Channel Islands</t>
  </si>
  <si>
    <t>49.3723</t>
  </si>
  <si>
    <t>-2.3644</t>
  </si>
  <si>
    <t>496</t>
  </si>
  <si>
    <t>Gibraltar</t>
  </si>
  <si>
    <t>36.1408</t>
  </si>
  <si>
    <t>-5.3536</t>
  </si>
  <si>
    <t>Isle of Man</t>
  </si>
  <si>
    <t>54.2361</t>
  </si>
  <si>
    <t>-4.5481</t>
  </si>
  <si>
    <t>Montserrat</t>
  </si>
  <si>
    <t>16.7425</t>
  </si>
  <si>
    <t>-62.1874</t>
  </si>
  <si>
    <t>55.3781</t>
  </si>
  <si>
    <t>-3.4360000000000004</t>
  </si>
  <si>
    <t>1140</t>
  </si>
  <si>
    <t>1543</t>
  </si>
  <si>
    <t>2689</t>
  </si>
  <si>
    <t>3983</t>
  </si>
  <si>
    <t>5018</t>
  </si>
  <si>
    <t>5683</t>
  </si>
  <si>
    <t>6650</t>
  </si>
  <si>
    <t>8077</t>
  </si>
  <si>
    <t>9529</t>
  </si>
  <si>
    <t>11658</t>
  </si>
  <si>
    <t>14543</t>
  </si>
  <si>
    <t>17089</t>
  </si>
  <si>
    <t>19522</t>
  </si>
  <si>
    <t>22141</t>
  </si>
  <si>
    <t>25150</t>
  </si>
  <si>
    <t>29474</t>
  </si>
  <si>
    <t>33718</t>
  </si>
  <si>
    <t>38168</t>
  </si>
  <si>
    <t>41903</t>
  </si>
  <si>
    <t>47806</t>
  </si>
  <si>
    <t>51608</t>
  </si>
  <si>
    <t>55242</t>
  </si>
  <si>
    <t>60733</t>
  </si>
  <si>
    <t>65077</t>
  </si>
  <si>
    <t>73758</t>
  </si>
  <si>
    <t>78991</t>
  </si>
  <si>
    <t>84279</t>
  </si>
  <si>
    <t>88621</t>
  </si>
  <si>
    <t>93873</t>
  </si>
  <si>
    <t>98476</t>
  </si>
  <si>
    <t>103093</t>
  </si>
  <si>
    <t>108692</t>
  </si>
  <si>
    <t>114217</t>
  </si>
  <si>
    <t>120067</t>
  </si>
  <si>
    <t>124743</t>
  </si>
  <si>
    <t>129044</t>
  </si>
  <si>
    <t>133495</t>
  </si>
  <si>
    <t>138078</t>
  </si>
  <si>
    <t>143464</t>
  </si>
  <si>
    <t>Uruguay</t>
  </si>
  <si>
    <t>-32.5228</t>
  </si>
  <si>
    <t>-55.7658</t>
  </si>
  <si>
    <t>406</t>
  </si>
  <si>
    <t>563</t>
  </si>
  <si>
    <t>US</t>
  </si>
  <si>
    <t>37.0902</t>
  </si>
  <si>
    <t>-95.7129</t>
  </si>
  <si>
    <t>1663</t>
  </si>
  <si>
    <t>2727</t>
  </si>
  <si>
    <t>3499</t>
  </si>
  <si>
    <t>4632</t>
  </si>
  <si>
    <t>6421</t>
  </si>
  <si>
    <t>7783</t>
  </si>
  <si>
    <t>13747</t>
  </si>
  <si>
    <t>19273</t>
  </si>
  <si>
    <t>25600</t>
  </si>
  <si>
    <t>33276</t>
  </si>
  <si>
    <t>43843</t>
  </si>
  <si>
    <t>53736</t>
  </si>
  <si>
    <t>65778</t>
  </si>
  <si>
    <t>83836</t>
  </si>
  <si>
    <t>101657</t>
  </si>
  <si>
    <t>121465</t>
  </si>
  <si>
    <t>140909</t>
  </si>
  <si>
    <t>161831</t>
  </si>
  <si>
    <t>188172</t>
  </si>
  <si>
    <t>213242</t>
  </si>
  <si>
    <t>243622</t>
  </si>
  <si>
    <t>275367</t>
  </si>
  <si>
    <t>308650</t>
  </si>
  <si>
    <t>336802</t>
  </si>
  <si>
    <t>366317</t>
  </si>
  <si>
    <t>397121</t>
  </si>
  <si>
    <t>428654</t>
  </si>
  <si>
    <t>462780</t>
  </si>
  <si>
    <t>496535</t>
  </si>
  <si>
    <t>526396</t>
  </si>
  <si>
    <t>555313</t>
  </si>
  <si>
    <t>580619</t>
  </si>
  <si>
    <t>607670</t>
  </si>
  <si>
    <t>636350</t>
  </si>
  <si>
    <t>667592</t>
  </si>
  <si>
    <t>699706</t>
  </si>
  <si>
    <t>732197</t>
  </si>
  <si>
    <t>758809</t>
  </si>
  <si>
    <t>784326</t>
  </si>
  <si>
    <t>811865</t>
  </si>
  <si>
    <t>840351</t>
  </si>
  <si>
    <t>869170</t>
  </si>
  <si>
    <t>905358</t>
  </si>
  <si>
    <t>Uzbekistan</t>
  </si>
  <si>
    <t>41.3775</t>
  </si>
  <si>
    <t>64.5853</t>
  </si>
  <si>
    <t>1165</t>
  </si>
  <si>
    <t>1565</t>
  </si>
  <si>
    <t>1627</t>
  </si>
  <si>
    <t>1678</t>
  </si>
  <si>
    <t>1758</t>
  </si>
  <si>
    <t>1804</t>
  </si>
  <si>
    <t>Venezuela</t>
  </si>
  <si>
    <t>6.4238</t>
  </si>
  <si>
    <t>-66.5897</t>
  </si>
  <si>
    <t>Vietnam</t>
  </si>
  <si>
    <t>108.0</t>
  </si>
  <si>
    <t>Zambia</t>
  </si>
  <si>
    <t>-15.4167</t>
  </si>
  <si>
    <t>28.2833</t>
  </si>
  <si>
    <t>Zimbabwe</t>
  </si>
  <si>
    <t>-20.0</t>
  </si>
  <si>
    <t>Dominica</t>
  </si>
  <si>
    <t>15.415</t>
  </si>
  <si>
    <t>-61.371</t>
  </si>
  <si>
    <t>Grenada</t>
  </si>
  <si>
    <t>12.1165</t>
  </si>
  <si>
    <t>-61.678999999999995</t>
  </si>
  <si>
    <t>Mozambique</t>
  </si>
  <si>
    <t>-18.665695</t>
  </si>
  <si>
    <t>35.529562</t>
  </si>
  <si>
    <t>Syria</t>
  </si>
  <si>
    <t>34.802075</t>
  </si>
  <si>
    <t>38.99681500000001</t>
  </si>
  <si>
    <t>Timor-Leste</t>
  </si>
  <si>
    <t>-8.874217</t>
  </si>
  <si>
    <t>125.727539</t>
  </si>
  <si>
    <t>Belize</t>
  </si>
  <si>
    <t>Recovered</t>
  </si>
  <si>
    <t>Laos</t>
  </si>
  <si>
    <t>19.856270000000002</t>
  </si>
  <si>
    <t>102.495496</t>
  </si>
  <si>
    <t>Libya</t>
  </si>
  <si>
    <t>26.3351</t>
  </si>
  <si>
    <t>17.228331</t>
  </si>
  <si>
    <t>West Bank and Gaza</t>
  </si>
  <si>
    <t>31.9522</t>
  </si>
  <si>
    <t>35.2332</t>
  </si>
  <si>
    <t>Guinea-Bissau</t>
  </si>
  <si>
    <t>11.8037</t>
  </si>
  <si>
    <t>-15.1804</t>
  </si>
  <si>
    <t>Mali</t>
  </si>
  <si>
    <t>17.570692</t>
  </si>
  <si>
    <t>-3.996166000000001</t>
  </si>
  <si>
    <t>Saint Kitts and Nevis</t>
  </si>
  <si>
    <t>17.357822</t>
  </si>
  <si>
    <t>-62.782998</t>
  </si>
  <si>
    <t>Northwest Territories</t>
  </si>
  <si>
    <t>64.8255</t>
  </si>
  <si>
    <t>-124.8457</t>
  </si>
  <si>
    <t>Yukon</t>
  </si>
  <si>
    <t>64.2823</t>
  </si>
  <si>
    <t>-135.0</t>
  </si>
  <si>
    <t>Kosovo</t>
  </si>
  <si>
    <t>42.602636</t>
  </si>
  <si>
    <t>20.902977</t>
  </si>
  <si>
    <t>Burma</t>
  </si>
  <si>
    <t>21.9162</t>
  </si>
  <si>
    <t>95.956</t>
  </si>
  <si>
    <t>Anguilla</t>
  </si>
  <si>
    <t>18.2206</t>
  </si>
  <si>
    <t>-63.0686</t>
  </si>
  <si>
    <t>British Virgin Islands</t>
  </si>
  <si>
    <t>18.4207</t>
  </si>
  <si>
    <t>-64.64</t>
  </si>
  <si>
    <t>Turks and Caicos Islands</t>
  </si>
  <si>
    <t>21.69400000000001</t>
  </si>
  <si>
    <t>-71.7979</t>
  </si>
  <si>
    <t>MS Zaandam</t>
  </si>
  <si>
    <t>Botswana</t>
  </si>
  <si>
    <t>-22.3285</t>
  </si>
  <si>
    <t>24.6849</t>
  </si>
  <si>
    <t>Burundi</t>
  </si>
  <si>
    <t>-3.3731</t>
  </si>
  <si>
    <t>29.9189</t>
  </si>
  <si>
    <t>Sierra Leone</t>
  </si>
  <si>
    <t>8.460555000000001</t>
  </si>
  <si>
    <t>-11.779889</t>
  </si>
  <si>
    <t>Bonaire, Sint Eustatius and Saba</t>
  </si>
  <si>
    <t>12.1784</t>
  </si>
  <si>
    <t>-68.2385</t>
  </si>
  <si>
    <t>Malawi</t>
  </si>
  <si>
    <t>-13.254307999999998</t>
  </si>
  <si>
    <t>34.301525</t>
  </si>
  <si>
    <t>Falkland Islands (Malvinas)</t>
  </si>
  <si>
    <t>-51.7963</t>
  </si>
  <si>
    <t>-59.5236</t>
  </si>
  <si>
    <t>Saint Pierre and Miquelon</t>
  </si>
  <si>
    <t>46.8852</t>
  </si>
  <si>
    <t>-56.3159</t>
  </si>
  <si>
    <t>South Sudan</t>
  </si>
  <si>
    <t>6.8770000000000024</t>
  </si>
  <si>
    <t>31.307</t>
  </si>
  <si>
    <t>Western Sahara</t>
  </si>
  <si>
    <t>24.2155</t>
  </si>
  <si>
    <t>-12.8858</t>
  </si>
  <si>
    <t>Sao Tome and Principe</t>
  </si>
  <si>
    <t>0.18636</t>
  </si>
  <si>
    <t>6.613081</t>
  </si>
  <si>
    <t>Yemen</t>
  </si>
  <si>
    <t>15.552726999999999</t>
  </si>
  <si>
    <t>48.516388</t>
  </si>
  <si>
    <t>dc-IT-0009;dc-IT-0011</t>
  </si>
  <si>
    <t>dc-EN-0009;dc-EN-0011</t>
  </si>
  <si>
    <t>dc-IT-0013</t>
  </si>
  <si>
    <t>dc-EN-0013</t>
  </si>
  <si>
    <t>dc-IT-0008</t>
  </si>
  <si>
    <t>dc-EN-0008</t>
  </si>
  <si>
    <t>dc-IT-0010</t>
  </si>
  <si>
    <t>dc-EN-0010</t>
  </si>
  <si>
    <t>26184</t>
  </si>
  <si>
    <t>10077</t>
  </si>
  <si>
    <t>17895</t>
  </si>
  <si>
    <t>28900</t>
  </si>
  <si>
    <t>42279</t>
  </si>
  <si>
    <t>109192</t>
  </si>
  <si>
    <t>38202</t>
  </si>
  <si>
    <t>93811</t>
  </si>
  <si>
    <t>27852</t>
  </si>
  <si>
    <t>208471</t>
  </si>
  <si>
    <t>35107</t>
  </si>
  <si>
    <t>5334</t>
  </si>
  <si>
    <t>96977</t>
  </si>
  <si>
    <t>55397</t>
  </si>
  <si>
    <t>19162</t>
  </si>
  <si>
    <t>65689</t>
  </si>
  <si>
    <t>99751</t>
  </si>
  <si>
    <t>19902</t>
  </si>
  <si>
    <t>22320</t>
  </si>
  <si>
    <t>4624</t>
  </si>
  <si>
    <t>dc-IT-0012</t>
  </si>
  <si>
    <t>dc-EN-0012</t>
  </si>
  <si>
    <t>183513</t>
  </si>
  <si>
    <t>26-apr</t>
  </si>
  <si>
    <t>p</t>
  </si>
  <si>
    <t>Italy d.t.</t>
  </si>
  <si>
    <t>alpha</t>
  </si>
  <si>
    <t>rest of Italy d.t.</t>
  </si>
  <si>
    <t>Italy g.r.</t>
  </si>
  <si>
    <t>Italy acc. fit</t>
  </si>
  <si>
    <t>Italy velocity</t>
  </si>
  <si>
    <t>rest of Italy acc. fit</t>
  </si>
  <si>
    <t>rest of Italy velocity</t>
  </si>
  <si>
    <t>rest of Italy g.r.</t>
  </si>
  <si>
    <r>
      <t>R</t>
    </r>
    <r>
      <rPr>
        <strike/>
        <vertAlign val="superscript"/>
        <sz val="11"/>
        <rFont val="Calibri"/>
        <family val="2"/>
        <scheme val="minor"/>
      </rPr>
      <t>2</t>
    </r>
  </si>
  <si>
    <r>
      <t>R</t>
    </r>
    <r>
      <rPr>
        <strike/>
        <vertAlign val="superscript"/>
        <sz val="11"/>
        <color theme="1"/>
        <rFont val="Calibri"/>
        <family val="2"/>
        <scheme val="minor"/>
      </rPr>
      <t>2</t>
    </r>
  </si>
  <si>
    <t>26443</t>
  </si>
  <si>
    <t>10364</t>
  </si>
  <si>
    <t>18423</t>
  </si>
  <si>
    <t>29834</t>
  </si>
  <si>
    <t>42463</t>
  </si>
  <si>
    <t>111041</t>
  </si>
  <si>
    <t>39330</t>
  </si>
  <si>
    <t>95719</t>
  </si>
  <si>
    <t>28739</t>
  </si>
  <si>
    <t>211523</t>
  </si>
  <si>
    <t>35617</t>
  </si>
  <si>
    <t>5423</t>
  </si>
  <si>
    <t>99144</t>
  </si>
  <si>
    <t>55897</t>
  </si>
  <si>
    <t>19424</t>
  </si>
  <si>
    <t>66749</t>
  </si>
  <si>
    <t>100869</t>
  </si>
  <si>
    <t>20199</t>
  </si>
  <si>
    <t>22492</t>
  </si>
  <si>
    <t>192751</t>
  </si>
  <si>
    <t>27-apr</t>
  </si>
  <si>
    <t>Lombardy x=(ln(t-p)-mu)/sigma2</t>
  </si>
  <si>
    <t>Italy h.t.</t>
  </si>
  <si>
    <t>x_t</t>
  </si>
  <si>
    <t>verify</t>
  </si>
  <si>
    <t>t_alpha_t+plus</t>
  </si>
  <si>
    <t>t_alpha_t-minus</t>
  </si>
  <si>
    <t>x_t_alpha©+plus</t>
  </si>
  <si>
    <t>x_t_alpha©-minus</t>
  </si>
  <si>
    <t>c_t</t>
  </si>
  <si>
    <t>rest of Italy x=(ln(t-p)-mu)/sigma</t>
  </si>
  <si>
    <t>t_alpha_r+plus</t>
  </si>
  <si>
    <t>t_alpha_r-minus</t>
  </si>
  <si>
    <t>x_r_alpha©+plus</t>
  </si>
  <si>
    <t>x_r_alpha©-minus</t>
  </si>
  <si>
    <t>c_r</t>
  </si>
  <si>
    <t>t_alpha_o+plus</t>
  </si>
  <si>
    <t>t_alpha_o-minus</t>
  </si>
  <si>
    <t>x_o_alpha©+plus</t>
  </si>
  <si>
    <t>x_o_alpha©-minus</t>
  </si>
  <si>
    <t>c_o</t>
  </si>
  <si>
    <t>rest of Italy h.t.</t>
  </si>
  <si>
    <t>Italy d.t. (Norm. To val. at lockdown)</t>
  </si>
  <si>
    <t>Italy g.r. (Norm. To val. at lockdown)</t>
  </si>
  <si>
    <t>Italy h.t. (Norm. To val. at lockdown)</t>
  </si>
  <si>
    <t>Italy acc. Fit (Norm. To val. at lockdown)</t>
  </si>
  <si>
    <t>27054</t>
  </si>
  <si>
    <t>10889</t>
  </si>
  <si>
    <t>18567</t>
  </si>
  <si>
    <t>31802</t>
  </si>
  <si>
    <t>42690</t>
  </si>
  <si>
    <t>116624</t>
  </si>
  <si>
    <t>41273</t>
  </si>
  <si>
    <t>98968</t>
  </si>
  <si>
    <t>29794</t>
  </si>
  <si>
    <t>216526</t>
  </si>
  <si>
    <t>36650</t>
  </si>
  <si>
    <t>5538</t>
  </si>
  <si>
    <t>102514</t>
  </si>
  <si>
    <t>57574</t>
  </si>
  <si>
    <t>20053</t>
  </si>
  <si>
    <t>68729</t>
  </si>
  <si>
    <t>103891</t>
  </si>
  <si>
    <t>20539</t>
  </si>
  <si>
    <t>23263</t>
  </si>
  <si>
    <t>5069</t>
  </si>
  <si>
    <t>196864</t>
  </si>
  <si>
    <t>28-apr</t>
  </si>
  <si>
    <t>temporal autocorrelation of residuals=</t>
  </si>
  <si>
    <t>dc-IT-0015</t>
  </si>
  <si>
    <t>dc-EN-0015</t>
  </si>
  <si>
    <t>dc-IT-0017</t>
  </si>
  <si>
    <t>dc-EN-0017</t>
  </si>
  <si>
    <t>dc-IT-0019</t>
  </si>
  <si>
    <t>dc-EN-0019</t>
  </si>
  <si>
    <t>dc-IT-0021</t>
  </si>
  <si>
    <t>dc-EN-0021</t>
  </si>
  <si>
    <t>dc-IT-0023</t>
  </si>
  <si>
    <t>dc-EN-0023</t>
  </si>
  <si>
    <t>dc-IT-0025</t>
  </si>
  <si>
    <t>dc-EN-0025</t>
  </si>
  <si>
    <t>27703</t>
  </si>
  <si>
    <t>11331</t>
  </si>
  <si>
    <t>18844</t>
  </si>
  <si>
    <t>32961</t>
  </si>
  <si>
    <t>43449</t>
  </si>
  <si>
    <t>118881</t>
  </si>
  <si>
    <t>42902</t>
  </si>
  <si>
    <t>103435</t>
  </si>
  <si>
    <t>30669</t>
  </si>
  <si>
    <t>223952</t>
  </si>
  <si>
    <t>37877</t>
  </si>
  <si>
    <t>5857</t>
  </si>
  <si>
    <t>106179</t>
  </si>
  <si>
    <t>59801</t>
  </si>
  <si>
    <t>21071</t>
  </si>
  <si>
    <t>71301</t>
  </si>
  <si>
    <t>106150</t>
  </si>
  <si>
    <t>20944</t>
  </si>
  <si>
    <t>24079</t>
  </si>
  <si>
    <t>5337</t>
  </si>
  <si>
    <t>200737</t>
  </si>
  <si>
    <t>28351</t>
  </si>
  <si>
    <t>12774</t>
  </si>
  <si>
    <t>19178</t>
  </si>
  <si>
    <t>33950</t>
  </si>
  <si>
    <t>44233</t>
  </si>
  <si>
    <t>122430</t>
  </si>
  <si>
    <t>43691</t>
  </si>
  <si>
    <t>107497</t>
  </si>
  <si>
    <t>31520</t>
  </si>
  <si>
    <t>229880</t>
  </si>
  <si>
    <t>39145</t>
  </si>
  <si>
    <t>6228</t>
  </si>
  <si>
    <t>110157</t>
  </si>
  <si>
    <t>61439</t>
  </si>
  <si>
    <t>22358</t>
  </si>
  <si>
    <t>74541</t>
  </si>
  <si>
    <t>108596</t>
  </si>
  <si>
    <t>21622</t>
  </si>
  <si>
    <t>25317</t>
  </si>
  <si>
    <t>5647</t>
  </si>
  <si>
    <t>206347</t>
  </si>
  <si>
    <t>29024</t>
  </si>
  <si>
    <t>13269</t>
  </si>
  <si>
    <t>19705</t>
  </si>
  <si>
    <t>35101</t>
  </si>
  <si>
    <t>44975</t>
  </si>
  <si>
    <t>125636</t>
  </si>
  <si>
    <t>45566</t>
  </si>
  <si>
    <t>111988</t>
  </si>
  <si>
    <t>dc-IT-0014</t>
  </si>
  <si>
    <t>dc-EN-0014</t>
  </si>
  <si>
    <t>32794</t>
  </si>
  <si>
    <t>236822</t>
  </si>
  <si>
    <t>40123</t>
  </si>
  <si>
    <t>6450</t>
  </si>
  <si>
    <t>114786</t>
  </si>
  <si>
    <t>62702</t>
  </si>
  <si>
    <t>23442</t>
  </si>
  <si>
    <t>77490</t>
  </si>
  <si>
    <t>111349</t>
  </si>
  <si>
    <t>22602</t>
  </si>
  <si>
    <t>26285</t>
  </si>
  <si>
    <t>5818</t>
  </si>
  <si>
    <t>212706</t>
  </si>
  <si>
    <t>29308</t>
  </si>
  <si>
    <t>13722</t>
  </si>
  <si>
    <t>20036</t>
  </si>
  <si>
    <t>35975</t>
  </si>
  <si>
    <t>45955</t>
  </si>
  <si>
    <t>128005</t>
  </si>
  <si>
    <t>47259</t>
  </si>
  <si>
    <t>114761</t>
  </si>
  <si>
    <t>34037</t>
  </si>
  <si>
    <t>243383</t>
  </si>
  <si>
    <t>dc-IT-0016</t>
  </si>
  <si>
    <t>dc-EN-0016</t>
  </si>
  <si>
    <t>41156</t>
  </si>
  <si>
    <t>6808</t>
  </si>
  <si>
    <t>118814</t>
  </si>
  <si>
    <t>63782</t>
  </si>
  <si>
    <t>24065</t>
  </si>
  <si>
    <t>77590</t>
  </si>
  <si>
    <t>112437</t>
  </si>
  <si>
    <t>23380</t>
  </si>
  <si>
    <t>26463</t>
  </si>
  <si>
    <t>5931</t>
  </si>
  <si>
    <t>216997</t>
  </si>
  <si>
    <t>29788</t>
  </si>
  <si>
    <t>14210</t>
  </si>
  <si>
    <t>20166</t>
  </si>
  <si>
    <t>36874</t>
  </si>
  <si>
    <t>47027</t>
  </si>
  <si>
    <t>131047</t>
  </si>
  <si>
    <t>48041</t>
  </si>
  <si>
    <t>117796</t>
  </si>
  <si>
    <t>34613</t>
  </si>
  <si>
    <t>247176</t>
  </si>
  <si>
    <t>42281</t>
  </si>
  <si>
    <t>121176</t>
  </si>
  <si>
    <t>64781</t>
  </si>
  <si>
    <t>24662</t>
  </si>
  <si>
    <t>78409</t>
  </si>
  <si>
    <t>114354</t>
  </si>
  <si>
    <t>24085</t>
  </si>
  <si>
    <t>26973</t>
  </si>
  <si>
    <t>6046</t>
  </si>
  <si>
    <t>220598</t>
  </si>
  <si>
    <t>30047</t>
  </si>
  <si>
    <t>14455</t>
  </si>
  <si>
    <t>20333</t>
  </si>
  <si>
    <t>37390</t>
  </si>
  <si>
    <t>48275</t>
  </si>
  <si>
    <t>133329</t>
  </si>
  <si>
    <t>48250</t>
  </si>
  <si>
    <t>120095</t>
  </si>
  <si>
    <t>35443</t>
  </si>
  <si>
    <t>251661</t>
  </si>
  <si>
    <t>42838</t>
  </si>
  <si>
    <t>7057</t>
  </si>
  <si>
    <t>123801</t>
  </si>
  <si>
    <t>65789</t>
  </si>
  <si>
    <t>24926</t>
  </si>
  <si>
    <t>dc-IT-0018</t>
  </si>
  <si>
    <t>dc-EN-0018</t>
  </si>
  <si>
    <t>79336</t>
  </si>
  <si>
    <t>115065</t>
  </si>
  <si>
    <t>24500</t>
  </si>
  <si>
    <t>27152</t>
  </si>
  <si>
    <t>6200</t>
  </si>
  <si>
    <t>223968</t>
  </si>
  <si>
    <t>30835</t>
  </si>
  <si>
    <t>15028</t>
  </si>
  <si>
    <t>20561</t>
  </si>
  <si>
    <t>38461</t>
  </si>
  <si>
    <t>48733</t>
  </si>
  <si>
    <t>136310</t>
  </si>
  <si>
    <t>50135</t>
  </si>
  <si>
    <t>122541</t>
  </si>
  <si>
    <t>36150</t>
  </si>
  <si>
    <t>255292</t>
  </si>
  <si>
    <t>44045</t>
  </si>
  <si>
    <t>7252</t>
  </si>
  <si>
    <t>126685</t>
  </si>
  <si>
    <t>67238</t>
  </si>
  <si>
    <t>25631</t>
  </si>
  <si>
    <t>82079</t>
  </si>
  <si>
    <t>118265</t>
  </si>
  <si>
    <t>25137</t>
  </si>
  <si>
    <t>27822</t>
  </si>
  <si>
    <t>6342</t>
  </si>
  <si>
    <t>227579</t>
  </si>
  <si>
    <t>31502</t>
  </si>
  <si>
    <t>15619</t>
  </si>
  <si>
    <t>20872</t>
  </si>
  <si>
    <t>39780</t>
  </si>
  <si>
    <t>49478</t>
  </si>
  <si>
    <t>138871</t>
  </si>
  <si>
    <t>50698</t>
  </si>
  <si>
    <t>125897</t>
  </si>
  <si>
    <t>37177</t>
  </si>
  <si>
    <t>262964</t>
  </si>
  <si>
    <t>dc-IT-0020</t>
  </si>
  <si>
    <t>dc-EN-0020</t>
  </si>
  <si>
    <t>45026</t>
  </si>
  <si>
    <t>7604</t>
  </si>
  <si>
    <t>131269</t>
  </si>
  <si>
    <t>68760</t>
  </si>
  <si>
    <t>26598</t>
  </si>
  <si>
    <t>83908</t>
  </si>
  <si>
    <t>121066</t>
  </si>
  <si>
    <t>26161</t>
  </si>
  <si>
    <t>28712</t>
  </si>
  <si>
    <t>6461</t>
  </si>
  <si>
    <t>231469</t>
  </si>
  <si>
    <t>32186</t>
  </si>
  <si>
    <t>15780</t>
  </si>
  <si>
    <t>dc-IT-0022</t>
  </si>
  <si>
    <t>dc-EN-0022</t>
  </si>
  <si>
    <t>21284</t>
  </si>
  <si>
    <t>40806</t>
  </si>
  <si>
    <t>50463</t>
  </si>
  <si>
    <t>141468</t>
  </si>
  <si>
    <t>51123</t>
  </si>
  <si>
    <t>130351</t>
  </si>
  <si>
    <t>38071</t>
  </si>
  <si>
    <t>46258</t>
  </si>
  <si>
    <t>134567</t>
  </si>
  <si>
    <t>51638</t>
  </si>
  <si>
    <t>27540</t>
  </si>
  <si>
    <t>85674</t>
  </si>
  <si>
    <t>124295</t>
  </si>
  <si>
    <t>28486</t>
  </si>
  <si>
    <t>29708</t>
  </si>
  <si>
    <t>6702</t>
  </si>
  <si>
    <t>236281</t>
  </si>
  <si>
    <t>32619</t>
  </si>
  <si>
    <t>16285</t>
  </si>
  <si>
    <t>dc-IT-0024</t>
  </si>
  <si>
    <t>dc-EN-0024</t>
  </si>
  <si>
    <t>21572</t>
  </si>
  <si>
    <t>41902</t>
  </si>
  <si>
    <t>51402</t>
  </si>
  <si>
    <t>144009</t>
  </si>
  <si>
    <t>52784</t>
  </si>
  <si>
    <t>133674</t>
  </si>
  <si>
    <t>277106</t>
  </si>
  <si>
    <t>47092</t>
  </si>
  <si>
    <t>8177</t>
  </si>
  <si>
    <t>138830</t>
  </si>
  <si>
    <t>53194</t>
  </si>
  <si>
    <t>28519</t>
  </si>
  <si>
    <t>88497</t>
  </si>
  <si>
    <t>126752</t>
  </si>
  <si>
    <t>29188</t>
  </si>
  <si>
    <t>30704</t>
  </si>
  <si>
    <t>6999</t>
  </si>
  <si>
    <t>240535</t>
  </si>
  <si>
    <t>33013</t>
  </si>
  <si>
    <t>16941</t>
  </si>
  <si>
    <t>21969</t>
  </si>
  <si>
    <t>42993</t>
  </si>
  <si>
    <t>52593</t>
  </si>
  <si>
    <t>146642</t>
  </si>
  <si>
    <t>55319</t>
  </si>
  <si>
    <t>137428</t>
  </si>
  <si>
    <t>39600</t>
  </si>
  <si>
    <t>282817</t>
  </si>
  <si>
    <t>47827</t>
  </si>
  <si>
    <t>8375</t>
  </si>
  <si>
    <t>141515</t>
  </si>
  <si>
    <t>54181</t>
  </si>
  <si>
    <t>29503</t>
  </si>
  <si>
    <t>90885</t>
  </si>
  <si>
    <t>129382</t>
  </si>
  <si>
    <t>30354</t>
  </si>
  <si>
    <t>31679</t>
  </si>
  <si>
    <t>7130</t>
  </si>
  <si>
    <t>244930</t>
  </si>
  <si>
    <t>Somma di dimessi_guariti</t>
  </si>
  <si>
    <t>Somma di deceduti</t>
  </si>
  <si>
    <t>29-apr</t>
  </si>
  <si>
    <t>30-apr</t>
  </si>
  <si>
    <t>01-mag</t>
  </si>
  <si>
    <t>02-mag</t>
  </si>
  <si>
    <t>03-mag</t>
  </si>
  <si>
    <t>04-mag</t>
  </si>
  <si>
    <t>05-mag</t>
  </si>
  <si>
    <t>06-mag</t>
  </si>
  <si>
    <t>07-mag</t>
  </si>
  <si>
    <t>08-mag</t>
  </si>
  <si>
    <t>09-mag</t>
  </si>
  <si>
    <t>33876</t>
  </si>
  <si>
    <t>17424</t>
  </si>
  <si>
    <t>22265</t>
  </si>
  <si>
    <t>44284</t>
  </si>
  <si>
    <t>53475</t>
  </si>
  <si>
    <t>149276</t>
  </si>
  <si>
    <t>56205</t>
  </si>
  <si>
    <t>141233</t>
  </si>
  <si>
    <t>40751</t>
  </si>
  <si>
    <t>287330</t>
  </si>
  <si>
    <t>49194</t>
  </si>
  <si>
    <t>9008</t>
  </si>
  <si>
    <t>145131</t>
  </si>
  <si>
    <t>54781</t>
  </si>
  <si>
    <t>30086</t>
  </si>
  <si>
    <t>91748</t>
  </si>
  <si>
    <t>131788</t>
  </si>
  <si>
    <t>30808</t>
  </si>
  <si>
    <t>32713</t>
  </si>
  <si>
    <t>7467</t>
  </si>
  <si>
    <t>247617</t>
  </si>
  <si>
    <t>10-mag</t>
  </si>
  <si>
    <t>phi=</t>
  </si>
  <si>
    <t>psi=</t>
  </si>
  <si>
    <t>34428</t>
  </si>
  <si>
    <t>17774</t>
  </si>
  <si>
    <t>22500</t>
  </si>
  <si>
    <t>45438</t>
  </si>
  <si>
    <t>54822</t>
  </si>
  <si>
    <t>151040</t>
  </si>
  <si>
    <t>57130</t>
  </si>
  <si>
    <t>143970</t>
  </si>
  <si>
    <t>41535</t>
  </si>
  <si>
    <t>292603</t>
  </si>
  <si>
    <t>50206</t>
  </si>
  <si>
    <t>9247</t>
  </si>
  <si>
    <t>147318</t>
  </si>
  <si>
    <t>55794</t>
  </si>
  <si>
    <t>30582</t>
  </si>
  <si>
    <t>92609</t>
  </si>
  <si>
    <t>132464</t>
  </si>
  <si>
    <t>31970</t>
  </si>
  <si>
    <t>33027</t>
  </si>
  <si>
    <t>7651</t>
  </si>
  <si>
    <t>250175</t>
  </si>
  <si>
    <t>11-mag</t>
  </si>
  <si>
    <t>phi =</t>
  </si>
  <si>
    <t>psi =</t>
  </si>
  <si>
    <r>
      <t>fitting parameter - constraint (</t>
    </r>
    <r>
      <rPr>
        <b/>
        <sz val="11"/>
        <color theme="3"/>
        <rFont val="Calibri"/>
        <family val="2"/>
      </rPr>
      <t>&gt;</t>
    </r>
    <r>
      <rPr>
        <b/>
        <sz val="12.65"/>
        <color theme="3"/>
        <rFont val="Calibri"/>
        <family val="2"/>
      </rPr>
      <t>0</t>
    </r>
    <r>
      <rPr>
        <b/>
        <sz val="11"/>
        <color theme="3"/>
        <rFont val="Calibri"/>
        <family val="2"/>
        <scheme val="minor"/>
      </rPr>
      <t>)</t>
    </r>
  </si>
  <si>
    <t>region data</t>
  </si>
  <si>
    <t>region fit</t>
  </si>
  <si>
    <t>region fit (Norm.)</t>
  </si>
  <si>
    <t>moving avg fit</t>
  </si>
  <si>
    <t>dc-IT-0027</t>
  </si>
  <si>
    <t>dc-EN-0027</t>
  </si>
  <si>
    <t>35241</t>
  </si>
  <si>
    <t>18608</t>
  </si>
  <si>
    <t>22731</t>
  </si>
  <si>
    <t>46593</t>
  </si>
  <si>
    <t>55406</t>
  </si>
  <si>
    <t>153074</t>
  </si>
  <si>
    <t>58395</t>
  </si>
  <si>
    <t>147010</t>
  </si>
  <si>
    <t>42200</t>
  </si>
  <si>
    <t>305152</t>
  </si>
  <si>
    <t>dc-IT-0026</t>
  </si>
  <si>
    <t>dc-EN-0026</t>
  </si>
  <si>
    <t>51176</t>
  </si>
  <si>
    <t>9582</t>
  </si>
  <si>
    <t>149386</t>
  </si>
  <si>
    <t>57060</t>
  </si>
  <si>
    <t>31351</t>
  </si>
  <si>
    <t>94034</t>
  </si>
  <si>
    <t>136285</t>
  </si>
  <si>
    <t>33082</t>
  </si>
  <si>
    <t>34207</t>
  </si>
  <si>
    <t>7956</t>
  </si>
  <si>
    <t>253374</t>
  </si>
  <si>
    <t>12-mag</t>
  </si>
  <si>
    <t>&lt;&lt;&lt; curve fit starting date&gt;&gt;&gt;</t>
  </si>
  <si>
    <t>&lt;&lt;&lt; curve fit starting day &gt;&gt;&gt;</t>
  </si>
  <si>
    <t>&lt;&lt;&lt; curve fit starting date &gt;&gt;&gt;</t>
  </si>
  <si>
    <t>Modeling function: hiperbolic tangent (basic SIR)</t>
  </si>
  <si>
    <t>Modeling function: hiperbolic secant (basic SIR)</t>
  </si>
  <si>
    <t>6-days moving avg</t>
  </si>
  <si>
    <t>6-days moving avg fit</t>
  </si>
  <si>
    <t>35898</t>
  </si>
  <si>
    <t>19186</t>
  </si>
  <si>
    <t>23120</t>
  </si>
  <si>
    <t>47960</t>
  </si>
  <si>
    <t>56390</t>
  </si>
  <si>
    <t>155476</t>
  </si>
  <si>
    <t>58936</t>
  </si>
  <si>
    <t>150097</t>
  </si>
  <si>
    <t>43272</t>
  </si>
  <si>
    <t>310896</t>
  </si>
  <si>
    <t>52041</t>
  </si>
  <si>
    <t>9773</t>
  </si>
  <si>
    <t>154504</t>
  </si>
  <si>
    <t>58383</t>
  </si>
  <si>
    <t>32449</t>
  </si>
  <si>
    <t>96860</t>
  </si>
  <si>
    <t>138465</t>
  </si>
  <si>
    <t>34662</t>
  </si>
  <si>
    <t>35313</t>
  </si>
  <si>
    <t>8254</t>
  </si>
  <si>
    <t>257017</t>
  </si>
  <si>
    <t>13-mag</t>
  </si>
  <si>
    <t>region cumul. data</t>
  </si>
  <si>
    <t>rest of Italy cum. data</t>
  </si>
  <si>
    <t>rest of Italy cumul. fit</t>
  </si>
  <si>
    <t>rest of Italy com. fit (Norm.)</t>
  </si>
  <si>
    <t>Italy remov. rate fit</t>
  </si>
  <si>
    <t>rem. rate residuals</t>
  </si>
  <si>
    <t>Italy remov. rate fit (Norm.)</t>
  </si>
  <si>
    <t>Italy remov. rate data</t>
  </si>
  <si>
    <t>Italy (fit of selected region + fitted sum of the other regions)</t>
  </si>
  <si>
    <t>Italy cumul. fit</t>
  </si>
  <si>
    <t>Italy cum. fit (Norm.)</t>
  </si>
  <si>
    <t>region cum. fit (Norm.)</t>
  </si>
  <si>
    <t>region cumul. fit</t>
  </si>
  <si>
    <t>Italy cumul. data</t>
  </si>
  <si>
    <t>alpha=</t>
  </si>
  <si>
    <t>2*psi/gamma</t>
  </si>
  <si>
    <t>R_0 (basic reproductive rate) = 1+alpha*tanh(phi)</t>
  </si>
  <si>
    <t>gamma=1/18</t>
  </si>
  <si>
    <t>Italy rate data</t>
  </si>
  <si>
    <t xml:space="preserve">Italy accel. data </t>
  </si>
  <si>
    <t>selected region cumul. data</t>
  </si>
  <si>
    <t>selected region rate data</t>
  </si>
  <si>
    <t xml:space="preserve">selected region accel. data </t>
  </si>
  <si>
    <t>sel. region cumul. fit</t>
  </si>
  <si>
    <t>sel region cum. fit (Norm.)</t>
  </si>
  <si>
    <t>sel. region velocity</t>
  </si>
  <si>
    <t>sel. region g.r.</t>
  </si>
  <si>
    <t>sel. region h.t.</t>
  </si>
  <si>
    <t>sel. region acc. fit</t>
  </si>
  <si>
    <t>sel. region fit (Norm.)</t>
  </si>
  <si>
    <t>rest of Italy rate data</t>
  </si>
  <si>
    <t xml:space="preserve">rest of Italy accel. data </t>
  </si>
  <si>
    <t>rest of Italy cum. fit (Norm.)</t>
  </si>
  <si>
    <t>Italy acc. fit (Norm.)</t>
  </si>
  <si>
    <t>sel. region d.t.</t>
  </si>
  <si>
    <t>74,24033469</t>
  </si>
  <si>
    <t>dc-IT-0029</t>
  </si>
  <si>
    <t>dc-EN-0029</t>
  </si>
  <si>
    <t>36844</t>
  </si>
  <si>
    <t>19789</t>
  </si>
  <si>
    <t>23487</t>
  </si>
  <si>
    <t>49196</t>
  </si>
  <si>
    <t>57684</t>
  </si>
  <si>
    <t>158371</t>
  </si>
  <si>
    <t>60177</t>
  </si>
  <si>
    <t>153894</t>
  </si>
  <si>
    <t>44390</t>
  </si>
  <si>
    <t>318289</t>
  </si>
  <si>
    <t>53030</t>
  </si>
  <si>
    <t>10052</t>
  </si>
  <si>
    <t>158112</t>
  </si>
  <si>
    <t>59815</t>
  </si>
  <si>
    <t>33526</t>
  </si>
  <si>
    <t>dc-IT-0028</t>
  </si>
  <si>
    <t>dc-EN-0028</t>
  </si>
  <si>
    <t>99900</t>
  </si>
  <si>
    <t>141430</t>
  </si>
  <si>
    <t>36359</t>
  </si>
  <si>
    <t>36495</t>
  </si>
  <si>
    <t>8537</t>
  </si>
  <si>
    <t>260706</t>
  </si>
  <si>
    <t>14-mag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</si>
</sst>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0.0000"/>
    <numFmt numFmtId="165" formatCode="[$-409]mmmm\ d\,\ yyyy;@"/>
    <numFmt numFmtId="166" formatCode="0.000000000"/>
    <numFmt numFmtId="167" formatCode="0.000000000000"/>
    <numFmt numFmtId="168" formatCode="0.000000000000000"/>
    <numFmt numFmtId="169" formatCode="#,##0.000000000000000"/>
    <numFmt numFmtId="170" formatCode="[$-409]d\-mmm;@"/>
  </numFmts>
  <fonts count="52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vertAlign val="superscript"/>
      <sz val="11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24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rgb="FF0070C0"/>
      <name val="Calibri"/>
      <family val="2"/>
      <scheme val="minor"/>
    </font>
    <font>
      <b/>
      <sz val="11"/>
      <color rgb="FF0070C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theme="3"/>
      <name val="Calibri"/>
      <family val="2"/>
      <scheme val="minor"/>
    </font>
    <font>
      <i/>
      <sz val="11"/>
      <color theme="3"/>
      <name val="Calibri"/>
      <family val="2"/>
      <scheme val="minor"/>
    </font>
    <font>
      <vertAlign val="superscript"/>
      <sz val="11"/>
      <color theme="3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i/>
      <sz val="11"/>
      <color rgb="FFFF0000"/>
      <name val="Calibri"/>
      <family val="2"/>
      <scheme val="minor"/>
    </font>
    <font>
      <i/>
      <sz val="11"/>
      <color rgb="FF00B050"/>
      <name val="Calibri"/>
      <family val="2"/>
      <scheme val="minor"/>
    </font>
    <font>
      <i/>
      <sz val="11"/>
      <color rgb="FF0070C0"/>
      <name val="Calibri"/>
      <family val="2"/>
      <scheme val="minor"/>
    </font>
    <font>
      <b/>
      <sz val="11"/>
      <color theme="3"/>
      <name val="Calibri"/>
      <family val="2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i/>
      <sz val="11"/>
      <color theme="1"/>
      <name val="Calibri"/>
      <family val="2"/>
    </font>
    <font>
      <b/>
      <sz val="11"/>
      <name val="Calibri"/>
      <family val="2"/>
      <scheme val="minor"/>
    </font>
    <font>
      <i/>
      <sz val="11"/>
      <name val="Calibri"/>
      <family val="2"/>
      <scheme val="minor"/>
    </font>
    <font>
      <i/>
      <sz val="11"/>
      <name val="Calibri"/>
      <family val="2"/>
    </font>
    <font>
      <vertAlign val="superscript"/>
      <sz val="11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C00000"/>
      <name val="Calibri"/>
      <family val="2"/>
      <scheme val="minor"/>
    </font>
    <font>
      <i/>
      <strike/>
      <sz val="11"/>
      <name val="Calibri"/>
      <family val="2"/>
      <scheme val="minor"/>
    </font>
    <font>
      <i/>
      <strike/>
      <sz val="11"/>
      <name val="Calibri"/>
      <family val="2"/>
    </font>
    <font>
      <strike/>
      <sz val="11"/>
      <name val="Calibri"/>
      <family val="2"/>
      <scheme val="minor"/>
    </font>
    <font>
      <strike/>
      <vertAlign val="superscript"/>
      <sz val="11"/>
      <name val="Calibri"/>
      <family val="2"/>
      <scheme val="minor"/>
    </font>
    <font>
      <b/>
      <strike/>
      <sz val="11"/>
      <name val="Calibri"/>
      <family val="2"/>
      <scheme val="minor"/>
    </font>
    <font>
      <strike/>
      <sz val="11"/>
      <color theme="1"/>
      <name val="Calibri"/>
      <family val="2"/>
      <scheme val="minor"/>
    </font>
    <font>
      <strike/>
      <vertAlign val="superscript"/>
      <sz val="11"/>
      <color theme="1"/>
      <name val="Calibri"/>
      <family val="2"/>
      <scheme val="minor"/>
    </font>
    <font>
      <b/>
      <strike/>
      <sz val="11"/>
      <color rgb="FFFF0000"/>
      <name val="Calibri"/>
      <family val="2"/>
      <scheme val="minor"/>
    </font>
    <font>
      <i/>
      <strike/>
      <sz val="11"/>
      <color rgb="FFFF0000"/>
      <name val="Calibri"/>
      <family val="2"/>
      <scheme val="minor"/>
    </font>
    <font>
      <strike/>
      <sz val="11"/>
      <color rgb="FFFF0000"/>
      <name val="Calibri"/>
      <family val="2"/>
      <scheme val="minor"/>
    </font>
    <font>
      <b/>
      <strike/>
      <sz val="11"/>
      <color rgb="FF00B050"/>
      <name val="Calibri"/>
      <family val="2"/>
      <scheme val="minor"/>
    </font>
    <font>
      <i/>
      <strike/>
      <sz val="11"/>
      <color rgb="FF00B050"/>
      <name val="Calibri"/>
      <family val="2"/>
      <scheme val="minor"/>
    </font>
    <font>
      <strike/>
      <sz val="11"/>
      <color rgb="FF00B050"/>
      <name val="Calibri"/>
      <family val="2"/>
      <scheme val="minor"/>
    </font>
    <font>
      <b/>
      <strike/>
      <sz val="11"/>
      <color rgb="FF0070C0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2.65"/>
      <color theme="3"/>
      <name val="Calibri"/>
      <family val="2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</fonts>
  <fills count="30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FFCC"/>
      </patternFill>
    </fill>
    <fill>
      <patternFill patternType="solid">
        <fgColor rgb="FFFFEB9C"/>
      </patternFill>
    </fill>
    <fill>
      <patternFill patternType="gray0625"/>
    </fill>
    <fill>
      <patternFill patternType="solid">
        <fgColor theme="5" tint="0.79998168889431442"/>
        <bgColor indexed="65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F2F2F2"/>
      </patternFill>
    </fill>
    <fill>
      <patternFill patternType="solid">
        <fgColor rgb="FF92D050"/>
        <bgColor indexed="64"/>
      </patternFill>
    </fill>
    <fill>
      <patternFill patternType="gray0625">
        <bgColor rgb="FF92D050"/>
      </patternFill>
    </fill>
    <fill>
      <patternFill patternType="solid">
        <fgColor theme="9" tint="0.79998168889431442"/>
        <bgColor indexed="65"/>
      </patternFill>
    </fill>
    <fill>
      <patternFill patternType="solid">
        <fgColor indexed="65"/>
        <bgColor indexed="64"/>
      </patternFill>
    </fill>
    <fill>
      <patternFill patternType="gray125">
        <bgColor rgb="FFF2F2F2"/>
      </patternFill>
    </fill>
    <fill>
      <patternFill patternType="gray125">
        <bgColor rgb="FFFFC000"/>
      </patternFill>
    </fill>
    <fill>
      <patternFill patternType="solid">
        <fgColor theme="4" tint="0.39997558519241921"/>
        <bgColor indexed="64"/>
      </patternFill>
    </fill>
    <fill>
      <patternFill patternType="gray0625">
        <bgColor theme="4" tint="0.39997558519241921"/>
      </patternFill>
    </fill>
    <fill>
      <patternFill patternType="solid">
        <fgColor rgb="FF00B0F0"/>
        <bgColor indexed="64"/>
      </patternFill>
    </fill>
    <fill>
      <patternFill patternType="gray0625">
        <bgColor rgb="FF00B0F0"/>
      </patternFill>
    </fill>
    <fill>
      <patternFill patternType="solid">
        <fgColor theme="7"/>
        <bgColor indexed="64"/>
      </patternFill>
    </fill>
    <fill>
      <patternFill patternType="gray0625">
        <bgColor theme="7"/>
      </patternFill>
    </fill>
    <fill>
      <patternFill patternType="darkGrid"/>
    </fill>
    <fill>
      <patternFill patternType="darkGrid">
        <bgColor rgb="FFFFC000"/>
      </patternFill>
    </fill>
    <fill>
      <patternFill patternType="lightGray"/>
    </fill>
    <fill>
      <patternFill patternType="lightGray">
        <bgColor rgb="FFFF0000"/>
      </patternFill>
    </fill>
    <fill>
      <patternFill patternType="mediumGray"/>
    </fill>
  </fills>
  <borders count="38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double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 style="medium">
        <color theme="4" tint="0.39997558519241921"/>
      </top>
      <bottom style="medium">
        <color theme="4" tint="0.3999755851924192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thick">
        <color theme="4" tint="0.499984740745262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ck">
        <color theme="4"/>
      </top>
      <bottom style="thick">
        <color theme="4" tint="0.499984740745262"/>
      </bottom>
      <diagonal/>
    </border>
    <border>
      <left/>
      <right style="thin">
        <color rgb="FF3F3F3F"/>
      </right>
      <top/>
      <bottom/>
      <diagonal/>
    </border>
    <border>
      <left style="thin">
        <color rgb="FF3F3F3F"/>
      </left>
      <right/>
      <top/>
      <bottom/>
      <diagonal/>
    </border>
    <border>
      <left style="thin">
        <color rgb="FF3F3F3F"/>
      </left>
      <right/>
      <top style="thin">
        <color rgb="FF3F3F3F"/>
      </top>
      <bottom style="thin">
        <color rgb="FF3F3F3F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 style="thin">
        <color auto="1"/>
      </right>
      <top/>
      <bottom/>
      <diagonal/>
    </border>
    <border>
      <left style="thin">
        <color rgb="FF3F3F3F"/>
      </left>
      <right style="thin">
        <color rgb="FF3F3F3F"/>
      </right>
      <top/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7F7F7F"/>
      </left>
      <right style="thin">
        <color rgb="FF7F7F7F"/>
      </right>
      <top/>
      <bottom style="thin">
        <color rgb="FF7F7F7F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rgb="FFB2B2B2"/>
      </right>
      <top style="thin">
        <color indexed="64"/>
      </top>
      <bottom style="thin">
        <color indexed="64"/>
      </bottom>
      <diagonal/>
    </border>
    <border>
      <left style="thin">
        <color rgb="FFB2B2B2"/>
      </left>
      <right style="thin">
        <color rgb="FFB2B2B2"/>
      </right>
      <top style="thin">
        <color indexed="64"/>
      </top>
      <bottom style="thin">
        <color indexed="64"/>
      </bottom>
      <diagonal/>
    </border>
    <border>
      <left style="thin">
        <color rgb="FFB2B2B2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double">
        <color rgb="FFFF8001"/>
      </bottom>
      <diagonal/>
    </border>
  </borders>
  <cellStyleXfs count="14">
    <xf numFmtId="0" fontId="0" fillId="0" borderId="0"/>
    <xf numFmtId="0" fontId="5" fillId="3" borderId="1" applyNumberFormat="0" applyFont="0" applyAlignment="0" applyProtection="0"/>
    <xf numFmtId="0" fontId="10" fillId="0" borderId="0" applyNumberFormat="0" applyFill="0" applyBorder="0" applyAlignment="0" applyProtection="0"/>
    <xf numFmtId="0" fontId="11" fillId="0" borderId="8" applyNumberFormat="0" applyFill="0" applyAlignment="0" applyProtection="0"/>
    <xf numFmtId="0" fontId="12" fillId="0" borderId="9" applyNumberFormat="0" applyFill="0" applyAlignment="0" applyProtection="0"/>
    <xf numFmtId="0" fontId="13" fillId="0" borderId="10" applyNumberFormat="0" applyFill="0" applyAlignment="0" applyProtection="0"/>
    <xf numFmtId="0" fontId="14" fillId="4" borderId="0" applyNumberFormat="0" applyBorder="0" applyAlignment="0" applyProtection="0"/>
    <xf numFmtId="0" fontId="5" fillId="6" borderId="0" applyNumberFormat="0" applyBorder="0" applyAlignment="0" applyProtection="0"/>
    <xf numFmtId="0" fontId="5" fillId="10" borderId="0" applyNumberFormat="0" applyBorder="0" applyAlignment="0" applyProtection="0"/>
    <xf numFmtId="0" fontId="31" fillId="12" borderId="16" applyNumberFormat="0" applyAlignment="0" applyProtection="0"/>
    <xf numFmtId="0" fontId="5" fillId="15" borderId="0" applyNumberFormat="0" applyBorder="0" applyAlignment="0" applyProtection="0"/>
    <xf numFmtId="9" fontId="5" fillId="0" borderId="0" applyFont="0" applyFill="0" applyBorder="0" applyAlignment="0" applyProtection="0"/>
    <xf numFmtId="0" fontId="50" fillId="12" borderId="29" applyNumberFormat="0" applyAlignment="0" applyProtection="0"/>
    <xf numFmtId="0" fontId="51" fillId="0" borderId="37" applyNumberFormat="0" applyFill="0" applyAlignment="0" applyProtection="0"/>
  </cellStyleXfs>
  <cellXfs count="335">
    <xf numFmtId="0" fontId="0" fillId="0" borderId="0" xfId="0"/>
    <xf numFmtId="1" fontId="0" fillId="0" borderId="0" xfId="0" applyNumberFormat="1"/>
    <xf numFmtId="0" fontId="0" fillId="0" borderId="0" xfId="0"/>
    <xf numFmtId="0" fontId="0" fillId="0" borderId="0" xfId="0" applyAlignment="1">
      <alignment wrapText="1"/>
    </xf>
    <xf numFmtId="0" fontId="0" fillId="0" borderId="0" xfId="0" applyAlignment="1">
      <alignment horizontal="center"/>
    </xf>
    <xf numFmtId="1" fontId="0" fillId="2" borderId="0" xfId="0" applyNumberFormat="1" applyFill="1"/>
    <xf numFmtId="2" fontId="0" fillId="0" borderId="0" xfId="0" applyNumberFormat="1"/>
    <xf numFmtId="164" fontId="0" fillId="0" borderId="0" xfId="0" applyNumberFormat="1"/>
    <xf numFmtId="0" fontId="0" fillId="0" borderId="0" xfId="0" applyAlignment="1">
      <alignment horizontal="center" wrapText="1"/>
    </xf>
    <xf numFmtId="16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0" fontId="4" fillId="0" borderId="0" xfId="0" applyFont="1"/>
    <xf numFmtId="0" fontId="0" fillId="0" borderId="0" xfId="0" applyNumberFormat="1"/>
    <xf numFmtId="22" fontId="0" fillId="0" borderId="0" xfId="0" applyNumberFormat="1"/>
    <xf numFmtId="0" fontId="6" fillId="2" borderId="0" xfId="0" applyFont="1" applyFill="1"/>
    <xf numFmtId="16" fontId="0" fillId="3" borderId="1" xfId="1" applyNumberFormat="1" applyFont="1" applyAlignment="1">
      <alignment horizontal="center"/>
    </xf>
    <xf numFmtId="0" fontId="7" fillId="0" borderId="0" xfId="0" applyFont="1" applyAlignment="1">
      <alignment horizontal="center" wrapText="1"/>
    </xf>
    <xf numFmtId="0" fontId="7" fillId="0" borderId="0" xfId="0" applyFont="1" applyAlignment="1">
      <alignment wrapText="1"/>
    </xf>
    <xf numFmtId="0" fontId="9" fillId="0" borderId="0" xfId="0" applyFont="1" applyAlignment="1">
      <alignment horizontal="center" wrapText="1"/>
    </xf>
    <xf numFmtId="0" fontId="9" fillId="0" borderId="0" xfId="0" applyFont="1"/>
    <xf numFmtId="0" fontId="15" fillId="0" borderId="0" xfId="0" applyFont="1" applyAlignment="1">
      <alignment horizontal="center" wrapText="1"/>
    </xf>
    <xf numFmtId="0" fontId="15" fillId="0" borderId="0" xfId="0" applyFont="1" applyAlignment="1">
      <alignment wrapText="1"/>
    </xf>
    <xf numFmtId="1" fontId="0" fillId="0" borderId="0" xfId="0" applyNumberFormat="1" applyAlignment="1">
      <alignment horizontal="center" wrapText="1"/>
    </xf>
    <xf numFmtId="0" fontId="16" fillId="2" borderId="0" xfId="0" applyFont="1" applyFill="1"/>
    <xf numFmtId="1" fontId="15" fillId="2" borderId="0" xfId="0" applyNumberFormat="1" applyFont="1" applyFill="1"/>
    <xf numFmtId="0" fontId="15" fillId="0" borderId="0" xfId="0" applyFont="1"/>
    <xf numFmtId="1" fontId="15" fillId="0" borderId="0" xfId="0" applyNumberFormat="1" applyFont="1"/>
    <xf numFmtId="2" fontId="15" fillId="0" borderId="0" xfId="0" applyNumberFormat="1" applyFont="1"/>
    <xf numFmtId="164" fontId="15" fillId="0" borderId="0" xfId="0" applyNumberFormat="1" applyFont="1"/>
    <xf numFmtId="0" fontId="1" fillId="0" borderId="0" xfId="0" applyFont="1" applyAlignment="1">
      <alignment horizontal="center"/>
    </xf>
    <xf numFmtId="2" fontId="0" fillId="2" borderId="0" xfId="0" applyNumberFormat="1" applyFill="1"/>
    <xf numFmtId="0" fontId="18" fillId="0" borderId="0" xfId="0" applyFont="1" applyAlignment="1">
      <alignment horizontal="center"/>
    </xf>
    <xf numFmtId="0" fontId="18" fillId="0" borderId="0" xfId="0" applyFont="1"/>
    <xf numFmtId="1" fontId="14" fillId="4" borderId="0" xfId="6" applyNumberFormat="1" applyAlignment="1">
      <alignment horizontal="center"/>
    </xf>
    <xf numFmtId="165" fontId="9" fillId="0" borderId="0" xfId="0" applyNumberFormat="1" applyFont="1"/>
    <xf numFmtId="0" fontId="19" fillId="0" borderId="0" xfId="0" applyFont="1" applyAlignment="1">
      <alignment horizontal="center" wrapText="1"/>
    </xf>
    <xf numFmtId="0" fontId="18" fillId="0" borderId="0" xfId="0" applyFont="1" applyAlignment="1">
      <alignment wrapText="1"/>
    </xf>
    <xf numFmtId="0" fontId="19" fillId="0" borderId="0" xfId="0" applyFont="1"/>
    <xf numFmtId="165" fontId="19" fillId="0" borderId="0" xfId="0" applyNumberFormat="1" applyFont="1"/>
    <xf numFmtId="0" fontId="8" fillId="0" borderId="0" xfId="0" applyFont="1" applyAlignment="1">
      <alignment horizontal="center" wrapText="1"/>
    </xf>
    <xf numFmtId="0" fontId="0" fillId="5" borderId="2" xfId="0" applyFill="1" applyBorder="1" applyAlignment="1">
      <alignment wrapText="1"/>
    </xf>
    <xf numFmtId="164" fontId="1" fillId="5" borderId="3" xfId="0" applyNumberFormat="1" applyFont="1" applyFill="1" applyBorder="1"/>
    <xf numFmtId="0" fontId="1" fillId="5" borderId="3" xfId="0" applyFont="1" applyFill="1" applyBorder="1"/>
    <xf numFmtId="0" fontId="1" fillId="5" borderId="5" xfId="0" applyFont="1" applyFill="1" applyBorder="1"/>
    <xf numFmtId="0" fontId="0" fillId="5" borderId="6" xfId="0" applyFill="1" applyBorder="1"/>
    <xf numFmtId="0" fontId="0" fillId="5" borderId="3" xfId="0" applyFill="1" applyBorder="1"/>
    <xf numFmtId="0" fontId="0" fillId="5" borderId="4" xfId="0" applyFill="1" applyBorder="1"/>
    <xf numFmtId="164" fontId="18" fillId="5" borderId="3" xfId="0" applyNumberFormat="1" applyFont="1" applyFill="1" applyBorder="1"/>
    <xf numFmtId="0" fontId="18" fillId="5" borderId="3" xfId="0" applyFont="1" applyFill="1" applyBorder="1"/>
    <xf numFmtId="164" fontId="0" fillId="5" borderId="12" xfId="0" applyNumberFormat="1" applyFill="1" applyBorder="1"/>
    <xf numFmtId="164" fontId="7" fillId="5" borderId="3" xfId="0" applyNumberFormat="1" applyFont="1" applyFill="1" applyBorder="1"/>
    <xf numFmtId="0" fontId="7" fillId="5" borderId="3" xfId="0" applyFont="1" applyFill="1" applyBorder="1"/>
    <xf numFmtId="0" fontId="7" fillId="5" borderId="7" xfId="0" applyFont="1" applyFill="1" applyBorder="1"/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13" fillId="0" borderId="10" xfId="5" applyAlignment="1">
      <alignment horizontal="left" vertical="center"/>
    </xf>
    <xf numFmtId="0" fontId="5" fillId="6" borderId="0" xfId="7" applyAlignment="1">
      <alignment horizontal="center"/>
    </xf>
    <xf numFmtId="0" fontId="5" fillId="6" borderId="0" xfId="7"/>
    <xf numFmtId="0" fontId="0" fillId="0" borderId="0" xfId="0"/>
    <xf numFmtId="0" fontId="20" fillId="2" borderId="0" xfId="0" applyFont="1" applyFill="1"/>
    <xf numFmtId="0" fontId="22" fillId="2" borderId="0" xfId="0" applyFont="1" applyFill="1"/>
    <xf numFmtId="0" fontId="8" fillId="0" borderId="0" xfId="0" applyFont="1"/>
    <xf numFmtId="1" fontId="7" fillId="0" borderId="0" xfId="0" applyNumberFormat="1" applyFont="1" applyAlignment="1">
      <alignment horizontal="center"/>
    </xf>
    <xf numFmtId="0" fontId="20" fillId="0" borderId="0" xfId="0" applyFont="1" applyAlignment="1">
      <alignment horizontal="center" vertical="center"/>
    </xf>
    <xf numFmtId="0" fontId="1" fillId="0" borderId="0" xfId="0" applyFont="1"/>
    <xf numFmtId="0" fontId="21" fillId="0" borderId="0" xfId="0" applyFont="1" applyAlignment="1">
      <alignment horizontal="center" vertical="center"/>
    </xf>
    <xf numFmtId="0" fontId="22" fillId="0" borderId="0" xfId="0" applyFont="1" applyAlignment="1">
      <alignment horizontal="center" vertical="center"/>
    </xf>
    <xf numFmtId="0" fontId="7" fillId="0" borderId="0" xfId="0" applyFont="1"/>
    <xf numFmtId="166" fontId="1" fillId="0" borderId="0" xfId="0" applyNumberFormat="1" applyFont="1"/>
    <xf numFmtId="0" fontId="1" fillId="0" borderId="0" xfId="0" applyFont="1" applyAlignment="1">
      <alignment horizontal="right"/>
    </xf>
    <xf numFmtId="0" fontId="0" fillId="0" borderId="0" xfId="0"/>
    <xf numFmtId="0" fontId="0" fillId="0" borderId="0" xfId="0" applyNumberFormat="1" applyAlignment="1">
      <alignment horizontal="center"/>
    </xf>
    <xf numFmtId="0" fontId="19" fillId="0" borderId="0" xfId="0" applyNumberFormat="1" applyFont="1"/>
    <xf numFmtId="0" fontId="8" fillId="0" borderId="0" xfId="0" applyNumberFormat="1" applyFont="1"/>
    <xf numFmtId="0" fontId="9" fillId="0" borderId="0" xfId="0" applyNumberFormat="1" applyFont="1"/>
    <xf numFmtId="165" fontId="8" fillId="0" borderId="0" xfId="0" applyNumberFormat="1" applyFont="1"/>
    <xf numFmtId="0" fontId="0" fillId="5" borderId="0" xfId="0" applyNumberFormat="1" applyFill="1" applyAlignment="1">
      <alignment horizontal="center"/>
    </xf>
    <xf numFmtId="0" fontId="24" fillId="5" borderId="0" xfId="0" applyFont="1" applyFill="1" applyAlignment="1">
      <alignment horizontal="center" wrapText="1"/>
    </xf>
    <xf numFmtId="0" fontId="0" fillId="0" borderId="0" xfId="0"/>
    <xf numFmtId="169" fontId="0" fillId="0" borderId="0" xfId="0" applyNumberFormat="1"/>
    <xf numFmtId="0" fontId="7" fillId="0" borderId="0" xfId="0" applyNumberFormat="1" applyFont="1"/>
    <xf numFmtId="0" fontId="0" fillId="0" borderId="0" xfId="0"/>
    <xf numFmtId="0" fontId="0" fillId="0" borderId="0" xfId="0"/>
    <xf numFmtId="0" fontId="13" fillId="0" borderId="10" xfId="5" applyAlignment="1">
      <alignment horizontal="left" vertical="center"/>
    </xf>
    <xf numFmtId="0" fontId="26" fillId="2" borderId="0" xfId="0" applyFont="1" applyFill="1"/>
    <xf numFmtId="0" fontId="0" fillId="0" borderId="0" xfId="0"/>
    <xf numFmtId="0" fontId="0" fillId="6" borderId="0" xfId="0" applyNumberFormat="1" applyFont="1" applyFill="1"/>
    <xf numFmtId="1" fontId="8" fillId="0" borderId="0" xfId="0" applyNumberFormat="1" applyFont="1"/>
    <xf numFmtId="1" fontId="19" fillId="0" borderId="0" xfId="0" applyNumberFormat="1" applyFont="1"/>
    <xf numFmtId="1" fontId="9" fillId="0" borderId="0" xfId="0" applyNumberFormat="1" applyFont="1"/>
    <xf numFmtId="0" fontId="27" fillId="0" borderId="0" xfId="0" applyFont="1" applyAlignment="1">
      <alignment horizontal="center" wrapText="1"/>
    </xf>
    <xf numFmtId="0" fontId="24" fillId="0" borderId="0" xfId="0" applyFont="1" applyAlignment="1">
      <alignment wrapText="1"/>
    </xf>
    <xf numFmtId="0" fontId="28" fillId="2" borderId="0" xfId="0" applyFont="1" applyFill="1"/>
    <xf numFmtId="1" fontId="24" fillId="2" borderId="0" xfId="0" applyNumberFormat="1" applyFont="1" applyFill="1"/>
    <xf numFmtId="0" fontId="29" fillId="2" borderId="0" xfId="0" applyFont="1" applyFill="1"/>
    <xf numFmtId="2" fontId="24" fillId="2" borderId="0" xfId="0" applyNumberFormat="1" applyFont="1" applyFill="1"/>
    <xf numFmtId="0" fontId="24" fillId="0" borderId="0" xfId="0" applyFont="1"/>
    <xf numFmtId="2" fontId="24" fillId="0" borderId="0" xfId="0" applyNumberFormat="1" applyFont="1"/>
    <xf numFmtId="1" fontId="24" fillId="0" borderId="0" xfId="0" applyNumberFormat="1" applyFont="1"/>
    <xf numFmtId="164" fontId="24" fillId="0" borderId="0" xfId="0" applyNumberFormat="1" applyFont="1"/>
    <xf numFmtId="0" fontId="27" fillId="0" borderId="0" xfId="0" applyFont="1"/>
    <xf numFmtId="1" fontId="27" fillId="0" borderId="0" xfId="0" applyNumberFormat="1" applyFont="1"/>
    <xf numFmtId="165" fontId="27" fillId="0" borderId="0" xfId="0" applyNumberFormat="1" applyFont="1"/>
    <xf numFmtId="0" fontId="0" fillId="0" borderId="0" xfId="0"/>
    <xf numFmtId="0" fontId="11" fillId="0" borderId="8" xfId="3"/>
    <xf numFmtId="0" fontId="12" fillId="0" borderId="9" xfId="4"/>
    <xf numFmtId="0" fontId="0" fillId="8" borderId="0" xfId="0" applyNumberFormat="1" applyFill="1" applyAlignment="1">
      <alignment horizontal="center" wrapText="1"/>
    </xf>
    <xf numFmtId="0" fontId="0" fillId="9" borderId="0" xfId="0" applyNumberFormat="1" applyFill="1" applyAlignment="1">
      <alignment horizontal="center" wrapText="1"/>
    </xf>
    <xf numFmtId="0" fontId="0" fillId="7" borderId="0" xfId="0" applyNumberFormat="1" applyFill="1" applyAlignment="1">
      <alignment horizontal="center" wrapText="1"/>
    </xf>
    <xf numFmtId="14" fontId="3" fillId="11" borderId="0" xfId="0" applyNumberFormat="1" applyFont="1" applyFill="1"/>
    <xf numFmtId="0" fontId="3" fillId="11" borderId="0" xfId="0" applyFont="1" applyFill="1" applyAlignment="1">
      <alignment horizontal="center"/>
    </xf>
    <xf numFmtId="0" fontId="7" fillId="5" borderId="14" xfId="0" applyFont="1" applyFill="1" applyBorder="1" applyAlignment="1">
      <alignment horizontal="center"/>
    </xf>
    <xf numFmtId="0" fontId="7" fillId="5" borderId="15" xfId="0" applyFont="1" applyFill="1" applyBorder="1" applyAlignment="1">
      <alignment horizontal="center"/>
    </xf>
    <xf numFmtId="0" fontId="1" fillId="5" borderId="14" xfId="0" applyFont="1" applyFill="1" applyBorder="1" applyAlignment="1">
      <alignment horizontal="center"/>
    </xf>
    <xf numFmtId="0" fontId="1" fillId="5" borderId="15" xfId="0" applyFont="1" applyFill="1" applyBorder="1" applyAlignment="1">
      <alignment horizontal="center"/>
    </xf>
    <xf numFmtId="0" fontId="18" fillId="5" borderId="14" xfId="0" applyFont="1" applyFill="1" applyBorder="1" applyAlignment="1">
      <alignment horizontal="center"/>
    </xf>
    <xf numFmtId="0" fontId="18" fillId="5" borderId="15" xfId="0" applyFont="1" applyFill="1" applyBorder="1" applyAlignment="1">
      <alignment horizontal="center"/>
    </xf>
    <xf numFmtId="14" fontId="31" fillId="12" borderId="16" xfId="9" applyNumberFormat="1" applyAlignment="1">
      <alignment horizontal="center"/>
    </xf>
    <xf numFmtId="0" fontId="3" fillId="2" borderId="0" xfId="0" applyNumberFormat="1" applyFont="1" applyFill="1" applyAlignment="1">
      <alignment horizontal="center"/>
    </xf>
    <xf numFmtId="14" fontId="31" fillId="12" borderId="20" xfId="9" applyNumberFormat="1" applyBorder="1" applyAlignment="1">
      <alignment horizontal="center"/>
    </xf>
    <xf numFmtId="1" fontId="0" fillId="5" borderId="0" xfId="0" applyNumberFormat="1" applyFill="1" applyAlignment="1">
      <alignment horizontal="center"/>
    </xf>
    <xf numFmtId="0" fontId="0" fillId="5" borderId="0" xfId="0" applyFill="1"/>
    <xf numFmtId="0" fontId="24" fillId="5" borderId="0" xfId="0" applyFont="1" applyFill="1" applyAlignment="1">
      <alignment horizontal="center"/>
    </xf>
    <xf numFmtId="0" fontId="0" fillId="5" borderId="12" xfId="0" applyFill="1" applyBorder="1"/>
    <xf numFmtId="0" fontId="0" fillId="5" borderId="7" xfId="0" applyFill="1" applyBorder="1"/>
    <xf numFmtId="0" fontId="0" fillId="13" borderId="0" xfId="0" applyFill="1" applyAlignment="1">
      <alignment horizontal="center"/>
    </xf>
    <xf numFmtId="0" fontId="0" fillId="13" borderId="0" xfId="0" applyNumberFormat="1" applyFill="1" applyAlignment="1">
      <alignment horizontal="center"/>
    </xf>
    <xf numFmtId="0" fontId="0" fillId="14" borderId="0" xfId="0" applyNumberFormat="1" applyFill="1" applyAlignment="1">
      <alignment horizontal="center"/>
    </xf>
    <xf numFmtId="1" fontId="0" fillId="13" borderId="0" xfId="0" applyNumberFormat="1" applyFill="1" applyAlignment="1">
      <alignment horizontal="center"/>
    </xf>
    <xf numFmtId="0" fontId="0" fillId="0" borderId="0" xfId="0"/>
    <xf numFmtId="0" fontId="0" fillId="0" borderId="0" xfId="0"/>
    <xf numFmtId="0" fontId="0" fillId="7" borderId="0" xfId="0" applyNumberFormat="1" applyFill="1" applyAlignment="1">
      <alignment horizontal="center"/>
    </xf>
    <xf numFmtId="1" fontId="0" fillId="7" borderId="0" xfId="0" applyNumberFormat="1" applyFill="1" applyAlignment="1">
      <alignment horizontal="center"/>
    </xf>
    <xf numFmtId="16" fontId="5" fillId="15" borderId="0" xfId="10" applyNumberFormat="1" applyAlignment="1">
      <alignment horizontal="center"/>
    </xf>
    <xf numFmtId="16" fontId="14" fillId="4" borderId="0" xfId="6" applyNumberFormat="1" applyAlignment="1">
      <alignment horizontal="center"/>
    </xf>
    <xf numFmtId="0" fontId="1" fillId="2" borderId="0" xfId="0" applyNumberFormat="1" applyFont="1" applyFill="1"/>
    <xf numFmtId="0" fontId="18" fillId="2" borderId="0" xfId="0" applyNumberFormat="1" applyFont="1" applyFill="1"/>
    <xf numFmtId="0" fontId="7" fillId="2" borderId="0" xfId="0" applyNumberFormat="1" applyFont="1" applyFill="1"/>
    <xf numFmtId="0" fontId="5" fillId="11" borderId="0" xfId="7" applyFill="1" applyAlignment="1">
      <alignment horizontal="center"/>
    </xf>
    <xf numFmtId="0" fontId="0" fillId="0" borderId="0" xfId="0"/>
    <xf numFmtId="1" fontId="0" fillId="11" borderId="0" xfId="0" applyNumberFormat="1" applyFill="1" applyAlignment="1">
      <alignment horizontal="center"/>
    </xf>
    <xf numFmtId="1" fontId="24" fillId="5" borderId="0" xfId="0" applyNumberFormat="1" applyFont="1" applyFill="1" applyAlignment="1">
      <alignment horizontal="center"/>
    </xf>
    <xf numFmtId="0" fontId="24" fillId="5" borderId="0" xfId="0" applyNumberFormat="1" applyFont="1" applyFill="1" applyAlignment="1">
      <alignment horizontal="center"/>
    </xf>
    <xf numFmtId="0" fontId="14" fillId="4" borderId="0" xfId="6" applyNumberFormat="1" applyAlignment="1">
      <alignment horizontal="center"/>
    </xf>
    <xf numFmtId="1" fontId="0" fillId="5" borderId="0" xfId="0" applyNumberFormat="1" applyFill="1" applyAlignment="1">
      <alignment horizontal="center" wrapText="1"/>
    </xf>
    <xf numFmtId="0" fontId="0" fillId="16" borderId="0" xfId="0" applyNumberFormat="1" applyFill="1" applyAlignment="1">
      <alignment horizontal="center"/>
    </xf>
    <xf numFmtId="1" fontId="24" fillId="5" borderId="0" xfId="0" applyNumberFormat="1" applyFont="1" applyFill="1" applyAlignment="1">
      <alignment horizontal="center" wrapText="1"/>
    </xf>
    <xf numFmtId="0" fontId="0" fillId="1" borderId="0" xfId="0" applyFill="1"/>
    <xf numFmtId="14" fontId="31" fillId="17" borderId="20" xfId="9" applyNumberFormat="1" applyFill="1" applyBorder="1" applyAlignment="1">
      <alignment horizontal="center"/>
    </xf>
    <xf numFmtId="0" fontId="32" fillId="1" borderId="0" xfId="0" applyFont="1" applyFill="1" applyBorder="1" applyAlignment="1">
      <alignment horizontal="center"/>
    </xf>
    <xf numFmtId="0" fontId="1" fillId="1" borderId="14" xfId="0" applyFont="1" applyFill="1" applyBorder="1" applyAlignment="1">
      <alignment horizontal="center"/>
    </xf>
    <xf numFmtId="0" fontId="1" fillId="1" borderId="15" xfId="0" applyFont="1" applyFill="1" applyBorder="1" applyAlignment="1">
      <alignment horizontal="center"/>
    </xf>
    <xf numFmtId="0" fontId="3" fillId="18" borderId="0" xfId="0" applyNumberFormat="1" applyFont="1" applyFill="1" applyAlignment="1">
      <alignment horizontal="center"/>
    </xf>
    <xf numFmtId="0" fontId="32" fillId="1" borderId="0" xfId="0" applyFont="1" applyFill="1" applyAlignment="1">
      <alignment horizontal="center"/>
    </xf>
    <xf numFmtId="0" fontId="18" fillId="1" borderId="14" xfId="0" applyFont="1" applyFill="1" applyBorder="1" applyAlignment="1">
      <alignment horizontal="center"/>
    </xf>
    <xf numFmtId="0" fontId="18" fillId="1" borderId="15" xfId="0" applyFont="1" applyFill="1" applyBorder="1" applyAlignment="1">
      <alignment horizontal="center"/>
    </xf>
    <xf numFmtId="0" fontId="0" fillId="0" borderId="0" xfId="0"/>
    <xf numFmtId="0" fontId="0" fillId="5" borderId="0" xfId="0" applyNumberFormat="1" applyFill="1" applyAlignment="1">
      <alignment horizontal="center" wrapText="1"/>
    </xf>
    <xf numFmtId="16" fontId="0" fillId="21" borderId="0" xfId="0" applyNumberFormat="1" applyFill="1" applyAlignment="1">
      <alignment horizontal="center"/>
    </xf>
    <xf numFmtId="0" fontId="0" fillId="21" borderId="0" xfId="0" applyFill="1" applyAlignment="1">
      <alignment horizontal="center"/>
    </xf>
    <xf numFmtId="0" fontId="0" fillId="21" borderId="0" xfId="0" applyNumberFormat="1" applyFill="1" applyAlignment="1">
      <alignment horizontal="center"/>
    </xf>
    <xf numFmtId="0" fontId="0" fillId="22" borderId="0" xfId="0" applyNumberFormat="1" applyFill="1" applyAlignment="1">
      <alignment horizontal="center"/>
    </xf>
    <xf numFmtId="1" fontId="0" fillId="21" borderId="0" xfId="0" applyNumberFormat="1" applyFill="1" applyAlignment="1">
      <alignment horizontal="center"/>
    </xf>
    <xf numFmtId="16" fontId="0" fillId="23" borderId="0" xfId="0" applyNumberFormat="1" applyFill="1" applyAlignment="1">
      <alignment horizontal="center"/>
    </xf>
    <xf numFmtId="0" fontId="0" fillId="23" borderId="0" xfId="0" applyFill="1" applyAlignment="1">
      <alignment horizontal="center"/>
    </xf>
    <xf numFmtId="0" fontId="0" fillId="23" borderId="0" xfId="0" applyNumberFormat="1" applyFill="1" applyAlignment="1">
      <alignment horizontal="center"/>
    </xf>
    <xf numFmtId="0" fontId="0" fillId="24" borderId="0" xfId="0" applyNumberFormat="1" applyFill="1" applyAlignment="1">
      <alignment horizontal="center"/>
    </xf>
    <xf numFmtId="1" fontId="0" fillId="23" borderId="0" xfId="0" applyNumberFormat="1" applyFill="1" applyAlignment="1">
      <alignment horizontal="center"/>
    </xf>
    <xf numFmtId="0" fontId="7" fillId="5" borderId="22" xfId="0" applyFont="1" applyFill="1" applyBorder="1" applyAlignment="1">
      <alignment horizontal="center"/>
    </xf>
    <xf numFmtId="0" fontId="33" fillId="0" borderId="21" xfId="0" applyFont="1" applyBorder="1" applyAlignment="1">
      <alignment horizontal="center"/>
    </xf>
    <xf numFmtId="0" fontId="1" fillId="1" borderId="23" xfId="0" applyFont="1" applyFill="1" applyBorder="1" applyAlignment="1">
      <alignment horizontal="center"/>
    </xf>
    <xf numFmtId="0" fontId="18" fillId="1" borderId="23" xfId="0" applyFont="1" applyFill="1" applyBorder="1" applyAlignment="1">
      <alignment horizontal="center"/>
    </xf>
    <xf numFmtId="0" fontId="1" fillId="13" borderId="0" xfId="0" applyFont="1" applyFill="1" applyAlignment="1">
      <alignment horizontal="center"/>
    </xf>
    <xf numFmtId="0" fontId="1" fillId="0" borderId="23" xfId="0" applyFont="1" applyBorder="1" applyAlignment="1">
      <alignment horizontal="center"/>
    </xf>
    <xf numFmtId="1" fontId="0" fillId="0" borderId="23" xfId="0" applyNumberFormat="1" applyBorder="1" applyAlignment="1">
      <alignment horizontal="center"/>
    </xf>
    <xf numFmtId="0" fontId="0" fillId="0" borderId="23" xfId="0" applyNumberFormat="1" applyBorder="1" applyAlignment="1">
      <alignment horizontal="center"/>
    </xf>
    <xf numFmtId="0" fontId="0" fillId="5" borderId="23" xfId="0" applyNumberFormat="1" applyFill="1" applyBorder="1" applyAlignment="1">
      <alignment horizontal="center"/>
    </xf>
    <xf numFmtId="0" fontId="24" fillId="5" borderId="23" xfId="0" applyNumberFormat="1" applyFont="1" applyFill="1" applyBorder="1" applyAlignment="1">
      <alignment horizontal="center"/>
    </xf>
    <xf numFmtId="0" fontId="0" fillId="16" borderId="23" xfId="0" applyNumberFormat="1" applyFill="1" applyBorder="1" applyAlignment="1">
      <alignment horizontal="center"/>
    </xf>
    <xf numFmtId="0" fontId="0" fillId="0" borderId="23" xfId="0" applyBorder="1" applyAlignment="1">
      <alignment horizontal="center"/>
    </xf>
    <xf numFmtId="1" fontId="14" fillId="4" borderId="23" xfId="6" applyNumberFormat="1" applyBorder="1" applyAlignment="1">
      <alignment horizontal="center"/>
    </xf>
    <xf numFmtId="0" fontId="0" fillId="5" borderId="24" xfId="0" applyNumberFormat="1" applyFill="1" applyBorder="1" applyAlignment="1">
      <alignment horizontal="center"/>
    </xf>
    <xf numFmtId="9" fontId="24" fillId="5" borderId="0" xfId="11" applyFont="1" applyFill="1" applyAlignment="1">
      <alignment horizontal="center"/>
    </xf>
    <xf numFmtId="9" fontId="24" fillId="5" borderId="23" xfId="11" applyFont="1" applyFill="1" applyBorder="1" applyAlignment="1">
      <alignment horizontal="center"/>
    </xf>
    <xf numFmtId="9" fontId="0" fillId="5" borderId="23" xfId="11" applyFont="1" applyFill="1" applyBorder="1" applyAlignment="1">
      <alignment horizontal="center"/>
    </xf>
    <xf numFmtId="9" fontId="0" fillId="5" borderId="0" xfId="11" applyFont="1" applyFill="1" applyAlignment="1">
      <alignment horizontal="center"/>
    </xf>
    <xf numFmtId="9" fontId="0" fillId="14" borderId="0" xfId="11" applyFont="1" applyFill="1" applyAlignment="1">
      <alignment horizontal="center"/>
    </xf>
    <xf numFmtId="0" fontId="24" fillId="5" borderId="0" xfId="0" applyNumberFormat="1" applyFont="1" applyFill="1" applyAlignment="1">
      <alignment horizontal="center" wrapText="1"/>
    </xf>
    <xf numFmtId="0" fontId="0" fillId="5" borderId="0" xfId="0" applyNumberFormat="1" applyFill="1"/>
    <xf numFmtId="0" fontId="1" fillId="23" borderId="0" xfId="0" applyFont="1" applyFill="1" applyAlignment="1">
      <alignment horizontal="center"/>
    </xf>
    <xf numFmtId="0" fontId="24" fillId="24" borderId="0" xfId="0" applyNumberFormat="1" applyFont="1" applyFill="1" applyAlignment="1">
      <alignment horizontal="center"/>
    </xf>
    <xf numFmtId="9" fontId="24" fillId="24" borderId="0" xfId="11" applyFont="1" applyFill="1" applyAlignment="1">
      <alignment horizontal="center"/>
    </xf>
    <xf numFmtId="9" fontId="0" fillId="24" borderId="0" xfId="11" applyFont="1" applyFill="1" applyAlignment="1">
      <alignment horizontal="center"/>
    </xf>
    <xf numFmtId="0" fontId="24" fillId="14" borderId="0" xfId="0" applyNumberFormat="1" applyFont="1" applyFill="1" applyAlignment="1">
      <alignment horizontal="center"/>
    </xf>
    <xf numFmtId="9" fontId="24" fillId="14" borderId="0" xfId="11" applyFont="1" applyFill="1" applyAlignment="1">
      <alignment horizontal="center"/>
    </xf>
    <xf numFmtId="0" fontId="27" fillId="25" borderId="0" xfId="0" applyFont="1" applyFill="1" applyAlignment="1">
      <alignment horizontal="center" wrapText="1"/>
    </xf>
    <xf numFmtId="0" fontId="36" fillId="25" borderId="0" xfId="0" applyFont="1" applyFill="1" applyAlignment="1">
      <alignment wrapText="1"/>
    </xf>
    <xf numFmtId="0" fontId="34" fillId="26" borderId="0" xfId="0" applyFont="1" applyFill="1"/>
    <xf numFmtId="1" fontId="36" fillId="26" borderId="0" xfId="0" applyNumberFormat="1" applyFont="1" applyFill="1"/>
    <xf numFmtId="0" fontId="35" fillId="26" borderId="0" xfId="0" applyFont="1" applyFill="1"/>
    <xf numFmtId="2" fontId="36" fillId="26" borderId="0" xfId="0" applyNumberFormat="1" applyFont="1" applyFill="1"/>
    <xf numFmtId="0" fontId="36" fillId="25" borderId="0" xfId="0" applyFont="1" applyFill="1"/>
    <xf numFmtId="2" fontId="36" fillId="25" borderId="0" xfId="0" applyNumberFormat="1" applyFont="1" applyFill="1"/>
    <xf numFmtId="1" fontId="36" fillId="25" borderId="0" xfId="0" applyNumberFormat="1" applyFont="1" applyFill="1"/>
    <xf numFmtId="164" fontId="36" fillId="25" borderId="0" xfId="0" applyNumberFormat="1" applyFont="1" applyFill="1"/>
    <xf numFmtId="0" fontId="38" fillId="25" borderId="0" xfId="0" applyFont="1" applyFill="1"/>
    <xf numFmtId="1" fontId="38" fillId="25" borderId="0" xfId="0" applyNumberFormat="1" applyFont="1" applyFill="1"/>
    <xf numFmtId="165" fontId="27" fillId="25" borderId="0" xfId="0" applyNumberFormat="1" applyFont="1" applyFill="1"/>
    <xf numFmtId="0" fontId="9" fillId="25" borderId="0" xfId="0" applyFont="1" applyFill="1" applyAlignment="1">
      <alignment horizontal="center" wrapText="1"/>
    </xf>
    <xf numFmtId="0" fontId="0" fillId="25" borderId="0" xfId="0" applyFill="1" applyAlignment="1">
      <alignment wrapText="1"/>
    </xf>
    <xf numFmtId="1" fontId="39" fillId="26" borderId="0" xfId="0" applyNumberFormat="1" applyFont="1" applyFill="1"/>
    <xf numFmtId="2" fontId="39" fillId="26" borderId="0" xfId="0" applyNumberFormat="1" applyFont="1" applyFill="1"/>
    <xf numFmtId="0" fontId="39" fillId="25" borderId="0" xfId="0" applyFont="1" applyFill="1"/>
    <xf numFmtId="2" fontId="39" fillId="25" borderId="0" xfId="0" applyNumberFormat="1" applyFont="1" applyFill="1"/>
    <xf numFmtId="1" fontId="39" fillId="25" borderId="0" xfId="0" applyNumberFormat="1" applyFont="1" applyFill="1"/>
    <xf numFmtId="164" fontId="39" fillId="25" borderId="0" xfId="0" applyNumberFormat="1" applyFont="1" applyFill="1"/>
    <xf numFmtId="0" fontId="41" fillId="25" borderId="0" xfId="0" applyFont="1" applyFill="1"/>
    <xf numFmtId="1" fontId="41" fillId="25" borderId="0" xfId="0" applyNumberFormat="1" applyFont="1" applyFill="1"/>
    <xf numFmtId="165" fontId="41" fillId="25" borderId="0" xfId="0" applyNumberFormat="1" applyFont="1" applyFill="1"/>
    <xf numFmtId="0" fontId="42" fillId="26" borderId="0" xfId="0" applyFont="1" applyFill="1"/>
    <xf numFmtId="0" fontId="43" fillId="26" borderId="0" xfId="0" applyNumberFormat="1" applyFont="1" applyFill="1"/>
    <xf numFmtId="0" fontId="44" fillId="25" borderId="0" xfId="0" applyFont="1" applyFill="1" applyAlignment="1">
      <alignment horizontal="center" wrapText="1"/>
    </xf>
    <xf numFmtId="0" fontId="46" fillId="25" borderId="0" xfId="0" applyFont="1" applyFill="1" applyAlignment="1">
      <alignment wrapText="1"/>
    </xf>
    <xf numFmtId="0" fontId="44" fillId="25" borderId="0" xfId="0" applyFont="1" applyFill="1"/>
    <xf numFmtId="1" fontId="44" fillId="25" borderId="0" xfId="0" applyNumberFormat="1" applyFont="1" applyFill="1"/>
    <xf numFmtId="165" fontId="44" fillId="25" borderId="0" xfId="0" applyNumberFormat="1" applyFont="1" applyFill="1"/>
    <xf numFmtId="0" fontId="45" fillId="26" borderId="0" xfId="0" applyFont="1" applyFill="1"/>
    <xf numFmtId="0" fontId="46" fillId="26" borderId="0" xfId="0" applyNumberFormat="1" applyFont="1" applyFill="1"/>
    <xf numFmtId="0" fontId="8" fillId="25" borderId="0" xfId="0" applyFont="1" applyFill="1" applyAlignment="1">
      <alignment horizontal="center" wrapText="1"/>
    </xf>
    <xf numFmtId="0" fontId="7" fillId="25" borderId="0" xfId="0" applyFont="1" applyFill="1" applyAlignment="1">
      <alignment wrapText="1"/>
    </xf>
    <xf numFmtId="0" fontId="47" fillId="25" borderId="0" xfId="0" applyFont="1" applyFill="1"/>
    <xf numFmtId="1" fontId="47" fillId="25" borderId="0" xfId="0" applyNumberFormat="1" applyFont="1" applyFill="1"/>
    <xf numFmtId="165" fontId="47" fillId="25" borderId="0" xfId="0" applyNumberFormat="1" applyFont="1" applyFill="1"/>
    <xf numFmtId="0" fontId="0" fillId="25" borderId="0" xfId="0" applyFill="1"/>
    <xf numFmtId="0" fontId="0" fillId="0" borderId="0" xfId="0"/>
    <xf numFmtId="0" fontId="24" fillId="5" borderId="0" xfId="11" applyNumberFormat="1" applyFont="1" applyFill="1" applyAlignment="1">
      <alignment horizontal="center"/>
    </xf>
    <xf numFmtId="0" fontId="24" fillId="5" borderId="23" xfId="11" applyNumberFormat="1" applyFont="1" applyFill="1" applyBorder="1" applyAlignment="1">
      <alignment horizontal="center"/>
    </xf>
    <xf numFmtId="0" fontId="24" fillId="24" borderId="0" xfId="11" applyNumberFormat="1" applyFont="1" applyFill="1" applyAlignment="1">
      <alignment horizontal="center"/>
    </xf>
    <xf numFmtId="0" fontId="24" fillId="14" borderId="0" xfId="11" applyNumberFormat="1" applyFont="1" applyFill="1" applyAlignment="1">
      <alignment horizontal="center"/>
    </xf>
    <xf numFmtId="0" fontId="0" fillId="5" borderId="23" xfId="11" applyNumberFormat="1" applyFont="1" applyFill="1" applyBorder="1" applyAlignment="1">
      <alignment horizontal="center"/>
    </xf>
    <xf numFmtId="0" fontId="0" fillId="5" borderId="0" xfId="11" applyNumberFormat="1" applyFont="1" applyFill="1" applyAlignment="1">
      <alignment horizontal="center"/>
    </xf>
    <xf numFmtId="0" fontId="0" fillId="24" borderId="0" xfId="11" applyNumberFormat="1" applyFont="1" applyFill="1" applyAlignment="1">
      <alignment horizontal="center"/>
    </xf>
    <xf numFmtId="0" fontId="0" fillId="14" borderId="0" xfId="11" applyNumberFormat="1" applyFont="1" applyFill="1" applyAlignment="1">
      <alignment horizontal="center"/>
    </xf>
    <xf numFmtId="0" fontId="1" fillId="5" borderId="0" xfId="11" applyNumberFormat="1" applyFont="1" applyFill="1" applyAlignment="1">
      <alignment horizontal="center"/>
    </xf>
    <xf numFmtId="0" fontId="1" fillId="5" borderId="23" xfId="11" applyNumberFormat="1" applyFont="1" applyFill="1" applyBorder="1" applyAlignment="1">
      <alignment horizontal="center"/>
    </xf>
    <xf numFmtId="0" fontId="9" fillId="19" borderId="25" xfId="0" applyFont="1" applyFill="1" applyBorder="1" applyAlignment="1">
      <alignment horizontal="center"/>
    </xf>
    <xf numFmtId="1" fontId="32" fillId="19" borderId="25" xfId="0" applyNumberFormat="1" applyFont="1" applyFill="1" applyBorder="1" applyAlignment="1">
      <alignment horizontal="center"/>
    </xf>
    <xf numFmtId="0" fontId="32" fillId="19" borderId="25" xfId="0" applyNumberFormat="1" applyFont="1" applyFill="1" applyBorder="1" applyAlignment="1">
      <alignment horizontal="center"/>
    </xf>
    <xf numFmtId="0" fontId="32" fillId="20" borderId="25" xfId="0" applyNumberFormat="1" applyFont="1" applyFill="1" applyBorder="1" applyAlignment="1">
      <alignment horizontal="center"/>
    </xf>
    <xf numFmtId="0" fontId="27" fillId="20" borderId="25" xfId="0" applyNumberFormat="1" applyFont="1" applyFill="1" applyBorder="1" applyAlignment="1">
      <alignment horizontal="center"/>
    </xf>
    <xf numFmtId="9" fontId="27" fillId="20" borderId="25" xfId="11" applyFont="1" applyFill="1" applyBorder="1" applyAlignment="1">
      <alignment horizontal="center"/>
    </xf>
    <xf numFmtId="0" fontId="9" fillId="5" borderId="25" xfId="11" applyNumberFormat="1" applyFont="1" applyFill="1" applyBorder="1" applyAlignment="1">
      <alignment horizontal="center"/>
    </xf>
    <xf numFmtId="0" fontId="48" fillId="19" borderId="25" xfId="0" applyNumberFormat="1" applyFont="1" applyFill="1" applyBorder="1" applyAlignment="1">
      <alignment horizontal="center"/>
    </xf>
    <xf numFmtId="0" fontId="32" fillId="19" borderId="25" xfId="0" applyFont="1" applyFill="1" applyBorder="1" applyAlignment="1">
      <alignment horizontal="center"/>
    </xf>
    <xf numFmtId="9" fontId="32" fillId="20" borderId="25" xfId="11" applyFont="1" applyFill="1" applyBorder="1" applyAlignment="1">
      <alignment horizontal="center"/>
    </xf>
    <xf numFmtId="0" fontId="32" fillId="20" borderId="25" xfId="11" applyNumberFormat="1" applyFont="1" applyFill="1" applyBorder="1" applyAlignment="1">
      <alignment horizontal="center"/>
    </xf>
    <xf numFmtId="0" fontId="27" fillId="20" borderId="25" xfId="11" applyNumberFormat="1" applyFont="1" applyFill="1" applyBorder="1" applyAlignment="1">
      <alignment horizontal="center"/>
    </xf>
    <xf numFmtId="0" fontId="32" fillId="20" borderId="26" xfId="0" applyNumberFormat="1" applyFont="1" applyFill="1" applyBorder="1" applyAlignment="1">
      <alignment horizontal="center"/>
    </xf>
    <xf numFmtId="0" fontId="24" fillId="5" borderId="0" xfId="0" applyNumberFormat="1" applyFont="1" applyFill="1" applyBorder="1" applyAlignment="1">
      <alignment horizontal="center"/>
    </xf>
    <xf numFmtId="0" fontId="33" fillId="0" borderId="0" xfId="0" applyFont="1" applyBorder="1" applyAlignment="1">
      <alignment horizontal="center"/>
    </xf>
    <xf numFmtId="0" fontId="33" fillId="0" borderId="27" xfId="0" applyFont="1" applyBorder="1" applyAlignment="1">
      <alignment horizontal="center"/>
    </xf>
    <xf numFmtId="170" fontId="0" fillId="0" borderId="0" xfId="0" applyNumberFormat="1" applyAlignment="1">
      <alignment horizontal="center"/>
    </xf>
    <xf numFmtId="170" fontId="3" fillId="11" borderId="0" xfId="0" applyNumberFormat="1" applyFont="1" applyFill="1" applyAlignment="1">
      <alignment horizontal="center"/>
    </xf>
    <xf numFmtId="0" fontId="0" fillId="0" borderId="0" xfId="0"/>
    <xf numFmtId="0" fontId="0" fillId="0" borderId="0" xfId="0"/>
    <xf numFmtId="14" fontId="31" fillId="12" borderId="28" xfId="9" applyNumberFormat="1" applyBorder="1" applyAlignment="1">
      <alignment horizontal="center"/>
    </xf>
    <xf numFmtId="0" fontId="0" fillId="0" borderId="0" xfId="0"/>
    <xf numFmtId="0" fontId="0" fillId="0" borderId="0" xfId="0"/>
    <xf numFmtId="0" fontId="32" fillId="0" borderId="0" xfId="0" applyFont="1" applyAlignment="1">
      <alignment horizontal="left" vertical="center"/>
    </xf>
    <xf numFmtId="0" fontId="0" fillId="1" borderId="6" xfId="0" applyFill="1" applyBorder="1"/>
    <xf numFmtId="164" fontId="1" fillId="1" borderId="3" xfId="0" applyNumberFormat="1" applyFont="1" applyFill="1" applyBorder="1"/>
    <xf numFmtId="0" fontId="1" fillId="1" borderId="3" xfId="0" applyFont="1" applyFill="1" applyBorder="1"/>
    <xf numFmtId="0" fontId="1" fillId="1" borderId="5" xfId="0" applyFont="1" applyFill="1" applyBorder="1"/>
    <xf numFmtId="0" fontId="0" fillId="1" borderId="3" xfId="0" applyFill="1" applyBorder="1"/>
    <xf numFmtId="0" fontId="0" fillId="1" borderId="4" xfId="0" applyFill="1" applyBorder="1"/>
    <xf numFmtId="164" fontId="18" fillId="1" borderId="3" xfId="0" applyNumberFormat="1" applyFont="1" applyFill="1" applyBorder="1"/>
    <xf numFmtId="0" fontId="18" fillId="1" borderId="3" xfId="0" applyFont="1" applyFill="1" applyBorder="1"/>
    <xf numFmtId="0" fontId="18" fillId="1" borderId="5" xfId="0" applyFont="1" applyFill="1" applyBorder="1"/>
    <xf numFmtId="164" fontId="7" fillId="1" borderId="3" xfId="0" applyNumberFormat="1" applyFont="1" applyFill="1" applyBorder="1"/>
    <xf numFmtId="0" fontId="7" fillId="1" borderId="3" xfId="0" applyFont="1" applyFill="1" applyBorder="1"/>
    <xf numFmtId="0" fontId="7" fillId="1" borderId="7" xfId="0" applyFont="1" applyFill="1" applyBorder="1"/>
    <xf numFmtId="0" fontId="0" fillId="1" borderId="2" xfId="0" applyFill="1" applyBorder="1" applyAlignment="1">
      <alignment horizontal="center" vertical="center" wrapText="1"/>
    </xf>
    <xf numFmtId="0" fontId="24" fillId="27" borderId="0" xfId="0" applyFont="1" applyFill="1" applyAlignment="1">
      <alignment horizontal="center" wrapText="1"/>
    </xf>
    <xf numFmtId="0" fontId="0" fillId="0" borderId="0" xfId="0"/>
    <xf numFmtId="0" fontId="32" fillId="0" borderId="0" xfId="0" applyFont="1" applyBorder="1" applyAlignment="1">
      <alignment horizontal="center"/>
    </xf>
    <xf numFmtId="0" fontId="32" fillId="0" borderId="0" xfId="0" applyFont="1" applyAlignment="1">
      <alignment horizontal="center"/>
    </xf>
    <xf numFmtId="0" fontId="0" fillId="0" borderId="0" xfId="0"/>
    <xf numFmtId="0" fontId="5" fillId="6" borderId="0" xfId="0" applyNumberFormat="1" applyFont="1" applyFill="1"/>
    <xf numFmtId="0" fontId="13" fillId="0" borderId="10" xfId="5" applyAlignment="1">
      <alignment horizontal="left" vertical="center"/>
    </xf>
    <xf numFmtId="0" fontId="0" fillId="0" borderId="0" xfId="0"/>
    <xf numFmtId="0" fontId="1" fillId="29" borderId="21" xfId="0" applyFont="1" applyFill="1" applyBorder="1" applyAlignment="1">
      <alignment horizontal="center"/>
    </xf>
    <xf numFmtId="0" fontId="39" fillId="27" borderId="0" xfId="0" applyNumberFormat="1" applyFont="1" applyFill="1" applyAlignment="1">
      <alignment horizontal="center"/>
    </xf>
    <xf numFmtId="0" fontId="39" fillId="28" borderId="0" xfId="0" applyNumberFormat="1" applyFont="1" applyFill="1" applyAlignment="1">
      <alignment horizontal="center"/>
    </xf>
    <xf numFmtId="2" fontId="31" fillId="12" borderId="28" xfId="9" applyNumberFormat="1" applyBorder="1" applyAlignment="1">
      <alignment horizontal="center"/>
    </xf>
    <xf numFmtId="165" fontId="50" fillId="12" borderId="30" xfId="12" applyNumberFormat="1" applyBorder="1" applyAlignment="1">
      <alignment horizontal="center"/>
    </xf>
    <xf numFmtId="0" fontId="0" fillId="3" borderId="34" xfId="1" applyFont="1" applyBorder="1"/>
    <xf numFmtId="0" fontId="0" fillId="3" borderId="35" xfId="1" applyFont="1" applyBorder="1"/>
    <xf numFmtId="0" fontId="9" fillId="3" borderId="35" xfId="1" applyFont="1" applyBorder="1"/>
    <xf numFmtId="0" fontId="1" fillId="3" borderId="36" xfId="1" applyFont="1" applyBorder="1" applyAlignment="1">
      <alignment horizontal="center"/>
    </xf>
    <xf numFmtId="0" fontId="51" fillId="27" borderId="37" xfId="13" applyFill="1"/>
    <xf numFmtId="9" fontId="51" fillId="27" borderId="37" xfId="11" applyFont="1" applyFill="1" applyBorder="1"/>
    <xf numFmtId="0" fontId="10" fillId="0" borderId="0" xfId="2"/>
    <xf numFmtId="0" fontId="13" fillId="0" borderId="11" xfId="5" applyBorder="1" applyAlignment="1">
      <alignment horizontal="left" vertical="center"/>
    </xf>
    <xf numFmtId="0" fontId="11" fillId="0" borderId="8" xfId="3"/>
    <xf numFmtId="0" fontId="0" fillId="0" borderId="0" xfId="0"/>
    <xf numFmtId="0" fontId="5" fillId="10" borderId="0" xfId="8"/>
    <xf numFmtId="0" fontId="3" fillId="11" borderId="13" xfId="0" applyFont="1" applyFill="1" applyBorder="1" applyAlignment="1">
      <alignment horizontal="center"/>
    </xf>
    <xf numFmtId="0" fontId="12" fillId="0" borderId="17" xfId="4" applyBorder="1"/>
    <xf numFmtId="0" fontId="32" fillId="0" borderId="0" xfId="0" applyFont="1" applyAlignment="1">
      <alignment horizontal="center"/>
    </xf>
    <xf numFmtId="0" fontId="32" fillId="0" borderId="18" xfId="0" applyFont="1" applyBorder="1" applyAlignment="1">
      <alignment horizontal="center"/>
    </xf>
    <xf numFmtId="0" fontId="32" fillId="0" borderId="19" xfId="0" applyFont="1" applyBorder="1" applyAlignment="1">
      <alignment horizontal="center"/>
    </xf>
    <xf numFmtId="0" fontId="0" fillId="1" borderId="6" xfId="0" applyFill="1" applyBorder="1" applyAlignment="1">
      <alignment horizontal="center" vertical="center" textRotation="255" wrapText="1"/>
    </xf>
    <xf numFmtId="0" fontId="0" fillId="1" borderId="3" xfId="0" applyFill="1" applyBorder="1" applyAlignment="1">
      <alignment horizontal="center" vertical="center" textRotation="255" wrapText="1"/>
    </xf>
    <xf numFmtId="0" fontId="0" fillId="1" borderId="7" xfId="0" applyFill="1" applyBorder="1" applyAlignment="1">
      <alignment horizontal="center" vertical="center" textRotation="255" wrapText="1"/>
    </xf>
    <xf numFmtId="0" fontId="7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8" fillId="0" borderId="0" xfId="0" applyFont="1" applyAlignment="1">
      <alignment horizontal="center" vertical="center"/>
    </xf>
    <xf numFmtId="167" fontId="18" fillId="0" borderId="0" xfId="0" applyNumberFormat="1" applyFont="1" applyAlignment="1">
      <alignment horizontal="center" vertical="center"/>
    </xf>
    <xf numFmtId="167" fontId="1" fillId="0" borderId="0" xfId="0" applyNumberFormat="1" applyFont="1" applyAlignment="1">
      <alignment horizontal="center" vertical="center"/>
    </xf>
    <xf numFmtId="167" fontId="7" fillId="0" borderId="0" xfId="0" applyNumberFormat="1" applyFont="1" applyAlignment="1">
      <alignment horizontal="center" vertical="center"/>
    </xf>
    <xf numFmtId="168" fontId="18" fillId="0" borderId="0" xfId="0" applyNumberFormat="1" applyFont="1" applyAlignment="1">
      <alignment horizontal="center" vertical="center"/>
    </xf>
    <xf numFmtId="168" fontId="7" fillId="0" borderId="0" xfId="0" applyNumberFormat="1" applyFont="1" applyAlignment="1">
      <alignment horizontal="center" vertical="center"/>
    </xf>
    <xf numFmtId="168" fontId="1" fillId="0" borderId="0" xfId="0" applyNumberFormat="1" applyFont="1" applyAlignment="1">
      <alignment horizontal="center" vertical="center"/>
    </xf>
    <xf numFmtId="0" fontId="14" fillId="4" borderId="31" xfId="6" applyBorder="1"/>
    <xf numFmtId="0" fontId="14" fillId="4" borderId="32" xfId="6" applyBorder="1"/>
    <xf numFmtId="0" fontId="14" fillId="4" borderId="33" xfId="6" applyBorder="1"/>
    <xf numFmtId="164" fontId="7" fillId="5" borderId="6" xfId="0" applyNumberFormat="1" applyFont="1" applyFill="1" applyBorder="1" applyAlignment="1">
      <alignment textRotation="255" wrapText="1"/>
    </xf>
    <xf numFmtId="164" fontId="7" fillId="5" borderId="3" xfId="0" applyNumberFormat="1" applyFont="1" applyFill="1" applyBorder="1" applyAlignment="1">
      <alignment textRotation="255" wrapText="1"/>
    </xf>
    <xf numFmtId="164" fontId="7" fillId="5" borderId="4" xfId="0" applyNumberFormat="1" applyFont="1" applyFill="1" applyBorder="1" applyAlignment="1">
      <alignment textRotation="255" wrapText="1"/>
    </xf>
    <xf numFmtId="0" fontId="12" fillId="0" borderId="9" xfId="4"/>
    <xf numFmtId="0" fontId="32" fillId="0" borderId="0" xfId="0" applyFont="1" applyBorder="1" applyAlignment="1">
      <alignment horizontal="center"/>
    </xf>
    <xf numFmtId="0" fontId="1" fillId="29" borderId="21" xfId="0" applyFont="1" applyFill="1" applyBorder="1" applyAlignment="1">
      <alignment horizontal="right"/>
    </xf>
    <xf numFmtId="0" fontId="32" fillId="1" borderId="0" xfId="0" applyFont="1" applyFill="1" applyAlignment="1">
      <alignment horizontal="center"/>
    </xf>
    <xf numFmtId="0" fontId="32" fillId="1" borderId="0" xfId="0" applyFont="1" applyFill="1" applyBorder="1" applyAlignment="1">
      <alignment horizontal="center"/>
    </xf>
  </cellXfs>
  <cellStyles count="14">
    <cellStyle name="20% - Colore 2" xfId="7" builtinId="34"/>
    <cellStyle name="20% - Colore 6" xfId="10" builtinId="50"/>
    <cellStyle name="60% - Colore 1" xfId="8" builtinId="32"/>
    <cellStyle name="Calcolo" xfId="12" builtinId="22"/>
    <cellStyle name="Cella collegata" xfId="13" builtinId="24"/>
    <cellStyle name="Neutrale" xfId="6" builtinId="28"/>
    <cellStyle name="Normale" xfId="0" builtinId="0"/>
    <cellStyle name="Nota" xfId="1" builtinId="10"/>
    <cellStyle name="Output" xfId="9" builtinId="21"/>
    <cellStyle name="Percentuale" xfId="11" builtinId="5"/>
    <cellStyle name="Titolo" xfId="2" builtinId="15"/>
    <cellStyle name="Titolo 1" xfId="3" builtinId="16"/>
    <cellStyle name="Titolo 2" xfId="4" builtinId="17"/>
    <cellStyle name="Titolo 3" xfId="5" builtinId="18"/>
  </cellStyles>
  <dxfs count="291">
    <dxf>
      <font>
        <strike/>
        <outline val="0"/>
        <shadow val="0"/>
        <u val="none"/>
        <sz val="11"/>
        <name val="Calibri"/>
        <family val="2"/>
      </font>
      <fill>
        <patternFill patternType="darkGrid">
          <fgColor indexed="64"/>
        </patternFill>
      </fill>
    </dxf>
    <dxf>
      <font>
        <strike/>
        <outline val="0"/>
        <shadow val="0"/>
        <u val="none"/>
        <sz val="11"/>
        <name val="Calibri"/>
        <family val="2"/>
      </font>
      <fill>
        <patternFill patternType="darkGrid">
          <fgColor indexed="64"/>
        </patternFill>
      </fill>
    </dxf>
    <dxf>
      <fill>
        <patternFill patternType="darkGrid">
          <fgColor indexed="64"/>
        </patternFill>
      </fill>
    </dxf>
    <dxf>
      <font>
        <strike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fill>
        <patternFill patternType="darkGrid">
          <fgColor indexed="64"/>
        </patternFill>
      </fill>
    </dxf>
    <dxf>
      <font>
        <strike/>
        <outline val="0"/>
        <shadow val="0"/>
        <u val="none"/>
        <sz val="11"/>
        <name val="Calibri"/>
        <family val="2"/>
      </font>
      <fill>
        <patternFill patternType="darkGrid">
          <fgColor indexed="64"/>
        </patternFill>
      </fill>
    </dxf>
    <dxf>
      <font>
        <strike/>
        <outline val="0"/>
        <shadow val="0"/>
        <u val="none"/>
        <sz val="11"/>
        <name val="Calibri"/>
        <family val="2"/>
      </font>
      <fill>
        <patternFill patternType="darkGrid">
          <fgColor indexed="64"/>
        </patternFill>
      </fill>
    </dxf>
    <dxf>
      <fill>
        <patternFill patternType="darkGrid">
          <fgColor indexed="64"/>
        </patternFill>
      </fill>
    </dxf>
    <dxf>
      <font>
        <strike/>
        <outline val="0"/>
        <shadow val="0"/>
        <u val="none"/>
        <vertAlign val="baseline"/>
        <sz val="11"/>
        <color rgb="FF00B050"/>
        <name val="Calibri"/>
        <family val="2"/>
        <scheme val="minor"/>
      </font>
      <fill>
        <patternFill patternType="darkGrid">
          <fgColor indexed="64"/>
        </patternFill>
      </fill>
    </dxf>
    <dxf>
      <font>
        <strike/>
        <outline val="0"/>
        <shadow val="0"/>
        <u val="none"/>
        <sz val="11"/>
        <name val="Calibri"/>
        <family val="2"/>
      </font>
      <fill>
        <patternFill patternType="darkGrid">
          <fgColor indexed="64"/>
        </patternFill>
      </fill>
    </dxf>
    <dxf>
      <font>
        <strike/>
        <outline val="0"/>
        <shadow val="0"/>
        <u val="none"/>
        <sz val="11"/>
        <name val="Calibri"/>
        <family val="2"/>
      </font>
      <fill>
        <patternFill patternType="darkGrid">
          <fgColor indexed="64"/>
        </patternFill>
      </fill>
    </dxf>
    <dxf>
      <fill>
        <patternFill patternType="darkGrid">
          <fgColor indexed="64"/>
        </patternFill>
      </fill>
    </dxf>
    <dxf>
      <fill>
        <patternFill patternType="darkGrid">
          <fgColor indexed="64"/>
        </patternFill>
      </fill>
    </dxf>
    <dxf>
      <font>
        <strike val="0"/>
        <outline val="0"/>
        <shadow val="0"/>
        <u val="none"/>
        <sz val="11"/>
        <color auto="1"/>
        <name val="Calibri"/>
        <family val="2"/>
        <scheme val="minor"/>
      </font>
      <fill>
        <patternFill patternType="darkGrid">
          <fgColor indexed="64"/>
        </patternFill>
      </fill>
    </dxf>
    <dxf>
      <font>
        <strike/>
        <outline val="0"/>
        <shadow val="0"/>
        <u val="none"/>
        <sz val="11"/>
        <color auto="1"/>
        <name val="Calibri"/>
        <family val="2"/>
        <scheme val="minor"/>
      </font>
      <fill>
        <patternFill patternType="darkGrid">
          <fgColor indexed="64"/>
        </patternFill>
      </fill>
    </dxf>
    <dxf>
      <font>
        <strike val="0"/>
        <outline val="0"/>
        <shadow val="0"/>
        <u val="none"/>
        <sz val="11"/>
        <color auto="1"/>
        <name val="Calibri"/>
        <family val="2"/>
        <scheme val="minor"/>
      </font>
      <fill>
        <patternFill patternType="darkGrid">
          <fgColor indexed="64"/>
        </patternFill>
      </fill>
    </dxf>
    <dxf>
      <font>
        <strike val="0"/>
        <outline val="0"/>
        <shadow val="0"/>
        <u val="none"/>
        <sz val="11"/>
        <color auto="1"/>
        <name val="Calibri"/>
        <family val="2"/>
      </font>
      <fill>
        <patternFill patternType="darkGrid">
          <fgColor indexed="64"/>
        </patternFill>
      </fill>
    </dxf>
    <dxf>
      <fill>
        <patternFill patternType="gray0625">
          <fgColor indexed="64"/>
          <bgColor indexed="65"/>
        </patternFill>
      </fill>
    </dxf>
    <dxf>
      <numFmt numFmtId="0" formatCode="General"/>
      <fill>
        <patternFill patternType="gray0625">
          <fgColor indexed="64"/>
          <bgColor indexed="65"/>
        </patternFill>
      </fill>
    </dxf>
    <dxf>
      <numFmt numFmtId="1" formatCode="0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  <numFmt numFmtId="0" formatCode="General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  <numFmt numFmtId="0" formatCode="General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  <numFmt numFmtId="0" formatCode="General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  <numFmt numFmtId="0" formatCode="General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  <numFmt numFmtId="0" formatCode="General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  <numFmt numFmtId="0" formatCode="General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color auto="1"/>
      </font>
      <numFmt numFmtId="0" formatCode="General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  <fill>
        <patternFill patternType="gray0625">
          <fgColor indexed="64"/>
          <bgColor indexed="65"/>
        </patternFill>
      </fill>
      <alignment horizontal="center" vertical="bottom" textRotation="0" wrapText="1" indent="0" justifyLastLine="0" shrinkToFit="0" readingOrder="0"/>
    </dxf>
    <dxf>
      <numFmt numFmtId="1" formatCode="0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fill>
        <patternFill patternType="gray0625">
          <fgColor indexed="64"/>
          <bgColor indexed="65"/>
        </patternFill>
      </fill>
    </dxf>
    <dxf>
      <fill>
        <patternFill patternType="gray0625">
          <fgColor indexed="64"/>
          <bgColor indexed="65"/>
        </patternFill>
      </fill>
    </dxf>
    <dxf>
      <numFmt numFmtId="0" formatCode="General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  <numFmt numFmtId="0" formatCode="General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  <numFmt numFmtId="0" formatCode="General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  <numFmt numFmtId="0" formatCode="General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  <numFmt numFmtId="0" formatCode="General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  <numFmt numFmtId="0" formatCode="General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  <numFmt numFmtId="0" formatCode="General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" formatCode="0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color auto="1"/>
      </font>
      <numFmt numFmtId="0" formatCode="General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" formatCode="0"/>
      <fill>
        <patternFill patternType="gray0625">
          <fgColor indexed="64"/>
          <bgColor indexed="65"/>
        </patternFill>
      </fill>
      <alignment horizontal="center" vertical="bottom" textRotation="0" wrapText="1" indent="0" justifyLastLine="0" shrinkToFit="0" readingOrder="0"/>
    </dxf>
    <dxf>
      <numFmt numFmtId="1" formatCode="0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fill>
        <patternFill patternType="gray0625">
          <fgColor indexed="64"/>
          <bgColor indexed="65"/>
        </patternFill>
      </fill>
    </dxf>
    <dxf>
      <fill>
        <patternFill patternType="gray0625">
          <fgColor indexed="64"/>
          <bgColor indexed="65"/>
        </patternFill>
      </fill>
    </dxf>
    <dxf>
      <numFmt numFmtId="1" formatCode="0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" formatCode="0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  <numFmt numFmtId="0" formatCode="General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  <numFmt numFmtId="0" formatCode="General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  <numFmt numFmtId="0" formatCode="General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  <numFmt numFmtId="0" formatCode="General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  <numFmt numFmtId="0" formatCode="General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  <numFmt numFmtId="0" formatCode="General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  <numFmt numFmtId="0" formatCode="General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  <numFmt numFmtId="0" formatCode="General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  <numFmt numFmtId="0" formatCode="General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  <fill>
        <patternFill patternType="solid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" formatCode="0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" formatCode="0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21" formatCode="dd\-mmm"/>
      <alignment horizontal="center" vertical="bottom" textRotation="0" wrapText="0" indent="0" justifyLastLine="0" shrinkToFit="0" readingOrder="0"/>
    </dxf>
    <dxf>
      <alignment horizontal="center" vertical="bottom" textRotation="0" wrapText="1" indent="0" justifyLastLine="0" shrinkToFit="0" readingOrder="0"/>
    </dxf>
    <dxf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strike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rgb="FF00B050"/>
        <name val="Calibri"/>
        <family val="2"/>
        <scheme val="minor"/>
      </font>
    </dxf>
    <dxf>
      <font>
        <strike val="0"/>
        <outline val="0"/>
        <shadow val="0"/>
        <u val="none"/>
        <sz val="11"/>
        <color auto="1"/>
        <name val="Calibri"/>
        <family val="2"/>
        <scheme val="minor"/>
      </font>
      <fill>
        <patternFill patternType="solid">
          <fgColor indexed="64"/>
        </patternFill>
      </fill>
    </dxf>
    <dxf>
      <font>
        <strike val="0"/>
        <outline val="0"/>
        <shadow val="0"/>
        <u val="none"/>
        <sz val="11"/>
        <color auto="1"/>
        <name val="Calibri"/>
        <family val="2"/>
        <scheme val="minor"/>
      </font>
      <fill>
        <patternFill patternType="solid">
          <fgColor indexed="64"/>
        </patternFill>
      </fill>
    </dxf>
    <dxf>
      <font>
        <strike val="0"/>
        <outline val="0"/>
        <shadow val="0"/>
        <u val="none"/>
        <sz val="11"/>
        <color auto="1"/>
        <name val="Calibri"/>
        <family val="2"/>
        <scheme val="minor"/>
      </font>
      <fill>
        <patternFill patternType="solid">
          <fgColor indexed="64"/>
        </patternFill>
      </fill>
    </dxf>
    <dxf>
      <font>
        <strike val="0"/>
        <outline val="0"/>
        <shadow val="0"/>
        <u val="none"/>
        <sz val="11"/>
        <color auto="1"/>
        <name val="Calibri"/>
        <family val="2"/>
      </font>
    </dxf>
    <dxf>
      <numFmt numFmtId="1" formatCode="0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1" formatCode="0"/>
      <fill>
        <patternFill patternType="gray0625">
          <fgColor indexed="64"/>
          <bgColor indexed="65"/>
        </patternFill>
      </fill>
      <alignment horizontal="center" vertical="bottom" textRotation="0" wrapText="1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theme="7"/>
        </patternFill>
      </fill>
      <alignment horizontal="center" vertical="bottom" textRotation="0" wrapText="0" indent="0" justifyLastLine="0" shrinkToFit="0" readingOrder="0"/>
    </dxf>
    <dxf>
      <numFmt numFmtId="0" formatCode="General"/>
      <fill>
        <patternFill patternType="solid">
          <fgColor indexed="64"/>
          <bgColor theme="7"/>
        </patternFill>
      </fill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" formatCode="0"/>
      <fill>
        <patternFill patternType="gray0625">
          <fgColor indexed="64"/>
          <bgColor indexed="65"/>
        </patternFill>
      </fill>
      <alignment horizontal="center" vertical="bottom" textRotation="0" wrapText="1" indent="0" justifyLastLine="0" shrinkToFit="0" readingOrder="0"/>
    </dxf>
    <dxf>
      <numFmt numFmtId="1" formatCode="0"/>
    </dxf>
    <dxf>
      <numFmt numFmtId="1" formatCode="0"/>
      <fill>
        <patternFill patternType="solid">
          <fgColor indexed="64"/>
          <bgColor theme="7"/>
        </patternFill>
      </fill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" formatCode="0"/>
      <fill>
        <patternFill patternType="lightGray">
          <fgColor indexed="64"/>
          <bgColor rgb="FFFF000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lightGray">
          <fgColor indexed="64"/>
        </patternFill>
      </fill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" formatCode="0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1" formatCode="0"/>
      <fill>
        <patternFill patternType="gray0625">
          <fgColor indexed="64"/>
          <bgColor indexed="65"/>
        </patternFill>
      </fill>
      <alignment horizontal="center" vertical="bottom" textRotation="0" wrapText="1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21" formatCode="dd\-mmm"/>
      <alignment horizontal="center" vertical="bottom" textRotation="0" wrapText="0" indent="0" justifyLastLine="0" shrinkToFit="0" readingOrder="0"/>
    </dxf>
    <dxf>
      <alignment horizontal="center" vertical="bottom" textRotation="0" wrapText="1" indent="0" justifyLastLine="0" shrinkToFit="0" readingOrder="0"/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B050"/>
        </patternFill>
      </fill>
    </dxf>
    <dxf>
      <fill>
        <patternFill>
          <bgColor theme="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70C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11"/>
        <color rgb="FF00B050"/>
        <name val="Calibri"/>
        <family val="2"/>
        <scheme val="minor"/>
      </font>
    </dxf>
    <dxf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sz val="11"/>
        <color theme="3"/>
        <name val="Calibri"/>
        <family val="2"/>
        <scheme val="minor"/>
      </font>
    </dxf>
    <dxf>
      <font>
        <strike val="0"/>
        <outline val="0"/>
        <shadow val="0"/>
        <u val="none"/>
        <sz val="11"/>
        <color theme="3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sz val="11"/>
        <color theme="3"/>
        <name val="Calibri"/>
        <family val="2"/>
        <scheme val="minor"/>
      </font>
    </dxf>
    <dxf>
      <font>
        <strike val="0"/>
        <outline val="0"/>
        <shadow val="0"/>
        <u val="none"/>
        <sz val="11"/>
        <color theme="3"/>
        <name val="Calibri"/>
        <family val="2"/>
        <scheme val="minor"/>
      </font>
    </dxf>
    <dxf>
      <numFmt numFmtId="1" formatCode="0"/>
      <alignment horizontal="center" vertical="bottom" textRotation="0" wrapText="1" indent="0" justifyLastLine="0" shrinkToFit="0" readingOrder="0"/>
    </dxf>
    <dxf>
      <numFmt numFmtId="1" formatCode="0"/>
      <fill>
        <patternFill patternType="solid">
          <fgColor indexed="64"/>
          <bgColor theme="9" tint="0.59999389629810485"/>
        </patternFill>
      </fill>
      <alignment horizontal="center" vertical="bottom" textRotation="0" wrapText="1" indent="0" justifyLastLine="0" shrinkToFit="0" readingOrder="0"/>
    </dxf>
    <dxf>
      <numFmt numFmtId="0" formatCode="General"/>
      <fill>
        <patternFill patternType="solid">
          <fgColor indexed="64"/>
          <bgColor theme="9" tint="0.59999389629810485"/>
        </patternFill>
      </fill>
      <alignment horizontal="center" vertical="bottom" textRotation="0" wrapText="1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1" indent="0" justifyLastLine="0" shrinkToFit="0" readingOrder="0"/>
    </dxf>
    <dxf>
      <numFmt numFmtId="1" formatCode="0"/>
      <fill>
        <patternFill patternType="solid">
          <fgColor indexed="64"/>
          <bgColor theme="7" tint="0.39997558519241921"/>
        </patternFill>
      </fill>
      <alignment horizontal="center" vertical="bottom" textRotation="0" wrapText="1" indent="0" justifyLastLine="0" shrinkToFit="0" readingOrder="0"/>
    </dxf>
    <dxf>
      <numFmt numFmtId="0" formatCode="General"/>
      <fill>
        <patternFill patternType="solid">
          <fgColor indexed="64"/>
          <bgColor theme="7" tint="0.39997558519241921"/>
        </patternFill>
      </fill>
      <alignment horizontal="center" vertical="bottom" textRotation="0" wrapText="1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1" indent="0" justifyLastLine="0" shrinkToFit="0" readingOrder="0"/>
    </dxf>
    <dxf>
      <numFmt numFmtId="1" formatCode="0"/>
      <fill>
        <patternFill patternType="solid">
          <fgColor indexed="64"/>
          <bgColor theme="4" tint="0.59999389629810485"/>
        </patternFill>
      </fill>
      <alignment horizontal="center" vertical="bottom" textRotation="0" wrapText="0" indent="0" justifyLastLine="0" shrinkToFit="0" readingOrder="0"/>
    </dxf>
    <dxf>
      <numFmt numFmtId="0" formatCode="General"/>
      <fill>
        <patternFill patternType="solid">
          <fgColor indexed="64"/>
          <bgColor theme="4" tint="0.59999389629810485"/>
        </patternFill>
      </fill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" formatCode="0"/>
    </dxf>
    <dxf>
      <alignment horizontal="center" vertical="bottom" textRotation="0" wrapText="0" indent="0" justifyLastLine="0" shrinkToFit="0" readingOrder="0"/>
    </dxf>
    <dxf>
      <numFmt numFmtId="21" formatCode="dd\-mmm"/>
      <alignment horizontal="center" vertical="bottom" textRotation="0" wrapText="0" indent="0" justifyLastLine="0" shrinkToFit="0" readingOrder="0"/>
    </dxf>
    <dxf>
      <alignment horizontal="center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5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dd/mm/yyyy\ hh:mm"/>
    </dxf>
    <dxf>
      <numFmt numFmtId="0" formatCode="General"/>
    </dxf>
    <dxf>
      <numFmt numFmtId="0" formatCode="General"/>
    </dxf>
    <dxf>
      <numFmt numFmtId="0" formatCode="General"/>
    </dxf>
    <dxf>
      <numFmt numFmtId="27" formatCode="dd/mm/yyyy\ h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powerPivotData" Target="model/item.data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Relationship Id="rId14" Type="http://schemas.microsoft.com/office/2017/10/relationships/person" Target="persons/person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.xml"/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.xml"/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.xml"/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.xml"/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.xml"/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it-IT" sz="1800" b="1" i="0" baseline="0">
                <a:effectLst/>
              </a:rPr>
              <a:t>COVID-19 Italy Removals (recoveries or deaths)</a:t>
            </a:r>
            <a:endParaRPr lang="it-IT">
              <a:effectLst/>
            </a:endParaRPr>
          </a:p>
          <a:p>
            <a:pPr>
              <a:defRPr/>
            </a:pPr>
            <a:r>
              <a:rPr lang="it-IT" sz="1800" b="1" i="0" baseline="0">
                <a:effectLst/>
              </a:rPr>
              <a:t>Cumulative Removals - basic SIR</a:t>
            </a:r>
            <a:endParaRPr lang="it-IT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0546164268848419"/>
          <c:y val="0.1523757215453829"/>
          <c:w val="0.67992425879723528"/>
          <c:h val="0.79451795610791842"/>
        </c:manualLayout>
      </c:layout>
      <c:scatterChart>
        <c:scatterStyle val="smoothMarker"/>
        <c:varyColors val="0"/>
        <c:ser>
          <c:idx val="1"/>
          <c:order val="1"/>
          <c:tx>
            <c:strRef>
              <c:f>Cumul_removed_bSIR!$F$7</c:f>
              <c:strCache>
                <c:ptCount val="1"/>
                <c:pt idx="0">
                  <c:v>Italy sum of regions</c:v>
                </c:pt>
              </c:strCache>
              <c:extLst xmlns:c15="http://schemas.microsoft.com/office/drawing/2012/chart"/>
            </c:strRef>
          </c:tx>
          <c:spPr>
            <a:ln w="9525" cap="rnd">
              <a:solidFill>
                <a:schemeClr val="tx1"/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Cumul_removed_bSIR!$C$62:$C$184</c:f>
              <c:numCache>
                <c:formatCode>General</c:formatCode>
                <c:ptCount val="123"/>
                <c:pt idx="0">
                  <c:v>55</c:v>
                </c:pt>
                <c:pt idx="1">
                  <c:v>56</c:v>
                </c:pt>
                <c:pt idx="2">
                  <c:v>57</c:v>
                </c:pt>
                <c:pt idx="3">
                  <c:v>58</c:v>
                </c:pt>
                <c:pt idx="4">
                  <c:v>59</c:v>
                </c:pt>
                <c:pt idx="5">
                  <c:v>60</c:v>
                </c:pt>
                <c:pt idx="6">
                  <c:v>61</c:v>
                </c:pt>
                <c:pt idx="7">
                  <c:v>62</c:v>
                </c:pt>
                <c:pt idx="8">
                  <c:v>63</c:v>
                </c:pt>
                <c:pt idx="9">
                  <c:v>64</c:v>
                </c:pt>
                <c:pt idx="10">
                  <c:v>65</c:v>
                </c:pt>
                <c:pt idx="11">
                  <c:v>66</c:v>
                </c:pt>
                <c:pt idx="12">
                  <c:v>67</c:v>
                </c:pt>
                <c:pt idx="13">
                  <c:v>68</c:v>
                </c:pt>
                <c:pt idx="14">
                  <c:v>69</c:v>
                </c:pt>
                <c:pt idx="15">
                  <c:v>70</c:v>
                </c:pt>
                <c:pt idx="16">
                  <c:v>71</c:v>
                </c:pt>
                <c:pt idx="17">
                  <c:v>72</c:v>
                </c:pt>
                <c:pt idx="18">
                  <c:v>73</c:v>
                </c:pt>
                <c:pt idx="19">
                  <c:v>74</c:v>
                </c:pt>
                <c:pt idx="20">
                  <c:v>75</c:v>
                </c:pt>
                <c:pt idx="21">
                  <c:v>76</c:v>
                </c:pt>
                <c:pt idx="22">
                  <c:v>77</c:v>
                </c:pt>
                <c:pt idx="23">
                  <c:v>78</c:v>
                </c:pt>
                <c:pt idx="24">
                  <c:v>79</c:v>
                </c:pt>
                <c:pt idx="25">
                  <c:v>80</c:v>
                </c:pt>
                <c:pt idx="26">
                  <c:v>81</c:v>
                </c:pt>
                <c:pt idx="27">
                  <c:v>82</c:v>
                </c:pt>
                <c:pt idx="28">
                  <c:v>83</c:v>
                </c:pt>
                <c:pt idx="29">
                  <c:v>84</c:v>
                </c:pt>
                <c:pt idx="30">
                  <c:v>85</c:v>
                </c:pt>
                <c:pt idx="31">
                  <c:v>86</c:v>
                </c:pt>
                <c:pt idx="32">
                  <c:v>87</c:v>
                </c:pt>
                <c:pt idx="33">
                  <c:v>88</c:v>
                </c:pt>
                <c:pt idx="34">
                  <c:v>89</c:v>
                </c:pt>
                <c:pt idx="35">
                  <c:v>90</c:v>
                </c:pt>
                <c:pt idx="36">
                  <c:v>91</c:v>
                </c:pt>
                <c:pt idx="37">
                  <c:v>92</c:v>
                </c:pt>
                <c:pt idx="38">
                  <c:v>93</c:v>
                </c:pt>
                <c:pt idx="39">
                  <c:v>94</c:v>
                </c:pt>
                <c:pt idx="40">
                  <c:v>95</c:v>
                </c:pt>
                <c:pt idx="41">
                  <c:v>96</c:v>
                </c:pt>
                <c:pt idx="42">
                  <c:v>97</c:v>
                </c:pt>
                <c:pt idx="43">
                  <c:v>98</c:v>
                </c:pt>
                <c:pt idx="44">
                  <c:v>99</c:v>
                </c:pt>
                <c:pt idx="45">
                  <c:v>100</c:v>
                </c:pt>
                <c:pt idx="46">
                  <c:v>101</c:v>
                </c:pt>
                <c:pt idx="47">
                  <c:v>102</c:v>
                </c:pt>
                <c:pt idx="48">
                  <c:v>103</c:v>
                </c:pt>
                <c:pt idx="49">
                  <c:v>104</c:v>
                </c:pt>
                <c:pt idx="50">
                  <c:v>105</c:v>
                </c:pt>
                <c:pt idx="51">
                  <c:v>106</c:v>
                </c:pt>
                <c:pt idx="52">
                  <c:v>107</c:v>
                </c:pt>
                <c:pt idx="53">
                  <c:v>108</c:v>
                </c:pt>
                <c:pt idx="54">
                  <c:v>109</c:v>
                </c:pt>
                <c:pt idx="55">
                  <c:v>110</c:v>
                </c:pt>
                <c:pt idx="56">
                  <c:v>111</c:v>
                </c:pt>
                <c:pt idx="57">
                  <c:v>112</c:v>
                </c:pt>
                <c:pt idx="58">
                  <c:v>113</c:v>
                </c:pt>
                <c:pt idx="59">
                  <c:v>114</c:v>
                </c:pt>
                <c:pt idx="60">
                  <c:v>115</c:v>
                </c:pt>
                <c:pt idx="61">
                  <c:v>116</c:v>
                </c:pt>
                <c:pt idx="62">
                  <c:v>117</c:v>
                </c:pt>
                <c:pt idx="63">
                  <c:v>118</c:v>
                </c:pt>
                <c:pt idx="64">
                  <c:v>119</c:v>
                </c:pt>
                <c:pt idx="65">
                  <c:v>120</c:v>
                </c:pt>
                <c:pt idx="66">
                  <c:v>121</c:v>
                </c:pt>
                <c:pt idx="67">
                  <c:v>122</c:v>
                </c:pt>
                <c:pt idx="68">
                  <c:v>123</c:v>
                </c:pt>
                <c:pt idx="69">
                  <c:v>124</c:v>
                </c:pt>
                <c:pt idx="70">
                  <c:v>125</c:v>
                </c:pt>
                <c:pt idx="71">
                  <c:v>126</c:v>
                </c:pt>
                <c:pt idx="72">
                  <c:v>127</c:v>
                </c:pt>
                <c:pt idx="73">
                  <c:v>128</c:v>
                </c:pt>
                <c:pt idx="74">
                  <c:v>129</c:v>
                </c:pt>
                <c:pt idx="75">
                  <c:v>130</c:v>
                </c:pt>
                <c:pt idx="76">
                  <c:v>131</c:v>
                </c:pt>
                <c:pt idx="77">
                  <c:v>132</c:v>
                </c:pt>
                <c:pt idx="78">
                  <c:v>133</c:v>
                </c:pt>
                <c:pt idx="79">
                  <c:v>134</c:v>
                </c:pt>
                <c:pt idx="80">
                  <c:v>135</c:v>
                </c:pt>
                <c:pt idx="81">
                  <c:v>136</c:v>
                </c:pt>
                <c:pt idx="82">
                  <c:v>137</c:v>
                </c:pt>
                <c:pt idx="83">
                  <c:v>138</c:v>
                </c:pt>
                <c:pt idx="84">
                  <c:v>139</c:v>
                </c:pt>
                <c:pt idx="85">
                  <c:v>140</c:v>
                </c:pt>
                <c:pt idx="86">
                  <c:v>141</c:v>
                </c:pt>
                <c:pt idx="87">
                  <c:v>142</c:v>
                </c:pt>
                <c:pt idx="88">
                  <c:v>143</c:v>
                </c:pt>
                <c:pt idx="89">
                  <c:v>144</c:v>
                </c:pt>
                <c:pt idx="90">
                  <c:v>145</c:v>
                </c:pt>
                <c:pt idx="91">
                  <c:v>146</c:v>
                </c:pt>
                <c:pt idx="92">
                  <c:v>147</c:v>
                </c:pt>
                <c:pt idx="93">
                  <c:v>148</c:v>
                </c:pt>
                <c:pt idx="94">
                  <c:v>149</c:v>
                </c:pt>
                <c:pt idx="95">
                  <c:v>150</c:v>
                </c:pt>
                <c:pt idx="96">
                  <c:v>151</c:v>
                </c:pt>
                <c:pt idx="97">
                  <c:v>152</c:v>
                </c:pt>
                <c:pt idx="98">
                  <c:v>153</c:v>
                </c:pt>
                <c:pt idx="99">
                  <c:v>154</c:v>
                </c:pt>
                <c:pt idx="100">
                  <c:v>155</c:v>
                </c:pt>
                <c:pt idx="101">
                  <c:v>156</c:v>
                </c:pt>
                <c:pt idx="102">
                  <c:v>157</c:v>
                </c:pt>
                <c:pt idx="103">
                  <c:v>158</c:v>
                </c:pt>
                <c:pt idx="104">
                  <c:v>159</c:v>
                </c:pt>
                <c:pt idx="105">
                  <c:v>160</c:v>
                </c:pt>
                <c:pt idx="106">
                  <c:v>161</c:v>
                </c:pt>
                <c:pt idx="107">
                  <c:v>162</c:v>
                </c:pt>
                <c:pt idx="108">
                  <c:v>163</c:v>
                </c:pt>
                <c:pt idx="109">
                  <c:v>164</c:v>
                </c:pt>
                <c:pt idx="110">
                  <c:v>165</c:v>
                </c:pt>
                <c:pt idx="111">
                  <c:v>166</c:v>
                </c:pt>
                <c:pt idx="112">
                  <c:v>167</c:v>
                </c:pt>
                <c:pt idx="113">
                  <c:v>168</c:v>
                </c:pt>
                <c:pt idx="114">
                  <c:v>169</c:v>
                </c:pt>
                <c:pt idx="115">
                  <c:v>170</c:v>
                </c:pt>
                <c:pt idx="116">
                  <c:v>171</c:v>
                </c:pt>
                <c:pt idx="117">
                  <c:v>172</c:v>
                </c:pt>
                <c:pt idx="118">
                  <c:v>173</c:v>
                </c:pt>
                <c:pt idx="119">
                  <c:v>174</c:v>
                </c:pt>
                <c:pt idx="120">
                  <c:v>175</c:v>
                </c:pt>
                <c:pt idx="121">
                  <c:v>176</c:v>
                </c:pt>
                <c:pt idx="122">
                  <c:v>177</c:v>
                </c:pt>
              </c:numCache>
            </c:numRef>
          </c:xVal>
          <c:yVal>
            <c:numRef>
              <c:f>Cumul_removed_bSIR!$F$62:$F$184</c:f>
              <c:numCache>
                <c:formatCode>0</c:formatCode>
                <c:ptCount val="1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242.70089901987399</c:v>
                </c:pt>
                <c:pt idx="16">
                  <c:v>1061.5303582923698</c:v>
                </c:pt>
                <c:pt idx="17">
                  <c:v>1914.841051772273</c:v>
                </c:pt>
                <c:pt idx="18">
                  <c:v>2803.7663210252686</c:v>
                </c:pt>
                <c:pt idx="19">
                  <c:v>3729.4469052643476</c:v>
                </c:pt>
                <c:pt idx="20">
                  <c:v>4693.0278268014363</c:v>
                </c:pt>
                <c:pt idx="21">
                  <c:v>5727.7557840954441</c:v>
                </c:pt>
                <c:pt idx="22">
                  <c:v>6814.6042940609495</c:v>
                </c:pt>
                <c:pt idx="23">
                  <c:v>7944.8632197976785</c:v>
                </c:pt>
                <c:pt idx="24">
                  <c:v>9119.7301135061807</c:v>
                </c:pt>
                <c:pt idx="25">
                  <c:v>10340.386097652477</c:v>
                </c:pt>
                <c:pt idx="26">
                  <c:v>11607.990376530008</c:v>
                </c:pt>
                <c:pt idx="27">
                  <c:v>12923.674363842643</c:v>
                </c:pt>
                <c:pt idx="28">
                  <c:v>14288.535430668328</c:v>
                </c:pt>
                <c:pt idx="29">
                  <c:v>15703.630282663242</c:v>
                </c:pt>
                <c:pt idx="30">
                  <c:v>17169.96798036234</c:v>
                </c:pt>
                <c:pt idx="31">
                  <c:v>18688.502621920961</c:v>
                </c:pt>
                <c:pt idx="32">
                  <c:v>20260.125713596368</c:v>
                </c:pt>
                <c:pt idx="33">
                  <c:v>21885.658259656062</c:v>
                </c:pt>
                <c:pt idx="34">
                  <c:v>23565.842610167681</c:v>
                </c:pt>
                <c:pt idx="35">
                  <c:v>25301.334112205797</c:v>
                </c:pt>
                <c:pt idx="36">
                  <c:v>27092.69261731868</c:v>
                </c:pt>
                <c:pt idx="37">
                  <c:v>28940.373905526001</c:v>
                </c:pt>
                <c:pt idx="38">
                  <c:v>30844.721093544871</c:v>
                </c:pt>
                <c:pt idx="39">
                  <c:v>32805.956102221615</c:v>
                </c:pt>
                <c:pt idx="40">
                  <c:v>34824.171265119934</c:v>
                </c:pt>
                <c:pt idx="41">
                  <c:v>36899.321166705638</c:v>
                </c:pt>
                <c:pt idx="42">
                  <c:v>39031.214804384661</c:v>
                </c:pt>
                <c:pt idx="43">
                  <c:v>41219.508173590635</c:v>
                </c:pt>
                <c:pt idx="44">
                  <c:v>43463.69737897961</c:v>
                </c:pt>
                <c:pt idx="45">
                  <c:v>45763.11237736421</c:v>
                </c:pt>
                <c:pt idx="46">
                  <c:v>48116.911459106981</c:v>
                </c:pt>
                <c:pt idx="47">
                  <c:v>50524.076574111758</c:v>
                </c:pt>
                <c:pt idx="48">
                  <c:v>52983.409606131157</c:v>
                </c:pt>
                <c:pt idx="49">
                  <c:v>55493.529694717567</c:v>
                </c:pt>
                <c:pt idx="50">
                  <c:v>58052.871697681709</c:v>
                </c:pt>
                <c:pt idx="51">
                  <c:v>60659.685878332682</c:v>
                </c:pt>
                <c:pt idx="52">
                  <c:v>63312.038891053213</c:v>
                </c:pt>
                <c:pt idx="53">
                  <c:v>66007.816125967627</c:v>
                </c:pt>
                <c:pt idx="54">
                  <c:v>68744.725458698871</c:v>
                </c:pt>
                <c:pt idx="55">
                  <c:v>71520.302434666039</c:v>
                </c:pt>
                <c:pt idx="56">
                  <c:v>74331.91689928199</c:v>
                </c:pt>
                <c:pt idx="57">
                  <c:v>77176.781066075317</c:v>
                </c:pt>
                <c:pt idx="58">
                  <c:v>80051.958994536253</c:v>
                </c:pt>
                <c:pt idx="59">
                  <c:v>82954.377428776628</c:v>
                </c:pt>
                <c:pt idx="60">
                  <c:v>85880.837927342232</c:v>
                </c:pt>
                <c:pt idx="61">
                  <c:v>88828.030194183972</c:v>
                </c:pt>
                <c:pt idx="62">
                  <c:v>91792.546501364501</c:v>
                </c:pt>
                <c:pt idx="63">
                  <c:v>94770.897076014429</c:v>
                </c:pt>
                <c:pt idx="64">
                  <c:v>97759.526307815613</c:v>
                </c:pt>
                <c:pt idx="65">
                  <c:v>100754.82961928663</c:v>
                </c:pt>
                <c:pt idx="66">
                  <c:v>103753.17082974405</c:v>
                </c:pt>
                <c:pt idx="67">
                  <c:v>106750.89983531136</c:v>
                </c:pt>
                <c:pt idx="68">
                  <c:v>109744.37042196463</c:v>
                </c:pt>
                <c:pt idx="69">
                  <c:v>112729.95802648344</c:v>
                </c:pt>
                <c:pt idx="70">
                  <c:v>115704.07726136249</c:v>
                </c:pt>
                <c:pt idx="71">
                  <c:v>118663.199024196</c:v>
                </c:pt>
                <c:pt idx="72">
                  <c:v>121603.86701964114</c:v>
                </c:pt>
                <c:pt idx="73">
                  <c:v>124522.71353258782</c:v>
                </c:pt>
                <c:pt idx="74">
                  <c:v>127416.47430432113</c:v>
                </c:pt>
                <c:pt idx="75">
                  <c:v>130282.00237890871</c:v>
                </c:pt>
                <c:pt idx="76">
                  <c:v>133116.28080437798</c:v>
                </c:pt>
                <c:pt idx="77">
                  <c:v>135916.43409202769</c:v>
                </c:pt>
                <c:pt idx="78">
                  <c:v>138679.73835698958</c:v>
                </c:pt>
                <c:pt idx="79">
                  <c:v>141403.63008345186</c:v>
                </c:pt>
                <c:pt idx="80">
                  <c:v>144085.7134783286</c:v>
                </c:pt>
                <c:pt idx="81">
                  <c:v>146723.76639716892</c:v>
                </c:pt>
                <c:pt idx="82">
                  <c:v>149315.74484535865</c:v>
                </c:pt>
                <c:pt idx="83">
                  <c:v>151859.78607581562</c:v>
                </c:pt>
                <c:pt idx="84">
                  <c:v>154354.21032112167</c:v>
                </c:pt>
                <c:pt idx="85">
                  <c:v>156797.52121312136</c:v>
                </c:pt>
                <c:pt idx="86">
                  <c:v>159188.40495626823</c:v>
                </c:pt>
                <c:pt idx="87">
                  <c:v>161525.72833228469</c:v>
                </c:pt>
                <c:pt idx="88">
                  <c:v>163808.53562295283</c:v>
                </c:pt>
                <c:pt idx="89">
                  <c:v>166036.04454506072</c:v>
                </c:pt>
                <c:pt idx="90">
                  <c:v>168207.64129672316</c:v>
                </c:pt>
                <c:pt idx="91">
                  <c:v>170322.87481755513</c:v>
                </c:pt>
                <c:pt idx="92">
                  <c:v>172381.4503666221</c:v>
                </c:pt>
                <c:pt idx="93">
                  <c:v>174383.22252186041</c:v>
                </c:pt>
                <c:pt idx="94">
                  <c:v>176328.18770292497</c:v>
                </c:pt>
                <c:pt idx="95">
                  <c:v>178216.47631636207</c:v>
                </c:pt>
                <c:pt idx="96">
                  <c:v>180048.34461781185</c:v>
                </c:pt>
                <c:pt idx="97">
                  <c:v>181824.16638081215</c:v>
                </c:pt>
                <c:pt idx="98">
                  <c:v>183544.42445589529</c:v>
                </c:pt>
                <c:pt idx="99">
                  <c:v>185209.70229722315</c:v>
                </c:pt>
                <c:pt idx="100">
                  <c:v>186820.6755271696</c:v>
                </c:pt>
                <c:pt idx="101">
                  <c:v>188378.10360219207</c:v>
                </c:pt>
                <c:pt idx="102">
                  <c:v>189882.82163617769</c:v>
                </c:pt>
                <c:pt idx="103">
                  <c:v>191335.73243033627</c:v>
                </c:pt>
                <c:pt idx="104">
                  <c:v>192737.79875174657</c:v>
                </c:pt>
                <c:pt idx="105">
                  <c:v>194090.03589593948</c:v>
                </c:pt>
                <c:pt idx="106">
                  <c:v>195393.50456250063</c:v>
                </c:pt>
                <c:pt idx="107">
                  <c:v>196649.30406664274</c:v>
                </c:pt>
                <c:pt idx="108">
                  <c:v>197858.56590409525</c:v>
                </c:pt>
                <c:pt idx="109">
                  <c:v>199022.4476815009</c:v>
                </c:pt>
                <c:pt idx="110">
                  <c:v>200142.12741982043</c:v>
                </c:pt>
                <c:pt idx="111">
                  <c:v>201218.79823403471</c:v>
                </c:pt>
                <c:pt idx="112">
                  <c:v>202253.66338869333</c:v>
                </c:pt>
                <c:pt idx="113">
                  <c:v>203247.93172557827</c:v>
                </c:pt>
                <c:pt idx="114">
                  <c:v>204202.81345692146</c:v>
                </c:pt>
                <c:pt idx="115">
                  <c:v>205119.51631520217</c:v>
                </c:pt>
                <c:pt idx="116">
                  <c:v>205999.24204854199</c:v>
                </c:pt>
                <c:pt idx="117">
                  <c:v>206843.1832490727</c:v>
                </c:pt>
                <c:pt idx="118">
                  <c:v>207652.52050035133</c:v>
                </c:pt>
                <c:pt idx="119">
                  <c:v>208428.41982890738</c:v>
                </c:pt>
                <c:pt idx="120">
                  <c:v>209172.03044429256</c:v>
                </c:pt>
                <c:pt idx="121">
                  <c:v>209884.48275154183</c:v>
                </c:pt>
                <c:pt idx="122">
                  <c:v>210566.88661970836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C697-44AA-A96B-8DCC64E76E94}"/>
            </c:ext>
          </c:extLst>
        </c:ser>
        <c:ser>
          <c:idx val="12"/>
          <c:order val="2"/>
          <c:tx>
            <c:strRef>
              <c:f>Cumul_removed_bSIR!$I$7</c:f>
              <c:strCache>
                <c:ptCount val="1"/>
                <c:pt idx="0">
                  <c:v>Italy fit</c:v>
                </c:pt>
              </c:strCache>
              <c:extLst xmlns:c15="http://schemas.microsoft.com/office/drawing/2012/chart"/>
            </c:strRef>
          </c:tx>
          <c:spPr>
            <a:ln w="9525" cap="rnd">
              <a:solidFill>
                <a:srgbClr val="0070C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Cumul_removed_bSIR!$C$62:$C$184</c:f>
              <c:numCache>
                <c:formatCode>General</c:formatCode>
                <c:ptCount val="123"/>
                <c:pt idx="0">
                  <c:v>55</c:v>
                </c:pt>
                <c:pt idx="1">
                  <c:v>56</c:v>
                </c:pt>
                <c:pt idx="2">
                  <c:v>57</c:v>
                </c:pt>
                <c:pt idx="3">
                  <c:v>58</c:v>
                </c:pt>
                <c:pt idx="4">
                  <c:v>59</c:v>
                </c:pt>
                <c:pt idx="5">
                  <c:v>60</c:v>
                </c:pt>
                <c:pt idx="6">
                  <c:v>61</c:v>
                </c:pt>
                <c:pt idx="7">
                  <c:v>62</c:v>
                </c:pt>
                <c:pt idx="8">
                  <c:v>63</c:v>
                </c:pt>
                <c:pt idx="9">
                  <c:v>64</c:v>
                </c:pt>
                <c:pt idx="10">
                  <c:v>65</c:v>
                </c:pt>
                <c:pt idx="11">
                  <c:v>66</c:v>
                </c:pt>
                <c:pt idx="12">
                  <c:v>67</c:v>
                </c:pt>
                <c:pt idx="13">
                  <c:v>68</c:v>
                </c:pt>
                <c:pt idx="14">
                  <c:v>69</c:v>
                </c:pt>
                <c:pt idx="15">
                  <c:v>70</c:v>
                </c:pt>
                <c:pt idx="16">
                  <c:v>71</c:v>
                </c:pt>
                <c:pt idx="17">
                  <c:v>72</c:v>
                </c:pt>
                <c:pt idx="18">
                  <c:v>73</c:v>
                </c:pt>
                <c:pt idx="19">
                  <c:v>74</c:v>
                </c:pt>
                <c:pt idx="20">
                  <c:v>75</c:v>
                </c:pt>
                <c:pt idx="21">
                  <c:v>76</c:v>
                </c:pt>
                <c:pt idx="22">
                  <c:v>77</c:v>
                </c:pt>
                <c:pt idx="23">
                  <c:v>78</c:v>
                </c:pt>
                <c:pt idx="24">
                  <c:v>79</c:v>
                </c:pt>
                <c:pt idx="25">
                  <c:v>80</c:v>
                </c:pt>
                <c:pt idx="26">
                  <c:v>81</c:v>
                </c:pt>
                <c:pt idx="27">
                  <c:v>82</c:v>
                </c:pt>
                <c:pt idx="28">
                  <c:v>83</c:v>
                </c:pt>
                <c:pt idx="29">
                  <c:v>84</c:v>
                </c:pt>
                <c:pt idx="30">
                  <c:v>85</c:v>
                </c:pt>
                <c:pt idx="31">
                  <c:v>86</c:v>
                </c:pt>
                <c:pt idx="32">
                  <c:v>87</c:v>
                </c:pt>
                <c:pt idx="33">
                  <c:v>88</c:v>
                </c:pt>
                <c:pt idx="34">
                  <c:v>89</c:v>
                </c:pt>
                <c:pt idx="35">
                  <c:v>90</c:v>
                </c:pt>
                <c:pt idx="36">
                  <c:v>91</c:v>
                </c:pt>
                <c:pt idx="37">
                  <c:v>92</c:v>
                </c:pt>
                <c:pt idx="38">
                  <c:v>93</c:v>
                </c:pt>
                <c:pt idx="39">
                  <c:v>94</c:v>
                </c:pt>
                <c:pt idx="40">
                  <c:v>95</c:v>
                </c:pt>
                <c:pt idx="41">
                  <c:v>96</c:v>
                </c:pt>
                <c:pt idx="42">
                  <c:v>97</c:v>
                </c:pt>
                <c:pt idx="43">
                  <c:v>98</c:v>
                </c:pt>
                <c:pt idx="44">
                  <c:v>99</c:v>
                </c:pt>
                <c:pt idx="45">
                  <c:v>100</c:v>
                </c:pt>
                <c:pt idx="46">
                  <c:v>101</c:v>
                </c:pt>
                <c:pt idx="47">
                  <c:v>102</c:v>
                </c:pt>
                <c:pt idx="48">
                  <c:v>103</c:v>
                </c:pt>
                <c:pt idx="49">
                  <c:v>104</c:v>
                </c:pt>
                <c:pt idx="50">
                  <c:v>105</c:v>
                </c:pt>
                <c:pt idx="51">
                  <c:v>106</c:v>
                </c:pt>
                <c:pt idx="52">
                  <c:v>107</c:v>
                </c:pt>
                <c:pt idx="53">
                  <c:v>108</c:v>
                </c:pt>
                <c:pt idx="54">
                  <c:v>109</c:v>
                </c:pt>
                <c:pt idx="55">
                  <c:v>110</c:v>
                </c:pt>
                <c:pt idx="56">
                  <c:v>111</c:v>
                </c:pt>
                <c:pt idx="57">
                  <c:v>112</c:v>
                </c:pt>
                <c:pt idx="58">
                  <c:v>113</c:v>
                </c:pt>
                <c:pt idx="59">
                  <c:v>114</c:v>
                </c:pt>
                <c:pt idx="60">
                  <c:v>115</c:v>
                </c:pt>
                <c:pt idx="61">
                  <c:v>116</c:v>
                </c:pt>
                <c:pt idx="62">
                  <c:v>117</c:v>
                </c:pt>
                <c:pt idx="63">
                  <c:v>118</c:v>
                </c:pt>
                <c:pt idx="64">
                  <c:v>119</c:v>
                </c:pt>
                <c:pt idx="65">
                  <c:v>120</c:v>
                </c:pt>
                <c:pt idx="66">
                  <c:v>121</c:v>
                </c:pt>
                <c:pt idx="67">
                  <c:v>122</c:v>
                </c:pt>
                <c:pt idx="68">
                  <c:v>123</c:v>
                </c:pt>
                <c:pt idx="69">
                  <c:v>124</c:v>
                </c:pt>
                <c:pt idx="70">
                  <c:v>125</c:v>
                </c:pt>
                <c:pt idx="71">
                  <c:v>126</c:v>
                </c:pt>
                <c:pt idx="72">
                  <c:v>127</c:v>
                </c:pt>
                <c:pt idx="73">
                  <c:v>128</c:v>
                </c:pt>
                <c:pt idx="74">
                  <c:v>129</c:v>
                </c:pt>
                <c:pt idx="75">
                  <c:v>130</c:v>
                </c:pt>
                <c:pt idx="76">
                  <c:v>131</c:v>
                </c:pt>
                <c:pt idx="77">
                  <c:v>132</c:v>
                </c:pt>
                <c:pt idx="78">
                  <c:v>133</c:v>
                </c:pt>
                <c:pt idx="79">
                  <c:v>134</c:v>
                </c:pt>
                <c:pt idx="80">
                  <c:v>135</c:v>
                </c:pt>
                <c:pt idx="81">
                  <c:v>136</c:v>
                </c:pt>
                <c:pt idx="82">
                  <c:v>137</c:v>
                </c:pt>
                <c:pt idx="83">
                  <c:v>138</c:v>
                </c:pt>
                <c:pt idx="84">
                  <c:v>139</c:v>
                </c:pt>
                <c:pt idx="85">
                  <c:v>140</c:v>
                </c:pt>
                <c:pt idx="86">
                  <c:v>141</c:v>
                </c:pt>
                <c:pt idx="87">
                  <c:v>142</c:v>
                </c:pt>
                <c:pt idx="88">
                  <c:v>143</c:v>
                </c:pt>
                <c:pt idx="89">
                  <c:v>144</c:v>
                </c:pt>
                <c:pt idx="90">
                  <c:v>145</c:v>
                </c:pt>
                <c:pt idx="91">
                  <c:v>146</c:v>
                </c:pt>
                <c:pt idx="92">
                  <c:v>147</c:v>
                </c:pt>
                <c:pt idx="93">
                  <c:v>148</c:v>
                </c:pt>
                <c:pt idx="94">
                  <c:v>149</c:v>
                </c:pt>
                <c:pt idx="95">
                  <c:v>150</c:v>
                </c:pt>
                <c:pt idx="96">
                  <c:v>151</c:v>
                </c:pt>
                <c:pt idx="97">
                  <c:v>152</c:v>
                </c:pt>
                <c:pt idx="98">
                  <c:v>153</c:v>
                </c:pt>
                <c:pt idx="99">
                  <c:v>154</c:v>
                </c:pt>
                <c:pt idx="100">
                  <c:v>155</c:v>
                </c:pt>
                <c:pt idx="101">
                  <c:v>156</c:v>
                </c:pt>
                <c:pt idx="102">
                  <c:v>157</c:v>
                </c:pt>
                <c:pt idx="103">
                  <c:v>158</c:v>
                </c:pt>
                <c:pt idx="104">
                  <c:v>159</c:v>
                </c:pt>
                <c:pt idx="105">
                  <c:v>160</c:v>
                </c:pt>
                <c:pt idx="106">
                  <c:v>161</c:v>
                </c:pt>
                <c:pt idx="107">
                  <c:v>162</c:v>
                </c:pt>
                <c:pt idx="108">
                  <c:v>163</c:v>
                </c:pt>
                <c:pt idx="109">
                  <c:v>164</c:v>
                </c:pt>
                <c:pt idx="110">
                  <c:v>165</c:v>
                </c:pt>
                <c:pt idx="111">
                  <c:v>166</c:v>
                </c:pt>
                <c:pt idx="112">
                  <c:v>167</c:v>
                </c:pt>
                <c:pt idx="113">
                  <c:v>168</c:v>
                </c:pt>
                <c:pt idx="114">
                  <c:v>169</c:v>
                </c:pt>
                <c:pt idx="115">
                  <c:v>170</c:v>
                </c:pt>
                <c:pt idx="116">
                  <c:v>171</c:v>
                </c:pt>
                <c:pt idx="117">
                  <c:v>172</c:v>
                </c:pt>
                <c:pt idx="118">
                  <c:v>173</c:v>
                </c:pt>
                <c:pt idx="119">
                  <c:v>174</c:v>
                </c:pt>
                <c:pt idx="120">
                  <c:v>175</c:v>
                </c:pt>
                <c:pt idx="121">
                  <c:v>176</c:v>
                </c:pt>
                <c:pt idx="122">
                  <c:v>177</c:v>
                </c:pt>
              </c:numCache>
            </c:numRef>
          </c:xVal>
          <c:yVal>
            <c:numRef>
              <c:f>Cumul_removed_bSIR!$I$62:$I$184</c:f>
              <c:numCache>
                <c:formatCode>General</c:formatCode>
                <c:ptCount val="1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129.02576862024938</c:v>
                </c:pt>
                <c:pt idx="16">
                  <c:v>978.05040302826933</c:v>
                </c:pt>
                <c:pt idx="17">
                  <c:v>1863.1845850473394</c:v>
                </c:pt>
                <c:pt idx="18">
                  <c:v>2785.6321063424789</c:v>
                </c:pt>
                <c:pt idx="19">
                  <c:v>3746.6055186727481</c:v>
                </c:pt>
                <c:pt idx="20">
                  <c:v>4747.3228558556657</c:v>
                </c:pt>
                <c:pt idx="21">
                  <c:v>5789.0040141284207</c:v>
                </c:pt>
                <c:pt idx="22">
                  <c:v>6872.8667783592682</c:v>
                </c:pt>
                <c:pt idx="23">
                  <c:v>8000.1224833371307</c:v>
                </c:pt>
                <c:pt idx="24">
                  <c:v>9171.971301530506</c:v>
                </c:pt>
                <c:pt idx="25">
                  <c:v>10389.597151287138</c:v>
                </c:pt>
                <c:pt idx="26">
                  <c:v>11654.162222470273</c:v>
                </c:pt>
                <c:pt idx="27">
                  <c:v>12966.801120014454</c:v>
                </c:pt>
                <c:pt idx="28">
                  <c:v>14328.614629851865</c:v>
                </c:pt>
                <c:pt idx="29">
                  <c:v>15740.663116114691</c:v>
                </c:pt>
                <c:pt idx="30">
                  <c:v>17203.95956346106</c:v>
                </c:pt>
                <c:pt idx="31">
                  <c:v>18719.462283792105</c:v>
                </c:pt>
                <c:pt idx="32">
                  <c:v>20288.067312499181</c:v>
                </c:pt>
                <c:pt idx="33">
                  <c:v>21910.600525673406</c:v>
                </c:pt>
                <c:pt idx="34">
                  <c:v>23587.809516367521</c:v>
                </c:pt>
                <c:pt idx="35">
                  <c:v>25320.355274959162</c:v>
                </c:pt>
                <c:pt idx="36">
                  <c:v>27108.803725840477</c:v>
                </c:pt>
                <c:pt idx="37">
                  <c:v>28953.617179946959</c:v>
                </c:pt>
                <c:pt idx="38">
                  <c:v>30855.145769920447</c:v>
                </c:pt>
                <c:pt idx="39">
                  <c:v>32813.618941838598</c:v>
                </c:pt>
                <c:pt idx="40">
                  <c:v>34829.137084278154</c:v>
                </c:pt>
                <c:pt idx="41">
                  <c:v>36901.663381846025</c:v>
                </c:pt>
                <c:pt idx="42">
                  <c:v>39031.015986023151</c:v>
                </c:pt>
                <c:pt idx="43">
                  <c:v>41216.860601031651</c:v>
                </c:pt>
                <c:pt idx="44">
                  <c:v>43458.703586257718</c:v>
                </c:pt>
                <c:pt idx="45">
                  <c:v>45755.885679343373</c:v>
                </c:pt>
                <c:pt idx="46">
                  <c:v>48107.576445208608</c:v>
                </c:pt>
                <c:pt idx="47">
                  <c:v>50512.769555802355</c:v>
                </c:pt>
                <c:pt idx="48">
                  <c:v>52970.279003145995</c:v>
                </c:pt>
                <c:pt idx="49">
                  <c:v>55478.736344095603</c:v>
                </c:pt>
                <c:pt idx="50">
                  <c:v>58036.589069107889</c:v>
                </c:pt>
                <c:pt idx="51">
                  <c:v>60642.100179094807</c:v>
                </c:pt>
                <c:pt idx="52">
                  <c:v>63293.349044181807</c:v>
                </c:pt>
                <c:pt idx="53">
                  <c:v>65988.233605889051</c:v>
                </c:pt>
                <c:pt idx="54">
                  <c:v>68724.47397003349</c:v>
                </c:pt>
                <c:pt idx="55">
                  <c:v>71499.617421664065</c:v>
                </c:pt>
                <c:pt idx="56">
                  <c:v>74311.044875810316</c:v>
                </c:pt>
                <c:pt idx="57">
                  <c:v>77155.978759027974</c:v>
                </c:pt>
                <c:pt idx="58">
                  <c:v>80031.492296992452</c:v>
                </c:pt>
                <c:pt idx="59">
                  <c:v>82934.520163104055</c:v>
                </c:pt>
                <c:pt idx="60">
                  <c:v>85861.870422645647</c:v>
                </c:pt>
                <c:pt idx="61">
                  <c:v>88810.237686916284</c:v>
                </c:pt>
                <c:pt idx="62">
                  <c:v>91776.217372416228</c:v>
                </c:pt>
                <c:pt idx="63">
                  <c:v>94756.320942036313</c:v>
                </c:pt>
                <c:pt idx="64">
                  <c:v>97746.991988753813</c:v>
                </c:pt>
                <c:pt idx="65">
                  <c:v>100744.62300797222</c:v>
                </c:pt>
                <c:pt idx="66">
                  <c:v>103745.57269273401</c:v>
                </c:pt>
                <c:pt idx="67">
                  <c:v>106746.18357689501</c:v>
                </c:pt>
                <c:pt idx="68">
                  <c:v>109742.79984522074</c:v>
                </c:pt>
                <c:pt idx="69">
                  <c:v>112731.78512641216</c:v>
                </c:pt>
                <c:pt idx="70">
                  <c:v>115709.54008536975</c:v>
                </c:pt>
                <c:pt idx="71">
                  <c:v>118672.51963455633</c:v>
                </c:pt>
                <c:pt idx="72">
                  <c:v>121617.24959101743</c:v>
                </c:pt>
                <c:pt idx="73">
                  <c:v>124540.34261529395</c:v>
                </c:pt>
                <c:pt idx="74">
                  <c:v>127438.51328084791</c:v>
                </c:pt>
                <c:pt idx="75">
                  <c:v>130308.59213740559</c:v>
                </c:pt>
                <c:pt idx="76">
                  <c:v>133147.5386484114</c:v>
                </c:pt>
                <c:pt idx="77">
                  <c:v>135952.45290117257</c:v>
                </c:pt>
                <c:pt idx="78">
                  <c:v>138720.58600779896</c:v>
                </c:pt>
                <c:pt idx="79">
                  <c:v>141449.34913524927</c:v>
                </c:pt>
                <c:pt idx="80">
                  <c:v>144136.32112322818</c:v>
                </c:pt>
                <c:pt idx="81">
                  <c:v>146779.25466889204</c:v>
                </c:pt>
                <c:pt idx="82">
                  <c:v>149376.08107690827</c:v>
                </c:pt>
                <c:pt idx="83">
                  <c:v>151924.91359199889</c:v>
                </c:pt>
                <c:pt idx="84">
                  <c:v>154424.04934836543</c:v>
                </c:pt>
                <c:pt idx="85">
                  <c:v>156871.96998606343</c:v>
                </c:pt>
                <c:pt idx="86">
                  <c:v>159267.3409982727</c:v>
                </c:pt>
                <c:pt idx="87">
                  <c:v>161609.00988533389</c:v>
                </c:pt>
                <c:pt idx="88">
                  <c:v>163896.00320131209</c:v>
                </c:pt>
                <c:pt idx="89">
                  <c:v>166127.52258666258</c:v>
                </c:pt>
                <c:pt idx="90">
                  <c:v>168302.93988634052</c:v>
                </c:pt>
                <c:pt idx="91">
                  <c:v>170421.79145647187</c:v>
                </c:pt>
                <c:pt idx="92">
                  <c:v>172483.7717645987</c:v>
                </c:pt>
                <c:pt idx="93">
                  <c:v>174488.72638866471</c:v>
                </c:pt>
                <c:pt idx="94">
                  <c:v>176436.64451847816</c:v>
                </c:pt>
                <c:pt idx="95">
                  <c:v>178327.65106056517</c:v>
                </c:pt>
                <c:pt idx="96">
                  <c:v>180161.99844329598</c:v>
                </c:pt>
                <c:pt idx="97">
                  <c:v>181940.05821412909</c:v>
                </c:pt>
                <c:pt idx="98">
                  <c:v>183662.31251497279</c:v>
                </c:pt>
                <c:pt idx="99">
                  <c:v>185329.34551519627</c:v>
                </c:pt>
                <c:pt idx="100">
                  <c:v>186941.83487491793</c:v>
                </c:pt>
                <c:pt idx="101">
                  <c:v>188500.54330402554</c:v>
                </c:pt>
                <c:pt idx="102">
                  <c:v>190006.31027508716</c:v>
                </c:pt>
                <c:pt idx="103">
                  <c:v>191460.04394103767</c:v>
                </c:pt>
                <c:pt idx="104">
                  <c:v>192862.71330138325</c:v>
                </c:pt>
                <c:pt idx="105">
                  <c:v>194215.34065375486</c:v>
                </c:pt>
                <c:pt idx="106">
                  <c:v>195518.99436104883</c:v>
                </c:pt>
                <c:pt idx="107">
                  <c:v>196774.78195817431</c:v>
                </c:pt>
                <c:pt idx="108">
                  <c:v>197983.84361663528</c:v>
                </c:pt>
                <c:pt idx="109">
                  <c:v>199147.34597984416</c:v>
                </c:pt>
                <c:pt idx="110">
                  <c:v>200266.47637721029</c:v>
                </c:pt>
                <c:pt idx="111">
                  <c:v>201342.43742068313</c:v>
                </c:pt>
                <c:pt idx="112">
                  <c:v>202376.44198355189</c:v>
                </c:pt>
                <c:pt idx="113">
                  <c:v>203369.70855790231</c:v>
                </c:pt>
                <c:pt idx="114">
                  <c:v>204323.4569841928</c:v>
                </c:pt>
                <c:pt idx="115">
                  <c:v>205238.90454390828</c:v>
                </c:pt>
                <c:pt idx="116">
                  <c:v>206117.26240416378</c:v>
                </c:pt>
                <c:pt idx="117">
                  <c:v>206959.73240142319</c:v>
                </c:pt>
                <c:pt idx="118">
                  <c:v>207767.50415014703</c:v>
                </c:pt>
                <c:pt idx="119">
                  <c:v>208541.7524611523</c:v>
                </c:pt>
                <c:pt idx="120">
                  <c:v>209283.63505372521</c:v>
                </c:pt>
                <c:pt idx="121">
                  <c:v>209994.29054504537</c:v>
                </c:pt>
                <c:pt idx="122">
                  <c:v>210674.83670022123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1-C697-44AA-A96B-8DCC64E76E94}"/>
            </c:ext>
          </c:extLst>
        </c:ser>
        <c:ser>
          <c:idx val="5"/>
          <c:order val="6"/>
          <c:tx>
            <c:strRef>
              <c:f>Cumul_removed_bSIR!$P$7</c:f>
              <c:strCache>
                <c:ptCount val="1"/>
                <c:pt idx="0">
                  <c:v>region fit</c:v>
                </c:pt>
              </c:strCache>
            </c:strRef>
          </c:tx>
          <c:spPr>
            <a:ln w="952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Cumul_removed_bSIR!$C$62:$C$184</c:f>
              <c:numCache>
                <c:formatCode>General</c:formatCode>
                <c:ptCount val="123"/>
                <c:pt idx="0">
                  <c:v>55</c:v>
                </c:pt>
                <c:pt idx="1">
                  <c:v>56</c:v>
                </c:pt>
                <c:pt idx="2">
                  <c:v>57</c:v>
                </c:pt>
                <c:pt idx="3">
                  <c:v>58</c:v>
                </c:pt>
                <c:pt idx="4">
                  <c:v>59</c:v>
                </c:pt>
                <c:pt idx="5">
                  <c:v>60</c:v>
                </c:pt>
                <c:pt idx="6">
                  <c:v>61</c:v>
                </c:pt>
                <c:pt idx="7">
                  <c:v>62</c:v>
                </c:pt>
                <c:pt idx="8">
                  <c:v>63</c:v>
                </c:pt>
                <c:pt idx="9">
                  <c:v>64</c:v>
                </c:pt>
                <c:pt idx="10">
                  <c:v>65</c:v>
                </c:pt>
                <c:pt idx="11">
                  <c:v>66</c:v>
                </c:pt>
                <c:pt idx="12">
                  <c:v>67</c:v>
                </c:pt>
                <c:pt idx="13">
                  <c:v>68</c:v>
                </c:pt>
                <c:pt idx="14">
                  <c:v>69</c:v>
                </c:pt>
                <c:pt idx="15">
                  <c:v>70</c:v>
                </c:pt>
                <c:pt idx="16">
                  <c:v>71</c:v>
                </c:pt>
                <c:pt idx="17">
                  <c:v>72</c:v>
                </c:pt>
                <c:pt idx="18">
                  <c:v>73</c:v>
                </c:pt>
                <c:pt idx="19">
                  <c:v>74</c:v>
                </c:pt>
                <c:pt idx="20">
                  <c:v>75</c:v>
                </c:pt>
                <c:pt idx="21">
                  <c:v>76</c:v>
                </c:pt>
                <c:pt idx="22">
                  <c:v>77</c:v>
                </c:pt>
                <c:pt idx="23">
                  <c:v>78</c:v>
                </c:pt>
                <c:pt idx="24">
                  <c:v>79</c:v>
                </c:pt>
                <c:pt idx="25">
                  <c:v>80</c:v>
                </c:pt>
                <c:pt idx="26">
                  <c:v>81</c:v>
                </c:pt>
                <c:pt idx="27">
                  <c:v>82</c:v>
                </c:pt>
                <c:pt idx="28">
                  <c:v>83</c:v>
                </c:pt>
                <c:pt idx="29">
                  <c:v>84</c:v>
                </c:pt>
                <c:pt idx="30">
                  <c:v>85</c:v>
                </c:pt>
                <c:pt idx="31">
                  <c:v>86</c:v>
                </c:pt>
                <c:pt idx="32">
                  <c:v>87</c:v>
                </c:pt>
                <c:pt idx="33">
                  <c:v>88</c:v>
                </c:pt>
                <c:pt idx="34">
                  <c:v>89</c:v>
                </c:pt>
                <c:pt idx="35">
                  <c:v>90</c:v>
                </c:pt>
                <c:pt idx="36">
                  <c:v>91</c:v>
                </c:pt>
                <c:pt idx="37">
                  <c:v>92</c:v>
                </c:pt>
                <c:pt idx="38">
                  <c:v>93</c:v>
                </c:pt>
                <c:pt idx="39">
                  <c:v>94</c:v>
                </c:pt>
                <c:pt idx="40">
                  <c:v>95</c:v>
                </c:pt>
                <c:pt idx="41">
                  <c:v>96</c:v>
                </c:pt>
                <c:pt idx="42">
                  <c:v>97</c:v>
                </c:pt>
                <c:pt idx="43">
                  <c:v>98</c:v>
                </c:pt>
                <c:pt idx="44">
                  <c:v>99</c:v>
                </c:pt>
                <c:pt idx="45">
                  <c:v>100</c:v>
                </c:pt>
                <c:pt idx="46">
                  <c:v>101</c:v>
                </c:pt>
                <c:pt idx="47">
                  <c:v>102</c:v>
                </c:pt>
                <c:pt idx="48">
                  <c:v>103</c:v>
                </c:pt>
                <c:pt idx="49">
                  <c:v>104</c:v>
                </c:pt>
                <c:pt idx="50">
                  <c:v>105</c:v>
                </c:pt>
                <c:pt idx="51">
                  <c:v>106</c:v>
                </c:pt>
                <c:pt idx="52">
                  <c:v>107</c:v>
                </c:pt>
                <c:pt idx="53">
                  <c:v>108</c:v>
                </c:pt>
                <c:pt idx="54">
                  <c:v>109</c:v>
                </c:pt>
                <c:pt idx="55">
                  <c:v>110</c:v>
                </c:pt>
                <c:pt idx="56">
                  <c:v>111</c:v>
                </c:pt>
                <c:pt idx="57">
                  <c:v>112</c:v>
                </c:pt>
                <c:pt idx="58">
                  <c:v>113</c:v>
                </c:pt>
                <c:pt idx="59">
                  <c:v>114</c:v>
                </c:pt>
                <c:pt idx="60">
                  <c:v>115</c:v>
                </c:pt>
                <c:pt idx="61">
                  <c:v>116</c:v>
                </c:pt>
                <c:pt idx="62">
                  <c:v>117</c:v>
                </c:pt>
                <c:pt idx="63">
                  <c:v>118</c:v>
                </c:pt>
                <c:pt idx="64">
                  <c:v>119</c:v>
                </c:pt>
                <c:pt idx="65">
                  <c:v>120</c:v>
                </c:pt>
                <c:pt idx="66">
                  <c:v>121</c:v>
                </c:pt>
                <c:pt idx="67">
                  <c:v>122</c:v>
                </c:pt>
                <c:pt idx="68">
                  <c:v>123</c:v>
                </c:pt>
                <c:pt idx="69">
                  <c:v>124</c:v>
                </c:pt>
                <c:pt idx="70">
                  <c:v>125</c:v>
                </c:pt>
                <c:pt idx="71">
                  <c:v>126</c:v>
                </c:pt>
                <c:pt idx="72">
                  <c:v>127</c:v>
                </c:pt>
                <c:pt idx="73">
                  <c:v>128</c:v>
                </c:pt>
                <c:pt idx="74">
                  <c:v>129</c:v>
                </c:pt>
                <c:pt idx="75">
                  <c:v>130</c:v>
                </c:pt>
                <c:pt idx="76">
                  <c:v>131</c:v>
                </c:pt>
                <c:pt idx="77">
                  <c:v>132</c:v>
                </c:pt>
                <c:pt idx="78">
                  <c:v>133</c:v>
                </c:pt>
                <c:pt idx="79">
                  <c:v>134</c:v>
                </c:pt>
                <c:pt idx="80">
                  <c:v>135</c:v>
                </c:pt>
                <c:pt idx="81">
                  <c:v>136</c:v>
                </c:pt>
                <c:pt idx="82">
                  <c:v>137</c:v>
                </c:pt>
                <c:pt idx="83">
                  <c:v>138</c:v>
                </c:pt>
                <c:pt idx="84">
                  <c:v>139</c:v>
                </c:pt>
                <c:pt idx="85">
                  <c:v>140</c:v>
                </c:pt>
                <c:pt idx="86">
                  <c:v>141</c:v>
                </c:pt>
                <c:pt idx="87">
                  <c:v>142</c:v>
                </c:pt>
                <c:pt idx="88">
                  <c:v>143</c:v>
                </c:pt>
                <c:pt idx="89">
                  <c:v>144</c:v>
                </c:pt>
                <c:pt idx="90">
                  <c:v>145</c:v>
                </c:pt>
                <c:pt idx="91">
                  <c:v>146</c:v>
                </c:pt>
                <c:pt idx="92">
                  <c:v>147</c:v>
                </c:pt>
                <c:pt idx="93">
                  <c:v>148</c:v>
                </c:pt>
                <c:pt idx="94">
                  <c:v>149</c:v>
                </c:pt>
                <c:pt idx="95">
                  <c:v>150</c:v>
                </c:pt>
                <c:pt idx="96">
                  <c:v>151</c:v>
                </c:pt>
                <c:pt idx="97">
                  <c:v>152</c:v>
                </c:pt>
                <c:pt idx="98">
                  <c:v>153</c:v>
                </c:pt>
                <c:pt idx="99">
                  <c:v>154</c:v>
                </c:pt>
                <c:pt idx="100">
                  <c:v>155</c:v>
                </c:pt>
                <c:pt idx="101">
                  <c:v>156</c:v>
                </c:pt>
                <c:pt idx="102">
                  <c:v>157</c:v>
                </c:pt>
                <c:pt idx="103">
                  <c:v>158</c:v>
                </c:pt>
                <c:pt idx="104">
                  <c:v>159</c:v>
                </c:pt>
                <c:pt idx="105">
                  <c:v>160</c:v>
                </c:pt>
                <c:pt idx="106">
                  <c:v>161</c:v>
                </c:pt>
                <c:pt idx="107">
                  <c:v>162</c:v>
                </c:pt>
                <c:pt idx="108">
                  <c:v>163</c:v>
                </c:pt>
                <c:pt idx="109">
                  <c:v>164</c:v>
                </c:pt>
                <c:pt idx="110">
                  <c:v>165</c:v>
                </c:pt>
                <c:pt idx="111">
                  <c:v>166</c:v>
                </c:pt>
                <c:pt idx="112">
                  <c:v>167</c:v>
                </c:pt>
                <c:pt idx="113">
                  <c:v>168</c:v>
                </c:pt>
                <c:pt idx="114">
                  <c:v>169</c:v>
                </c:pt>
                <c:pt idx="115">
                  <c:v>170</c:v>
                </c:pt>
                <c:pt idx="116">
                  <c:v>171</c:v>
                </c:pt>
                <c:pt idx="117">
                  <c:v>172</c:v>
                </c:pt>
                <c:pt idx="118">
                  <c:v>173</c:v>
                </c:pt>
                <c:pt idx="119">
                  <c:v>174</c:v>
                </c:pt>
                <c:pt idx="120">
                  <c:v>175</c:v>
                </c:pt>
                <c:pt idx="121">
                  <c:v>176</c:v>
                </c:pt>
                <c:pt idx="122">
                  <c:v>177</c:v>
                </c:pt>
              </c:numCache>
            </c:numRef>
          </c:xVal>
          <c:yVal>
            <c:numRef>
              <c:f>Cumul_removed_bSIR!$P$62:$P$184</c:f>
              <c:numCache>
                <c:formatCode>General</c:formatCode>
                <c:ptCount val="1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32.100824509866122</c:v>
                </c:pt>
                <c:pt idx="22">
                  <c:v>76.133024300898043</c:v>
                </c:pt>
                <c:pt idx="23">
                  <c:v>122.25050093716941</c:v>
                </c:pt>
                <c:pt idx="24">
                  <c:v>170.52629118323117</c:v>
                </c:pt>
                <c:pt idx="25">
                  <c:v>221.03323925488343</c:v>
                </c:pt>
                <c:pt idx="26">
                  <c:v>273.84365113606447</c:v>
                </c:pt>
                <c:pt idx="27">
                  <c:v>329.02891540797884</c:v>
                </c:pt>
                <c:pt idx="28">
                  <c:v>386.65909009117553</c:v>
                </c:pt>
                <c:pt idx="29">
                  <c:v>446.80245537716399</c:v>
                </c:pt>
                <c:pt idx="30">
                  <c:v>509.5250325647749</c:v>
                </c:pt>
                <c:pt idx="31">
                  <c:v>574.89007001946868</c:v>
                </c:pt>
                <c:pt idx="32">
                  <c:v>642.95749754149949</c:v>
                </c:pt>
                <c:pt idx="33">
                  <c:v>713.7833511598343</c:v>
                </c:pt>
                <c:pt idx="34">
                  <c:v>787.41917105948437</c:v>
                </c:pt>
                <c:pt idx="35">
                  <c:v>863.9113760946401</c:v>
                </c:pt>
                <c:pt idx="36">
                  <c:v>943.30061913025622</c:v>
                </c:pt>
                <c:pt idx="37">
                  <c:v>1025.6211282791292</c:v>
                </c:pt>
                <c:pt idx="38">
                  <c:v>1110.9000399457316</c:v>
                </c:pt>
                <c:pt idx="39">
                  <c:v>1199.1567304344867</c:v>
                </c:pt>
                <c:pt idx="40">
                  <c:v>1290.4021537082767</c:v>
                </c:pt>
                <c:pt idx="41">
                  <c:v>1384.6381936691487</c:v>
                </c:pt>
                <c:pt idx="42">
                  <c:v>1481.8570400513306</c:v>
                </c:pt>
                <c:pt idx="43">
                  <c:v>1582.0405976386276</c:v>
                </c:pt>
                <c:pt idx="44">
                  <c:v>1685.1599390144866</c:v>
                </c:pt>
                <c:pt idx="45">
                  <c:v>1791.1748113935785</c:v>
                </c:pt>
                <c:pt idx="46">
                  <c:v>1900.0332082393834</c:v>
                </c:pt>
                <c:pt idx="47">
                  <c:v>2011.6710163155669</c:v>
                </c:pt>
                <c:pt idx="48">
                  <c:v>2126.0117485259707</c:v>
                </c:pt>
                <c:pt idx="49">
                  <c:v>2242.9663723493127</c:v>
                </c:pt>
                <c:pt idx="50">
                  <c:v>2362.4332428573034</c:v>
                </c:pt>
                <c:pt idx="51">
                  <c:v>2484.2981482130458</c:v>
                </c:pt>
                <c:pt idx="52">
                  <c:v>2608.4344741836117</c:v>
                </c:pt>
                <c:pt idx="53">
                  <c:v>2734.70349257925</c:v>
                </c:pt>
                <c:pt idx="54">
                  <c:v>2862.954776674921</c:v>
                </c:pt>
                <c:pt idx="55">
                  <c:v>2993.0267446110092</c:v>
                </c:pt>
                <c:pt idx="56">
                  <c:v>3124.7473295525961</c:v>
                </c:pt>
                <c:pt idx="57">
                  <c:v>3257.9347730628738</c:v>
                </c:pt>
                <c:pt idx="58">
                  <c:v>3392.3985357762895</c:v>
                </c:pt>
                <c:pt idx="59">
                  <c:v>3527.9403171064591</c:v>
                </c:pt>
                <c:pt idx="60">
                  <c:v>3664.3551734618636</c:v>
                </c:pt>
                <c:pt idx="61">
                  <c:v>3801.4327223383148</c:v>
                </c:pt>
                <c:pt idx="62">
                  <c:v>3938.9584177784354</c:v>
                </c:pt>
                <c:pt idx="63">
                  <c:v>4076.7148810967178</c:v>
                </c:pt>
                <c:pt idx="64">
                  <c:v>4214.483269517802</c:v>
                </c:pt>
                <c:pt idx="65">
                  <c:v>4352.0446645084685</c:v>
                </c:pt>
                <c:pt idx="66">
                  <c:v>4489.181461130469</c:v>
                </c:pt>
                <c:pt idx="67">
                  <c:v>4625.6787397178032</c:v>
                </c:pt>
                <c:pt idx="68">
                  <c:v>4761.3256015890902</c:v>
                </c:pt>
                <c:pt idx="69">
                  <c:v>4895.9164513290225</c:v>
                </c:pt>
                <c:pt idx="70">
                  <c:v>5029.2522093839034</c:v>
                </c:pt>
                <c:pt idx="71">
                  <c:v>5161.1414402733317</c:v>
                </c:pt>
                <c:pt idx="72">
                  <c:v>5291.4013835703663</c:v>
                </c:pt>
                <c:pt idx="73">
                  <c:v>5419.858876885336</c:v>
                </c:pt>
                <c:pt idx="74">
                  <c:v>5546.3511623365266</c:v>
                </c:pt>
                <c:pt idx="75">
                  <c:v>5670.726570335326</c:v>
                </c:pt>
                <c:pt idx="76">
                  <c:v>5792.8450768845623</c:v>
                </c:pt>
                <c:pt idx="77">
                  <c:v>5912.5787329205805</c:v>
                </c:pt>
                <c:pt idx="78">
                  <c:v>6029.8119664614005</c:v>
                </c:pt>
                <c:pt idx="79">
                  <c:v>6144.4417604016344</c:v>
                </c:pt>
                <c:pt idx="80">
                  <c:v>6256.3777106754269</c:v>
                </c:pt>
                <c:pt idx="81">
                  <c:v>6365.5419711570212</c:v>
                </c:pt>
                <c:pt idx="82">
                  <c:v>6471.8690930604926</c:v>
                </c:pt>
                <c:pt idx="83">
                  <c:v>6575.3057677217812</c:v>
                </c:pt>
                <c:pt idx="84">
                  <c:v>6675.8104824934389</c:v>
                </c:pt>
                <c:pt idx="85">
                  <c:v>6773.3531000597977</c:v>
                </c:pt>
                <c:pt idx="86">
                  <c:v>6867.9143718003515</c:v>
                </c:pt>
                <c:pt idx="87">
                  <c:v>6959.4853959104294</c:v>
                </c:pt>
                <c:pt idx="88">
                  <c:v>7048.0670308544068</c:v>
                </c:pt>
                <c:pt idx="89">
                  <c:v>7133.6692744049269</c:v>
                </c:pt>
                <c:pt idx="90">
                  <c:v>7216.3106180408222</c:v>
                </c:pt>
                <c:pt idx="91">
                  <c:v>7296.0173858667531</c:v>
                </c:pt>
                <c:pt idx="92">
                  <c:v>7372.8230665084684</c:v>
                </c:pt>
                <c:pt idx="93">
                  <c:v>7446.7676456575609</c:v>
                </c:pt>
                <c:pt idx="94">
                  <c:v>7517.8969461147954</c:v>
                </c:pt>
                <c:pt idx="95">
                  <c:v>7586.2619813356705</c:v>
                </c:pt>
                <c:pt idx="96">
                  <c:v>7651.9183276364647</c:v>
                </c:pt>
                <c:pt idx="97">
                  <c:v>7714.9255193917006</c:v>
                </c:pt>
                <c:pt idx="98">
                  <c:v>7775.3464707594485</c:v>
                </c:pt>
                <c:pt idx="99">
                  <c:v>7833.2469267206725</c:v>
                </c:pt>
                <c:pt idx="100">
                  <c:v>7888.694945521891</c:v>
                </c:pt>
                <c:pt idx="101">
                  <c:v>7941.7604139727264</c:v>
                </c:pt>
                <c:pt idx="102">
                  <c:v>7992.5145964752137</c:v>
                </c:pt>
                <c:pt idx="103">
                  <c:v>8041.0297181516726</c:v>
                </c:pt>
                <c:pt idx="104">
                  <c:v>8087.3785819923987</c:v>
                </c:pt>
                <c:pt idx="105">
                  <c:v>8131.6342195618317</c:v>
                </c:pt>
                <c:pt idx="106">
                  <c:v>8173.8695744795514</c:v>
                </c:pt>
                <c:pt idx="107">
                  <c:v>8214.157217626791</c:v>
                </c:pt>
                <c:pt idx="108">
                  <c:v>8252.569092816093</c:v>
                </c:pt>
                <c:pt idx="109">
                  <c:v>8289.1762914965584</c:v>
                </c:pt>
                <c:pt idx="110">
                  <c:v>8324.0488549451693</c:v>
                </c:pt>
                <c:pt idx="111">
                  <c:v>8357.2556023110574</c:v>
                </c:pt>
                <c:pt idx="112">
                  <c:v>8388.8639828294927</c:v>
                </c:pt>
                <c:pt idx="113">
                  <c:v>8418.9399505013425</c:v>
                </c:pt>
                <c:pt idx="114">
                  <c:v>8447.5478595373115</c:v>
                </c:pt>
                <c:pt idx="115">
                  <c:v>8474.7503788905124</c:v>
                </c:pt>
                <c:pt idx="116">
                  <c:v>8500.6084242419001</c:v>
                </c:pt>
                <c:pt idx="117">
                  <c:v>8525.1811058578242</c:v>
                </c:pt>
                <c:pt idx="118">
                  <c:v>8548.5256908039828</c:v>
                </c:pt>
                <c:pt idx="119">
                  <c:v>8570.6975780730554</c:v>
                </c:pt>
                <c:pt idx="120">
                  <c:v>8591.7502852618236</c:v>
                </c:pt>
                <c:pt idx="121">
                  <c:v>8611.735445515611</c:v>
                </c:pt>
                <c:pt idx="122">
                  <c:v>8630.702813541684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697-44AA-A96B-8DCC64E76E94}"/>
            </c:ext>
          </c:extLst>
        </c:ser>
        <c:ser>
          <c:idx val="9"/>
          <c:order val="10"/>
          <c:tx>
            <c:strRef>
              <c:f>Cumul_removed_bSIR!$W$7</c:f>
              <c:strCache>
                <c:ptCount val="1"/>
                <c:pt idx="0">
                  <c:v>rest of Italy fit</c:v>
                </c:pt>
              </c:strCache>
              <c:extLst xmlns:c15="http://schemas.microsoft.com/office/drawing/2012/chart"/>
            </c:strRef>
          </c:tx>
          <c:spPr>
            <a:ln w="952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Cumul_removed_bSIR!$C$62:$C$184</c:f>
              <c:numCache>
                <c:formatCode>General</c:formatCode>
                <c:ptCount val="123"/>
                <c:pt idx="0">
                  <c:v>55</c:v>
                </c:pt>
                <c:pt idx="1">
                  <c:v>56</c:v>
                </c:pt>
                <c:pt idx="2">
                  <c:v>57</c:v>
                </c:pt>
                <c:pt idx="3">
                  <c:v>58</c:v>
                </c:pt>
                <c:pt idx="4">
                  <c:v>59</c:v>
                </c:pt>
                <c:pt idx="5">
                  <c:v>60</c:v>
                </c:pt>
                <c:pt idx="6">
                  <c:v>61</c:v>
                </c:pt>
                <c:pt idx="7">
                  <c:v>62</c:v>
                </c:pt>
                <c:pt idx="8">
                  <c:v>63</c:v>
                </c:pt>
                <c:pt idx="9">
                  <c:v>64</c:v>
                </c:pt>
                <c:pt idx="10">
                  <c:v>65</c:v>
                </c:pt>
                <c:pt idx="11">
                  <c:v>66</c:v>
                </c:pt>
                <c:pt idx="12">
                  <c:v>67</c:v>
                </c:pt>
                <c:pt idx="13">
                  <c:v>68</c:v>
                </c:pt>
                <c:pt idx="14">
                  <c:v>69</c:v>
                </c:pt>
                <c:pt idx="15">
                  <c:v>70</c:v>
                </c:pt>
                <c:pt idx="16">
                  <c:v>71</c:v>
                </c:pt>
                <c:pt idx="17">
                  <c:v>72</c:v>
                </c:pt>
                <c:pt idx="18">
                  <c:v>73</c:v>
                </c:pt>
                <c:pt idx="19">
                  <c:v>74</c:v>
                </c:pt>
                <c:pt idx="20">
                  <c:v>75</c:v>
                </c:pt>
                <c:pt idx="21">
                  <c:v>76</c:v>
                </c:pt>
                <c:pt idx="22">
                  <c:v>77</c:v>
                </c:pt>
                <c:pt idx="23">
                  <c:v>78</c:v>
                </c:pt>
                <c:pt idx="24">
                  <c:v>79</c:v>
                </c:pt>
                <c:pt idx="25">
                  <c:v>80</c:v>
                </c:pt>
                <c:pt idx="26">
                  <c:v>81</c:v>
                </c:pt>
                <c:pt idx="27">
                  <c:v>82</c:v>
                </c:pt>
                <c:pt idx="28">
                  <c:v>83</c:v>
                </c:pt>
                <c:pt idx="29">
                  <c:v>84</c:v>
                </c:pt>
                <c:pt idx="30">
                  <c:v>85</c:v>
                </c:pt>
                <c:pt idx="31">
                  <c:v>86</c:v>
                </c:pt>
                <c:pt idx="32">
                  <c:v>87</c:v>
                </c:pt>
                <c:pt idx="33">
                  <c:v>88</c:v>
                </c:pt>
                <c:pt idx="34">
                  <c:v>89</c:v>
                </c:pt>
                <c:pt idx="35">
                  <c:v>90</c:v>
                </c:pt>
                <c:pt idx="36">
                  <c:v>91</c:v>
                </c:pt>
                <c:pt idx="37">
                  <c:v>92</c:v>
                </c:pt>
                <c:pt idx="38">
                  <c:v>93</c:v>
                </c:pt>
                <c:pt idx="39">
                  <c:v>94</c:v>
                </c:pt>
                <c:pt idx="40">
                  <c:v>95</c:v>
                </c:pt>
                <c:pt idx="41">
                  <c:v>96</c:v>
                </c:pt>
                <c:pt idx="42">
                  <c:v>97</c:v>
                </c:pt>
                <c:pt idx="43">
                  <c:v>98</c:v>
                </c:pt>
                <c:pt idx="44">
                  <c:v>99</c:v>
                </c:pt>
                <c:pt idx="45">
                  <c:v>100</c:v>
                </c:pt>
                <c:pt idx="46">
                  <c:v>101</c:v>
                </c:pt>
                <c:pt idx="47">
                  <c:v>102</c:v>
                </c:pt>
                <c:pt idx="48">
                  <c:v>103</c:v>
                </c:pt>
                <c:pt idx="49">
                  <c:v>104</c:v>
                </c:pt>
                <c:pt idx="50">
                  <c:v>105</c:v>
                </c:pt>
                <c:pt idx="51">
                  <c:v>106</c:v>
                </c:pt>
                <c:pt idx="52">
                  <c:v>107</c:v>
                </c:pt>
                <c:pt idx="53">
                  <c:v>108</c:v>
                </c:pt>
                <c:pt idx="54">
                  <c:v>109</c:v>
                </c:pt>
                <c:pt idx="55">
                  <c:v>110</c:v>
                </c:pt>
                <c:pt idx="56">
                  <c:v>111</c:v>
                </c:pt>
                <c:pt idx="57">
                  <c:v>112</c:v>
                </c:pt>
                <c:pt idx="58">
                  <c:v>113</c:v>
                </c:pt>
                <c:pt idx="59">
                  <c:v>114</c:v>
                </c:pt>
                <c:pt idx="60">
                  <c:v>115</c:v>
                </c:pt>
                <c:pt idx="61">
                  <c:v>116</c:v>
                </c:pt>
                <c:pt idx="62">
                  <c:v>117</c:v>
                </c:pt>
                <c:pt idx="63">
                  <c:v>118</c:v>
                </c:pt>
                <c:pt idx="64">
                  <c:v>119</c:v>
                </c:pt>
                <c:pt idx="65">
                  <c:v>120</c:v>
                </c:pt>
                <c:pt idx="66">
                  <c:v>121</c:v>
                </c:pt>
                <c:pt idx="67">
                  <c:v>122</c:v>
                </c:pt>
                <c:pt idx="68">
                  <c:v>123</c:v>
                </c:pt>
                <c:pt idx="69">
                  <c:v>124</c:v>
                </c:pt>
                <c:pt idx="70">
                  <c:v>125</c:v>
                </c:pt>
                <c:pt idx="71">
                  <c:v>126</c:v>
                </c:pt>
                <c:pt idx="72">
                  <c:v>127</c:v>
                </c:pt>
                <c:pt idx="73">
                  <c:v>128</c:v>
                </c:pt>
                <c:pt idx="74">
                  <c:v>129</c:v>
                </c:pt>
                <c:pt idx="75">
                  <c:v>130</c:v>
                </c:pt>
                <c:pt idx="76">
                  <c:v>131</c:v>
                </c:pt>
                <c:pt idx="77">
                  <c:v>132</c:v>
                </c:pt>
                <c:pt idx="78">
                  <c:v>133</c:v>
                </c:pt>
                <c:pt idx="79">
                  <c:v>134</c:v>
                </c:pt>
                <c:pt idx="80">
                  <c:v>135</c:v>
                </c:pt>
                <c:pt idx="81">
                  <c:v>136</c:v>
                </c:pt>
                <c:pt idx="82">
                  <c:v>137</c:v>
                </c:pt>
                <c:pt idx="83">
                  <c:v>138</c:v>
                </c:pt>
                <c:pt idx="84">
                  <c:v>139</c:v>
                </c:pt>
                <c:pt idx="85">
                  <c:v>140</c:v>
                </c:pt>
                <c:pt idx="86">
                  <c:v>141</c:v>
                </c:pt>
                <c:pt idx="87">
                  <c:v>142</c:v>
                </c:pt>
                <c:pt idx="88">
                  <c:v>143</c:v>
                </c:pt>
                <c:pt idx="89">
                  <c:v>144</c:v>
                </c:pt>
                <c:pt idx="90">
                  <c:v>145</c:v>
                </c:pt>
                <c:pt idx="91">
                  <c:v>146</c:v>
                </c:pt>
                <c:pt idx="92">
                  <c:v>147</c:v>
                </c:pt>
                <c:pt idx="93">
                  <c:v>148</c:v>
                </c:pt>
                <c:pt idx="94">
                  <c:v>149</c:v>
                </c:pt>
                <c:pt idx="95">
                  <c:v>150</c:v>
                </c:pt>
                <c:pt idx="96">
                  <c:v>151</c:v>
                </c:pt>
                <c:pt idx="97">
                  <c:v>152</c:v>
                </c:pt>
                <c:pt idx="98">
                  <c:v>153</c:v>
                </c:pt>
                <c:pt idx="99">
                  <c:v>154</c:v>
                </c:pt>
                <c:pt idx="100">
                  <c:v>155</c:v>
                </c:pt>
                <c:pt idx="101">
                  <c:v>156</c:v>
                </c:pt>
                <c:pt idx="102">
                  <c:v>157</c:v>
                </c:pt>
                <c:pt idx="103">
                  <c:v>158</c:v>
                </c:pt>
                <c:pt idx="104">
                  <c:v>159</c:v>
                </c:pt>
                <c:pt idx="105">
                  <c:v>160</c:v>
                </c:pt>
                <c:pt idx="106">
                  <c:v>161</c:v>
                </c:pt>
                <c:pt idx="107">
                  <c:v>162</c:v>
                </c:pt>
                <c:pt idx="108">
                  <c:v>163</c:v>
                </c:pt>
                <c:pt idx="109">
                  <c:v>164</c:v>
                </c:pt>
                <c:pt idx="110">
                  <c:v>165</c:v>
                </c:pt>
                <c:pt idx="111">
                  <c:v>166</c:v>
                </c:pt>
                <c:pt idx="112">
                  <c:v>167</c:v>
                </c:pt>
                <c:pt idx="113">
                  <c:v>168</c:v>
                </c:pt>
                <c:pt idx="114">
                  <c:v>169</c:v>
                </c:pt>
                <c:pt idx="115">
                  <c:v>170</c:v>
                </c:pt>
                <c:pt idx="116">
                  <c:v>171</c:v>
                </c:pt>
                <c:pt idx="117">
                  <c:v>172</c:v>
                </c:pt>
                <c:pt idx="118">
                  <c:v>173</c:v>
                </c:pt>
                <c:pt idx="119">
                  <c:v>174</c:v>
                </c:pt>
                <c:pt idx="120">
                  <c:v>175</c:v>
                </c:pt>
                <c:pt idx="121">
                  <c:v>176</c:v>
                </c:pt>
                <c:pt idx="122">
                  <c:v>177</c:v>
                </c:pt>
              </c:numCache>
            </c:numRef>
          </c:xVal>
          <c:yVal>
            <c:numRef>
              <c:f>Cumul_removed_bSIR!$W$62:$W$184</c:f>
              <c:numCache>
                <c:formatCode>General</c:formatCode>
                <c:ptCount val="1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242.70089901987399</c:v>
                </c:pt>
                <c:pt idx="16">
                  <c:v>1061.5303582923698</c:v>
                </c:pt>
                <c:pt idx="17">
                  <c:v>1914.841051772273</c:v>
                </c:pt>
                <c:pt idx="18">
                  <c:v>2803.7663210252686</c:v>
                </c:pt>
                <c:pt idx="19">
                  <c:v>3729.4469052643476</c:v>
                </c:pt>
                <c:pt idx="20">
                  <c:v>4693.0278268014363</c:v>
                </c:pt>
                <c:pt idx="21">
                  <c:v>5695.6549595855777</c:v>
                </c:pt>
                <c:pt idx="22">
                  <c:v>6738.4712697600517</c:v>
                </c:pt>
                <c:pt idx="23">
                  <c:v>7822.6127188605087</c:v>
                </c:pt>
                <c:pt idx="24">
                  <c:v>8949.2038223229501</c:v>
                </c:pt>
                <c:pt idx="25">
                  <c:v>10119.352858397595</c:v>
                </c:pt>
                <c:pt idx="26">
                  <c:v>11334.146725393943</c:v>
                </c:pt>
                <c:pt idx="27">
                  <c:v>12594.645448434665</c:v>
                </c:pt>
                <c:pt idx="28">
                  <c:v>13901.876340577151</c:v>
                </c:pt>
                <c:pt idx="29">
                  <c:v>15256.827827286077</c:v>
                </c:pt>
                <c:pt idx="30">
                  <c:v>16660.442947797565</c:v>
                </c:pt>
                <c:pt idx="31">
                  <c:v>18113.612551901493</c:v>
                </c:pt>
                <c:pt idx="32">
                  <c:v>19617.16821605487</c:v>
                </c:pt>
                <c:pt idx="33">
                  <c:v>21171.874908496229</c:v>
                </c:pt>
                <c:pt idx="34">
                  <c:v>22778.423439108195</c:v>
                </c:pt>
                <c:pt idx="35">
                  <c:v>24437.422736111159</c:v>
                </c:pt>
                <c:pt idx="36">
                  <c:v>26149.391998188425</c:v>
                </c:pt>
                <c:pt idx="37">
                  <c:v>27914.752777246871</c:v>
                </c:pt>
                <c:pt idx="38">
                  <c:v>29733.821053599138</c:v>
                </c:pt>
                <c:pt idx="39">
                  <c:v>31606.799371787129</c:v>
                </c:pt>
                <c:pt idx="40">
                  <c:v>33533.769111411661</c:v>
                </c:pt>
                <c:pt idx="41">
                  <c:v>35514.682973036492</c:v>
                </c:pt>
                <c:pt idx="42">
                  <c:v>37549.357764333334</c:v>
                </c:pt>
                <c:pt idx="43">
                  <c:v>39637.467575952011</c:v>
                </c:pt>
                <c:pt idx="44">
                  <c:v>41778.537439965126</c:v>
                </c:pt>
                <c:pt idx="45">
                  <c:v>43971.937565970635</c:v>
                </c:pt>
                <c:pt idx="46">
                  <c:v>46216.878250867601</c:v>
                </c:pt>
                <c:pt idx="47">
                  <c:v>48512.405557796192</c:v>
                </c:pt>
                <c:pt idx="48">
                  <c:v>50857.397857605189</c:v>
                </c:pt>
                <c:pt idx="49">
                  <c:v>53250.563322368253</c:v>
                </c:pt>
                <c:pt idx="50">
                  <c:v>55690.438454824405</c:v>
                </c:pt>
                <c:pt idx="51">
                  <c:v>58175.387730119633</c:v>
                </c:pt>
                <c:pt idx="52">
                  <c:v>60703.604416869603</c:v>
                </c:pt>
                <c:pt idx="53">
                  <c:v>63273.11263338838</c:v>
                </c:pt>
                <c:pt idx="54">
                  <c:v>65881.770682023955</c:v>
                </c:pt>
                <c:pt idx="55">
                  <c:v>68527.27569005503</c:v>
                </c:pt>
                <c:pt idx="56">
                  <c:v>71207.169569729391</c:v>
                </c:pt>
                <c:pt idx="57">
                  <c:v>73918.846293012437</c:v>
                </c:pt>
                <c:pt idx="58">
                  <c:v>76659.560458759966</c:v>
                </c:pt>
                <c:pt idx="59">
                  <c:v>79426.437111670166</c:v>
                </c:pt>
                <c:pt idx="60">
                  <c:v>82216.482753880366</c:v>
                </c:pt>
                <c:pt idx="61">
                  <c:v>85026.597471845656</c:v>
                </c:pt>
                <c:pt idx="62">
                  <c:v>87853.588083586059</c:v>
                </c:pt>
                <c:pt idx="63">
                  <c:v>90694.18219491771</c:v>
                </c:pt>
                <c:pt idx="64">
                  <c:v>93545.043038297808</c:v>
                </c:pt>
                <c:pt idx="65">
                  <c:v>96402.784954778152</c:v>
                </c:pt>
                <c:pt idx="66">
                  <c:v>99263.989368613577</c:v>
                </c:pt>
                <c:pt idx="67">
                  <c:v>102125.22109559356</c:v>
                </c:pt>
                <c:pt idx="68">
                  <c:v>104983.04482037554</c:v>
                </c:pt>
                <c:pt idx="69">
                  <c:v>107834.04157515442</c:v>
                </c:pt>
                <c:pt idx="70">
                  <c:v>110674.82505197858</c:v>
                </c:pt>
                <c:pt idx="71">
                  <c:v>113502.05758392267</c:v>
                </c:pt>
                <c:pt idx="72">
                  <c:v>116312.46563607077</c:v>
                </c:pt>
                <c:pt idx="73">
                  <c:v>119102.85465570248</c:v>
                </c:pt>
                <c:pt idx="74">
                  <c:v>121870.12314198462</c:v>
                </c:pt>
                <c:pt idx="75">
                  <c:v>124611.27580857338</c:v>
                </c:pt>
                <c:pt idx="76">
                  <c:v>127323.43572749342</c:v>
                </c:pt>
                <c:pt idx="77">
                  <c:v>130003.85535910711</c:v>
                </c:pt>
                <c:pt idx="78">
                  <c:v>132649.92639052818</c:v>
                </c:pt>
                <c:pt idx="79">
                  <c:v>135259.18832305024</c:v>
                </c:pt>
                <c:pt idx="80">
                  <c:v>137829.33576765319</c:v>
                </c:pt>
                <c:pt idx="81">
                  <c:v>140358.2244260119</c:v>
                </c:pt>
                <c:pt idx="82">
                  <c:v>142843.87575229816</c:v>
                </c:pt>
                <c:pt idx="83">
                  <c:v>145284.48030809383</c:v>
                </c:pt>
                <c:pt idx="84">
                  <c:v>147678.39983862825</c:v>
                </c:pt>
                <c:pt idx="85">
                  <c:v>150024.16811306158</c:v>
                </c:pt>
                <c:pt idx="86">
                  <c:v>152320.49058446789</c:v>
                </c:pt>
                <c:pt idx="87">
                  <c:v>154566.24293637427</c:v>
                </c:pt>
                <c:pt idx="88">
                  <c:v>156760.46859209842</c:v>
                </c:pt>
                <c:pt idx="89">
                  <c:v>158902.37527065579</c:v>
                </c:pt>
                <c:pt idx="90">
                  <c:v>160991.33067868234</c:v>
                </c:pt>
                <c:pt idx="91">
                  <c:v>163026.85743168838</c:v>
                </c:pt>
                <c:pt idx="92">
                  <c:v>165008.62730011364</c:v>
                </c:pt>
                <c:pt idx="93">
                  <c:v>166936.45487620286</c:v>
                </c:pt>
                <c:pt idx="94">
                  <c:v>168810.29075681017</c:v>
                </c:pt>
                <c:pt idx="95">
                  <c:v>170630.21433502639</c:v>
                </c:pt>
                <c:pt idx="96">
                  <c:v>172396.42629017538</c:v>
                </c:pt>
                <c:pt idx="97">
                  <c:v>174109.24086142046</c:v>
                </c:pt>
                <c:pt idx="98">
                  <c:v>175769.07798513584</c:v>
                </c:pt>
                <c:pt idx="99">
                  <c:v>177376.45537050249</c:v>
                </c:pt>
                <c:pt idx="100">
                  <c:v>178931.98058164772</c:v>
                </c:pt>
                <c:pt idx="101">
                  <c:v>180436.34318821935</c:v>
                </c:pt>
                <c:pt idx="102">
                  <c:v>181890.30703970249</c:v>
                </c:pt>
                <c:pt idx="103">
                  <c:v>183294.7027121846</c:v>
                </c:pt>
                <c:pt idx="104">
                  <c:v>184650.42016975416</c:v>
                </c:pt>
                <c:pt idx="105">
                  <c:v>185958.40167637766</c:v>
                </c:pt>
                <c:pt idx="106">
                  <c:v>187219.63498802108</c:v>
                </c:pt>
                <c:pt idx="107">
                  <c:v>188435.14684901596</c:v>
                </c:pt>
                <c:pt idx="108">
                  <c:v>189605.99681127915</c:v>
                </c:pt>
                <c:pt idx="109">
                  <c:v>190733.27139000435</c:v>
                </c:pt>
                <c:pt idx="110">
                  <c:v>191818.07856487526</c:v>
                </c:pt>
                <c:pt idx="111">
                  <c:v>192861.54263172366</c:v>
                </c:pt>
                <c:pt idx="112">
                  <c:v>193864.79940586383</c:v>
                </c:pt>
                <c:pt idx="113">
                  <c:v>194828.99177507692</c:v>
                </c:pt>
                <c:pt idx="114">
                  <c:v>195755.26559738416</c:v>
                </c:pt>
                <c:pt idx="115">
                  <c:v>196644.76593631165</c:v>
                </c:pt>
                <c:pt idx="116">
                  <c:v>197498.6336243001</c:v>
                </c:pt>
                <c:pt idx="117">
                  <c:v>198318.00214321486</c:v>
                </c:pt>
                <c:pt idx="118">
                  <c:v>199103.99480954735</c:v>
                </c:pt>
                <c:pt idx="119">
                  <c:v>199857.72225083434</c:v>
                </c:pt>
                <c:pt idx="120">
                  <c:v>200580.28015903072</c:v>
                </c:pt>
                <c:pt idx="121">
                  <c:v>201272.74730602623</c:v>
                </c:pt>
                <c:pt idx="122">
                  <c:v>201936.18380616666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3-C697-44AA-A96B-8DCC64E76E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2081744"/>
        <c:axId val="622082064"/>
        <c:extLst>
          <c:ext xmlns:c15="http://schemas.microsoft.com/office/drawing/2012/chart" uri="{02D57815-91ED-43cb-92C2-25804820EDAC}">
            <c15:filteredScatterSeries>
              <c15:ser>
                <c:idx val="6"/>
                <c:order val="7"/>
                <c:tx>
                  <c:strRef>
                    <c:extLst>
                      <c:ext uri="{02D57815-91ED-43cb-92C2-25804820EDAC}">
                        <c15:formulaRef>
                          <c15:sqref>Cumul_removed_bSIR!$S$7</c15:sqref>
                        </c15:formulaRef>
                      </c:ext>
                    </c:extLst>
                    <c:strCache>
                      <c:ptCount val="1"/>
                      <c:pt idx="0">
                        <c:v>r. Upper CI</c:v>
                      </c:pt>
                    </c:strCache>
                  </c:strRef>
                </c:tx>
                <c:spPr>
                  <a:ln w="952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Cumul_removed_bSIR!$C$8:$C$184</c15:sqref>
                        </c15:formulaRef>
                      </c:ext>
                    </c:extLst>
                    <c:numCache>
                      <c:formatCode>General</c:formatCode>
                      <c:ptCount val="17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Cumul_removed_bSIR!$S$8:$S$184</c15:sqref>
                        </c15:formulaRef>
                      </c:ext>
                    </c:extLst>
                    <c:numCache>
                      <c:formatCode>0</c:formatCode>
                      <c:ptCount val="177"/>
                      <c:pt idx="0">
                        <c:v>86.019277464869106</c:v>
                      </c:pt>
                      <c:pt idx="1">
                        <c:v>86.019277464869106</c:v>
                      </c:pt>
                      <c:pt idx="2">
                        <c:v>86.019277464869106</c:v>
                      </c:pt>
                      <c:pt idx="3">
                        <c:v>86.019277464869106</c:v>
                      </c:pt>
                      <c:pt idx="4">
                        <c:v>86.019277464869106</c:v>
                      </c:pt>
                      <c:pt idx="5">
                        <c:v>86.019277464869106</c:v>
                      </c:pt>
                      <c:pt idx="6">
                        <c:v>86.019277464869106</c:v>
                      </c:pt>
                      <c:pt idx="7">
                        <c:v>86.019277464869106</c:v>
                      </c:pt>
                      <c:pt idx="8">
                        <c:v>86.019277464869106</c:v>
                      </c:pt>
                      <c:pt idx="9">
                        <c:v>86.019277464869106</c:v>
                      </c:pt>
                      <c:pt idx="10">
                        <c:v>86.019277464869106</c:v>
                      </c:pt>
                      <c:pt idx="11">
                        <c:v>86.019277464869106</c:v>
                      </c:pt>
                      <c:pt idx="12">
                        <c:v>86.019277464869106</c:v>
                      </c:pt>
                      <c:pt idx="13">
                        <c:v>86.019277464869106</c:v>
                      </c:pt>
                      <c:pt idx="14">
                        <c:v>86.019277464869106</c:v>
                      </c:pt>
                      <c:pt idx="15">
                        <c:v>86.019277464869106</c:v>
                      </c:pt>
                      <c:pt idx="16">
                        <c:v>86.019277464869106</c:v>
                      </c:pt>
                      <c:pt idx="17">
                        <c:v>86.019277464869106</c:v>
                      </c:pt>
                      <c:pt idx="18">
                        <c:v>86.019277464869106</c:v>
                      </c:pt>
                      <c:pt idx="19">
                        <c:v>86.019277464869106</c:v>
                      </c:pt>
                      <c:pt idx="20">
                        <c:v>86.019277464869106</c:v>
                      </c:pt>
                      <c:pt idx="21">
                        <c:v>86.019277464869106</c:v>
                      </c:pt>
                      <c:pt idx="22">
                        <c:v>86.019277464869106</c:v>
                      </c:pt>
                      <c:pt idx="23">
                        <c:v>86.019277464869106</c:v>
                      </c:pt>
                      <c:pt idx="24">
                        <c:v>86.019277464869106</c:v>
                      </c:pt>
                      <c:pt idx="25">
                        <c:v>86.019277464869106</c:v>
                      </c:pt>
                      <c:pt idx="26">
                        <c:v>86.019277464869106</c:v>
                      </c:pt>
                      <c:pt idx="27">
                        <c:v>86.019277464869106</c:v>
                      </c:pt>
                      <c:pt idx="28">
                        <c:v>86.019277464869106</c:v>
                      </c:pt>
                      <c:pt idx="29">
                        <c:v>86.019277464869106</c:v>
                      </c:pt>
                      <c:pt idx="30">
                        <c:v>86.019277464869106</c:v>
                      </c:pt>
                      <c:pt idx="31">
                        <c:v>86.019277464869106</c:v>
                      </c:pt>
                      <c:pt idx="32">
                        <c:v>86.019277464869106</c:v>
                      </c:pt>
                      <c:pt idx="33">
                        <c:v>86.019277464869106</c:v>
                      </c:pt>
                      <c:pt idx="34">
                        <c:v>86.019277464869106</c:v>
                      </c:pt>
                      <c:pt idx="35">
                        <c:v>86.019277464869106</c:v>
                      </c:pt>
                      <c:pt idx="36">
                        <c:v>86.019277464869106</c:v>
                      </c:pt>
                      <c:pt idx="37">
                        <c:v>86.019277464869106</c:v>
                      </c:pt>
                      <c:pt idx="38">
                        <c:v>86.019277464869106</c:v>
                      </c:pt>
                      <c:pt idx="39">
                        <c:v>86.019277464869106</c:v>
                      </c:pt>
                      <c:pt idx="40">
                        <c:v>86.019277464869106</c:v>
                      </c:pt>
                      <c:pt idx="41">
                        <c:v>86.019277464869106</c:v>
                      </c:pt>
                      <c:pt idx="42">
                        <c:v>86.019277464869106</c:v>
                      </c:pt>
                      <c:pt idx="43">
                        <c:v>86.019277464869106</c:v>
                      </c:pt>
                      <c:pt idx="44">
                        <c:v>86.019277464869106</c:v>
                      </c:pt>
                      <c:pt idx="45">
                        <c:v>86.019277464869106</c:v>
                      </c:pt>
                      <c:pt idx="46">
                        <c:v>86.019277464869106</c:v>
                      </c:pt>
                      <c:pt idx="47">
                        <c:v>86.019277464869106</c:v>
                      </c:pt>
                      <c:pt idx="48">
                        <c:v>86.019277464869106</c:v>
                      </c:pt>
                      <c:pt idx="49">
                        <c:v>86.019277464869106</c:v>
                      </c:pt>
                      <c:pt idx="50">
                        <c:v>86.019277464869106</c:v>
                      </c:pt>
                      <c:pt idx="51">
                        <c:v>86.019277464869106</c:v>
                      </c:pt>
                      <c:pt idx="52">
                        <c:v>86.019277464869106</c:v>
                      </c:pt>
                      <c:pt idx="53">
                        <c:v>86.019277464869106</c:v>
                      </c:pt>
                      <c:pt idx="54">
                        <c:v>86.019277464869106</c:v>
                      </c:pt>
                      <c:pt idx="55">
                        <c:v>86.019277464869106</c:v>
                      </c:pt>
                      <c:pt idx="56">
                        <c:v>86.019277464869106</c:v>
                      </c:pt>
                      <c:pt idx="57">
                        <c:v>86.019277464869106</c:v>
                      </c:pt>
                      <c:pt idx="58">
                        <c:v>86.019277464869106</c:v>
                      </c:pt>
                      <c:pt idx="59">
                        <c:v>86.019277464869106</c:v>
                      </c:pt>
                      <c:pt idx="60">
                        <c:v>86.019277464869106</c:v>
                      </c:pt>
                      <c:pt idx="61">
                        <c:v>86.019277464869106</c:v>
                      </c:pt>
                      <c:pt idx="62">
                        <c:v>86.019277464869106</c:v>
                      </c:pt>
                      <c:pt idx="63">
                        <c:v>86.019277464869106</c:v>
                      </c:pt>
                      <c:pt idx="64">
                        <c:v>86.019277464869106</c:v>
                      </c:pt>
                      <c:pt idx="65">
                        <c:v>86.019277464869106</c:v>
                      </c:pt>
                      <c:pt idx="66">
                        <c:v>86.019277464869106</c:v>
                      </c:pt>
                      <c:pt idx="67">
                        <c:v>86.019277464869106</c:v>
                      </c:pt>
                      <c:pt idx="68">
                        <c:v>86.019277464869106</c:v>
                      </c:pt>
                      <c:pt idx="69">
                        <c:v>86.019277464869106</c:v>
                      </c:pt>
                      <c:pt idx="70">
                        <c:v>86.019277464869106</c:v>
                      </c:pt>
                      <c:pt idx="71">
                        <c:v>86.019277464869106</c:v>
                      </c:pt>
                      <c:pt idx="72">
                        <c:v>86.019277464869106</c:v>
                      </c:pt>
                      <c:pt idx="73">
                        <c:v>86.019277464869106</c:v>
                      </c:pt>
                      <c:pt idx="74">
                        <c:v>86.019277464869106</c:v>
                      </c:pt>
                      <c:pt idx="75">
                        <c:v>118.12010197473523</c:v>
                      </c:pt>
                      <c:pt idx="76">
                        <c:v>162.15230176576716</c:v>
                      </c:pt>
                      <c:pt idx="77">
                        <c:v>208.26977840203853</c:v>
                      </c:pt>
                      <c:pt idx="78">
                        <c:v>256.54556864810024</c:v>
                      </c:pt>
                      <c:pt idx="79">
                        <c:v>307.05251671975253</c:v>
                      </c:pt>
                      <c:pt idx="80">
                        <c:v>359.86292860093357</c:v>
                      </c:pt>
                      <c:pt idx="81">
                        <c:v>415.04819287284795</c:v>
                      </c:pt>
                      <c:pt idx="82">
                        <c:v>472.67836755604463</c:v>
                      </c:pt>
                      <c:pt idx="83">
                        <c:v>532.82173284203304</c:v>
                      </c:pt>
                      <c:pt idx="84">
                        <c:v>595.54431002964407</c:v>
                      </c:pt>
                      <c:pt idx="85">
                        <c:v>660.90934748433779</c:v>
                      </c:pt>
                      <c:pt idx="86">
                        <c:v>728.9767750063686</c:v>
                      </c:pt>
                      <c:pt idx="87">
                        <c:v>799.8026286247034</c:v>
                      </c:pt>
                      <c:pt idx="88">
                        <c:v>873.43844852435348</c:v>
                      </c:pt>
                      <c:pt idx="89">
                        <c:v>949.93065355950921</c:v>
                      </c:pt>
                      <c:pt idx="90">
                        <c:v>1029.3198965951253</c:v>
                      </c:pt>
                      <c:pt idx="91">
                        <c:v>1111.6404057439981</c:v>
                      </c:pt>
                      <c:pt idx="92">
                        <c:v>1196.9193174106008</c:v>
                      </c:pt>
                      <c:pt idx="93">
                        <c:v>1285.1760078993557</c:v>
                      </c:pt>
                      <c:pt idx="94">
                        <c:v>1376.4214311731457</c:v>
                      </c:pt>
                      <c:pt idx="95">
                        <c:v>1470.6574711340177</c:v>
                      </c:pt>
                      <c:pt idx="96">
                        <c:v>1567.8763175161998</c:v>
                      </c:pt>
                      <c:pt idx="97">
                        <c:v>1668.0598751034968</c:v>
                      </c:pt>
                      <c:pt idx="98">
                        <c:v>1771.1792164793555</c:v>
                      </c:pt>
                      <c:pt idx="99">
                        <c:v>1877.1940888584477</c:v>
                      </c:pt>
                      <c:pt idx="100">
                        <c:v>1986.0524857042524</c:v>
                      </c:pt>
                      <c:pt idx="101">
                        <c:v>2097.6902937804361</c:v>
                      </c:pt>
                      <c:pt idx="102">
                        <c:v>2212.0310259908397</c:v>
                      </c:pt>
                      <c:pt idx="103">
                        <c:v>2328.9856498141817</c:v>
                      </c:pt>
                      <c:pt idx="104">
                        <c:v>2448.4525203221724</c:v>
                      </c:pt>
                      <c:pt idx="105">
                        <c:v>2570.3174256779148</c:v>
                      </c:pt>
                      <c:pt idx="106">
                        <c:v>2694.4537516484806</c:v>
                      </c:pt>
                      <c:pt idx="107">
                        <c:v>2820.722770044119</c:v>
                      </c:pt>
                      <c:pt idx="108">
                        <c:v>2948.97405413979</c:v>
                      </c:pt>
                      <c:pt idx="109">
                        <c:v>3079.0460220758782</c:v>
                      </c:pt>
                      <c:pt idx="110">
                        <c:v>3210.766607017465</c:v>
                      </c:pt>
                      <c:pt idx="111">
                        <c:v>3343.9540505277428</c:v>
                      </c:pt>
                      <c:pt idx="112">
                        <c:v>3478.4178132411585</c:v>
                      </c:pt>
                      <c:pt idx="113">
                        <c:v>3613.9595945713281</c:v>
                      </c:pt>
                      <c:pt idx="114">
                        <c:v>3750.3744509267326</c:v>
                      </c:pt>
                      <c:pt idx="115">
                        <c:v>3887.4519998031838</c:v>
                      </c:pt>
                      <c:pt idx="116">
                        <c:v>4024.9776952433044</c:v>
                      </c:pt>
                      <c:pt idx="117">
                        <c:v>4162.7341585615868</c:v>
                      </c:pt>
                      <c:pt idx="118">
                        <c:v>4300.5025469826714</c:v>
                      </c:pt>
                      <c:pt idx="119">
                        <c:v>4438.0639419733379</c:v>
                      </c:pt>
                      <c:pt idx="120">
                        <c:v>4575.2007385953384</c:v>
                      </c:pt>
                      <c:pt idx="121">
                        <c:v>4711.6980171826726</c:v>
                      </c:pt>
                      <c:pt idx="122">
                        <c:v>4847.3448790539596</c:v>
                      </c:pt>
                      <c:pt idx="123">
                        <c:v>4981.9357287938919</c:v>
                      </c:pt>
                      <c:pt idx="124">
                        <c:v>5115.2714868487728</c:v>
                      </c:pt>
                      <c:pt idx="125">
                        <c:v>5247.1607177382011</c:v>
                      </c:pt>
                      <c:pt idx="126">
                        <c:v>5377.4206610352358</c:v>
                      </c:pt>
                      <c:pt idx="127">
                        <c:v>5505.8781543502055</c:v>
                      </c:pt>
                      <c:pt idx="128">
                        <c:v>5632.3704398013961</c:v>
                      </c:pt>
                      <c:pt idx="129">
                        <c:v>5756.7458478001954</c:v>
                      </c:pt>
                      <c:pt idx="130">
                        <c:v>5878.8643543494318</c:v>
                      </c:pt>
                      <c:pt idx="131">
                        <c:v>5998.5980103854499</c:v>
                      </c:pt>
                      <c:pt idx="132">
                        <c:v>6115.83124392627</c:v>
                      </c:pt>
                      <c:pt idx="133">
                        <c:v>6230.4610378665038</c:v>
                      </c:pt>
                      <c:pt idx="134">
                        <c:v>6342.3969881402963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9-C697-44AA-A96B-8DCC64E76E94}"/>
                  </c:ext>
                </c:extLst>
              </c15:ser>
            </c15:filteredScatterSeries>
            <c15:filteredScatterSeries>
              <c15:ser>
                <c:idx val="7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Cumul_removed_bSIR!$T$7</c15:sqref>
                        </c15:formulaRef>
                      </c:ext>
                    </c:extLst>
                    <c:strCache>
                      <c:ptCount val="1"/>
                      <c:pt idx="0">
                        <c:v>r. Lower CI</c:v>
                      </c:pt>
                    </c:strCache>
                  </c:strRef>
                </c:tx>
                <c:spPr>
                  <a:ln w="952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Cumul_removed_bSIR!$C$8:$C$184</c15:sqref>
                        </c15:formulaRef>
                      </c:ext>
                    </c:extLst>
                    <c:numCache>
                      <c:formatCode>General</c:formatCode>
                      <c:ptCount val="17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Cumul_removed_bSIR!$T$8:$T$184</c15:sqref>
                        </c15:formulaRef>
                      </c:ext>
                    </c:extLst>
                    <c:numCache>
                      <c:formatCode>0</c:formatCode>
                      <c:ptCount val="17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36.2312234723003</c:v>
                      </c:pt>
                      <c:pt idx="78">
                        <c:v>84.50701371836206</c:v>
                      </c:pt>
                      <c:pt idx="79">
                        <c:v>135.01396179001432</c:v>
                      </c:pt>
                      <c:pt idx="80">
                        <c:v>187.82437367119536</c:v>
                      </c:pt>
                      <c:pt idx="81">
                        <c:v>243.00963794310974</c:v>
                      </c:pt>
                      <c:pt idx="82">
                        <c:v>300.63981262630642</c:v>
                      </c:pt>
                      <c:pt idx="83">
                        <c:v>360.78317791229489</c:v>
                      </c:pt>
                      <c:pt idx="84">
                        <c:v>423.5057550999058</c:v>
                      </c:pt>
                      <c:pt idx="85">
                        <c:v>488.87079255459957</c:v>
                      </c:pt>
                      <c:pt idx="86">
                        <c:v>556.93822007663039</c:v>
                      </c:pt>
                      <c:pt idx="87">
                        <c:v>627.76407369496519</c:v>
                      </c:pt>
                      <c:pt idx="88">
                        <c:v>701.39989359461526</c:v>
                      </c:pt>
                      <c:pt idx="89">
                        <c:v>777.892098629771</c:v>
                      </c:pt>
                      <c:pt idx="90">
                        <c:v>857.28134166538712</c:v>
                      </c:pt>
                      <c:pt idx="91">
                        <c:v>939.60185081426005</c:v>
                      </c:pt>
                      <c:pt idx="92">
                        <c:v>1024.8807624808624</c:v>
                      </c:pt>
                      <c:pt idx="93">
                        <c:v>1113.1374529696177</c:v>
                      </c:pt>
                      <c:pt idx="94">
                        <c:v>1204.3828762434077</c:v>
                      </c:pt>
                      <c:pt idx="95">
                        <c:v>1298.6189162042797</c:v>
                      </c:pt>
                      <c:pt idx="96">
                        <c:v>1395.8377625864614</c:v>
                      </c:pt>
                      <c:pt idx="97">
                        <c:v>1496.0213201737583</c:v>
                      </c:pt>
                      <c:pt idx="98">
                        <c:v>1599.1406615496176</c:v>
                      </c:pt>
                      <c:pt idx="99">
                        <c:v>1705.1555339287092</c:v>
                      </c:pt>
                      <c:pt idx="100">
                        <c:v>1814.0139307745144</c:v>
                      </c:pt>
                      <c:pt idx="101">
                        <c:v>1925.6517388506977</c:v>
                      </c:pt>
                      <c:pt idx="102">
                        <c:v>2039.9924710611017</c:v>
                      </c:pt>
                      <c:pt idx="103">
                        <c:v>2156.9470948844437</c:v>
                      </c:pt>
                      <c:pt idx="104">
                        <c:v>2276.4139653924344</c:v>
                      </c:pt>
                      <c:pt idx="105">
                        <c:v>2398.2788707481768</c:v>
                      </c:pt>
                      <c:pt idx="106">
                        <c:v>2522.4151967187427</c:v>
                      </c:pt>
                      <c:pt idx="107">
                        <c:v>2648.684215114381</c:v>
                      </c:pt>
                      <c:pt idx="108">
                        <c:v>2776.9354992100521</c:v>
                      </c:pt>
                      <c:pt idx="109">
                        <c:v>2907.0074671461402</c:v>
                      </c:pt>
                      <c:pt idx="110">
                        <c:v>3038.7280520877271</c:v>
                      </c:pt>
                      <c:pt idx="111">
                        <c:v>3171.9154955980048</c:v>
                      </c:pt>
                      <c:pt idx="112">
                        <c:v>3306.3792583114205</c:v>
                      </c:pt>
                      <c:pt idx="113">
                        <c:v>3441.9210396415901</c:v>
                      </c:pt>
                      <c:pt idx="114">
                        <c:v>3578.3358959969946</c:v>
                      </c:pt>
                      <c:pt idx="115">
                        <c:v>3715.4134448734458</c:v>
                      </c:pt>
                      <c:pt idx="116">
                        <c:v>3852.9391403135664</c:v>
                      </c:pt>
                      <c:pt idx="117">
                        <c:v>3990.6956036318488</c:v>
                      </c:pt>
                      <c:pt idx="118">
                        <c:v>4128.4639920529326</c:v>
                      </c:pt>
                      <c:pt idx="119">
                        <c:v>4266.025387043599</c:v>
                      </c:pt>
                      <c:pt idx="120">
                        <c:v>4403.1621836655995</c:v>
                      </c:pt>
                      <c:pt idx="121">
                        <c:v>4539.6594622529337</c:v>
                      </c:pt>
                      <c:pt idx="122">
                        <c:v>4675.3063241242207</c:v>
                      </c:pt>
                      <c:pt idx="123">
                        <c:v>4809.897173864153</c:v>
                      </c:pt>
                      <c:pt idx="124">
                        <c:v>4943.2329319190339</c:v>
                      </c:pt>
                      <c:pt idx="125">
                        <c:v>5075.1221628084622</c:v>
                      </c:pt>
                      <c:pt idx="126">
                        <c:v>5205.3821061054969</c:v>
                      </c:pt>
                      <c:pt idx="127">
                        <c:v>5333.8395994204666</c:v>
                      </c:pt>
                      <c:pt idx="128">
                        <c:v>5460.3318848716572</c:v>
                      </c:pt>
                      <c:pt idx="129">
                        <c:v>5584.7072928704565</c:v>
                      </c:pt>
                      <c:pt idx="130">
                        <c:v>5706.8257994196929</c:v>
                      </c:pt>
                      <c:pt idx="131">
                        <c:v>5826.559455455711</c:v>
                      </c:pt>
                      <c:pt idx="132">
                        <c:v>5943.7926889965311</c:v>
                      </c:pt>
                      <c:pt idx="133">
                        <c:v>6058.4224829367649</c:v>
                      </c:pt>
                      <c:pt idx="134">
                        <c:v>6170.3584332105575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C697-44AA-A96B-8DCC64E76E94}"/>
                  </c:ext>
                </c:extLst>
              </c15:ser>
            </c15:filteredScatterSeries>
            <c15:filteredScatterSeries>
              <c15:ser>
                <c:idx val="10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Cumul_removed_bSIR!$Z$7</c15:sqref>
                        </c15:formulaRef>
                      </c:ext>
                    </c:extLst>
                    <c:strCache>
                      <c:ptCount val="1"/>
                      <c:pt idx="0">
                        <c:v>o.r. Upper CI</c:v>
                      </c:pt>
                    </c:strCache>
                  </c:strRef>
                </c:tx>
                <c:spPr>
                  <a:ln w="952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Cumul_removed_bSIR!$C$8:$C$184</c15:sqref>
                        </c15:formulaRef>
                      </c:ext>
                    </c:extLst>
                    <c:numCache>
                      <c:formatCode>General</c:formatCode>
                      <c:ptCount val="17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Cumul_removed_bSIR!$Z$8:$Z$184</c15:sqref>
                        </c15:formulaRef>
                      </c:ext>
                    </c:extLst>
                    <c:numCache>
                      <c:formatCode>0</c:formatCode>
                      <c:ptCount val="177"/>
                      <c:pt idx="0">
                        <c:v>2484.3366939346993</c:v>
                      </c:pt>
                      <c:pt idx="1">
                        <c:v>2484.3366939346993</c:v>
                      </c:pt>
                      <c:pt idx="2">
                        <c:v>2484.3366939346993</c:v>
                      </c:pt>
                      <c:pt idx="3">
                        <c:v>2484.3366939346993</c:v>
                      </c:pt>
                      <c:pt idx="4">
                        <c:v>2484.3366939346993</c:v>
                      </c:pt>
                      <c:pt idx="5">
                        <c:v>2484.3366939346993</c:v>
                      </c:pt>
                      <c:pt idx="6">
                        <c:v>2484.3366939346993</c:v>
                      </c:pt>
                      <c:pt idx="7">
                        <c:v>2484.3366939346993</c:v>
                      </c:pt>
                      <c:pt idx="8">
                        <c:v>2484.3366939346993</c:v>
                      </c:pt>
                      <c:pt idx="9">
                        <c:v>2484.3366939346993</c:v>
                      </c:pt>
                      <c:pt idx="10">
                        <c:v>2484.3366939346993</c:v>
                      </c:pt>
                      <c:pt idx="11">
                        <c:v>2484.3366939346993</c:v>
                      </c:pt>
                      <c:pt idx="12">
                        <c:v>2484.3366939346993</c:v>
                      </c:pt>
                      <c:pt idx="13">
                        <c:v>2484.3366939346993</c:v>
                      </c:pt>
                      <c:pt idx="14">
                        <c:v>2484.3366939346993</c:v>
                      </c:pt>
                      <c:pt idx="15">
                        <c:v>2484.3366939346993</c:v>
                      </c:pt>
                      <c:pt idx="16">
                        <c:v>2484.3366939346993</c:v>
                      </c:pt>
                      <c:pt idx="17">
                        <c:v>2484.3366939346993</c:v>
                      </c:pt>
                      <c:pt idx="18">
                        <c:v>2484.3366939346993</c:v>
                      </c:pt>
                      <c:pt idx="19">
                        <c:v>2484.3366939346993</c:v>
                      </c:pt>
                      <c:pt idx="20">
                        <c:v>2484.3366939346993</c:v>
                      </c:pt>
                      <c:pt idx="21">
                        <c:v>2484.3366939346993</c:v>
                      </c:pt>
                      <c:pt idx="22">
                        <c:v>2484.3366939346993</c:v>
                      </c:pt>
                      <c:pt idx="23">
                        <c:v>2484.3366939346993</c:v>
                      </c:pt>
                      <c:pt idx="24">
                        <c:v>2484.3366939346993</c:v>
                      </c:pt>
                      <c:pt idx="25">
                        <c:v>2484.3366939346993</c:v>
                      </c:pt>
                      <c:pt idx="26">
                        <c:v>2484.3366939346993</c:v>
                      </c:pt>
                      <c:pt idx="27">
                        <c:v>2484.3366939346993</c:v>
                      </c:pt>
                      <c:pt idx="28">
                        <c:v>2484.3366939346993</c:v>
                      </c:pt>
                      <c:pt idx="29">
                        <c:v>2484.3366939346993</c:v>
                      </c:pt>
                      <c:pt idx="30">
                        <c:v>2484.3366939346993</c:v>
                      </c:pt>
                      <c:pt idx="31">
                        <c:v>2484.3366939346993</c:v>
                      </c:pt>
                      <c:pt idx="32">
                        <c:v>2484.3366939346993</c:v>
                      </c:pt>
                      <c:pt idx="33">
                        <c:v>2484.3366939346993</c:v>
                      </c:pt>
                      <c:pt idx="34">
                        <c:v>2484.3366939346993</c:v>
                      </c:pt>
                      <c:pt idx="35">
                        <c:v>2484.3366939346993</c:v>
                      </c:pt>
                      <c:pt idx="36">
                        <c:v>2484.3366939346993</c:v>
                      </c:pt>
                      <c:pt idx="37">
                        <c:v>2484.3366939346993</c:v>
                      </c:pt>
                      <c:pt idx="38">
                        <c:v>2484.3366939346993</c:v>
                      </c:pt>
                      <c:pt idx="39">
                        <c:v>2484.3366939346993</c:v>
                      </c:pt>
                      <c:pt idx="40">
                        <c:v>2484.3366939346993</c:v>
                      </c:pt>
                      <c:pt idx="41">
                        <c:v>2484.3366939346993</c:v>
                      </c:pt>
                      <c:pt idx="42">
                        <c:v>2484.3366939346993</c:v>
                      </c:pt>
                      <c:pt idx="43">
                        <c:v>2484.3366939346993</c:v>
                      </c:pt>
                      <c:pt idx="44">
                        <c:v>2484.3366939346993</c:v>
                      </c:pt>
                      <c:pt idx="45">
                        <c:v>2484.3366939346993</c:v>
                      </c:pt>
                      <c:pt idx="46">
                        <c:v>2484.3366939346993</c:v>
                      </c:pt>
                      <c:pt idx="47">
                        <c:v>2484.3366939346993</c:v>
                      </c:pt>
                      <c:pt idx="48">
                        <c:v>2484.3366939346993</c:v>
                      </c:pt>
                      <c:pt idx="49">
                        <c:v>2484.3366939346993</c:v>
                      </c:pt>
                      <c:pt idx="50">
                        <c:v>2484.3366939346993</c:v>
                      </c:pt>
                      <c:pt idx="51">
                        <c:v>2484.3366939346993</c:v>
                      </c:pt>
                      <c:pt idx="52">
                        <c:v>2484.3366939346993</c:v>
                      </c:pt>
                      <c:pt idx="53">
                        <c:v>2484.3366939346993</c:v>
                      </c:pt>
                      <c:pt idx="54">
                        <c:v>2484.3366939346993</c:v>
                      </c:pt>
                      <c:pt idx="55">
                        <c:v>2484.3366939346993</c:v>
                      </c:pt>
                      <c:pt idx="56">
                        <c:v>2484.3366939346993</c:v>
                      </c:pt>
                      <c:pt idx="57">
                        <c:v>2484.3366939346993</c:v>
                      </c:pt>
                      <c:pt idx="58">
                        <c:v>2484.3366939346993</c:v>
                      </c:pt>
                      <c:pt idx="59">
                        <c:v>2484.3366939346993</c:v>
                      </c:pt>
                      <c:pt idx="60">
                        <c:v>2484.3366939346993</c:v>
                      </c:pt>
                      <c:pt idx="61">
                        <c:v>2484.3366939346993</c:v>
                      </c:pt>
                      <c:pt idx="62">
                        <c:v>2484.3366939346993</c:v>
                      </c:pt>
                      <c:pt idx="63">
                        <c:v>2484.3366939346993</c:v>
                      </c:pt>
                      <c:pt idx="64">
                        <c:v>2484.3366939346993</c:v>
                      </c:pt>
                      <c:pt idx="65">
                        <c:v>2484.3366939346993</c:v>
                      </c:pt>
                      <c:pt idx="66">
                        <c:v>2484.3366939346993</c:v>
                      </c:pt>
                      <c:pt idx="67">
                        <c:v>2484.3366939346993</c:v>
                      </c:pt>
                      <c:pt idx="68">
                        <c:v>2484.3366939346993</c:v>
                      </c:pt>
                      <c:pt idx="69">
                        <c:v>2727.0375929545735</c:v>
                      </c:pt>
                      <c:pt idx="70">
                        <c:v>3545.8670522270691</c:v>
                      </c:pt>
                      <c:pt idx="71">
                        <c:v>4399.177745706972</c:v>
                      </c:pt>
                      <c:pt idx="72">
                        <c:v>5288.1030149599683</c:v>
                      </c:pt>
                      <c:pt idx="73">
                        <c:v>6213.7835991990469</c:v>
                      </c:pt>
                      <c:pt idx="74">
                        <c:v>7177.3645207361351</c:v>
                      </c:pt>
                      <c:pt idx="75">
                        <c:v>8179.9916535202774</c:v>
                      </c:pt>
                      <c:pt idx="76">
                        <c:v>9222.8079636947514</c:v>
                      </c:pt>
                      <c:pt idx="77">
                        <c:v>10306.949412795208</c:v>
                      </c:pt>
                      <c:pt idx="78">
                        <c:v>11433.54051625765</c:v>
                      </c:pt>
                      <c:pt idx="79">
                        <c:v>12603.689552332295</c:v>
                      </c:pt>
                      <c:pt idx="80">
                        <c:v>13818.483419328642</c:v>
                      </c:pt>
                      <c:pt idx="81">
                        <c:v>15078.982142369365</c:v>
                      </c:pt>
                      <c:pt idx="82">
                        <c:v>16386.213034511849</c:v>
                      </c:pt>
                      <c:pt idx="83">
                        <c:v>17741.164521220777</c:v>
                      </c:pt>
                      <c:pt idx="84">
                        <c:v>19144.779641732264</c:v>
                      </c:pt>
                      <c:pt idx="85">
                        <c:v>20597.949245836193</c:v>
                      </c:pt>
                      <c:pt idx="86">
                        <c:v>22101.50490998957</c:v>
                      </c:pt>
                      <c:pt idx="87">
                        <c:v>23656.211602430929</c:v>
                      </c:pt>
                      <c:pt idx="88">
                        <c:v>25262.760133042895</c:v>
                      </c:pt>
                      <c:pt idx="89">
                        <c:v>26921.759430045859</c:v>
                      </c:pt>
                      <c:pt idx="90">
                        <c:v>28633.728692123124</c:v>
                      </c:pt>
                      <c:pt idx="91">
                        <c:v>30399.089471181571</c:v>
                      </c:pt>
                      <c:pt idx="92">
                        <c:v>32218.157747533838</c:v>
                      </c:pt>
                      <c:pt idx="93">
                        <c:v>34091.136065721825</c:v>
                      </c:pt>
                      <c:pt idx="94">
                        <c:v>36018.105805346357</c:v>
                      </c:pt>
                      <c:pt idx="95">
                        <c:v>37999.019666971188</c:v>
                      </c:pt>
                      <c:pt idx="96">
                        <c:v>40033.69445826803</c:v>
                      </c:pt>
                      <c:pt idx="97">
                        <c:v>42121.804269886707</c:v>
                      </c:pt>
                      <c:pt idx="98">
                        <c:v>44262.874133899822</c:v>
                      </c:pt>
                      <c:pt idx="99">
                        <c:v>46456.274259905331</c:v>
                      </c:pt>
                      <c:pt idx="100">
                        <c:v>48701.214944802297</c:v>
                      </c:pt>
                      <c:pt idx="101">
                        <c:v>50996.742251730888</c:v>
                      </c:pt>
                      <c:pt idx="102">
                        <c:v>53341.734551539885</c:v>
                      </c:pt>
                      <c:pt idx="103">
                        <c:v>55734.900016302949</c:v>
                      </c:pt>
                      <c:pt idx="104">
                        <c:v>58174.775148759101</c:v>
                      </c:pt>
                      <c:pt idx="105">
                        <c:v>60659.72442405433</c:v>
                      </c:pt>
                      <c:pt idx="106">
                        <c:v>63187.941110804299</c:v>
                      </c:pt>
                      <c:pt idx="107">
                        <c:v>65757.449327323076</c:v>
                      </c:pt>
                      <c:pt idx="108">
                        <c:v>68366.107375958658</c:v>
                      </c:pt>
                      <c:pt idx="109">
                        <c:v>71011.612383989734</c:v>
                      </c:pt>
                      <c:pt idx="110">
                        <c:v>73691.506263664094</c:v>
                      </c:pt>
                      <c:pt idx="111">
                        <c:v>76403.18298694714</c:v>
                      </c:pt>
                      <c:pt idx="112">
                        <c:v>79143.89715269467</c:v>
                      </c:pt>
                      <c:pt idx="113">
                        <c:v>81910.773805604869</c:v>
                      </c:pt>
                      <c:pt idx="114">
                        <c:v>84700.819447815069</c:v>
                      </c:pt>
                      <c:pt idx="115">
                        <c:v>87510.93416578036</c:v>
                      </c:pt>
                      <c:pt idx="116">
                        <c:v>90337.924777520762</c:v>
                      </c:pt>
                      <c:pt idx="117">
                        <c:v>93178.518888852414</c:v>
                      </c:pt>
                      <c:pt idx="118">
                        <c:v>96029.379732232512</c:v>
                      </c:pt>
                      <c:pt idx="119">
                        <c:v>98887.121648712855</c:v>
                      </c:pt>
                      <c:pt idx="120">
                        <c:v>101748.32606254828</c:v>
                      </c:pt>
                      <c:pt idx="121">
                        <c:v>104609.55778952826</c:v>
                      </c:pt>
                      <c:pt idx="122">
                        <c:v>107467.38151431024</c:v>
                      </c:pt>
                      <c:pt idx="123">
                        <c:v>110318.37826908912</c:v>
                      </c:pt>
                      <c:pt idx="124">
                        <c:v>113159.16174591328</c:v>
                      </c:pt>
                      <c:pt idx="125">
                        <c:v>115986.39427785737</c:v>
                      </c:pt>
                      <c:pt idx="126">
                        <c:v>118796.80233000548</c:v>
                      </c:pt>
                      <c:pt idx="127">
                        <c:v>121587.19134963719</c:v>
                      </c:pt>
                      <c:pt idx="128">
                        <c:v>124354.45983591932</c:v>
                      </c:pt>
                      <c:pt idx="129">
                        <c:v>127095.61250250808</c:v>
                      </c:pt>
                      <c:pt idx="130">
                        <c:v>129807.77242142812</c:v>
                      </c:pt>
                      <c:pt idx="131">
                        <c:v>132488.1920530418</c:v>
                      </c:pt>
                      <c:pt idx="132">
                        <c:v>135134.26308446287</c:v>
                      </c:pt>
                      <c:pt idx="133">
                        <c:v>137743.52501698493</c:v>
                      </c:pt>
                      <c:pt idx="134">
                        <c:v>140313.67246158788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C697-44AA-A96B-8DCC64E76E94}"/>
                  </c:ext>
                </c:extLst>
              </c15:ser>
            </c15:filteredScatterSeries>
            <c15:filteredScatterSeries>
              <c15:ser>
                <c:idx val="11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Cumul_removed_bSIR!$AA$7</c15:sqref>
                        </c15:formulaRef>
                      </c:ext>
                    </c:extLst>
                    <c:strCache>
                      <c:ptCount val="1"/>
                      <c:pt idx="0">
                        <c:v>o.r. Lower CI</c:v>
                      </c:pt>
                    </c:strCache>
                  </c:strRef>
                </c:tx>
                <c:spPr>
                  <a:ln w="952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Cumul_removed_bSIR!$C$8:$C$184</c15:sqref>
                        </c15:formulaRef>
                      </c:ext>
                    </c:extLst>
                    <c:numCache>
                      <c:formatCode>General</c:formatCode>
                      <c:ptCount val="17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Cumul_removed_bSIR!$AA$8:$AA$184</c15:sqref>
                        </c15:formulaRef>
                      </c:ext>
                    </c:extLst>
                    <c:numCache>
                      <c:formatCode>0</c:formatCode>
                      <c:ptCount val="17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319.42962709056928</c:v>
                      </c:pt>
                      <c:pt idx="73">
                        <c:v>1245.1102113296483</c:v>
                      </c:pt>
                      <c:pt idx="74">
                        <c:v>2208.691132866737</c:v>
                      </c:pt>
                      <c:pt idx="75">
                        <c:v>3211.3182656508784</c:v>
                      </c:pt>
                      <c:pt idx="76">
                        <c:v>4254.1345758253519</c:v>
                      </c:pt>
                      <c:pt idx="77">
                        <c:v>5338.2760249258099</c:v>
                      </c:pt>
                      <c:pt idx="78">
                        <c:v>6464.8671283882504</c:v>
                      </c:pt>
                      <c:pt idx="79">
                        <c:v>7635.0161644628952</c:v>
                      </c:pt>
                      <c:pt idx="80">
                        <c:v>8849.810031459243</c:v>
                      </c:pt>
                      <c:pt idx="81">
                        <c:v>10110.308754499965</c:v>
                      </c:pt>
                      <c:pt idx="82">
                        <c:v>11417.539646642452</c:v>
                      </c:pt>
                      <c:pt idx="83">
                        <c:v>12772.491133351377</c:v>
                      </c:pt>
                      <c:pt idx="84">
                        <c:v>14176.106253862865</c:v>
                      </c:pt>
                      <c:pt idx="85">
                        <c:v>15629.275857966793</c:v>
                      </c:pt>
                      <c:pt idx="86">
                        <c:v>17132.83152212017</c:v>
                      </c:pt>
                      <c:pt idx="87">
                        <c:v>18687.538214561529</c:v>
                      </c:pt>
                      <c:pt idx="88">
                        <c:v>20294.086745173496</c:v>
                      </c:pt>
                      <c:pt idx="89">
                        <c:v>21953.086042176459</c:v>
                      </c:pt>
                      <c:pt idx="90">
                        <c:v>23665.055304253725</c:v>
                      </c:pt>
                      <c:pt idx="91">
                        <c:v>25430.416083312171</c:v>
                      </c:pt>
                      <c:pt idx="92">
                        <c:v>27249.484359664439</c:v>
                      </c:pt>
                      <c:pt idx="93">
                        <c:v>29122.462677852429</c:v>
                      </c:pt>
                      <c:pt idx="94">
                        <c:v>31049.432417476961</c:v>
                      </c:pt>
                      <c:pt idx="95">
                        <c:v>33030.346279101796</c:v>
                      </c:pt>
                      <c:pt idx="96">
                        <c:v>35065.021070398638</c:v>
                      </c:pt>
                      <c:pt idx="97">
                        <c:v>37153.130882017314</c:v>
                      </c:pt>
                      <c:pt idx="98">
                        <c:v>39294.20074603043</c:v>
                      </c:pt>
                      <c:pt idx="99">
                        <c:v>41487.600872035939</c:v>
                      </c:pt>
                      <c:pt idx="100">
                        <c:v>43732.541556932905</c:v>
                      </c:pt>
                      <c:pt idx="101">
                        <c:v>46028.068863861496</c:v>
                      </c:pt>
                      <c:pt idx="102">
                        <c:v>48373.061163670493</c:v>
                      </c:pt>
                      <c:pt idx="103">
                        <c:v>50766.226628433556</c:v>
                      </c:pt>
                      <c:pt idx="104">
                        <c:v>53206.101760889709</c:v>
                      </c:pt>
                      <c:pt idx="105">
                        <c:v>55691.051036184937</c:v>
                      </c:pt>
                      <c:pt idx="106">
                        <c:v>58219.267722934906</c:v>
                      </c:pt>
                      <c:pt idx="107">
                        <c:v>60788.775939453684</c:v>
                      </c:pt>
                      <c:pt idx="108">
                        <c:v>63397.433988089258</c:v>
                      </c:pt>
                      <c:pt idx="109">
                        <c:v>66042.938996120327</c:v>
                      </c:pt>
                      <c:pt idx="110">
                        <c:v>68722.832875794687</c:v>
                      </c:pt>
                      <c:pt idx="111">
                        <c:v>71434.509599077734</c:v>
                      </c:pt>
                      <c:pt idx="112">
                        <c:v>74175.223764825263</c:v>
                      </c:pt>
                      <c:pt idx="113">
                        <c:v>76942.100417735463</c:v>
                      </c:pt>
                      <c:pt idx="114">
                        <c:v>79732.146059945662</c:v>
                      </c:pt>
                      <c:pt idx="115">
                        <c:v>82542.260777910953</c:v>
                      </c:pt>
                      <c:pt idx="116">
                        <c:v>85369.251389651356</c:v>
                      </c:pt>
                      <c:pt idx="117">
                        <c:v>88209.845500983007</c:v>
                      </c:pt>
                      <c:pt idx="118">
                        <c:v>91060.706344363105</c:v>
                      </c:pt>
                      <c:pt idx="119">
                        <c:v>93918.448260843448</c:v>
                      </c:pt>
                      <c:pt idx="120">
                        <c:v>96779.652674678873</c:v>
                      </c:pt>
                      <c:pt idx="121">
                        <c:v>99640.884401658855</c:v>
                      </c:pt>
                      <c:pt idx="122">
                        <c:v>102498.70812644083</c:v>
                      </c:pt>
                      <c:pt idx="123">
                        <c:v>105349.70488121972</c:v>
                      </c:pt>
                      <c:pt idx="124">
                        <c:v>108190.48835804388</c:v>
                      </c:pt>
                      <c:pt idx="125">
                        <c:v>111017.72088998796</c:v>
                      </c:pt>
                      <c:pt idx="126">
                        <c:v>113828.12894213607</c:v>
                      </c:pt>
                      <c:pt idx="127">
                        <c:v>116618.51796176778</c:v>
                      </c:pt>
                      <c:pt idx="128">
                        <c:v>119385.78644804991</c:v>
                      </c:pt>
                      <c:pt idx="129">
                        <c:v>122126.93911463868</c:v>
                      </c:pt>
                      <c:pt idx="130">
                        <c:v>124839.09903355871</c:v>
                      </c:pt>
                      <c:pt idx="131">
                        <c:v>127519.51866517241</c:v>
                      </c:pt>
                      <c:pt idx="132">
                        <c:v>130165.58969659348</c:v>
                      </c:pt>
                      <c:pt idx="133">
                        <c:v>132774.85162911555</c:v>
                      </c:pt>
                      <c:pt idx="134">
                        <c:v>135344.9990737185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C697-44AA-A96B-8DCC64E76E94}"/>
                  </c:ext>
                </c:extLst>
              </c15:ser>
            </c15:filteredScatterSeries>
          </c:ext>
        </c:extLst>
      </c:scatterChart>
      <c:scatterChart>
        <c:scatterStyle val="lineMarker"/>
        <c:varyColors val="0"/>
        <c:ser>
          <c:idx val="0"/>
          <c:order val="0"/>
          <c:tx>
            <c:strRef>
              <c:f>Cumul_removed_bSIR!$D$7</c:f>
              <c:strCache>
                <c:ptCount val="1"/>
                <c:pt idx="0">
                  <c:v>Italy cumulative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5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Cumul_removed_bSIR!$C$62:$C$184</c:f>
              <c:numCache>
                <c:formatCode>General</c:formatCode>
                <c:ptCount val="123"/>
                <c:pt idx="0">
                  <c:v>55</c:v>
                </c:pt>
                <c:pt idx="1">
                  <c:v>56</c:v>
                </c:pt>
                <c:pt idx="2">
                  <c:v>57</c:v>
                </c:pt>
                <c:pt idx="3">
                  <c:v>58</c:v>
                </c:pt>
                <c:pt idx="4">
                  <c:v>59</c:v>
                </c:pt>
                <c:pt idx="5">
                  <c:v>60</c:v>
                </c:pt>
                <c:pt idx="6">
                  <c:v>61</c:v>
                </c:pt>
                <c:pt idx="7">
                  <c:v>62</c:v>
                </c:pt>
                <c:pt idx="8">
                  <c:v>63</c:v>
                </c:pt>
                <c:pt idx="9">
                  <c:v>64</c:v>
                </c:pt>
                <c:pt idx="10">
                  <c:v>65</c:v>
                </c:pt>
                <c:pt idx="11">
                  <c:v>66</c:v>
                </c:pt>
                <c:pt idx="12">
                  <c:v>67</c:v>
                </c:pt>
                <c:pt idx="13">
                  <c:v>68</c:v>
                </c:pt>
                <c:pt idx="14">
                  <c:v>69</c:v>
                </c:pt>
                <c:pt idx="15">
                  <c:v>70</c:v>
                </c:pt>
                <c:pt idx="16">
                  <c:v>71</c:v>
                </c:pt>
                <c:pt idx="17">
                  <c:v>72</c:v>
                </c:pt>
                <c:pt idx="18">
                  <c:v>73</c:v>
                </c:pt>
                <c:pt idx="19">
                  <c:v>74</c:v>
                </c:pt>
                <c:pt idx="20">
                  <c:v>75</c:v>
                </c:pt>
                <c:pt idx="21">
                  <c:v>76</c:v>
                </c:pt>
                <c:pt idx="22">
                  <c:v>77</c:v>
                </c:pt>
                <c:pt idx="23">
                  <c:v>78</c:v>
                </c:pt>
                <c:pt idx="24">
                  <c:v>79</c:v>
                </c:pt>
                <c:pt idx="25">
                  <c:v>80</c:v>
                </c:pt>
                <c:pt idx="26">
                  <c:v>81</c:v>
                </c:pt>
                <c:pt idx="27">
                  <c:v>82</c:v>
                </c:pt>
                <c:pt idx="28">
                  <c:v>83</c:v>
                </c:pt>
                <c:pt idx="29">
                  <c:v>84</c:v>
                </c:pt>
                <c:pt idx="30">
                  <c:v>85</c:v>
                </c:pt>
                <c:pt idx="31">
                  <c:v>86</c:v>
                </c:pt>
                <c:pt idx="32">
                  <c:v>87</c:v>
                </c:pt>
                <c:pt idx="33">
                  <c:v>88</c:v>
                </c:pt>
                <c:pt idx="34">
                  <c:v>89</c:v>
                </c:pt>
                <c:pt idx="35">
                  <c:v>90</c:v>
                </c:pt>
                <c:pt idx="36">
                  <c:v>91</c:v>
                </c:pt>
                <c:pt idx="37">
                  <c:v>92</c:v>
                </c:pt>
                <c:pt idx="38">
                  <c:v>93</c:v>
                </c:pt>
                <c:pt idx="39">
                  <c:v>94</c:v>
                </c:pt>
                <c:pt idx="40">
                  <c:v>95</c:v>
                </c:pt>
                <c:pt idx="41">
                  <c:v>96</c:v>
                </c:pt>
                <c:pt idx="42">
                  <c:v>97</c:v>
                </c:pt>
                <c:pt idx="43">
                  <c:v>98</c:v>
                </c:pt>
                <c:pt idx="44">
                  <c:v>99</c:v>
                </c:pt>
                <c:pt idx="45">
                  <c:v>100</c:v>
                </c:pt>
                <c:pt idx="46">
                  <c:v>101</c:v>
                </c:pt>
                <c:pt idx="47">
                  <c:v>102</c:v>
                </c:pt>
                <c:pt idx="48">
                  <c:v>103</c:v>
                </c:pt>
                <c:pt idx="49">
                  <c:v>104</c:v>
                </c:pt>
                <c:pt idx="50">
                  <c:v>105</c:v>
                </c:pt>
                <c:pt idx="51">
                  <c:v>106</c:v>
                </c:pt>
                <c:pt idx="52">
                  <c:v>107</c:v>
                </c:pt>
                <c:pt idx="53">
                  <c:v>108</c:v>
                </c:pt>
                <c:pt idx="54">
                  <c:v>109</c:v>
                </c:pt>
                <c:pt idx="55">
                  <c:v>110</c:v>
                </c:pt>
                <c:pt idx="56">
                  <c:v>111</c:v>
                </c:pt>
                <c:pt idx="57">
                  <c:v>112</c:v>
                </c:pt>
                <c:pt idx="58">
                  <c:v>113</c:v>
                </c:pt>
                <c:pt idx="59">
                  <c:v>114</c:v>
                </c:pt>
                <c:pt idx="60">
                  <c:v>115</c:v>
                </c:pt>
                <c:pt idx="61">
                  <c:v>116</c:v>
                </c:pt>
                <c:pt idx="62">
                  <c:v>117</c:v>
                </c:pt>
                <c:pt idx="63">
                  <c:v>118</c:v>
                </c:pt>
                <c:pt idx="64">
                  <c:v>119</c:v>
                </c:pt>
                <c:pt idx="65">
                  <c:v>120</c:v>
                </c:pt>
                <c:pt idx="66">
                  <c:v>121</c:v>
                </c:pt>
                <c:pt idx="67">
                  <c:v>122</c:v>
                </c:pt>
                <c:pt idx="68">
                  <c:v>123</c:v>
                </c:pt>
                <c:pt idx="69">
                  <c:v>124</c:v>
                </c:pt>
                <c:pt idx="70">
                  <c:v>125</c:v>
                </c:pt>
                <c:pt idx="71">
                  <c:v>126</c:v>
                </c:pt>
                <c:pt idx="72">
                  <c:v>127</c:v>
                </c:pt>
                <c:pt idx="73">
                  <c:v>128</c:v>
                </c:pt>
                <c:pt idx="74">
                  <c:v>129</c:v>
                </c:pt>
                <c:pt idx="75">
                  <c:v>130</c:v>
                </c:pt>
                <c:pt idx="76">
                  <c:v>131</c:v>
                </c:pt>
                <c:pt idx="77">
                  <c:v>132</c:v>
                </c:pt>
                <c:pt idx="78">
                  <c:v>133</c:v>
                </c:pt>
                <c:pt idx="79">
                  <c:v>134</c:v>
                </c:pt>
                <c:pt idx="80">
                  <c:v>135</c:v>
                </c:pt>
                <c:pt idx="81">
                  <c:v>136</c:v>
                </c:pt>
                <c:pt idx="82">
                  <c:v>137</c:v>
                </c:pt>
                <c:pt idx="83">
                  <c:v>138</c:v>
                </c:pt>
                <c:pt idx="84">
                  <c:v>139</c:v>
                </c:pt>
                <c:pt idx="85">
                  <c:v>140</c:v>
                </c:pt>
                <c:pt idx="86">
                  <c:v>141</c:v>
                </c:pt>
                <c:pt idx="87">
                  <c:v>142</c:v>
                </c:pt>
                <c:pt idx="88">
                  <c:v>143</c:v>
                </c:pt>
                <c:pt idx="89">
                  <c:v>144</c:v>
                </c:pt>
                <c:pt idx="90">
                  <c:v>145</c:v>
                </c:pt>
                <c:pt idx="91">
                  <c:v>146</c:v>
                </c:pt>
                <c:pt idx="92">
                  <c:v>147</c:v>
                </c:pt>
                <c:pt idx="93">
                  <c:v>148</c:v>
                </c:pt>
                <c:pt idx="94">
                  <c:v>149</c:v>
                </c:pt>
                <c:pt idx="95">
                  <c:v>150</c:v>
                </c:pt>
                <c:pt idx="96">
                  <c:v>151</c:v>
                </c:pt>
                <c:pt idx="97">
                  <c:v>152</c:v>
                </c:pt>
                <c:pt idx="98">
                  <c:v>153</c:v>
                </c:pt>
                <c:pt idx="99">
                  <c:v>154</c:v>
                </c:pt>
                <c:pt idx="100">
                  <c:v>155</c:v>
                </c:pt>
                <c:pt idx="101">
                  <c:v>156</c:v>
                </c:pt>
                <c:pt idx="102">
                  <c:v>157</c:v>
                </c:pt>
                <c:pt idx="103">
                  <c:v>158</c:v>
                </c:pt>
                <c:pt idx="104">
                  <c:v>159</c:v>
                </c:pt>
                <c:pt idx="105">
                  <c:v>160</c:v>
                </c:pt>
                <c:pt idx="106">
                  <c:v>161</c:v>
                </c:pt>
                <c:pt idx="107">
                  <c:v>162</c:v>
                </c:pt>
                <c:pt idx="108">
                  <c:v>163</c:v>
                </c:pt>
                <c:pt idx="109">
                  <c:v>164</c:v>
                </c:pt>
                <c:pt idx="110">
                  <c:v>165</c:v>
                </c:pt>
                <c:pt idx="111">
                  <c:v>166</c:v>
                </c:pt>
                <c:pt idx="112">
                  <c:v>167</c:v>
                </c:pt>
                <c:pt idx="113">
                  <c:v>168</c:v>
                </c:pt>
                <c:pt idx="114">
                  <c:v>169</c:v>
                </c:pt>
                <c:pt idx="115">
                  <c:v>170</c:v>
                </c:pt>
                <c:pt idx="116">
                  <c:v>171</c:v>
                </c:pt>
                <c:pt idx="117">
                  <c:v>172</c:v>
                </c:pt>
                <c:pt idx="118">
                  <c:v>173</c:v>
                </c:pt>
                <c:pt idx="119">
                  <c:v>174</c:v>
                </c:pt>
                <c:pt idx="120">
                  <c:v>175</c:v>
                </c:pt>
                <c:pt idx="121">
                  <c:v>176</c:v>
                </c:pt>
                <c:pt idx="122">
                  <c:v>177</c:v>
                </c:pt>
              </c:numCache>
            </c:numRef>
          </c:xVal>
          <c:yVal>
            <c:numRef>
              <c:f>Cumul_removed_bSIR!$D$62:$D$184</c:f>
              <c:numCache>
                <c:formatCode>0</c:formatCode>
                <c:ptCount val="123"/>
                <c:pt idx="0">
                  <c:v>8</c:v>
                </c:pt>
                <c:pt idx="1">
                  <c:v>11</c:v>
                </c:pt>
                <c:pt idx="2">
                  <c:v>15</c:v>
                </c:pt>
                <c:pt idx="3">
                  <c:v>62</c:v>
                </c:pt>
                <c:pt idx="4">
                  <c:v>67</c:v>
                </c:pt>
                <c:pt idx="5">
                  <c:v>79</c:v>
                </c:pt>
                <c:pt idx="6">
                  <c:v>117</c:v>
                </c:pt>
                <c:pt idx="7">
                  <c:v>201</c:v>
                </c:pt>
                <c:pt idx="8">
                  <c:v>239</c:v>
                </c:pt>
                <c:pt idx="9">
                  <c:v>383</c:v>
                </c:pt>
                <c:pt idx="10">
                  <c:v>562</c:v>
                </c:pt>
                <c:pt idx="11">
                  <c:v>720</c:v>
                </c:pt>
                <c:pt idx="12">
                  <c:v>822</c:v>
                </c:pt>
                <c:pt idx="13">
                  <c:v>988</c:v>
                </c:pt>
                <c:pt idx="14">
                  <c:v>1187</c:v>
                </c:pt>
                <c:pt idx="15">
                  <c:v>1635</c:v>
                </c:pt>
                <c:pt idx="16">
                  <c:v>1872</c:v>
                </c:pt>
                <c:pt idx="17">
                  <c:v>2274</c:v>
                </c:pt>
                <c:pt idx="18">
                  <c:v>2705</c:v>
                </c:pt>
                <c:pt idx="19">
                  <c:v>3407</c:v>
                </c:pt>
                <c:pt idx="20">
                  <c:v>4144</c:v>
                </c:pt>
                <c:pt idx="21">
                  <c:v>4907</c:v>
                </c:pt>
                <c:pt idx="22">
                  <c:v>5444</c:v>
                </c:pt>
                <c:pt idx="23">
                  <c:v>7003</c:v>
                </c:pt>
                <c:pt idx="24">
                  <c:v>7845</c:v>
                </c:pt>
                <c:pt idx="25">
                  <c:v>9161</c:v>
                </c:pt>
                <c:pt idx="26">
                  <c:v>10897</c:v>
                </c:pt>
                <c:pt idx="27">
                  <c:v>12500</c:v>
                </c:pt>
                <c:pt idx="28">
                  <c:v>13509</c:v>
                </c:pt>
                <c:pt idx="29">
                  <c:v>15146</c:v>
                </c:pt>
                <c:pt idx="30">
                  <c:v>16865</c:v>
                </c:pt>
                <c:pt idx="31">
                  <c:v>18526</c:v>
                </c:pt>
                <c:pt idx="32">
                  <c:v>20084</c:v>
                </c:pt>
                <c:pt idx="33">
                  <c:v>22407</c:v>
                </c:pt>
                <c:pt idx="34">
                  <c:v>23809</c:v>
                </c:pt>
                <c:pt idx="35">
                  <c:v>26211</c:v>
                </c:pt>
                <c:pt idx="36">
                  <c:v>28157</c:v>
                </c:pt>
                <c:pt idx="37">
                  <c:v>30002</c:v>
                </c:pt>
                <c:pt idx="38">
                  <c:v>32193</c:v>
                </c:pt>
                <c:pt idx="39">
                  <c:v>34439</c:v>
                </c:pt>
                <c:pt idx="40">
                  <c:v>36358</c:v>
                </c:pt>
                <c:pt idx="41">
                  <c:v>37702</c:v>
                </c:pt>
                <c:pt idx="42">
                  <c:v>39360</c:v>
                </c:pt>
                <c:pt idx="43">
                  <c:v>41519</c:v>
                </c:pt>
                <c:pt idx="44">
                  <c:v>44160</c:v>
                </c:pt>
                <c:pt idx="45">
                  <c:v>46749</c:v>
                </c:pt>
                <c:pt idx="46">
                  <c:v>49304</c:v>
                </c:pt>
                <c:pt idx="47">
                  <c:v>52002</c:v>
                </c:pt>
                <c:pt idx="48">
                  <c:v>54110</c:v>
                </c:pt>
                <c:pt idx="49">
                  <c:v>55900</c:v>
                </c:pt>
                <c:pt idx="50">
                  <c:v>58197</c:v>
                </c:pt>
                <c:pt idx="51">
                  <c:v>59737</c:v>
                </c:pt>
                <c:pt idx="52">
                  <c:v>62334</c:v>
                </c:pt>
                <c:pt idx="53">
                  <c:v>65472</c:v>
                </c:pt>
                <c:pt idx="54">
                  <c:v>68154</c:v>
                </c:pt>
                <c:pt idx="55">
                  <c:v>70715</c:v>
                </c:pt>
                <c:pt idx="56">
                  <c:v>72991</c:v>
                </c:pt>
                <c:pt idx="57">
                  <c:v>76248</c:v>
                </c:pt>
                <c:pt idx="58">
                  <c:v>79628</c:v>
                </c:pt>
                <c:pt idx="59">
                  <c:v>83125</c:v>
                </c:pt>
                <c:pt idx="60">
                  <c:v>86467</c:v>
                </c:pt>
                <c:pt idx="61">
                  <c:v>89504</c:v>
                </c:pt>
                <c:pt idx="62">
                  <c:v>91572</c:v>
                </c:pt>
                <c:pt idx="63">
                  <c:v>93601</c:v>
                </c:pt>
                <c:pt idx="64">
                  <c:v>96300</c:v>
                </c:pt>
                <c:pt idx="65">
                  <c:v>98934</c:v>
                </c:pt>
                <c:pt idx="66">
                  <c:v>103912</c:v>
                </c:pt>
                <c:pt idx="67">
                  <c:v>106485</c:v>
                </c:pt>
                <c:pt idx="68">
                  <c:v>108624</c:v>
                </c:pt>
                <c:pt idx="69">
                  <c:v>110538</c:v>
                </c:pt>
                <c:pt idx="70">
                  <c:v>111958</c:v>
                </c:pt>
                <c:pt idx="71">
                  <c:v>114546</c:v>
                </c:pt>
                <c:pt idx="72">
                  <c:v>122929</c:v>
                </c:pt>
                <c:pt idx="73">
                  <c:v>126234</c:v>
                </c:pt>
                <c:pt idx="74">
                  <c:v>129224</c:v>
                </c:pt>
                <c:pt idx="75">
                  <c:v>133426</c:v>
                </c:pt>
                <c:pt idx="76">
                  <c:v>135746</c:v>
                </c:pt>
                <c:pt idx="77">
                  <c:v>137326</c:v>
                </c:pt>
                <c:pt idx="78">
                  <c:v>139950</c:v>
                </c:pt>
                <c:pt idx="79">
                  <c:v>143647</c:v>
                </c:pt>
                <c:pt idx="80">
                  <c:v>146656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C697-44AA-A96B-8DCC64E76E94}"/>
            </c:ext>
          </c:extLst>
        </c:ser>
        <c:ser>
          <c:idx val="4"/>
          <c:order val="5"/>
          <c:tx>
            <c:strRef>
              <c:f>Cumul_removed_bSIR!$N$7</c:f>
              <c:strCache>
                <c:ptCount val="1"/>
                <c:pt idx="0">
                  <c:v>region data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5"/>
            <c:spPr>
              <a:solidFill>
                <a:srgbClr val="FF0000"/>
              </a:solidFill>
              <a:ln w="9525">
                <a:noFill/>
                <a:round/>
              </a:ln>
              <a:effectLst/>
            </c:spPr>
          </c:marker>
          <c:xVal>
            <c:numRef>
              <c:f>Cumul_removed_bSIR!$C$62:$C$184</c:f>
              <c:numCache>
                <c:formatCode>General</c:formatCode>
                <c:ptCount val="123"/>
                <c:pt idx="0">
                  <c:v>55</c:v>
                </c:pt>
                <c:pt idx="1">
                  <c:v>56</c:v>
                </c:pt>
                <c:pt idx="2">
                  <c:v>57</c:v>
                </c:pt>
                <c:pt idx="3">
                  <c:v>58</c:v>
                </c:pt>
                <c:pt idx="4">
                  <c:v>59</c:v>
                </c:pt>
                <c:pt idx="5">
                  <c:v>60</c:v>
                </c:pt>
                <c:pt idx="6">
                  <c:v>61</c:v>
                </c:pt>
                <c:pt idx="7">
                  <c:v>62</c:v>
                </c:pt>
                <c:pt idx="8">
                  <c:v>63</c:v>
                </c:pt>
                <c:pt idx="9">
                  <c:v>64</c:v>
                </c:pt>
                <c:pt idx="10">
                  <c:v>65</c:v>
                </c:pt>
                <c:pt idx="11">
                  <c:v>66</c:v>
                </c:pt>
                <c:pt idx="12">
                  <c:v>67</c:v>
                </c:pt>
                <c:pt idx="13">
                  <c:v>68</c:v>
                </c:pt>
                <c:pt idx="14">
                  <c:v>69</c:v>
                </c:pt>
                <c:pt idx="15">
                  <c:v>70</c:v>
                </c:pt>
                <c:pt idx="16">
                  <c:v>71</c:v>
                </c:pt>
                <c:pt idx="17">
                  <c:v>72</c:v>
                </c:pt>
                <c:pt idx="18">
                  <c:v>73</c:v>
                </c:pt>
                <c:pt idx="19">
                  <c:v>74</c:v>
                </c:pt>
                <c:pt idx="20">
                  <c:v>75</c:v>
                </c:pt>
                <c:pt idx="21">
                  <c:v>76</c:v>
                </c:pt>
                <c:pt idx="22">
                  <c:v>77</c:v>
                </c:pt>
                <c:pt idx="23">
                  <c:v>78</c:v>
                </c:pt>
                <c:pt idx="24">
                  <c:v>79</c:v>
                </c:pt>
                <c:pt idx="25">
                  <c:v>80</c:v>
                </c:pt>
                <c:pt idx="26">
                  <c:v>81</c:v>
                </c:pt>
                <c:pt idx="27">
                  <c:v>82</c:v>
                </c:pt>
                <c:pt idx="28">
                  <c:v>83</c:v>
                </c:pt>
                <c:pt idx="29">
                  <c:v>84</c:v>
                </c:pt>
                <c:pt idx="30">
                  <c:v>85</c:v>
                </c:pt>
                <c:pt idx="31">
                  <c:v>86</c:v>
                </c:pt>
                <c:pt idx="32">
                  <c:v>87</c:v>
                </c:pt>
                <c:pt idx="33">
                  <c:v>88</c:v>
                </c:pt>
                <c:pt idx="34">
                  <c:v>89</c:v>
                </c:pt>
                <c:pt idx="35">
                  <c:v>90</c:v>
                </c:pt>
                <c:pt idx="36">
                  <c:v>91</c:v>
                </c:pt>
                <c:pt idx="37">
                  <c:v>92</c:v>
                </c:pt>
                <c:pt idx="38">
                  <c:v>93</c:v>
                </c:pt>
                <c:pt idx="39">
                  <c:v>94</c:v>
                </c:pt>
                <c:pt idx="40">
                  <c:v>95</c:v>
                </c:pt>
                <c:pt idx="41">
                  <c:v>96</c:v>
                </c:pt>
                <c:pt idx="42">
                  <c:v>97</c:v>
                </c:pt>
                <c:pt idx="43">
                  <c:v>98</c:v>
                </c:pt>
                <c:pt idx="44">
                  <c:v>99</c:v>
                </c:pt>
                <c:pt idx="45">
                  <c:v>100</c:v>
                </c:pt>
                <c:pt idx="46">
                  <c:v>101</c:v>
                </c:pt>
                <c:pt idx="47">
                  <c:v>102</c:v>
                </c:pt>
                <c:pt idx="48">
                  <c:v>103</c:v>
                </c:pt>
                <c:pt idx="49">
                  <c:v>104</c:v>
                </c:pt>
                <c:pt idx="50">
                  <c:v>105</c:v>
                </c:pt>
                <c:pt idx="51">
                  <c:v>106</c:v>
                </c:pt>
                <c:pt idx="52">
                  <c:v>107</c:v>
                </c:pt>
                <c:pt idx="53">
                  <c:v>108</c:v>
                </c:pt>
                <c:pt idx="54">
                  <c:v>109</c:v>
                </c:pt>
                <c:pt idx="55">
                  <c:v>110</c:v>
                </c:pt>
                <c:pt idx="56">
                  <c:v>111</c:v>
                </c:pt>
                <c:pt idx="57">
                  <c:v>112</c:v>
                </c:pt>
                <c:pt idx="58">
                  <c:v>113</c:v>
                </c:pt>
                <c:pt idx="59">
                  <c:v>114</c:v>
                </c:pt>
                <c:pt idx="60">
                  <c:v>115</c:v>
                </c:pt>
                <c:pt idx="61">
                  <c:v>116</c:v>
                </c:pt>
                <c:pt idx="62">
                  <c:v>117</c:v>
                </c:pt>
                <c:pt idx="63">
                  <c:v>118</c:v>
                </c:pt>
                <c:pt idx="64">
                  <c:v>119</c:v>
                </c:pt>
                <c:pt idx="65">
                  <c:v>120</c:v>
                </c:pt>
                <c:pt idx="66">
                  <c:v>121</c:v>
                </c:pt>
                <c:pt idx="67">
                  <c:v>122</c:v>
                </c:pt>
                <c:pt idx="68">
                  <c:v>123</c:v>
                </c:pt>
                <c:pt idx="69">
                  <c:v>124</c:v>
                </c:pt>
                <c:pt idx="70">
                  <c:v>125</c:v>
                </c:pt>
                <c:pt idx="71">
                  <c:v>126</c:v>
                </c:pt>
                <c:pt idx="72">
                  <c:v>127</c:v>
                </c:pt>
                <c:pt idx="73">
                  <c:v>128</c:v>
                </c:pt>
                <c:pt idx="74">
                  <c:v>129</c:v>
                </c:pt>
                <c:pt idx="75">
                  <c:v>130</c:v>
                </c:pt>
                <c:pt idx="76">
                  <c:v>131</c:v>
                </c:pt>
                <c:pt idx="77">
                  <c:v>132</c:v>
                </c:pt>
                <c:pt idx="78">
                  <c:v>133</c:v>
                </c:pt>
                <c:pt idx="79">
                  <c:v>134</c:v>
                </c:pt>
                <c:pt idx="80">
                  <c:v>135</c:v>
                </c:pt>
                <c:pt idx="81">
                  <c:v>136</c:v>
                </c:pt>
                <c:pt idx="82">
                  <c:v>137</c:v>
                </c:pt>
                <c:pt idx="83">
                  <c:v>138</c:v>
                </c:pt>
                <c:pt idx="84">
                  <c:v>139</c:v>
                </c:pt>
                <c:pt idx="85">
                  <c:v>140</c:v>
                </c:pt>
                <c:pt idx="86">
                  <c:v>141</c:v>
                </c:pt>
                <c:pt idx="87">
                  <c:v>142</c:v>
                </c:pt>
                <c:pt idx="88">
                  <c:v>143</c:v>
                </c:pt>
                <c:pt idx="89">
                  <c:v>144</c:v>
                </c:pt>
                <c:pt idx="90">
                  <c:v>145</c:v>
                </c:pt>
                <c:pt idx="91">
                  <c:v>146</c:v>
                </c:pt>
                <c:pt idx="92">
                  <c:v>147</c:v>
                </c:pt>
                <c:pt idx="93">
                  <c:v>148</c:v>
                </c:pt>
                <c:pt idx="94">
                  <c:v>149</c:v>
                </c:pt>
                <c:pt idx="95">
                  <c:v>150</c:v>
                </c:pt>
                <c:pt idx="96">
                  <c:v>151</c:v>
                </c:pt>
                <c:pt idx="97">
                  <c:v>152</c:v>
                </c:pt>
                <c:pt idx="98">
                  <c:v>153</c:v>
                </c:pt>
                <c:pt idx="99">
                  <c:v>154</c:v>
                </c:pt>
                <c:pt idx="100">
                  <c:v>155</c:v>
                </c:pt>
                <c:pt idx="101">
                  <c:v>156</c:v>
                </c:pt>
                <c:pt idx="102">
                  <c:v>157</c:v>
                </c:pt>
                <c:pt idx="103">
                  <c:v>158</c:v>
                </c:pt>
                <c:pt idx="104">
                  <c:v>159</c:v>
                </c:pt>
                <c:pt idx="105">
                  <c:v>160</c:v>
                </c:pt>
                <c:pt idx="106">
                  <c:v>161</c:v>
                </c:pt>
                <c:pt idx="107">
                  <c:v>162</c:v>
                </c:pt>
                <c:pt idx="108">
                  <c:v>163</c:v>
                </c:pt>
                <c:pt idx="109">
                  <c:v>164</c:v>
                </c:pt>
                <c:pt idx="110">
                  <c:v>165</c:v>
                </c:pt>
                <c:pt idx="111">
                  <c:v>166</c:v>
                </c:pt>
                <c:pt idx="112">
                  <c:v>167</c:v>
                </c:pt>
                <c:pt idx="113">
                  <c:v>168</c:v>
                </c:pt>
                <c:pt idx="114">
                  <c:v>169</c:v>
                </c:pt>
                <c:pt idx="115">
                  <c:v>170</c:v>
                </c:pt>
                <c:pt idx="116">
                  <c:v>171</c:v>
                </c:pt>
                <c:pt idx="117">
                  <c:v>172</c:v>
                </c:pt>
                <c:pt idx="118">
                  <c:v>173</c:v>
                </c:pt>
                <c:pt idx="119">
                  <c:v>174</c:v>
                </c:pt>
                <c:pt idx="120">
                  <c:v>175</c:v>
                </c:pt>
                <c:pt idx="121">
                  <c:v>176</c:v>
                </c:pt>
                <c:pt idx="122">
                  <c:v>177</c:v>
                </c:pt>
              </c:numCache>
            </c:numRef>
          </c:xVal>
          <c:yVal>
            <c:numRef>
              <c:f>Cumul_removed_bSIR!$N$62:$N$184</c:f>
              <c:numCache>
                <c:formatCode>General</c:formatCode>
                <c:ptCount val="1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5</c:v>
                </c:pt>
                <c:pt idx="9">
                  <c:v>5</c:v>
                </c:pt>
                <c:pt idx="10">
                  <c:v>7</c:v>
                </c:pt>
                <c:pt idx="11">
                  <c:v>8</c:v>
                </c:pt>
                <c:pt idx="12">
                  <c:v>9</c:v>
                </c:pt>
                <c:pt idx="13">
                  <c:v>11</c:v>
                </c:pt>
                <c:pt idx="14">
                  <c:v>12</c:v>
                </c:pt>
                <c:pt idx="15">
                  <c:v>13</c:v>
                </c:pt>
                <c:pt idx="16">
                  <c:v>13</c:v>
                </c:pt>
                <c:pt idx="17">
                  <c:v>31</c:v>
                </c:pt>
                <c:pt idx="18">
                  <c:v>41</c:v>
                </c:pt>
                <c:pt idx="19">
                  <c:v>79</c:v>
                </c:pt>
                <c:pt idx="20">
                  <c:v>66</c:v>
                </c:pt>
                <c:pt idx="21">
                  <c:v>92</c:v>
                </c:pt>
                <c:pt idx="22">
                  <c:v>117</c:v>
                </c:pt>
                <c:pt idx="23">
                  <c:v>143</c:v>
                </c:pt>
                <c:pt idx="24">
                  <c:v>176</c:v>
                </c:pt>
                <c:pt idx="25">
                  <c:v>220</c:v>
                </c:pt>
                <c:pt idx="26">
                  <c:v>277</c:v>
                </c:pt>
                <c:pt idx="27">
                  <c:v>314</c:v>
                </c:pt>
                <c:pt idx="28">
                  <c:v>371</c:v>
                </c:pt>
                <c:pt idx="29">
                  <c:v>424</c:v>
                </c:pt>
                <c:pt idx="30">
                  <c:v>479</c:v>
                </c:pt>
                <c:pt idx="31">
                  <c:v>540</c:v>
                </c:pt>
                <c:pt idx="32">
                  <c:v>636</c:v>
                </c:pt>
                <c:pt idx="33">
                  <c:v>736</c:v>
                </c:pt>
                <c:pt idx="34">
                  <c:v>797</c:v>
                </c:pt>
                <c:pt idx="35">
                  <c:v>834</c:v>
                </c:pt>
                <c:pt idx="36">
                  <c:v>908</c:v>
                </c:pt>
                <c:pt idx="37">
                  <c:v>1015</c:v>
                </c:pt>
                <c:pt idx="38">
                  <c:v>1122</c:v>
                </c:pt>
                <c:pt idx="39">
                  <c:v>1219</c:v>
                </c:pt>
                <c:pt idx="40">
                  <c:v>1309</c:v>
                </c:pt>
                <c:pt idx="41">
                  <c:v>1356</c:v>
                </c:pt>
                <c:pt idx="42">
                  <c:v>1432</c:v>
                </c:pt>
                <c:pt idx="43">
                  <c:v>1545</c:v>
                </c:pt>
                <c:pt idx="44">
                  <c:v>1661</c:v>
                </c:pt>
                <c:pt idx="45">
                  <c:v>1767</c:v>
                </c:pt>
                <c:pt idx="46">
                  <c:v>1890</c:v>
                </c:pt>
                <c:pt idx="47">
                  <c:v>2043</c:v>
                </c:pt>
                <c:pt idx="48">
                  <c:v>2161</c:v>
                </c:pt>
                <c:pt idx="49">
                  <c:v>2231</c:v>
                </c:pt>
                <c:pt idx="50">
                  <c:v>2342</c:v>
                </c:pt>
                <c:pt idx="51">
                  <c:v>2472</c:v>
                </c:pt>
                <c:pt idx="52">
                  <c:v>2602</c:v>
                </c:pt>
                <c:pt idx="53">
                  <c:v>2729</c:v>
                </c:pt>
                <c:pt idx="54">
                  <c:v>2889</c:v>
                </c:pt>
                <c:pt idx="55">
                  <c:v>3038</c:v>
                </c:pt>
                <c:pt idx="56">
                  <c:v>3173</c:v>
                </c:pt>
                <c:pt idx="57">
                  <c:v>3301</c:v>
                </c:pt>
                <c:pt idx="58">
                  <c:v>3442</c:v>
                </c:pt>
                <c:pt idx="59">
                  <c:v>3583</c:v>
                </c:pt>
                <c:pt idx="60">
                  <c:v>3736</c:v>
                </c:pt>
                <c:pt idx="61">
                  <c:v>3868</c:v>
                </c:pt>
                <c:pt idx="62">
                  <c:v>4008</c:v>
                </c:pt>
                <c:pt idx="63">
                  <c:v>4062</c:v>
                </c:pt>
                <c:pt idx="64">
                  <c:v>4201</c:v>
                </c:pt>
                <c:pt idx="65">
                  <c:v>4313</c:v>
                </c:pt>
                <c:pt idx="66">
                  <c:v>4442</c:v>
                </c:pt>
                <c:pt idx="67">
                  <c:v>4608</c:v>
                </c:pt>
                <c:pt idx="68">
                  <c:v>4714</c:v>
                </c:pt>
                <c:pt idx="69">
                  <c:v>4808</c:v>
                </c:pt>
                <c:pt idx="70">
                  <c:v>4904</c:v>
                </c:pt>
                <c:pt idx="71">
                  <c:v>5048</c:v>
                </c:pt>
                <c:pt idx="72">
                  <c:v>5245</c:v>
                </c:pt>
                <c:pt idx="73">
                  <c:v>5397</c:v>
                </c:pt>
                <c:pt idx="74">
                  <c:v>5547</c:v>
                </c:pt>
                <c:pt idx="75">
                  <c:v>5756</c:v>
                </c:pt>
                <c:pt idx="76">
                  <c:v>5888</c:v>
                </c:pt>
                <c:pt idx="77">
                  <c:v>5988</c:v>
                </c:pt>
                <c:pt idx="78">
                  <c:v>6084</c:v>
                </c:pt>
                <c:pt idx="79">
                  <c:v>6212</c:v>
                </c:pt>
                <c:pt idx="80">
                  <c:v>6335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697-44AA-A96B-8DCC64E76E94}"/>
            </c:ext>
          </c:extLst>
        </c:ser>
        <c:ser>
          <c:idx val="8"/>
          <c:order val="9"/>
          <c:tx>
            <c:strRef>
              <c:f>Cumul_removed_bSIR!$U$7</c:f>
              <c:strCache>
                <c:ptCount val="1"/>
                <c:pt idx="0">
                  <c:v>rest of Italy 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noFill/>
                <a:round/>
              </a:ln>
              <a:effectLst/>
            </c:spPr>
          </c:marker>
          <c:xVal>
            <c:numRef>
              <c:f>Cumul_removed_bSIR!$C$62:$C$184</c:f>
              <c:numCache>
                <c:formatCode>General</c:formatCode>
                <c:ptCount val="123"/>
                <c:pt idx="0">
                  <c:v>55</c:v>
                </c:pt>
                <c:pt idx="1">
                  <c:v>56</c:v>
                </c:pt>
                <c:pt idx="2">
                  <c:v>57</c:v>
                </c:pt>
                <c:pt idx="3">
                  <c:v>58</c:v>
                </c:pt>
                <c:pt idx="4">
                  <c:v>59</c:v>
                </c:pt>
                <c:pt idx="5">
                  <c:v>60</c:v>
                </c:pt>
                <c:pt idx="6">
                  <c:v>61</c:v>
                </c:pt>
                <c:pt idx="7">
                  <c:v>62</c:v>
                </c:pt>
                <c:pt idx="8">
                  <c:v>63</c:v>
                </c:pt>
                <c:pt idx="9">
                  <c:v>64</c:v>
                </c:pt>
                <c:pt idx="10">
                  <c:v>65</c:v>
                </c:pt>
                <c:pt idx="11">
                  <c:v>66</c:v>
                </c:pt>
                <c:pt idx="12">
                  <c:v>67</c:v>
                </c:pt>
                <c:pt idx="13">
                  <c:v>68</c:v>
                </c:pt>
                <c:pt idx="14">
                  <c:v>69</c:v>
                </c:pt>
                <c:pt idx="15">
                  <c:v>70</c:v>
                </c:pt>
                <c:pt idx="16">
                  <c:v>71</c:v>
                </c:pt>
                <c:pt idx="17">
                  <c:v>72</c:v>
                </c:pt>
                <c:pt idx="18">
                  <c:v>73</c:v>
                </c:pt>
                <c:pt idx="19">
                  <c:v>74</c:v>
                </c:pt>
                <c:pt idx="20">
                  <c:v>75</c:v>
                </c:pt>
                <c:pt idx="21">
                  <c:v>76</c:v>
                </c:pt>
                <c:pt idx="22">
                  <c:v>77</c:v>
                </c:pt>
                <c:pt idx="23">
                  <c:v>78</c:v>
                </c:pt>
                <c:pt idx="24">
                  <c:v>79</c:v>
                </c:pt>
                <c:pt idx="25">
                  <c:v>80</c:v>
                </c:pt>
                <c:pt idx="26">
                  <c:v>81</c:v>
                </c:pt>
                <c:pt idx="27">
                  <c:v>82</c:v>
                </c:pt>
                <c:pt idx="28">
                  <c:v>83</c:v>
                </c:pt>
                <c:pt idx="29">
                  <c:v>84</c:v>
                </c:pt>
                <c:pt idx="30">
                  <c:v>85</c:v>
                </c:pt>
                <c:pt idx="31">
                  <c:v>86</c:v>
                </c:pt>
                <c:pt idx="32">
                  <c:v>87</c:v>
                </c:pt>
                <c:pt idx="33">
                  <c:v>88</c:v>
                </c:pt>
                <c:pt idx="34">
                  <c:v>89</c:v>
                </c:pt>
                <c:pt idx="35">
                  <c:v>90</c:v>
                </c:pt>
                <c:pt idx="36">
                  <c:v>91</c:v>
                </c:pt>
                <c:pt idx="37">
                  <c:v>92</c:v>
                </c:pt>
                <c:pt idx="38">
                  <c:v>93</c:v>
                </c:pt>
                <c:pt idx="39">
                  <c:v>94</c:v>
                </c:pt>
                <c:pt idx="40">
                  <c:v>95</c:v>
                </c:pt>
                <c:pt idx="41">
                  <c:v>96</c:v>
                </c:pt>
                <c:pt idx="42">
                  <c:v>97</c:v>
                </c:pt>
                <c:pt idx="43">
                  <c:v>98</c:v>
                </c:pt>
                <c:pt idx="44">
                  <c:v>99</c:v>
                </c:pt>
                <c:pt idx="45">
                  <c:v>100</c:v>
                </c:pt>
                <c:pt idx="46">
                  <c:v>101</c:v>
                </c:pt>
                <c:pt idx="47">
                  <c:v>102</c:v>
                </c:pt>
                <c:pt idx="48">
                  <c:v>103</c:v>
                </c:pt>
                <c:pt idx="49">
                  <c:v>104</c:v>
                </c:pt>
                <c:pt idx="50">
                  <c:v>105</c:v>
                </c:pt>
                <c:pt idx="51">
                  <c:v>106</c:v>
                </c:pt>
                <c:pt idx="52">
                  <c:v>107</c:v>
                </c:pt>
                <c:pt idx="53">
                  <c:v>108</c:v>
                </c:pt>
                <c:pt idx="54">
                  <c:v>109</c:v>
                </c:pt>
                <c:pt idx="55">
                  <c:v>110</c:v>
                </c:pt>
                <c:pt idx="56">
                  <c:v>111</c:v>
                </c:pt>
                <c:pt idx="57">
                  <c:v>112</c:v>
                </c:pt>
                <c:pt idx="58">
                  <c:v>113</c:v>
                </c:pt>
                <c:pt idx="59">
                  <c:v>114</c:v>
                </c:pt>
                <c:pt idx="60">
                  <c:v>115</c:v>
                </c:pt>
                <c:pt idx="61">
                  <c:v>116</c:v>
                </c:pt>
                <c:pt idx="62">
                  <c:v>117</c:v>
                </c:pt>
                <c:pt idx="63">
                  <c:v>118</c:v>
                </c:pt>
                <c:pt idx="64">
                  <c:v>119</c:v>
                </c:pt>
                <c:pt idx="65">
                  <c:v>120</c:v>
                </c:pt>
                <c:pt idx="66">
                  <c:v>121</c:v>
                </c:pt>
                <c:pt idx="67">
                  <c:v>122</c:v>
                </c:pt>
                <c:pt idx="68">
                  <c:v>123</c:v>
                </c:pt>
                <c:pt idx="69">
                  <c:v>124</c:v>
                </c:pt>
                <c:pt idx="70">
                  <c:v>125</c:v>
                </c:pt>
                <c:pt idx="71">
                  <c:v>126</c:v>
                </c:pt>
                <c:pt idx="72">
                  <c:v>127</c:v>
                </c:pt>
                <c:pt idx="73">
                  <c:v>128</c:v>
                </c:pt>
                <c:pt idx="74">
                  <c:v>129</c:v>
                </c:pt>
                <c:pt idx="75">
                  <c:v>130</c:v>
                </c:pt>
                <c:pt idx="76">
                  <c:v>131</c:v>
                </c:pt>
                <c:pt idx="77">
                  <c:v>132</c:v>
                </c:pt>
                <c:pt idx="78">
                  <c:v>133</c:v>
                </c:pt>
                <c:pt idx="79">
                  <c:v>134</c:v>
                </c:pt>
                <c:pt idx="80">
                  <c:v>135</c:v>
                </c:pt>
                <c:pt idx="81">
                  <c:v>136</c:v>
                </c:pt>
                <c:pt idx="82">
                  <c:v>137</c:v>
                </c:pt>
                <c:pt idx="83">
                  <c:v>138</c:v>
                </c:pt>
                <c:pt idx="84">
                  <c:v>139</c:v>
                </c:pt>
                <c:pt idx="85">
                  <c:v>140</c:v>
                </c:pt>
                <c:pt idx="86">
                  <c:v>141</c:v>
                </c:pt>
                <c:pt idx="87">
                  <c:v>142</c:v>
                </c:pt>
                <c:pt idx="88">
                  <c:v>143</c:v>
                </c:pt>
                <c:pt idx="89">
                  <c:v>144</c:v>
                </c:pt>
                <c:pt idx="90">
                  <c:v>145</c:v>
                </c:pt>
                <c:pt idx="91">
                  <c:v>146</c:v>
                </c:pt>
                <c:pt idx="92">
                  <c:v>147</c:v>
                </c:pt>
                <c:pt idx="93">
                  <c:v>148</c:v>
                </c:pt>
                <c:pt idx="94">
                  <c:v>149</c:v>
                </c:pt>
                <c:pt idx="95">
                  <c:v>150</c:v>
                </c:pt>
                <c:pt idx="96">
                  <c:v>151</c:v>
                </c:pt>
                <c:pt idx="97">
                  <c:v>152</c:v>
                </c:pt>
                <c:pt idx="98">
                  <c:v>153</c:v>
                </c:pt>
                <c:pt idx="99">
                  <c:v>154</c:v>
                </c:pt>
                <c:pt idx="100">
                  <c:v>155</c:v>
                </c:pt>
                <c:pt idx="101">
                  <c:v>156</c:v>
                </c:pt>
                <c:pt idx="102">
                  <c:v>157</c:v>
                </c:pt>
                <c:pt idx="103">
                  <c:v>158</c:v>
                </c:pt>
                <c:pt idx="104">
                  <c:v>159</c:v>
                </c:pt>
                <c:pt idx="105">
                  <c:v>160</c:v>
                </c:pt>
                <c:pt idx="106">
                  <c:v>161</c:v>
                </c:pt>
                <c:pt idx="107">
                  <c:v>162</c:v>
                </c:pt>
                <c:pt idx="108">
                  <c:v>163</c:v>
                </c:pt>
                <c:pt idx="109">
                  <c:v>164</c:v>
                </c:pt>
                <c:pt idx="110">
                  <c:v>165</c:v>
                </c:pt>
                <c:pt idx="111">
                  <c:v>166</c:v>
                </c:pt>
                <c:pt idx="112">
                  <c:v>167</c:v>
                </c:pt>
                <c:pt idx="113">
                  <c:v>168</c:v>
                </c:pt>
                <c:pt idx="114">
                  <c:v>169</c:v>
                </c:pt>
                <c:pt idx="115">
                  <c:v>170</c:v>
                </c:pt>
                <c:pt idx="116">
                  <c:v>171</c:v>
                </c:pt>
                <c:pt idx="117">
                  <c:v>172</c:v>
                </c:pt>
                <c:pt idx="118">
                  <c:v>173</c:v>
                </c:pt>
                <c:pt idx="119">
                  <c:v>174</c:v>
                </c:pt>
                <c:pt idx="120">
                  <c:v>175</c:v>
                </c:pt>
                <c:pt idx="121">
                  <c:v>176</c:v>
                </c:pt>
                <c:pt idx="122">
                  <c:v>177</c:v>
                </c:pt>
              </c:numCache>
            </c:numRef>
          </c:xVal>
          <c:yVal>
            <c:numRef>
              <c:f>Cumul_removed_bSIR!$U$62:$U$184</c:f>
              <c:numCache>
                <c:formatCode>0</c:formatCode>
                <c:ptCount val="123"/>
                <c:pt idx="0">
                  <c:v>8</c:v>
                </c:pt>
                <c:pt idx="1">
                  <c:v>11</c:v>
                </c:pt>
                <c:pt idx="2">
                  <c:v>15</c:v>
                </c:pt>
                <c:pt idx="3">
                  <c:v>62</c:v>
                </c:pt>
                <c:pt idx="4">
                  <c:v>67</c:v>
                </c:pt>
                <c:pt idx="5">
                  <c:v>75</c:v>
                </c:pt>
                <c:pt idx="6">
                  <c:v>113</c:v>
                </c:pt>
                <c:pt idx="7">
                  <c:v>197</c:v>
                </c:pt>
                <c:pt idx="8">
                  <c:v>234</c:v>
                </c:pt>
                <c:pt idx="9">
                  <c:v>378</c:v>
                </c:pt>
                <c:pt idx="10">
                  <c:v>555</c:v>
                </c:pt>
                <c:pt idx="11">
                  <c:v>712</c:v>
                </c:pt>
                <c:pt idx="12">
                  <c:v>813</c:v>
                </c:pt>
                <c:pt idx="13">
                  <c:v>977</c:v>
                </c:pt>
                <c:pt idx="14">
                  <c:v>1175</c:v>
                </c:pt>
                <c:pt idx="15">
                  <c:v>1622</c:v>
                </c:pt>
                <c:pt idx="16">
                  <c:v>1859</c:v>
                </c:pt>
                <c:pt idx="17">
                  <c:v>2243</c:v>
                </c:pt>
                <c:pt idx="18">
                  <c:v>2664</c:v>
                </c:pt>
                <c:pt idx="19">
                  <c:v>3328</c:v>
                </c:pt>
                <c:pt idx="20">
                  <c:v>4078</c:v>
                </c:pt>
                <c:pt idx="21">
                  <c:v>4815</c:v>
                </c:pt>
                <c:pt idx="22">
                  <c:v>5327</c:v>
                </c:pt>
                <c:pt idx="23">
                  <c:v>6860</c:v>
                </c:pt>
                <c:pt idx="24">
                  <c:v>7669</c:v>
                </c:pt>
                <c:pt idx="25">
                  <c:v>8941</c:v>
                </c:pt>
                <c:pt idx="26">
                  <c:v>10620</c:v>
                </c:pt>
                <c:pt idx="27">
                  <c:v>12186</c:v>
                </c:pt>
                <c:pt idx="28">
                  <c:v>13138</c:v>
                </c:pt>
                <c:pt idx="29">
                  <c:v>14722</c:v>
                </c:pt>
                <c:pt idx="30">
                  <c:v>16386</c:v>
                </c:pt>
                <c:pt idx="31">
                  <c:v>17986</c:v>
                </c:pt>
                <c:pt idx="32">
                  <c:v>19448</c:v>
                </c:pt>
                <c:pt idx="33">
                  <c:v>21671</c:v>
                </c:pt>
                <c:pt idx="34">
                  <c:v>23012</c:v>
                </c:pt>
                <c:pt idx="35">
                  <c:v>25377</c:v>
                </c:pt>
                <c:pt idx="36">
                  <c:v>27249</c:v>
                </c:pt>
                <c:pt idx="37">
                  <c:v>28987</c:v>
                </c:pt>
                <c:pt idx="38">
                  <c:v>31071</c:v>
                </c:pt>
                <c:pt idx="39">
                  <c:v>33220</c:v>
                </c:pt>
                <c:pt idx="40">
                  <c:v>35049</c:v>
                </c:pt>
                <c:pt idx="41">
                  <c:v>36346</c:v>
                </c:pt>
                <c:pt idx="42">
                  <c:v>37928</c:v>
                </c:pt>
                <c:pt idx="43">
                  <c:v>39974</c:v>
                </c:pt>
                <c:pt idx="44">
                  <c:v>42499</c:v>
                </c:pt>
                <c:pt idx="45">
                  <c:v>44982</c:v>
                </c:pt>
                <c:pt idx="46">
                  <c:v>47414</c:v>
                </c:pt>
                <c:pt idx="47">
                  <c:v>49959</c:v>
                </c:pt>
                <c:pt idx="48">
                  <c:v>51949</c:v>
                </c:pt>
                <c:pt idx="49">
                  <c:v>53669</c:v>
                </c:pt>
                <c:pt idx="50">
                  <c:v>55855</c:v>
                </c:pt>
                <c:pt idx="51">
                  <c:v>57265</c:v>
                </c:pt>
                <c:pt idx="52">
                  <c:v>59732</c:v>
                </c:pt>
                <c:pt idx="53">
                  <c:v>62743</c:v>
                </c:pt>
                <c:pt idx="54">
                  <c:v>65265</c:v>
                </c:pt>
                <c:pt idx="55">
                  <c:v>67677</c:v>
                </c:pt>
                <c:pt idx="56">
                  <c:v>69818</c:v>
                </c:pt>
                <c:pt idx="57">
                  <c:v>72947</c:v>
                </c:pt>
                <c:pt idx="58">
                  <c:v>76186</c:v>
                </c:pt>
                <c:pt idx="59">
                  <c:v>79542</c:v>
                </c:pt>
                <c:pt idx="60">
                  <c:v>82731</c:v>
                </c:pt>
                <c:pt idx="61">
                  <c:v>85636</c:v>
                </c:pt>
                <c:pt idx="62">
                  <c:v>87564</c:v>
                </c:pt>
                <c:pt idx="63">
                  <c:v>89539</c:v>
                </c:pt>
                <c:pt idx="64">
                  <c:v>92099</c:v>
                </c:pt>
                <c:pt idx="65">
                  <c:v>94621</c:v>
                </c:pt>
                <c:pt idx="66">
                  <c:v>99470</c:v>
                </c:pt>
                <c:pt idx="67">
                  <c:v>101877</c:v>
                </c:pt>
                <c:pt idx="68">
                  <c:v>103910</c:v>
                </c:pt>
                <c:pt idx="69">
                  <c:v>105730</c:v>
                </c:pt>
                <c:pt idx="70">
                  <c:v>107054</c:v>
                </c:pt>
                <c:pt idx="71">
                  <c:v>109498</c:v>
                </c:pt>
                <c:pt idx="72">
                  <c:v>117684</c:v>
                </c:pt>
                <c:pt idx="73">
                  <c:v>120837</c:v>
                </c:pt>
                <c:pt idx="74">
                  <c:v>123677</c:v>
                </c:pt>
                <c:pt idx="75">
                  <c:v>127670</c:v>
                </c:pt>
                <c:pt idx="76">
                  <c:v>129858</c:v>
                </c:pt>
                <c:pt idx="77">
                  <c:v>131338</c:v>
                </c:pt>
                <c:pt idx="78">
                  <c:v>133866</c:v>
                </c:pt>
                <c:pt idx="79">
                  <c:v>137435</c:v>
                </c:pt>
                <c:pt idx="80">
                  <c:v>140321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C697-44AA-A96B-8DCC64E76E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2081744"/>
        <c:axId val="622082064"/>
        <c:extLst>
          <c:ext xmlns:c15="http://schemas.microsoft.com/office/drawing/2012/chart" uri="{02D57815-91ED-43cb-92C2-25804820EDAC}">
            <c15:filteredScatterSeries>
              <c15:ser>
                <c:idx val="2"/>
                <c:order val="3"/>
                <c:tx>
                  <c:strRef>
                    <c:extLst>
                      <c:ext uri="{02D57815-91ED-43cb-92C2-25804820EDAC}">
                        <c15:formulaRef>
                          <c15:sqref>Cumul_removed_bSIR!$L$7</c15:sqref>
                        </c15:formulaRef>
                      </c:ext>
                    </c:extLst>
                    <c:strCache>
                      <c:ptCount val="1"/>
                      <c:pt idx="0">
                        <c:v>Upper CI</c:v>
                      </c:pt>
                    </c:strCache>
                  </c:strRef>
                </c:tx>
                <c:spPr>
                  <a:ln w="952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Cumul_removed_bSIR!$C$8:$C$184</c15:sqref>
                        </c15:formulaRef>
                      </c:ext>
                    </c:extLst>
                    <c:numCache>
                      <c:formatCode>General</c:formatCode>
                      <c:ptCount val="17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Cumul_removed_bSIR!$L$8:$L$184</c15:sqref>
                        </c15:formulaRef>
                      </c:ext>
                    </c:extLst>
                    <c:numCache>
                      <c:formatCode>0</c:formatCode>
                      <c:ptCount val="177"/>
                      <c:pt idx="0">
                        <c:v>2460.5777545213355</c:v>
                      </c:pt>
                      <c:pt idx="1">
                        <c:v>2460.5777545213355</c:v>
                      </c:pt>
                      <c:pt idx="2">
                        <c:v>2460.5777545213355</c:v>
                      </c:pt>
                      <c:pt idx="3">
                        <c:v>2460.5777545213355</c:v>
                      </c:pt>
                      <c:pt idx="4">
                        <c:v>2460.5777545213355</c:v>
                      </c:pt>
                      <c:pt idx="5">
                        <c:v>2460.5777545213355</c:v>
                      </c:pt>
                      <c:pt idx="6">
                        <c:v>2460.5777545213355</c:v>
                      </c:pt>
                      <c:pt idx="7">
                        <c:v>2460.5777545213355</c:v>
                      </c:pt>
                      <c:pt idx="8">
                        <c:v>2460.5777545213355</c:v>
                      </c:pt>
                      <c:pt idx="9">
                        <c:v>2460.5777545213355</c:v>
                      </c:pt>
                      <c:pt idx="10">
                        <c:v>2460.5777545213355</c:v>
                      </c:pt>
                      <c:pt idx="11">
                        <c:v>2460.5777545213355</c:v>
                      </c:pt>
                      <c:pt idx="12">
                        <c:v>2460.5777545213355</c:v>
                      </c:pt>
                      <c:pt idx="13">
                        <c:v>2460.5777545213355</c:v>
                      </c:pt>
                      <c:pt idx="14">
                        <c:v>2460.5777545213355</c:v>
                      </c:pt>
                      <c:pt idx="15">
                        <c:v>2460.5777545213355</c:v>
                      </c:pt>
                      <c:pt idx="16">
                        <c:v>2460.5777545213355</c:v>
                      </c:pt>
                      <c:pt idx="17">
                        <c:v>2460.5777545213355</c:v>
                      </c:pt>
                      <c:pt idx="18">
                        <c:v>2460.5777545213355</c:v>
                      </c:pt>
                      <c:pt idx="19">
                        <c:v>2460.5777545213355</c:v>
                      </c:pt>
                      <c:pt idx="20">
                        <c:v>2460.5777545213355</c:v>
                      </c:pt>
                      <c:pt idx="21">
                        <c:v>2460.5777545213355</c:v>
                      </c:pt>
                      <c:pt idx="22">
                        <c:v>2460.5777545213355</c:v>
                      </c:pt>
                      <c:pt idx="23">
                        <c:v>2460.5777545213355</c:v>
                      </c:pt>
                      <c:pt idx="24">
                        <c:v>2460.5777545213355</c:v>
                      </c:pt>
                      <c:pt idx="25">
                        <c:v>2460.5777545213355</c:v>
                      </c:pt>
                      <c:pt idx="26">
                        <c:v>2460.5777545213355</c:v>
                      </c:pt>
                      <c:pt idx="27">
                        <c:v>2460.5777545213355</c:v>
                      </c:pt>
                      <c:pt idx="28">
                        <c:v>2460.5777545213355</c:v>
                      </c:pt>
                      <c:pt idx="29">
                        <c:v>2460.5777545213355</c:v>
                      </c:pt>
                      <c:pt idx="30">
                        <c:v>2460.5777545213355</c:v>
                      </c:pt>
                      <c:pt idx="31">
                        <c:v>2460.5777545213355</c:v>
                      </c:pt>
                      <c:pt idx="32">
                        <c:v>2460.5777545213355</c:v>
                      </c:pt>
                      <c:pt idx="33">
                        <c:v>2460.5777545213355</c:v>
                      </c:pt>
                      <c:pt idx="34">
                        <c:v>2460.5777545213355</c:v>
                      </c:pt>
                      <c:pt idx="35">
                        <c:v>2460.5777545213355</c:v>
                      </c:pt>
                      <c:pt idx="36">
                        <c:v>2460.5777545213355</c:v>
                      </c:pt>
                      <c:pt idx="37">
                        <c:v>2460.5777545213355</c:v>
                      </c:pt>
                      <c:pt idx="38">
                        <c:v>2460.5777545213355</c:v>
                      </c:pt>
                      <c:pt idx="39">
                        <c:v>2460.5777545213355</c:v>
                      </c:pt>
                      <c:pt idx="40">
                        <c:v>2460.5777545213355</c:v>
                      </c:pt>
                      <c:pt idx="41">
                        <c:v>2460.5777545213355</c:v>
                      </c:pt>
                      <c:pt idx="42">
                        <c:v>2460.5777545213355</c:v>
                      </c:pt>
                      <c:pt idx="43">
                        <c:v>2460.5777545213355</c:v>
                      </c:pt>
                      <c:pt idx="44">
                        <c:v>2460.5777545213355</c:v>
                      </c:pt>
                      <c:pt idx="45">
                        <c:v>2460.5777545213355</c:v>
                      </c:pt>
                      <c:pt idx="46">
                        <c:v>2460.5777545213355</c:v>
                      </c:pt>
                      <c:pt idx="47">
                        <c:v>2460.5777545213355</c:v>
                      </c:pt>
                      <c:pt idx="48">
                        <c:v>2460.5777545213355</c:v>
                      </c:pt>
                      <c:pt idx="49">
                        <c:v>2460.5777545213355</c:v>
                      </c:pt>
                      <c:pt idx="50">
                        <c:v>2460.5777545213355</c:v>
                      </c:pt>
                      <c:pt idx="51">
                        <c:v>2460.5777545213355</c:v>
                      </c:pt>
                      <c:pt idx="52">
                        <c:v>2460.5777545213355</c:v>
                      </c:pt>
                      <c:pt idx="53">
                        <c:v>2460.5777545213355</c:v>
                      </c:pt>
                      <c:pt idx="54">
                        <c:v>2460.5777545213355</c:v>
                      </c:pt>
                      <c:pt idx="55">
                        <c:v>2460.5777545213355</c:v>
                      </c:pt>
                      <c:pt idx="56">
                        <c:v>2460.5777545213355</c:v>
                      </c:pt>
                      <c:pt idx="57">
                        <c:v>2460.5777545213355</c:v>
                      </c:pt>
                      <c:pt idx="58">
                        <c:v>2460.5777545213355</c:v>
                      </c:pt>
                      <c:pt idx="59">
                        <c:v>2460.5777545213355</c:v>
                      </c:pt>
                      <c:pt idx="60">
                        <c:v>2460.5777545213355</c:v>
                      </c:pt>
                      <c:pt idx="61">
                        <c:v>2460.5777545213355</c:v>
                      </c:pt>
                      <c:pt idx="62">
                        <c:v>2460.5777545213355</c:v>
                      </c:pt>
                      <c:pt idx="63">
                        <c:v>2460.5777545213355</c:v>
                      </c:pt>
                      <c:pt idx="64">
                        <c:v>2460.5777545213355</c:v>
                      </c:pt>
                      <c:pt idx="65">
                        <c:v>2460.5777545213355</c:v>
                      </c:pt>
                      <c:pt idx="66">
                        <c:v>2460.5777545213355</c:v>
                      </c:pt>
                      <c:pt idx="67">
                        <c:v>2460.5777545213355</c:v>
                      </c:pt>
                      <c:pt idx="68">
                        <c:v>2460.5777545213355</c:v>
                      </c:pt>
                      <c:pt idx="69">
                        <c:v>2703.2786535412097</c:v>
                      </c:pt>
                      <c:pt idx="70">
                        <c:v>3522.1081128137052</c:v>
                      </c:pt>
                      <c:pt idx="71">
                        <c:v>4375.4188062936082</c:v>
                      </c:pt>
                      <c:pt idx="72">
                        <c:v>5264.3440755466036</c:v>
                      </c:pt>
                      <c:pt idx="73">
                        <c:v>6190.0246597856831</c:v>
                      </c:pt>
                      <c:pt idx="74">
                        <c:v>7153.6055813227722</c:v>
                      </c:pt>
                      <c:pt idx="75">
                        <c:v>8188.3335386167801</c:v>
                      </c:pt>
                      <c:pt idx="76">
                        <c:v>9275.1820485822846</c:v>
                      </c:pt>
                      <c:pt idx="77">
                        <c:v>10405.440974319014</c:v>
                      </c:pt>
                      <c:pt idx="78">
                        <c:v>11580.307868027516</c:v>
                      </c:pt>
                      <c:pt idx="79">
                        <c:v>12800.963852173812</c:v>
                      </c:pt>
                      <c:pt idx="80">
                        <c:v>14068.568131051343</c:v>
                      </c:pt>
                      <c:pt idx="81">
                        <c:v>15384.252118363978</c:v>
                      </c:pt>
                      <c:pt idx="82">
                        <c:v>16749.113185189664</c:v>
                      </c:pt>
                      <c:pt idx="83">
                        <c:v>18164.208037184577</c:v>
                      </c:pt>
                      <c:pt idx="84">
                        <c:v>19630.545734883675</c:v>
                      </c:pt>
                      <c:pt idx="85">
                        <c:v>21149.080376442296</c:v>
                      </c:pt>
                      <c:pt idx="86">
                        <c:v>22720.703468117703</c:v>
                      </c:pt>
                      <c:pt idx="87">
                        <c:v>24346.236014177397</c:v>
                      </c:pt>
                      <c:pt idx="88">
                        <c:v>26026.420364689016</c:v>
                      </c:pt>
                      <c:pt idx="89">
                        <c:v>27761.911866727132</c:v>
                      </c:pt>
                      <c:pt idx="90">
                        <c:v>29553.270371840015</c:v>
                      </c:pt>
                      <c:pt idx="91">
                        <c:v>31400.951660047336</c:v>
                      </c:pt>
                      <c:pt idx="92">
                        <c:v>33305.29884806621</c:v>
                      </c:pt>
                      <c:pt idx="93">
                        <c:v>35266.53385674295</c:v>
                      </c:pt>
                      <c:pt idx="94">
                        <c:v>37284.749019641269</c:v>
                      </c:pt>
                      <c:pt idx="95">
                        <c:v>39359.898921226973</c:v>
                      </c:pt>
                      <c:pt idx="96">
                        <c:v>41491.792558905996</c:v>
                      </c:pt>
                      <c:pt idx="97">
                        <c:v>43680.08592811197</c:v>
                      </c:pt>
                      <c:pt idx="98">
                        <c:v>45924.275133500945</c:v>
                      </c:pt>
                      <c:pt idx="99">
                        <c:v>48223.690131885545</c:v>
                      </c:pt>
                      <c:pt idx="100">
                        <c:v>50577.489213628316</c:v>
                      </c:pt>
                      <c:pt idx="101">
                        <c:v>52984.654328633093</c:v>
                      </c:pt>
                      <c:pt idx="102">
                        <c:v>55443.987360652492</c:v>
                      </c:pt>
                      <c:pt idx="103">
                        <c:v>57954.107449238902</c:v>
                      </c:pt>
                      <c:pt idx="104">
                        <c:v>60513.449452203044</c:v>
                      </c:pt>
                      <c:pt idx="105">
                        <c:v>63120.263632854017</c:v>
                      </c:pt>
                      <c:pt idx="106">
                        <c:v>65772.616645574555</c:v>
                      </c:pt>
                      <c:pt idx="107">
                        <c:v>68468.393880488962</c:v>
                      </c:pt>
                      <c:pt idx="108">
                        <c:v>71205.303213220206</c:v>
                      </c:pt>
                      <c:pt idx="109">
                        <c:v>73980.880189187374</c:v>
                      </c:pt>
                      <c:pt idx="110">
                        <c:v>76792.494653803325</c:v>
                      </c:pt>
                      <c:pt idx="111">
                        <c:v>79637.358820596652</c:v>
                      </c:pt>
                      <c:pt idx="112">
                        <c:v>82512.536749057588</c:v>
                      </c:pt>
                      <c:pt idx="113">
                        <c:v>85414.955183297963</c:v>
                      </c:pt>
                      <c:pt idx="114">
                        <c:v>88341.415681863567</c:v>
                      </c:pt>
                      <c:pt idx="115">
                        <c:v>91288.607948705307</c:v>
                      </c:pt>
                      <c:pt idx="116">
                        <c:v>94253.124255885836</c:v>
                      </c:pt>
                      <c:pt idx="117">
                        <c:v>97231.474830535764</c:v>
                      </c:pt>
                      <c:pt idx="118">
                        <c:v>100220.10406233695</c:v>
                      </c:pt>
                      <c:pt idx="119">
                        <c:v>103215.40737380796</c:v>
                      </c:pt>
                      <c:pt idx="120">
                        <c:v>106213.74858426538</c:v>
                      </c:pt>
                      <c:pt idx="121">
                        <c:v>109211.47758983269</c:v>
                      </c:pt>
                      <c:pt idx="122">
                        <c:v>112204.94817648597</c:v>
                      </c:pt>
                      <c:pt idx="123">
                        <c:v>115190.53578100477</c:v>
                      </c:pt>
                      <c:pt idx="124">
                        <c:v>118164.65501588382</c:v>
                      </c:pt>
                      <c:pt idx="125">
                        <c:v>121123.77677871734</c:v>
                      </c:pt>
                      <c:pt idx="126">
                        <c:v>124064.44477416248</c:v>
                      </c:pt>
                      <c:pt idx="127">
                        <c:v>126983.29128710915</c:v>
                      </c:pt>
                      <c:pt idx="128">
                        <c:v>129877.05205884247</c:v>
                      </c:pt>
                      <c:pt idx="129">
                        <c:v>132742.58013343005</c:v>
                      </c:pt>
                      <c:pt idx="130">
                        <c:v>135576.85855889932</c:v>
                      </c:pt>
                      <c:pt idx="131">
                        <c:v>138377.01184654902</c:v>
                      </c:pt>
                      <c:pt idx="132">
                        <c:v>141140.31611151091</c:v>
                      </c:pt>
                      <c:pt idx="133">
                        <c:v>143864.2078379732</c:v>
                      </c:pt>
                      <c:pt idx="134">
                        <c:v>146546.29123284994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7-C697-44AA-A96B-8DCC64E76E94}"/>
                  </c:ext>
                </c:extLst>
              </c15:ser>
            </c15:filteredScatterSeries>
            <c15:filteredScatterSeries>
              <c15:ser>
                <c:idx val="3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Cumul_removed_bSIR!$M$7</c15:sqref>
                        </c15:formulaRef>
                      </c:ext>
                    </c:extLst>
                    <c:strCache>
                      <c:ptCount val="1"/>
                      <c:pt idx="0">
                        <c:v>Lower CI</c:v>
                      </c:pt>
                    </c:strCache>
                  </c:strRef>
                </c:tx>
                <c:spPr>
                  <a:ln w="952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Cumul_removed_bSIR!$C$8:$C$184</c15:sqref>
                        </c15:formulaRef>
                      </c:ext>
                    </c:extLst>
                    <c:numCache>
                      <c:formatCode>General</c:formatCode>
                      <c:ptCount val="17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Cumul_removed_bSIR!$M$8:$M$184</c15:sqref>
                        </c15:formulaRef>
                      </c:ext>
                    </c:extLst>
                    <c:numCache>
                      <c:formatCode>0</c:formatCode>
                      <c:ptCount val="17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343.18856650393309</c:v>
                      </c:pt>
                      <c:pt idx="73">
                        <c:v>1268.8691507430121</c:v>
                      </c:pt>
                      <c:pt idx="74">
                        <c:v>2232.4500722801008</c:v>
                      </c:pt>
                      <c:pt idx="75">
                        <c:v>3267.1780295741087</c:v>
                      </c:pt>
                      <c:pt idx="76">
                        <c:v>4354.0265395396145</c:v>
                      </c:pt>
                      <c:pt idx="77">
                        <c:v>5484.2854652763435</c:v>
                      </c:pt>
                      <c:pt idx="78">
                        <c:v>6659.1523589848457</c:v>
                      </c:pt>
                      <c:pt idx="79">
                        <c:v>7879.8083431311425</c:v>
                      </c:pt>
                      <c:pt idx="80">
                        <c:v>9147.4126220086728</c:v>
                      </c:pt>
                      <c:pt idx="81">
                        <c:v>10463.096609321308</c:v>
                      </c:pt>
                      <c:pt idx="82">
                        <c:v>11827.957676146993</c:v>
                      </c:pt>
                      <c:pt idx="83">
                        <c:v>13243.052528141907</c:v>
                      </c:pt>
                      <c:pt idx="84">
                        <c:v>14709.390225841005</c:v>
                      </c:pt>
                      <c:pt idx="85">
                        <c:v>16227.924867399626</c:v>
                      </c:pt>
                      <c:pt idx="86">
                        <c:v>17799.547959075033</c:v>
                      </c:pt>
                      <c:pt idx="87">
                        <c:v>19425.080505134727</c:v>
                      </c:pt>
                      <c:pt idx="88">
                        <c:v>21105.264855646346</c:v>
                      </c:pt>
                      <c:pt idx="89">
                        <c:v>22840.756357684462</c:v>
                      </c:pt>
                      <c:pt idx="90">
                        <c:v>24632.114862797345</c:v>
                      </c:pt>
                      <c:pt idx="91">
                        <c:v>26479.796151004666</c:v>
                      </c:pt>
                      <c:pt idx="92">
                        <c:v>28384.143339023536</c:v>
                      </c:pt>
                      <c:pt idx="93">
                        <c:v>30345.37834770028</c:v>
                      </c:pt>
                      <c:pt idx="94">
                        <c:v>32363.593510598599</c:v>
                      </c:pt>
                      <c:pt idx="95">
                        <c:v>34438.743412184303</c:v>
                      </c:pt>
                      <c:pt idx="96">
                        <c:v>36570.637049863326</c:v>
                      </c:pt>
                      <c:pt idx="97">
                        <c:v>38758.9304190693</c:v>
                      </c:pt>
                      <c:pt idx="98">
                        <c:v>41003.119624458275</c:v>
                      </c:pt>
                      <c:pt idx="99">
                        <c:v>43302.534622842875</c:v>
                      </c:pt>
                      <c:pt idx="100">
                        <c:v>45656.333704585646</c:v>
                      </c:pt>
                      <c:pt idx="101">
                        <c:v>48063.498819590422</c:v>
                      </c:pt>
                      <c:pt idx="102">
                        <c:v>50522.831851609822</c:v>
                      </c:pt>
                      <c:pt idx="103">
                        <c:v>53032.951940196232</c:v>
                      </c:pt>
                      <c:pt idx="104">
                        <c:v>55592.293943160374</c:v>
                      </c:pt>
                      <c:pt idx="105">
                        <c:v>58199.108123811347</c:v>
                      </c:pt>
                      <c:pt idx="106">
                        <c:v>60851.461136531878</c:v>
                      </c:pt>
                      <c:pt idx="107">
                        <c:v>63547.238371446292</c:v>
                      </c:pt>
                      <c:pt idx="108">
                        <c:v>66284.147704177536</c:v>
                      </c:pt>
                      <c:pt idx="109">
                        <c:v>69059.724680144704</c:v>
                      </c:pt>
                      <c:pt idx="110">
                        <c:v>71871.339144760655</c:v>
                      </c:pt>
                      <c:pt idx="111">
                        <c:v>74716.203311553982</c:v>
                      </c:pt>
                      <c:pt idx="112">
                        <c:v>77591.381240014918</c:v>
                      </c:pt>
                      <c:pt idx="113">
                        <c:v>80493.799674255293</c:v>
                      </c:pt>
                      <c:pt idx="114">
                        <c:v>83420.260172820897</c:v>
                      </c:pt>
                      <c:pt idx="115">
                        <c:v>86367.452439662637</c:v>
                      </c:pt>
                      <c:pt idx="116">
                        <c:v>89331.968746843166</c:v>
                      </c:pt>
                      <c:pt idx="117">
                        <c:v>92310.319321493094</c:v>
                      </c:pt>
                      <c:pt idx="118">
                        <c:v>95298.948553294278</c:v>
                      </c:pt>
                      <c:pt idx="119">
                        <c:v>98294.251864765291</c:v>
                      </c:pt>
                      <c:pt idx="120">
                        <c:v>101292.59307522271</c:v>
                      </c:pt>
                      <c:pt idx="121">
                        <c:v>104290.32208079002</c:v>
                      </c:pt>
                      <c:pt idx="122">
                        <c:v>107283.7926674433</c:v>
                      </c:pt>
                      <c:pt idx="123">
                        <c:v>110269.3802719621</c:v>
                      </c:pt>
                      <c:pt idx="124">
                        <c:v>113243.49950684115</c:v>
                      </c:pt>
                      <c:pt idx="125">
                        <c:v>116202.62126967467</c:v>
                      </c:pt>
                      <c:pt idx="126">
                        <c:v>119143.28926511981</c:v>
                      </c:pt>
                      <c:pt idx="127">
                        <c:v>122062.13577806648</c:v>
                      </c:pt>
                      <c:pt idx="128">
                        <c:v>124955.8965497998</c:v>
                      </c:pt>
                      <c:pt idx="129">
                        <c:v>127821.42462438738</c:v>
                      </c:pt>
                      <c:pt idx="130">
                        <c:v>130655.70304985665</c:v>
                      </c:pt>
                      <c:pt idx="131">
                        <c:v>133455.85633750635</c:v>
                      </c:pt>
                      <c:pt idx="132">
                        <c:v>136219.16060246824</c:v>
                      </c:pt>
                      <c:pt idx="133">
                        <c:v>138943.05232893053</c:v>
                      </c:pt>
                      <c:pt idx="134">
                        <c:v>141625.13572380727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C697-44AA-A96B-8DCC64E76E94}"/>
                  </c:ext>
                </c:extLst>
              </c15:ser>
            </c15:filteredScatterSeries>
          </c:ext>
        </c:extLst>
      </c:scatterChart>
      <c:valAx>
        <c:axId val="6220817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Days from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2">
                <a:lumMod val="40000"/>
                <a:lumOff val="6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22082064"/>
        <c:crosses val="autoZero"/>
        <c:crossBetween val="midCat"/>
      </c:valAx>
      <c:valAx>
        <c:axId val="622082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Cumulative</a:t>
                </a:r>
                <a:r>
                  <a:rPr lang="it-IT" baseline="0"/>
                  <a:t> removals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solidFill>
              <a:schemeClr val="tx2">
                <a:lumMod val="40000"/>
                <a:lumOff val="6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220817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userShapes r:id="rId3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bar"/>
        <c:grouping val="percentStacked"/>
        <c:varyColors val="0"/>
        <c:ser>
          <c:idx val="0"/>
          <c:order val="0"/>
          <c:tx>
            <c:strRef>
              <c:f>Cumul_removed_bSIR!$AC$47</c:f>
              <c:strCache>
                <c:ptCount val="1"/>
                <c:pt idx="0">
                  <c:v>R2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1"/>
              <c:pt idx="0">
                <c:v>Italy fit</c:v>
              </c:pt>
            </c:strLit>
          </c:cat>
          <c:val>
            <c:numRef>
              <c:f>Cumul_removed_bSIR!$AD$47</c:f>
              <c:numCache>
                <c:formatCode>0.0000</c:formatCode>
                <c:ptCount val="1"/>
                <c:pt idx="0">
                  <c:v>0.99969161481599755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DC-4955-90C7-28A2A72B4F8F}"/>
            </c:ext>
          </c:extLst>
        </c:ser>
        <c:ser>
          <c:idx val="1"/>
          <c:order val="1"/>
          <c:tx>
            <c:strRef>
              <c:f>Cumul_removed_bSIR!$AC$49</c:f>
              <c:strCache>
                <c:ptCount val="1"/>
                <c:pt idx="0">
                  <c:v>CI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Lit>
              <c:ptCount val="1"/>
              <c:pt idx="0">
                <c:v>Italy fit</c:v>
              </c:pt>
            </c:strLit>
          </c:cat>
          <c:val>
            <c:numRef>
              <c:f>Cumul_removed_bSIR!$AD$49</c:f>
              <c:numCache>
                <c:formatCode>0</c:formatCode>
                <c:ptCount val="1"/>
                <c:pt idx="0">
                  <c:v>2525.9573261806627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BDC-4955-90C7-28A2A72B4F8F}"/>
            </c:ext>
          </c:extLst>
        </c:ser>
        <c:ser>
          <c:idx val="2"/>
          <c:order val="2"/>
          <c:tx>
            <c:strRef>
              <c:f>Cumul_removed_bSIR!$AC$41</c:f>
              <c:strCache>
                <c:ptCount val="1"/>
                <c:pt idx="0">
                  <c:v>K=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Lit>
              <c:ptCount val="1"/>
              <c:pt idx="0">
                <c:v>Italy fit</c:v>
              </c:pt>
            </c:strLit>
          </c:cat>
          <c:val>
            <c:numRef>
              <c:f>Cumul_removed_bSIR!$AD$41</c:f>
              <c:numCache>
                <c:formatCode>0</c:formatCode>
                <c:ptCount val="1"/>
                <c:pt idx="0">
                  <c:v>225000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BDC-4955-90C7-28A2A72B4F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"/>
        <c:overlap val="100"/>
        <c:axId val="1221258896"/>
        <c:axId val="1221258256"/>
      </c:barChart>
      <c:catAx>
        <c:axId val="1221258896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221258256"/>
        <c:crosses val="autoZero"/>
        <c:auto val="1"/>
        <c:lblAlgn val="ctr"/>
        <c:lblOffset val="100"/>
        <c:noMultiLvlLbl val="0"/>
      </c:catAx>
      <c:valAx>
        <c:axId val="1221258256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crossAx val="1221258896"/>
        <c:crosses val="autoZero"/>
        <c:crossBetween val="between"/>
      </c:valAx>
      <c:dTable>
        <c:showHorzBorder val="1"/>
        <c:showVertBorder val="1"/>
        <c:showOutline val="1"/>
        <c:showKeys val="0"/>
        <c:spPr>
          <a:noFill/>
          <a:ln w="9525">
            <a:solidFill>
              <a:schemeClr val="tx1">
                <a:lumMod val="15000"/>
                <a:lumOff val="85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baseline="0">
                <a:solidFill>
                  <a:srgbClr val="0070C0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</c:dTable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bar"/>
        <c:grouping val="percentStacked"/>
        <c:varyColors val="0"/>
        <c:ser>
          <c:idx val="1"/>
          <c:order val="0"/>
          <c:tx>
            <c:strRef>
              <c:f>Cumul_removed_bSIR!$AC$14</c:f>
              <c:strCache>
                <c:ptCount val="1"/>
                <c:pt idx="0">
                  <c:v>R2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Lit>
              <c:ptCount val="1"/>
              <c:pt idx="0">
                <c:v>Italy sum</c:v>
              </c:pt>
            </c:strLit>
          </c:cat>
          <c:val>
            <c:numRef>
              <c:f>Cumul_removed_bSIR!$AD$14</c:f>
              <c:numCache>
                <c:formatCode>0.0000</c:formatCode>
                <c:ptCount val="1"/>
                <c:pt idx="0">
                  <c:v>0.999691685299818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1D7-44A2-93CB-C7C5AE6406C5}"/>
            </c:ext>
          </c:extLst>
        </c:ser>
        <c:ser>
          <c:idx val="2"/>
          <c:order val="1"/>
          <c:tx>
            <c:strRef>
              <c:f>Cumul_removed_bSIR!$AC$16</c:f>
              <c:strCache>
                <c:ptCount val="1"/>
                <c:pt idx="0">
                  <c:v>CI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Lit>
              <c:ptCount val="1"/>
              <c:pt idx="0">
                <c:v>Italy sum</c:v>
              </c:pt>
            </c:strLit>
          </c:cat>
          <c:val>
            <c:numRef>
              <c:f>Cumul_removed_bSIR!$AD$16</c:f>
              <c:numCache>
                <c:formatCode>0</c:formatCode>
                <c:ptCount val="1"/>
                <c:pt idx="0">
                  <c:v>2460.5777545213355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1D7-44A2-93CB-C7C5AE6406C5}"/>
            </c:ext>
          </c:extLst>
        </c:ser>
        <c:ser>
          <c:idx val="3"/>
          <c:order val="2"/>
          <c:tx>
            <c:strRef>
              <c:f>Cumul_removed_bSIR!$AC$17</c:f>
              <c:strCache>
                <c:ptCount val="1"/>
                <c:pt idx="0">
                  <c:v>Saturation value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Lit>
              <c:ptCount val="1"/>
              <c:pt idx="0">
                <c:v>Italy sum</c:v>
              </c:pt>
            </c:strLit>
          </c:cat>
          <c:val>
            <c:numRef>
              <c:f>Cumul_removed_bSIR!$AD$17</c:f>
              <c:numCache>
                <c:formatCode>0</c:formatCode>
                <c:ptCount val="1"/>
                <c:pt idx="0">
                  <c:v>225000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1D7-44A2-93CB-C7C5AE6406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"/>
        <c:overlap val="100"/>
        <c:axId val="1221258896"/>
        <c:axId val="1221258256"/>
      </c:barChart>
      <c:catAx>
        <c:axId val="1221258896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221258256"/>
        <c:crosses val="autoZero"/>
        <c:auto val="1"/>
        <c:lblAlgn val="ctr"/>
        <c:lblOffset val="100"/>
        <c:noMultiLvlLbl val="0"/>
      </c:catAx>
      <c:valAx>
        <c:axId val="1221258256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crossAx val="1221258896"/>
        <c:crosses val="autoZero"/>
        <c:crossBetween val="between"/>
      </c:valAx>
      <c:dTable>
        <c:showHorzBorder val="1"/>
        <c:showVertBorder val="1"/>
        <c:showOutline val="1"/>
        <c:showKeys val="0"/>
        <c:spPr>
          <a:noFill/>
          <a:ln w="9525">
            <a:solidFill>
              <a:schemeClr val="tx1">
                <a:lumMod val="15000"/>
                <a:lumOff val="85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</c:dTable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bar"/>
        <c:grouping val="percentStacked"/>
        <c:varyColors val="0"/>
        <c:ser>
          <c:idx val="1"/>
          <c:order val="0"/>
          <c:tx>
            <c:v>region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Cumul_removed_bSIR!$AD$18</c:f>
              <c:strCache>
                <c:ptCount val="1"/>
                <c:pt idx="0">
                  <c:v>region fit</c:v>
                </c:pt>
              </c:strCache>
            </c:strRef>
          </c:cat>
          <c:val>
            <c:numLit>
              <c:formatCode>General</c:formatCode>
              <c:ptCount val="1"/>
              <c:pt idx="0">
                <c:v>0</c:v>
              </c:pt>
            </c:numLit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3EB0-44ED-B123-0E8474071D67}"/>
            </c:ext>
          </c:extLst>
        </c:ser>
        <c:ser>
          <c:idx val="2"/>
          <c:order val="1"/>
          <c:tx>
            <c:strRef>
              <c:f>Cumul_removed_bSIR!$AC$25</c:f>
              <c:strCache>
                <c:ptCount val="1"/>
                <c:pt idx="0">
                  <c:v>R2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Cumul_removed_bSIR!$AD$18</c:f>
              <c:strCache>
                <c:ptCount val="1"/>
                <c:pt idx="0">
                  <c:v>region fit</c:v>
                </c:pt>
              </c:strCache>
            </c:strRef>
          </c:cat>
          <c:val>
            <c:numRef>
              <c:f>Cumul_removed_bSIR!$AD$25</c:f>
              <c:numCache>
                <c:formatCode>0.0000</c:formatCode>
                <c:ptCount val="1"/>
                <c:pt idx="0">
                  <c:v>0.99980298467960627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B0-44ED-B123-0E8474071D67}"/>
            </c:ext>
          </c:extLst>
        </c:ser>
        <c:ser>
          <c:idx val="3"/>
          <c:order val="2"/>
          <c:tx>
            <c:strRef>
              <c:f>Cumul_removed_bSIR!$AC$27</c:f>
              <c:strCache>
                <c:ptCount val="1"/>
                <c:pt idx="0">
                  <c:v>CI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Cumul_removed_bSIR!$AD$18</c:f>
              <c:strCache>
                <c:ptCount val="1"/>
                <c:pt idx="0">
                  <c:v>region fit</c:v>
                </c:pt>
              </c:strCache>
            </c:strRef>
          </c:cat>
          <c:val>
            <c:numRef>
              <c:f>Cumul_removed_bSIR!$AD$27</c:f>
              <c:numCache>
                <c:formatCode>0</c:formatCode>
                <c:ptCount val="1"/>
                <c:pt idx="0">
                  <c:v>86.019277464869106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EB0-44ED-B123-0E8474071D67}"/>
            </c:ext>
          </c:extLst>
        </c:ser>
        <c:ser>
          <c:idx val="4"/>
          <c:order val="3"/>
          <c:tx>
            <c:strRef>
              <c:f>Cumul_removed_bSIR!$AC$19</c:f>
              <c:strCache>
                <c:ptCount val="1"/>
                <c:pt idx="0">
                  <c:v>K=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Cumul_removed_bSIR!$AD$18</c:f>
              <c:strCache>
                <c:ptCount val="1"/>
                <c:pt idx="0">
                  <c:v>region fit</c:v>
                </c:pt>
              </c:strCache>
            </c:strRef>
          </c:cat>
          <c:val>
            <c:numRef>
              <c:f>Cumul_removed_bSIR!$AD$19</c:f>
              <c:numCache>
                <c:formatCode>0</c:formatCode>
                <c:ptCount val="1"/>
                <c:pt idx="0">
                  <c:v>8970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EB0-44ED-B123-0E8474071D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"/>
        <c:overlap val="100"/>
        <c:axId val="1221258896"/>
        <c:axId val="1221258256"/>
        <c:extLst/>
      </c:barChart>
      <c:catAx>
        <c:axId val="1221258896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221258256"/>
        <c:crosses val="autoZero"/>
        <c:auto val="1"/>
        <c:lblAlgn val="ctr"/>
        <c:lblOffset val="100"/>
        <c:noMultiLvlLbl val="0"/>
      </c:catAx>
      <c:valAx>
        <c:axId val="1221258256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crossAx val="1221258896"/>
        <c:crosses val="autoZero"/>
        <c:crossBetween val="between"/>
      </c:valAx>
      <c:dTable>
        <c:showHorzBorder val="1"/>
        <c:showVertBorder val="1"/>
        <c:showOutline val="1"/>
        <c:showKeys val="0"/>
        <c:spPr>
          <a:noFill/>
          <a:ln w="9525">
            <a:solidFill>
              <a:schemeClr val="tx1">
                <a:lumMod val="15000"/>
                <a:lumOff val="85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baseline="0">
                <a:solidFill>
                  <a:srgbClr val="FF0000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</c:dTable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bar"/>
        <c:grouping val="percentStacked"/>
        <c:varyColors val="0"/>
        <c:ser>
          <c:idx val="2"/>
          <c:order val="1"/>
          <c:tx>
            <c:strRef>
              <c:f>Cumul_removed_bSIR!$AC$36</c:f>
              <c:strCache>
                <c:ptCount val="1"/>
                <c:pt idx="0">
                  <c:v>R2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Lit>
              <c:ptCount val="1"/>
              <c:pt idx="0">
                <c:v>rest of Italy</c:v>
              </c:pt>
            </c:strLit>
          </c:cat>
          <c:val>
            <c:numRef>
              <c:f>Cumul_removed_bSIR!$AD$36</c:f>
              <c:numCache>
                <c:formatCode>0.0000</c:formatCode>
                <c:ptCount val="1"/>
                <c:pt idx="0">
                  <c:v>0.99967458727096969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47B-4E01-9349-76E014C47FA1}"/>
            </c:ext>
          </c:extLst>
        </c:ser>
        <c:ser>
          <c:idx val="3"/>
          <c:order val="2"/>
          <c:tx>
            <c:strRef>
              <c:f>Cumul_removed_bSIR!$AC$38</c:f>
              <c:strCache>
                <c:ptCount val="1"/>
                <c:pt idx="0">
                  <c:v>CI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Lit>
              <c:ptCount val="1"/>
              <c:pt idx="0">
                <c:v>rest of Italy</c:v>
              </c:pt>
            </c:strLit>
          </c:cat>
          <c:val>
            <c:numRef>
              <c:f>Cumul_removed_bSIR!$AD$38</c:f>
              <c:numCache>
                <c:formatCode>0</c:formatCode>
                <c:ptCount val="1"/>
                <c:pt idx="0">
                  <c:v>2484.3366939346993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47B-4E01-9349-76E014C47FA1}"/>
            </c:ext>
          </c:extLst>
        </c:ser>
        <c:ser>
          <c:idx val="4"/>
          <c:order val="3"/>
          <c:tx>
            <c:strRef>
              <c:f>Cumul_removed_bSIR!$AC$30</c:f>
              <c:strCache>
                <c:ptCount val="1"/>
                <c:pt idx="0">
                  <c:v>K=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Lit>
              <c:ptCount val="1"/>
              <c:pt idx="0">
                <c:v>rest of Italy</c:v>
              </c:pt>
            </c:strLit>
          </c:cat>
          <c:val>
            <c:numRef>
              <c:f>Cumul_removed_bSIR!$AD$30</c:f>
              <c:numCache>
                <c:formatCode>0</c:formatCode>
                <c:ptCount val="1"/>
                <c:pt idx="0">
                  <c:v>216030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47B-4E01-9349-76E014C47F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"/>
        <c:overlap val="100"/>
        <c:axId val="1221258896"/>
        <c:axId val="1221258256"/>
        <c:extLst>
          <c:ext xmlns:c15="http://schemas.microsoft.com/office/drawing/2012/chart" uri="{02D57815-91ED-43cb-92C2-25804820EDAC}">
            <c15:filteredBarSeries>
              <c15:ser>
                <c:idx val="1"/>
                <c:order val="0"/>
                <c:tx>
                  <c:v>outside</c:v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strLit>
                    <c:ptCount val="1"/>
                    <c:pt idx="0">
                      <c:v>rest of Italy</c:v>
                    </c:pt>
                  </c:strLit>
                </c:cat>
                <c:val>
                  <c:numLit>
                    <c:formatCode>General</c:formatCode>
                    <c:ptCount val="1"/>
                    <c:pt idx="0">
                      <c:v>0</c:v>
                    </c:pt>
                  </c:numLit>
                </c:val>
                <c:extLst>
                  <c:ext xmlns:c16="http://schemas.microsoft.com/office/drawing/2014/chart" uri="{C3380CC4-5D6E-409C-BE32-E72D297353CC}">
                    <c16:uniqueId val="{00000003-447B-4E01-9349-76E014C47FA1}"/>
                  </c:ext>
                </c:extLst>
              </c15:ser>
            </c15:filteredBarSeries>
          </c:ext>
        </c:extLst>
      </c:barChart>
      <c:catAx>
        <c:axId val="1221258896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221258256"/>
        <c:crosses val="autoZero"/>
        <c:auto val="1"/>
        <c:lblAlgn val="ctr"/>
        <c:lblOffset val="100"/>
        <c:noMultiLvlLbl val="0"/>
      </c:catAx>
      <c:valAx>
        <c:axId val="1221258256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crossAx val="1221258896"/>
        <c:crosses val="autoZero"/>
        <c:crossBetween val="between"/>
      </c:valAx>
      <c:dTable>
        <c:showHorzBorder val="1"/>
        <c:showVertBorder val="1"/>
        <c:showOutline val="1"/>
        <c:showKeys val="0"/>
        <c:spPr>
          <a:noFill/>
          <a:ln w="9525">
            <a:solidFill>
              <a:schemeClr val="tx1">
                <a:lumMod val="15000"/>
                <a:lumOff val="85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baseline="0">
                <a:solidFill>
                  <a:srgbClr val="00B050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</c:dTable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it-IT" sz="1800" b="1" i="0" baseline="0">
                <a:effectLst/>
              </a:rPr>
              <a:t>COVID-19 Italy Removals (recoveries or deaths)</a:t>
            </a:r>
            <a:endParaRPr lang="it-IT">
              <a:effectLst/>
            </a:endParaRP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>
                <a:solidFill>
                  <a:sysClr val="windowText" lastClr="000000">
                    <a:lumMod val="65000"/>
                    <a:lumOff val="35000"/>
                  </a:sysClr>
                </a:solidFill>
              </a:defRPr>
            </a:pPr>
            <a:r>
              <a:rPr lang="it-IT" sz="18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+mn-lt"/>
                <a:ea typeface="+mn-ea"/>
                <a:cs typeface="+mn-cs"/>
              </a:rPr>
              <a:t>Cumulative Removals - basic SIR normalized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1"/>
          <c:tx>
            <c:strRef>
              <c:f>Cumul_removed_bSIR!$J$7</c:f>
              <c:strCache>
                <c:ptCount val="1"/>
                <c:pt idx="0">
                  <c:v>Italy fit (Norm:)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Cumul_removed_bSIR!$C$62:$C$184</c:f>
              <c:numCache>
                <c:formatCode>General</c:formatCode>
                <c:ptCount val="123"/>
                <c:pt idx="0">
                  <c:v>55</c:v>
                </c:pt>
                <c:pt idx="1">
                  <c:v>56</c:v>
                </c:pt>
                <c:pt idx="2">
                  <c:v>57</c:v>
                </c:pt>
                <c:pt idx="3">
                  <c:v>58</c:v>
                </c:pt>
                <c:pt idx="4">
                  <c:v>59</c:v>
                </c:pt>
                <c:pt idx="5">
                  <c:v>60</c:v>
                </c:pt>
                <c:pt idx="6">
                  <c:v>61</c:v>
                </c:pt>
                <c:pt idx="7">
                  <c:v>62</c:v>
                </c:pt>
                <c:pt idx="8">
                  <c:v>63</c:v>
                </c:pt>
                <c:pt idx="9">
                  <c:v>64</c:v>
                </c:pt>
                <c:pt idx="10">
                  <c:v>65</c:v>
                </c:pt>
                <c:pt idx="11">
                  <c:v>66</c:v>
                </c:pt>
                <c:pt idx="12">
                  <c:v>67</c:v>
                </c:pt>
                <c:pt idx="13">
                  <c:v>68</c:v>
                </c:pt>
                <c:pt idx="14">
                  <c:v>69</c:v>
                </c:pt>
                <c:pt idx="15">
                  <c:v>70</c:v>
                </c:pt>
                <c:pt idx="16">
                  <c:v>71</c:v>
                </c:pt>
                <c:pt idx="17">
                  <c:v>72</c:v>
                </c:pt>
                <c:pt idx="18">
                  <c:v>73</c:v>
                </c:pt>
                <c:pt idx="19">
                  <c:v>74</c:v>
                </c:pt>
                <c:pt idx="20">
                  <c:v>75</c:v>
                </c:pt>
                <c:pt idx="21">
                  <c:v>76</c:v>
                </c:pt>
                <c:pt idx="22">
                  <c:v>77</c:v>
                </c:pt>
                <c:pt idx="23">
                  <c:v>78</c:v>
                </c:pt>
                <c:pt idx="24">
                  <c:v>79</c:v>
                </c:pt>
                <c:pt idx="25">
                  <c:v>80</c:v>
                </c:pt>
                <c:pt idx="26">
                  <c:v>81</c:v>
                </c:pt>
                <c:pt idx="27">
                  <c:v>82</c:v>
                </c:pt>
                <c:pt idx="28">
                  <c:v>83</c:v>
                </c:pt>
                <c:pt idx="29">
                  <c:v>84</c:v>
                </c:pt>
                <c:pt idx="30">
                  <c:v>85</c:v>
                </c:pt>
                <c:pt idx="31">
                  <c:v>86</c:v>
                </c:pt>
                <c:pt idx="32">
                  <c:v>87</c:v>
                </c:pt>
                <c:pt idx="33">
                  <c:v>88</c:v>
                </c:pt>
                <c:pt idx="34">
                  <c:v>89</c:v>
                </c:pt>
                <c:pt idx="35">
                  <c:v>90</c:v>
                </c:pt>
                <c:pt idx="36">
                  <c:v>91</c:v>
                </c:pt>
                <c:pt idx="37">
                  <c:v>92</c:v>
                </c:pt>
                <c:pt idx="38">
                  <c:v>93</c:v>
                </c:pt>
                <c:pt idx="39">
                  <c:v>94</c:v>
                </c:pt>
                <c:pt idx="40">
                  <c:v>95</c:v>
                </c:pt>
                <c:pt idx="41">
                  <c:v>96</c:v>
                </c:pt>
                <c:pt idx="42">
                  <c:v>97</c:v>
                </c:pt>
                <c:pt idx="43">
                  <c:v>98</c:v>
                </c:pt>
                <c:pt idx="44">
                  <c:v>99</c:v>
                </c:pt>
                <c:pt idx="45">
                  <c:v>100</c:v>
                </c:pt>
                <c:pt idx="46">
                  <c:v>101</c:v>
                </c:pt>
                <c:pt idx="47">
                  <c:v>102</c:v>
                </c:pt>
                <c:pt idx="48">
                  <c:v>103</c:v>
                </c:pt>
                <c:pt idx="49">
                  <c:v>104</c:v>
                </c:pt>
                <c:pt idx="50">
                  <c:v>105</c:v>
                </c:pt>
                <c:pt idx="51">
                  <c:v>106</c:v>
                </c:pt>
                <c:pt idx="52">
                  <c:v>107</c:v>
                </c:pt>
                <c:pt idx="53">
                  <c:v>108</c:v>
                </c:pt>
                <c:pt idx="54">
                  <c:v>109</c:v>
                </c:pt>
                <c:pt idx="55">
                  <c:v>110</c:v>
                </c:pt>
                <c:pt idx="56">
                  <c:v>111</c:v>
                </c:pt>
                <c:pt idx="57">
                  <c:v>112</c:v>
                </c:pt>
                <c:pt idx="58">
                  <c:v>113</c:v>
                </c:pt>
                <c:pt idx="59">
                  <c:v>114</c:v>
                </c:pt>
                <c:pt idx="60">
                  <c:v>115</c:v>
                </c:pt>
                <c:pt idx="61">
                  <c:v>116</c:v>
                </c:pt>
                <c:pt idx="62">
                  <c:v>117</c:v>
                </c:pt>
                <c:pt idx="63">
                  <c:v>118</c:v>
                </c:pt>
                <c:pt idx="64">
                  <c:v>119</c:v>
                </c:pt>
                <c:pt idx="65">
                  <c:v>120</c:v>
                </c:pt>
                <c:pt idx="66">
                  <c:v>121</c:v>
                </c:pt>
                <c:pt idx="67">
                  <c:v>122</c:v>
                </c:pt>
                <c:pt idx="68">
                  <c:v>123</c:v>
                </c:pt>
                <c:pt idx="69">
                  <c:v>124</c:v>
                </c:pt>
                <c:pt idx="70">
                  <c:v>125</c:v>
                </c:pt>
                <c:pt idx="71">
                  <c:v>126</c:v>
                </c:pt>
                <c:pt idx="72">
                  <c:v>127</c:v>
                </c:pt>
                <c:pt idx="73">
                  <c:v>128</c:v>
                </c:pt>
                <c:pt idx="74">
                  <c:v>129</c:v>
                </c:pt>
                <c:pt idx="75">
                  <c:v>130</c:v>
                </c:pt>
                <c:pt idx="76">
                  <c:v>131</c:v>
                </c:pt>
                <c:pt idx="77">
                  <c:v>132</c:v>
                </c:pt>
                <c:pt idx="78">
                  <c:v>133</c:v>
                </c:pt>
                <c:pt idx="79">
                  <c:v>134</c:v>
                </c:pt>
                <c:pt idx="80">
                  <c:v>135</c:v>
                </c:pt>
                <c:pt idx="81">
                  <c:v>136</c:v>
                </c:pt>
                <c:pt idx="82">
                  <c:v>137</c:v>
                </c:pt>
                <c:pt idx="83">
                  <c:v>138</c:v>
                </c:pt>
                <c:pt idx="84">
                  <c:v>139</c:v>
                </c:pt>
                <c:pt idx="85">
                  <c:v>140</c:v>
                </c:pt>
                <c:pt idx="86">
                  <c:v>141</c:v>
                </c:pt>
                <c:pt idx="87">
                  <c:v>142</c:v>
                </c:pt>
                <c:pt idx="88">
                  <c:v>143</c:v>
                </c:pt>
                <c:pt idx="89">
                  <c:v>144</c:v>
                </c:pt>
                <c:pt idx="90">
                  <c:v>145</c:v>
                </c:pt>
                <c:pt idx="91">
                  <c:v>146</c:v>
                </c:pt>
                <c:pt idx="92">
                  <c:v>147</c:v>
                </c:pt>
                <c:pt idx="93">
                  <c:v>148</c:v>
                </c:pt>
                <c:pt idx="94">
                  <c:v>149</c:v>
                </c:pt>
                <c:pt idx="95">
                  <c:v>150</c:v>
                </c:pt>
                <c:pt idx="96">
                  <c:v>151</c:v>
                </c:pt>
                <c:pt idx="97">
                  <c:v>152</c:v>
                </c:pt>
                <c:pt idx="98">
                  <c:v>153</c:v>
                </c:pt>
                <c:pt idx="99">
                  <c:v>154</c:v>
                </c:pt>
                <c:pt idx="100">
                  <c:v>155</c:v>
                </c:pt>
                <c:pt idx="101">
                  <c:v>156</c:v>
                </c:pt>
                <c:pt idx="102">
                  <c:v>157</c:v>
                </c:pt>
                <c:pt idx="103">
                  <c:v>158</c:v>
                </c:pt>
                <c:pt idx="104">
                  <c:v>159</c:v>
                </c:pt>
                <c:pt idx="105">
                  <c:v>160</c:v>
                </c:pt>
                <c:pt idx="106">
                  <c:v>161</c:v>
                </c:pt>
                <c:pt idx="107">
                  <c:v>162</c:v>
                </c:pt>
                <c:pt idx="108">
                  <c:v>163</c:v>
                </c:pt>
                <c:pt idx="109">
                  <c:v>164</c:v>
                </c:pt>
                <c:pt idx="110">
                  <c:v>165</c:v>
                </c:pt>
                <c:pt idx="111">
                  <c:v>166</c:v>
                </c:pt>
                <c:pt idx="112">
                  <c:v>167</c:v>
                </c:pt>
                <c:pt idx="113">
                  <c:v>168</c:v>
                </c:pt>
                <c:pt idx="114">
                  <c:v>169</c:v>
                </c:pt>
                <c:pt idx="115">
                  <c:v>170</c:v>
                </c:pt>
                <c:pt idx="116">
                  <c:v>171</c:v>
                </c:pt>
                <c:pt idx="117">
                  <c:v>172</c:v>
                </c:pt>
                <c:pt idx="118">
                  <c:v>173</c:v>
                </c:pt>
                <c:pt idx="119">
                  <c:v>174</c:v>
                </c:pt>
                <c:pt idx="120">
                  <c:v>175</c:v>
                </c:pt>
                <c:pt idx="121">
                  <c:v>176</c:v>
                </c:pt>
                <c:pt idx="122">
                  <c:v>177</c:v>
                </c:pt>
              </c:numCache>
            </c:numRef>
          </c:xVal>
          <c:yVal>
            <c:numRef>
              <c:f>Cumul_removed_bSIR!$J$62:$J$184</c:f>
              <c:numCache>
                <c:formatCode>General</c:formatCode>
                <c:ptCount val="1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5.7344786053444171E-4</c:v>
                </c:pt>
                <c:pt idx="16">
                  <c:v>4.3468906801256415E-3</c:v>
                </c:pt>
                <c:pt idx="17">
                  <c:v>8.280820377988175E-3</c:v>
                </c:pt>
                <c:pt idx="18">
                  <c:v>1.2380587139299907E-2</c:v>
                </c:pt>
                <c:pt idx="19">
                  <c:v>1.6651580082989993E-2</c:v>
                </c:pt>
                <c:pt idx="20">
                  <c:v>2.1099212692691847E-2</c:v>
                </c:pt>
                <c:pt idx="21">
                  <c:v>2.5728906729459648E-2</c:v>
                </c:pt>
                <c:pt idx="22">
                  <c:v>3.0546074570485637E-2</c:v>
                </c:pt>
                <c:pt idx="23">
                  <c:v>3.5556099925942802E-2</c:v>
                </c:pt>
                <c:pt idx="24">
                  <c:v>4.0764316895691141E-2</c:v>
                </c:pt>
                <c:pt idx="25">
                  <c:v>4.6175987339053946E-2</c:v>
                </c:pt>
                <c:pt idx="26">
                  <c:v>5.1796276544312327E-2</c:v>
                </c:pt>
                <c:pt idx="27">
                  <c:v>5.7630227200064242E-2</c:v>
                </c:pt>
                <c:pt idx="28">
                  <c:v>6.3682731688230507E-2</c:v>
                </c:pt>
                <c:pt idx="29">
                  <c:v>6.995850273828752E-2</c:v>
                </c:pt>
                <c:pt idx="30">
                  <c:v>7.6462042504271382E-2</c:v>
                </c:pt>
                <c:pt idx="31">
                  <c:v>8.3197610150187132E-2</c:v>
                </c:pt>
                <c:pt idx="32">
                  <c:v>9.0169188055551922E-2</c:v>
                </c:pt>
                <c:pt idx="33">
                  <c:v>9.7380446780770694E-2</c:v>
                </c:pt>
                <c:pt idx="34">
                  <c:v>0.10483470896163342</c:v>
                </c:pt>
                <c:pt idx="35">
                  <c:v>0.11253491233315183</c:v>
                </c:pt>
                <c:pt idx="36">
                  <c:v>0.12048357211484656</c:v>
                </c:pt>
                <c:pt idx="37">
                  <c:v>0.12868274302198648</c:v>
                </c:pt>
                <c:pt idx="38">
                  <c:v>0.13713398119964643</c:v>
                </c:pt>
                <c:pt idx="39">
                  <c:v>0.14583830640817155</c:v>
                </c:pt>
                <c:pt idx="40">
                  <c:v>0.15479616481901401</c:v>
                </c:pt>
                <c:pt idx="41">
                  <c:v>0.16400739280820456</c:v>
                </c:pt>
                <c:pt idx="42">
                  <c:v>0.1734711821601029</c:v>
                </c:pt>
                <c:pt idx="43">
                  <c:v>0.18318604711569622</c:v>
                </c:pt>
                <c:pt idx="44">
                  <c:v>0.19314979371670096</c:v>
                </c:pt>
                <c:pt idx="45">
                  <c:v>0.20335949190819277</c:v>
                </c:pt>
                <c:pt idx="46">
                  <c:v>0.21381145086759382</c:v>
                </c:pt>
                <c:pt idx="47">
                  <c:v>0.22450119802578825</c:v>
                </c:pt>
                <c:pt idx="48">
                  <c:v>0.23542346223620442</c:v>
                </c:pt>
                <c:pt idx="49">
                  <c:v>0.2465721615293138</c:v>
                </c:pt>
                <c:pt idx="50">
                  <c:v>0.25794039586270173</c:v>
                </c:pt>
                <c:pt idx="51">
                  <c:v>0.26952044524042135</c:v>
                </c:pt>
                <c:pt idx="52">
                  <c:v>0.28130377352969693</c:v>
                </c:pt>
                <c:pt idx="53">
                  <c:v>0.2932810382483958</c:v>
                </c:pt>
                <c:pt idx="54">
                  <c:v>0.30544210653348219</c:v>
                </c:pt>
                <c:pt idx="55">
                  <c:v>0.31777607742961805</c:v>
                </c:pt>
                <c:pt idx="56">
                  <c:v>0.33027131055915698</c:v>
                </c:pt>
                <c:pt idx="57">
                  <c:v>0.34291546115123545</c:v>
                </c:pt>
                <c:pt idx="58">
                  <c:v>0.35569552131996646</c:v>
                </c:pt>
                <c:pt idx="59">
                  <c:v>0.36859786739157357</c:v>
                </c:pt>
                <c:pt idx="60">
                  <c:v>0.38160831298953618</c:v>
                </c:pt>
                <c:pt idx="61">
                  <c:v>0.39471216749740573</c:v>
                </c:pt>
                <c:pt idx="62">
                  <c:v>0.40789429943296102</c:v>
                </c:pt>
                <c:pt idx="63">
                  <c:v>0.42113920418682804</c:v>
                </c:pt>
                <c:pt idx="64">
                  <c:v>0.43443107550557253</c:v>
                </c:pt>
                <c:pt idx="65">
                  <c:v>0.44775388003543209</c:v>
                </c:pt>
                <c:pt idx="66">
                  <c:v>0.46109143418992893</c:v>
                </c:pt>
                <c:pt idx="67">
                  <c:v>0.47442748256397782</c:v>
                </c:pt>
                <c:pt idx="68">
                  <c:v>0.48774577708986994</c:v>
                </c:pt>
                <c:pt idx="69">
                  <c:v>0.50103015611738733</c:v>
                </c:pt>
                <c:pt idx="70">
                  <c:v>0.5142646226016433</c:v>
                </c:pt>
                <c:pt idx="71">
                  <c:v>0.52743342059802811</c:v>
                </c:pt>
                <c:pt idx="72">
                  <c:v>0.5405211092934108</c:v>
                </c:pt>
                <c:pt idx="73">
                  <c:v>0.55351263384575089</c:v>
                </c:pt>
                <c:pt idx="74">
                  <c:v>0.56639339235932407</c:v>
                </c:pt>
                <c:pt idx="75">
                  <c:v>0.57914929838846929</c:v>
                </c:pt>
                <c:pt idx="76">
                  <c:v>0.59176683843738398</c:v>
                </c:pt>
                <c:pt idx="77">
                  <c:v>0.60423312400521145</c:v>
                </c:pt>
                <c:pt idx="78">
                  <c:v>0.61653593781243987</c:v>
                </c:pt>
                <c:pt idx="79">
                  <c:v>0.62866377393444117</c:v>
                </c:pt>
                <c:pt idx="80">
                  <c:v>0.6406058716587919</c:v>
                </c:pt>
                <c:pt idx="81">
                  <c:v>0.65235224297285355</c:v>
                </c:pt>
                <c:pt idx="82">
                  <c:v>0.66389369367514783</c:v>
                </c:pt>
                <c:pt idx="83">
                  <c:v>0.6752218381866617</c:v>
                </c:pt>
                <c:pt idx="84">
                  <c:v>0.68632910821495741</c:v>
                </c:pt>
                <c:pt idx="85">
                  <c:v>0.69720875549361527</c:v>
                </c:pt>
                <c:pt idx="86">
                  <c:v>0.70785484888121197</c:v>
                </c:pt>
                <c:pt idx="87">
                  <c:v>0.71826226615703948</c:v>
                </c:pt>
                <c:pt idx="88">
                  <c:v>0.7284266808947204</c:v>
                </c:pt>
                <c:pt idx="89">
                  <c:v>0.73834454482961154</c:v>
                </c:pt>
                <c:pt idx="90">
                  <c:v>0.74801306616151342</c:v>
                </c:pt>
                <c:pt idx="91">
                  <c:v>0.75743018425098607</c:v>
                </c:pt>
                <c:pt idx="92">
                  <c:v>0.76659454117599424</c:v>
                </c:pt>
                <c:pt idx="93">
                  <c:v>0.77550545061628762</c:v>
                </c:pt>
                <c:pt idx="94">
                  <c:v>0.78416286452656958</c:v>
                </c:pt>
                <c:pt idx="95">
                  <c:v>0.79256733804695634</c:v>
                </c:pt>
                <c:pt idx="96">
                  <c:v>0.80071999308131547</c:v>
                </c:pt>
                <c:pt idx="97">
                  <c:v>0.80862248095168487</c:v>
                </c:pt>
                <c:pt idx="98">
                  <c:v>0.8162769445109902</c:v>
                </c:pt>
                <c:pt idx="99">
                  <c:v>0.82368598006753901</c:v>
                </c:pt>
                <c:pt idx="100">
                  <c:v>0.83085259944407963</c:v>
                </c:pt>
                <c:pt idx="101">
                  <c:v>0.8377801924623357</c:v>
                </c:pt>
                <c:pt idx="102">
                  <c:v>0.8444724901114985</c:v>
                </c:pt>
                <c:pt idx="103">
                  <c:v>0.85093352862683413</c:v>
                </c:pt>
                <c:pt idx="104">
                  <c:v>0.85716761467281444</c:v>
                </c:pt>
                <c:pt idx="105">
                  <c:v>0.86317929179446606</c:v>
                </c:pt>
                <c:pt idx="106">
                  <c:v>0.86897330827132813</c:v>
                </c:pt>
                <c:pt idx="107">
                  <c:v>0.87455458648077466</c:v>
                </c:pt>
                <c:pt idx="108">
                  <c:v>0.87992819385171239</c:v>
                </c:pt>
                <c:pt idx="109">
                  <c:v>0.88509931546597409</c:v>
                </c:pt>
                <c:pt idx="110">
                  <c:v>0.89007322834315683</c:v>
                </c:pt>
                <c:pt idx="111">
                  <c:v>0.89485527742525839</c:v>
                </c:pt>
                <c:pt idx="112">
                  <c:v>0.89945085326023066</c:v>
                </c:pt>
                <c:pt idx="113">
                  <c:v>0.90386537136845468</c:v>
                </c:pt>
                <c:pt idx="114">
                  <c:v>0.90810425326307909</c:v>
                </c:pt>
                <c:pt idx="115">
                  <c:v>0.91217290908403681</c:v>
                </c:pt>
                <c:pt idx="116">
                  <c:v>0.91607672179628341</c:v>
                </c:pt>
                <c:pt idx="117">
                  <c:v>0.91982103289521411</c:v>
                </c:pt>
                <c:pt idx="118">
                  <c:v>0.92341112955620896</c:v>
                </c:pt>
                <c:pt idx="119">
                  <c:v>0.92685223316067689</c:v>
                </c:pt>
                <c:pt idx="120">
                  <c:v>0.93014948912766759</c:v>
                </c:pt>
                <c:pt idx="121">
                  <c:v>0.93330795797797939</c:v>
                </c:pt>
                <c:pt idx="122">
                  <c:v>0.9363326075565388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9FF-4FA3-A0D4-B42B2AAF0996}"/>
            </c:ext>
          </c:extLst>
        </c:ser>
        <c:ser>
          <c:idx val="2"/>
          <c:order val="2"/>
          <c:tx>
            <c:strRef>
              <c:f>Cumul_removed_bSIR!$Q$7</c:f>
              <c:strCache>
                <c:ptCount val="1"/>
                <c:pt idx="0">
                  <c:v>region fit (Norm.)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Cumul_removed_bSIR!$C$62:$C$184</c:f>
              <c:numCache>
                <c:formatCode>General</c:formatCode>
                <c:ptCount val="123"/>
                <c:pt idx="0">
                  <c:v>55</c:v>
                </c:pt>
                <c:pt idx="1">
                  <c:v>56</c:v>
                </c:pt>
                <c:pt idx="2">
                  <c:v>57</c:v>
                </c:pt>
                <c:pt idx="3">
                  <c:v>58</c:v>
                </c:pt>
                <c:pt idx="4">
                  <c:v>59</c:v>
                </c:pt>
                <c:pt idx="5">
                  <c:v>60</c:v>
                </c:pt>
                <c:pt idx="6">
                  <c:v>61</c:v>
                </c:pt>
                <c:pt idx="7">
                  <c:v>62</c:v>
                </c:pt>
                <c:pt idx="8">
                  <c:v>63</c:v>
                </c:pt>
                <c:pt idx="9">
                  <c:v>64</c:v>
                </c:pt>
                <c:pt idx="10">
                  <c:v>65</c:v>
                </c:pt>
                <c:pt idx="11">
                  <c:v>66</c:v>
                </c:pt>
                <c:pt idx="12">
                  <c:v>67</c:v>
                </c:pt>
                <c:pt idx="13">
                  <c:v>68</c:v>
                </c:pt>
                <c:pt idx="14">
                  <c:v>69</c:v>
                </c:pt>
                <c:pt idx="15">
                  <c:v>70</c:v>
                </c:pt>
                <c:pt idx="16">
                  <c:v>71</c:v>
                </c:pt>
                <c:pt idx="17">
                  <c:v>72</c:v>
                </c:pt>
                <c:pt idx="18">
                  <c:v>73</c:v>
                </c:pt>
                <c:pt idx="19">
                  <c:v>74</c:v>
                </c:pt>
                <c:pt idx="20">
                  <c:v>75</c:v>
                </c:pt>
                <c:pt idx="21">
                  <c:v>76</c:v>
                </c:pt>
                <c:pt idx="22">
                  <c:v>77</c:v>
                </c:pt>
                <c:pt idx="23">
                  <c:v>78</c:v>
                </c:pt>
                <c:pt idx="24">
                  <c:v>79</c:v>
                </c:pt>
                <c:pt idx="25">
                  <c:v>80</c:v>
                </c:pt>
                <c:pt idx="26">
                  <c:v>81</c:v>
                </c:pt>
                <c:pt idx="27">
                  <c:v>82</c:v>
                </c:pt>
                <c:pt idx="28">
                  <c:v>83</c:v>
                </c:pt>
                <c:pt idx="29">
                  <c:v>84</c:v>
                </c:pt>
                <c:pt idx="30">
                  <c:v>85</c:v>
                </c:pt>
                <c:pt idx="31">
                  <c:v>86</c:v>
                </c:pt>
                <c:pt idx="32">
                  <c:v>87</c:v>
                </c:pt>
                <c:pt idx="33">
                  <c:v>88</c:v>
                </c:pt>
                <c:pt idx="34">
                  <c:v>89</c:v>
                </c:pt>
                <c:pt idx="35">
                  <c:v>90</c:v>
                </c:pt>
                <c:pt idx="36">
                  <c:v>91</c:v>
                </c:pt>
                <c:pt idx="37">
                  <c:v>92</c:v>
                </c:pt>
                <c:pt idx="38">
                  <c:v>93</c:v>
                </c:pt>
                <c:pt idx="39">
                  <c:v>94</c:v>
                </c:pt>
                <c:pt idx="40">
                  <c:v>95</c:v>
                </c:pt>
                <c:pt idx="41">
                  <c:v>96</c:v>
                </c:pt>
                <c:pt idx="42">
                  <c:v>97</c:v>
                </c:pt>
                <c:pt idx="43">
                  <c:v>98</c:v>
                </c:pt>
                <c:pt idx="44">
                  <c:v>99</c:v>
                </c:pt>
                <c:pt idx="45">
                  <c:v>100</c:v>
                </c:pt>
                <c:pt idx="46">
                  <c:v>101</c:v>
                </c:pt>
                <c:pt idx="47">
                  <c:v>102</c:v>
                </c:pt>
                <c:pt idx="48">
                  <c:v>103</c:v>
                </c:pt>
                <c:pt idx="49">
                  <c:v>104</c:v>
                </c:pt>
                <c:pt idx="50">
                  <c:v>105</c:v>
                </c:pt>
                <c:pt idx="51">
                  <c:v>106</c:v>
                </c:pt>
                <c:pt idx="52">
                  <c:v>107</c:v>
                </c:pt>
                <c:pt idx="53">
                  <c:v>108</c:v>
                </c:pt>
                <c:pt idx="54">
                  <c:v>109</c:v>
                </c:pt>
                <c:pt idx="55">
                  <c:v>110</c:v>
                </c:pt>
                <c:pt idx="56">
                  <c:v>111</c:v>
                </c:pt>
                <c:pt idx="57">
                  <c:v>112</c:v>
                </c:pt>
                <c:pt idx="58">
                  <c:v>113</c:v>
                </c:pt>
                <c:pt idx="59">
                  <c:v>114</c:v>
                </c:pt>
                <c:pt idx="60">
                  <c:v>115</c:v>
                </c:pt>
                <c:pt idx="61">
                  <c:v>116</c:v>
                </c:pt>
                <c:pt idx="62">
                  <c:v>117</c:v>
                </c:pt>
                <c:pt idx="63">
                  <c:v>118</c:v>
                </c:pt>
                <c:pt idx="64">
                  <c:v>119</c:v>
                </c:pt>
                <c:pt idx="65">
                  <c:v>120</c:v>
                </c:pt>
                <c:pt idx="66">
                  <c:v>121</c:v>
                </c:pt>
                <c:pt idx="67">
                  <c:v>122</c:v>
                </c:pt>
                <c:pt idx="68">
                  <c:v>123</c:v>
                </c:pt>
                <c:pt idx="69">
                  <c:v>124</c:v>
                </c:pt>
                <c:pt idx="70">
                  <c:v>125</c:v>
                </c:pt>
                <c:pt idx="71">
                  <c:v>126</c:v>
                </c:pt>
                <c:pt idx="72">
                  <c:v>127</c:v>
                </c:pt>
                <c:pt idx="73">
                  <c:v>128</c:v>
                </c:pt>
                <c:pt idx="74">
                  <c:v>129</c:v>
                </c:pt>
                <c:pt idx="75">
                  <c:v>130</c:v>
                </c:pt>
                <c:pt idx="76">
                  <c:v>131</c:v>
                </c:pt>
                <c:pt idx="77">
                  <c:v>132</c:v>
                </c:pt>
                <c:pt idx="78">
                  <c:v>133</c:v>
                </c:pt>
                <c:pt idx="79">
                  <c:v>134</c:v>
                </c:pt>
                <c:pt idx="80">
                  <c:v>135</c:v>
                </c:pt>
                <c:pt idx="81">
                  <c:v>136</c:v>
                </c:pt>
                <c:pt idx="82">
                  <c:v>137</c:v>
                </c:pt>
                <c:pt idx="83">
                  <c:v>138</c:v>
                </c:pt>
                <c:pt idx="84">
                  <c:v>139</c:v>
                </c:pt>
                <c:pt idx="85">
                  <c:v>140</c:v>
                </c:pt>
                <c:pt idx="86">
                  <c:v>141</c:v>
                </c:pt>
                <c:pt idx="87">
                  <c:v>142</c:v>
                </c:pt>
                <c:pt idx="88">
                  <c:v>143</c:v>
                </c:pt>
                <c:pt idx="89">
                  <c:v>144</c:v>
                </c:pt>
                <c:pt idx="90">
                  <c:v>145</c:v>
                </c:pt>
                <c:pt idx="91">
                  <c:v>146</c:v>
                </c:pt>
                <c:pt idx="92">
                  <c:v>147</c:v>
                </c:pt>
                <c:pt idx="93">
                  <c:v>148</c:v>
                </c:pt>
                <c:pt idx="94">
                  <c:v>149</c:v>
                </c:pt>
                <c:pt idx="95">
                  <c:v>150</c:v>
                </c:pt>
                <c:pt idx="96">
                  <c:v>151</c:v>
                </c:pt>
                <c:pt idx="97">
                  <c:v>152</c:v>
                </c:pt>
                <c:pt idx="98">
                  <c:v>153</c:v>
                </c:pt>
                <c:pt idx="99">
                  <c:v>154</c:v>
                </c:pt>
                <c:pt idx="100">
                  <c:v>155</c:v>
                </c:pt>
                <c:pt idx="101">
                  <c:v>156</c:v>
                </c:pt>
                <c:pt idx="102">
                  <c:v>157</c:v>
                </c:pt>
                <c:pt idx="103">
                  <c:v>158</c:v>
                </c:pt>
                <c:pt idx="104">
                  <c:v>159</c:v>
                </c:pt>
                <c:pt idx="105">
                  <c:v>160</c:v>
                </c:pt>
                <c:pt idx="106">
                  <c:v>161</c:v>
                </c:pt>
                <c:pt idx="107">
                  <c:v>162</c:v>
                </c:pt>
                <c:pt idx="108">
                  <c:v>163</c:v>
                </c:pt>
                <c:pt idx="109">
                  <c:v>164</c:v>
                </c:pt>
                <c:pt idx="110">
                  <c:v>165</c:v>
                </c:pt>
                <c:pt idx="111">
                  <c:v>166</c:v>
                </c:pt>
                <c:pt idx="112">
                  <c:v>167</c:v>
                </c:pt>
                <c:pt idx="113">
                  <c:v>168</c:v>
                </c:pt>
                <c:pt idx="114">
                  <c:v>169</c:v>
                </c:pt>
                <c:pt idx="115">
                  <c:v>170</c:v>
                </c:pt>
                <c:pt idx="116">
                  <c:v>171</c:v>
                </c:pt>
                <c:pt idx="117">
                  <c:v>172</c:v>
                </c:pt>
                <c:pt idx="118">
                  <c:v>173</c:v>
                </c:pt>
                <c:pt idx="119">
                  <c:v>174</c:v>
                </c:pt>
                <c:pt idx="120">
                  <c:v>175</c:v>
                </c:pt>
                <c:pt idx="121">
                  <c:v>176</c:v>
                </c:pt>
                <c:pt idx="122">
                  <c:v>177</c:v>
                </c:pt>
              </c:numCache>
            </c:numRef>
          </c:xVal>
          <c:yVal>
            <c:numRef>
              <c:f>Cumul_removed_bSIR!$Q$62:$Q$184</c:f>
              <c:numCache>
                <c:formatCode>General</c:formatCode>
                <c:ptCount val="1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3.5786872363284417E-3</c:v>
                </c:pt>
                <c:pt idx="22">
                  <c:v>8.4875166444702381E-3</c:v>
                </c:pt>
                <c:pt idx="23">
                  <c:v>1.3628818387644305E-2</c:v>
                </c:pt>
                <c:pt idx="24">
                  <c:v>1.9010734803035806E-2</c:v>
                </c:pt>
                <c:pt idx="25">
                  <c:v>2.4641386761971397E-2</c:v>
                </c:pt>
                <c:pt idx="26">
                  <c:v>3.0528835132225693E-2</c:v>
                </c:pt>
                <c:pt idx="27">
                  <c:v>3.6681038507021049E-2</c:v>
                </c:pt>
                <c:pt idx="28">
                  <c:v>4.3105807145058586E-2</c:v>
                </c:pt>
                <c:pt idx="29">
                  <c:v>4.981075310782207E-2</c:v>
                </c:pt>
                <c:pt idx="30">
                  <c:v>5.6803236629294859E-2</c:v>
                </c:pt>
                <c:pt idx="31">
                  <c:v>6.4090308809305316E-2</c:v>
                </c:pt>
                <c:pt idx="32">
                  <c:v>7.1678650785005515E-2</c:v>
                </c:pt>
                <c:pt idx="33">
                  <c:v>7.9574509605332702E-2</c:v>
                </c:pt>
                <c:pt idx="34">
                  <c:v>8.7783631110310414E-2</c:v>
                </c:pt>
                <c:pt idx="35">
                  <c:v>9.6311190200071367E-2</c:v>
                </c:pt>
                <c:pt idx="36">
                  <c:v>0.10516171896658374</c:v>
                </c:pt>
                <c:pt idx="37">
                  <c:v>0.11433903325296869</c:v>
                </c:pt>
                <c:pt idx="38">
                  <c:v>0.12384615829941266</c:v>
                </c:pt>
                <c:pt idx="39">
                  <c:v>0.13368525422903976</c:v>
                </c:pt>
                <c:pt idx="40">
                  <c:v>0.14385754221942884</c:v>
                </c:pt>
                <c:pt idx="41">
                  <c:v>0.15436323229310464</c:v>
                </c:pt>
                <c:pt idx="42">
                  <c:v>0.16520145374039361</c:v>
                </c:pt>
                <c:pt idx="43">
                  <c:v>0.17637018925737208</c:v>
                </c:pt>
                <c:pt idx="44">
                  <c:v>0.18786621393695502</c:v>
                </c:pt>
                <c:pt idx="45">
                  <c:v>0.19968504028913919</c:v>
                </c:pt>
                <c:pt idx="46">
                  <c:v>0.21182087048376627</c:v>
                </c:pt>
                <c:pt idx="47">
                  <c:v>0.22426655700285028</c:v>
                </c:pt>
                <c:pt idx="48">
                  <c:v>0.23701357285685293</c:v>
                </c:pt>
                <c:pt idx="49">
                  <c:v>0.25005199245811738</c:v>
                </c:pt>
                <c:pt idx="50">
                  <c:v>0.26337048415354553</c:v>
                </c:pt>
                <c:pt idx="51">
                  <c:v>0.27695631529688358</c:v>
                </c:pt>
                <c:pt idx="52">
                  <c:v>0.29079537058903138</c:v>
                </c:pt>
                <c:pt idx="53">
                  <c:v>0.30487218423403012</c:v>
                </c:pt>
                <c:pt idx="54">
                  <c:v>0.31916998625138471</c:v>
                </c:pt>
                <c:pt idx="55">
                  <c:v>0.33367076305585386</c:v>
                </c:pt>
                <c:pt idx="56">
                  <c:v>0.3483553321686283</c:v>
                </c:pt>
                <c:pt idx="57">
                  <c:v>0.36320343066475741</c:v>
                </c:pt>
                <c:pt idx="58">
                  <c:v>0.37819381669746815</c:v>
                </c:pt>
                <c:pt idx="59">
                  <c:v>0.39330438317797761</c:v>
                </c:pt>
                <c:pt idx="60">
                  <c:v>0.40851228243722004</c:v>
                </c:pt>
                <c:pt idx="61">
                  <c:v>0.4237940604613506</c:v>
                </c:pt>
                <c:pt idx="62">
                  <c:v>0.43912579908343763</c:v>
                </c:pt>
                <c:pt idx="63">
                  <c:v>0.45448326433631192</c:v>
                </c:pt>
                <c:pt idx="64">
                  <c:v>0.46984205903208492</c:v>
                </c:pt>
                <c:pt idx="65">
                  <c:v>0.48517777753717595</c:v>
                </c:pt>
                <c:pt idx="66">
                  <c:v>0.5004661606611448</c:v>
                </c:pt>
                <c:pt idx="67">
                  <c:v>0.51568324857500591</c:v>
                </c:pt>
                <c:pt idx="68">
                  <c:v>0.530805529720077</c:v>
                </c:pt>
                <c:pt idx="69">
                  <c:v>0.54581008376020312</c:v>
                </c:pt>
                <c:pt idx="70">
                  <c:v>0.56067471676520664</c:v>
                </c:pt>
                <c:pt idx="71">
                  <c:v>0.57537808698699355</c:v>
                </c:pt>
                <c:pt idx="72">
                  <c:v>0.58989981979602746</c:v>
                </c:pt>
                <c:pt idx="73">
                  <c:v>0.60422061057807541</c:v>
                </c:pt>
                <c:pt idx="74">
                  <c:v>0.61832231464175325</c:v>
                </c:pt>
                <c:pt idx="75">
                  <c:v>0.63218802344875424</c:v>
                </c:pt>
                <c:pt idx="76">
                  <c:v>0.64580212674298354</c:v>
                </c:pt>
                <c:pt idx="77">
                  <c:v>0.65915036041478048</c:v>
                </c:pt>
                <c:pt idx="78">
                  <c:v>0.67221984018521741</c:v>
                </c:pt>
                <c:pt idx="79">
                  <c:v>0.68499908142716104</c:v>
                </c:pt>
                <c:pt idx="80">
                  <c:v>0.69747800564943441</c:v>
                </c:pt>
                <c:pt idx="81">
                  <c:v>0.70964793435418294</c:v>
                </c:pt>
                <c:pt idx="82">
                  <c:v>0.7215015711327194</c:v>
                </c:pt>
                <c:pt idx="83">
                  <c:v>0.73303297299016512</c:v>
                </c:pt>
                <c:pt idx="84">
                  <c:v>0.74423751198366095</c:v>
                </c:pt>
                <c:pt idx="85">
                  <c:v>0.75511182832327739</c:v>
                </c:pt>
                <c:pt idx="86">
                  <c:v>0.7656537761204405</c:v>
                </c:pt>
                <c:pt idx="87">
                  <c:v>0.77586236297775135</c:v>
                </c:pt>
                <c:pt idx="88">
                  <c:v>0.7857376845991535</c:v>
                </c:pt>
                <c:pt idx="89">
                  <c:v>0.795280855563537</c:v>
                </c:pt>
                <c:pt idx="90">
                  <c:v>0.80449393735126218</c:v>
                </c:pt>
                <c:pt idx="91">
                  <c:v>0.81337986464512302</c:v>
                </c:pt>
                <c:pt idx="92">
                  <c:v>0.82194237084821276</c:v>
                </c:pt>
                <c:pt idx="93">
                  <c:v>0.83018591367419858</c:v>
                </c:pt>
                <c:pt idx="94">
                  <c:v>0.8381156015735558</c:v>
                </c:pt>
                <c:pt idx="95">
                  <c:v>0.8457371216650692</c:v>
                </c:pt>
                <c:pt idx="96">
                  <c:v>0.85305666974765493</c:v>
                </c:pt>
                <c:pt idx="97">
                  <c:v>0.86008088287532891</c:v>
                </c:pt>
                <c:pt idx="98">
                  <c:v>0.86681677488957065</c:v>
                </c:pt>
                <c:pt idx="99">
                  <c:v>0.87327167521969595</c:v>
                </c:pt>
                <c:pt idx="100">
                  <c:v>0.87945317118415733</c:v>
                </c:pt>
                <c:pt idx="101">
                  <c:v>0.88536905395459597</c:v>
                </c:pt>
                <c:pt idx="102">
                  <c:v>0.89102726828040291</c:v>
                </c:pt>
                <c:pt idx="103">
                  <c:v>0.89643586601467917</c:v>
                </c:pt>
                <c:pt idx="104">
                  <c:v>0.90160296343282043</c:v>
                </c:pt>
                <c:pt idx="105">
                  <c:v>0.90653670229228889</c:v>
                </c:pt>
                <c:pt idx="106">
                  <c:v>0.91124521454621532</c:v>
                </c:pt>
                <c:pt idx="107">
                  <c:v>0.91573659059384516</c:v>
                </c:pt>
                <c:pt idx="108">
                  <c:v>0.92001885092710067</c:v>
                </c:pt>
                <c:pt idx="109">
                  <c:v>0.92409992101410909</c:v>
                </c:pt>
                <c:pt idx="110">
                  <c:v>0.92798760924695312</c:v>
                </c:pt>
                <c:pt idx="111">
                  <c:v>0.93168958777157829</c:v>
                </c:pt>
                <c:pt idx="112">
                  <c:v>0.93521337601220655</c:v>
                </c:pt>
                <c:pt idx="113">
                  <c:v>0.93856632670026119</c:v>
                </c:pt>
                <c:pt idx="114">
                  <c:v>0.94175561421820642</c:v>
                </c:pt>
                <c:pt idx="115">
                  <c:v>0.94478822507140603</c:v>
                </c:pt>
                <c:pt idx="116">
                  <c:v>0.9476709503056745</c:v>
                </c:pt>
                <c:pt idx="117">
                  <c:v>0.95041037969429476</c:v>
                </c:pt>
                <c:pt idx="118">
                  <c:v>0.95301289752552765</c:v>
                </c:pt>
                <c:pt idx="119">
                  <c:v>0.95548467982977203</c:v>
                </c:pt>
                <c:pt idx="120">
                  <c:v>0.95783169289429471</c:v>
                </c:pt>
                <c:pt idx="121">
                  <c:v>0.96005969292258764</c:v>
                </c:pt>
                <c:pt idx="122">
                  <c:v>0.9621742267047585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9FF-4FA3-A0D4-B42B2AAF0996}"/>
            </c:ext>
          </c:extLst>
        </c:ser>
        <c:ser>
          <c:idx val="3"/>
          <c:order val="3"/>
          <c:tx>
            <c:strRef>
              <c:f>Cumul_removed_bSIR!$X$7</c:f>
              <c:strCache>
                <c:ptCount val="1"/>
                <c:pt idx="0">
                  <c:v>rest of Italy fit (Norm.)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Cumul_removed_bSIR!$C$62:$C$184</c:f>
              <c:numCache>
                <c:formatCode>General</c:formatCode>
                <c:ptCount val="123"/>
                <c:pt idx="0">
                  <c:v>55</c:v>
                </c:pt>
                <c:pt idx="1">
                  <c:v>56</c:v>
                </c:pt>
                <c:pt idx="2">
                  <c:v>57</c:v>
                </c:pt>
                <c:pt idx="3">
                  <c:v>58</c:v>
                </c:pt>
                <c:pt idx="4">
                  <c:v>59</c:v>
                </c:pt>
                <c:pt idx="5">
                  <c:v>60</c:v>
                </c:pt>
                <c:pt idx="6">
                  <c:v>61</c:v>
                </c:pt>
                <c:pt idx="7">
                  <c:v>62</c:v>
                </c:pt>
                <c:pt idx="8">
                  <c:v>63</c:v>
                </c:pt>
                <c:pt idx="9">
                  <c:v>64</c:v>
                </c:pt>
                <c:pt idx="10">
                  <c:v>65</c:v>
                </c:pt>
                <c:pt idx="11">
                  <c:v>66</c:v>
                </c:pt>
                <c:pt idx="12">
                  <c:v>67</c:v>
                </c:pt>
                <c:pt idx="13">
                  <c:v>68</c:v>
                </c:pt>
                <c:pt idx="14">
                  <c:v>69</c:v>
                </c:pt>
                <c:pt idx="15">
                  <c:v>70</c:v>
                </c:pt>
                <c:pt idx="16">
                  <c:v>71</c:v>
                </c:pt>
                <c:pt idx="17">
                  <c:v>72</c:v>
                </c:pt>
                <c:pt idx="18">
                  <c:v>73</c:v>
                </c:pt>
                <c:pt idx="19">
                  <c:v>74</c:v>
                </c:pt>
                <c:pt idx="20">
                  <c:v>75</c:v>
                </c:pt>
                <c:pt idx="21">
                  <c:v>76</c:v>
                </c:pt>
                <c:pt idx="22">
                  <c:v>77</c:v>
                </c:pt>
                <c:pt idx="23">
                  <c:v>78</c:v>
                </c:pt>
                <c:pt idx="24">
                  <c:v>79</c:v>
                </c:pt>
                <c:pt idx="25">
                  <c:v>80</c:v>
                </c:pt>
                <c:pt idx="26">
                  <c:v>81</c:v>
                </c:pt>
                <c:pt idx="27">
                  <c:v>82</c:v>
                </c:pt>
                <c:pt idx="28">
                  <c:v>83</c:v>
                </c:pt>
                <c:pt idx="29">
                  <c:v>84</c:v>
                </c:pt>
                <c:pt idx="30">
                  <c:v>85</c:v>
                </c:pt>
                <c:pt idx="31">
                  <c:v>86</c:v>
                </c:pt>
                <c:pt idx="32">
                  <c:v>87</c:v>
                </c:pt>
                <c:pt idx="33">
                  <c:v>88</c:v>
                </c:pt>
                <c:pt idx="34">
                  <c:v>89</c:v>
                </c:pt>
                <c:pt idx="35">
                  <c:v>90</c:v>
                </c:pt>
                <c:pt idx="36">
                  <c:v>91</c:v>
                </c:pt>
                <c:pt idx="37">
                  <c:v>92</c:v>
                </c:pt>
                <c:pt idx="38">
                  <c:v>93</c:v>
                </c:pt>
                <c:pt idx="39">
                  <c:v>94</c:v>
                </c:pt>
                <c:pt idx="40">
                  <c:v>95</c:v>
                </c:pt>
                <c:pt idx="41">
                  <c:v>96</c:v>
                </c:pt>
                <c:pt idx="42">
                  <c:v>97</c:v>
                </c:pt>
                <c:pt idx="43">
                  <c:v>98</c:v>
                </c:pt>
                <c:pt idx="44">
                  <c:v>99</c:v>
                </c:pt>
                <c:pt idx="45">
                  <c:v>100</c:v>
                </c:pt>
                <c:pt idx="46">
                  <c:v>101</c:v>
                </c:pt>
                <c:pt idx="47">
                  <c:v>102</c:v>
                </c:pt>
                <c:pt idx="48">
                  <c:v>103</c:v>
                </c:pt>
                <c:pt idx="49">
                  <c:v>104</c:v>
                </c:pt>
                <c:pt idx="50">
                  <c:v>105</c:v>
                </c:pt>
                <c:pt idx="51">
                  <c:v>106</c:v>
                </c:pt>
                <c:pt idx="52">
                  <c:v>107</c:v>
                </c:pt>
                <c:pt idx="53">
                  <c:v>108</c:v>
                </c:pt>
                <c:pt idx="54">
                  <c:v>109</c:v>
                </c:pt>
                <c:pt idx="55">
                  <c:v>110</c:v>
                </c:pt>
                <c:pt idx="56">
                  <c:v>111</c:v>
                </c:pt>
                <c:pt idx="57">
                  <c:v>112</c:v>
                </c:pt>
                <c:pt idx="58">
                  <c:v>113</c:v>
                </c:pt>
                <c:pt idx="59">
                  <c:v>114</c:v>
                </c:pt>
                <c:pt idx="60">
                  <c:v>115</c:v>
                </c:pt>
                <c:pt idx="61">
                  <c:v>116</c:v>
                </c:pt>
                <c:pt idx="62">
                  <c:v>117</c:v>
                </c:pt>
                <c:pt idx="63">
                  <c:v>118</c:v>
                </c:pt>
                <c:pt idx="64">
                  <c:v>119</c:v>
                </c:pt>
                <c:pt idx="65">
                  <c:v>120</c:v>
                </c:pt>
                <c:pt idx="66">
                  <c:v>121</c:v>
                </c:pt>
                <c:pt idx="67">
                  <c:v>122</c:v>
                </c:pt>
                <c:pt idx="68">
                  <c:v>123</c:v>
                </c:pt>
                <c:pt idx="69">
                  <c:v>124</c:v>
                </c:pt>
                <c:pt idx="70">
                  <c:v>125</c:v>
                </c:pt>
                <c:pt idx="71">
                  <c:v>126</c:v>
                </c:pt>
                <c:pt idx="72">
                  <c:v>127</c:v>
                </c:pt>
                <c:pt idx="73">
                  <c:v>128</c:v>
                </c:pt>
                <c:pt idx="74">
                  <c:v>129</c:v>
                </c:pt>
                <c:pt idx="75">
                  <c:v>130</c:v>
                </c:pt>
                <c:pt idx="76">
                  <c:v>131</c:v>
                </c:pt>
                <c:pt idx="77">
                  <c:v>132</c:v>
                </c:pt>
                <c:pt idx="78">
                  <c:v>133</c:v>
                </c:pt>
                <c:pt idx="79">
                  <c:v>134</c:v>
                </c:pt>
                <c:pt idx="80">
                  <c:v>135</c:v>
                </c:pt>
                <c:pt idx="81">
                  <c:v>136</c:v>
                </c:pt>
                <c:pt idx="82">
                  <c:v>137</c:v>
                </c:pt>
                <c:pt idx="83">
                  <c:v>138</c:v>
                </c:pt>
                <c:pt idx="84">
                  <c:v>139</c:v>
                </c:pt>
                <c:pt idx="85">
                  <c:v>140</c:v>
                </c:pt>
                <c:pt idx="86">
                  <c:v>141</c:v>
                </c:pt>
                <c:pt idx="87">
                  <c:v>142</c:v>
                </c:pt>
                <c:pt idx="88">
                  <c:v>143</c:v>
                </c:pt>
                <c:pt idx="89">
                  <c:v>144</c:v>
                </c:pt>
                <c:pt idx="90">
                  <c:v>145</c:v>
                </c:pt>
                <c:pt idx="91">
                  <c:v>146</c:v>
                </c:pt>
                <c:pt idx="92">
                  <c:v>147</c:v>
                </c:pt>
                <c:pt idx="93">
                  <c:v>148</c:v>
                </c:pt>
                <c:pt idx="94">
                  <c:v>149</c:v>
                </c:pt>
                <c:pt idx="95">
                  <c:v>150</c:v>
                </c:pt>
                <c:pt idx="96">
                  <c:v>151</c:v>
                </c:pt>
                <c:pt idx="97">
                  <c:v>152</c:v>
                </c:pt>
                <c:pt idx="98">
                  <c:v>153</c:v>
                </c:pt>
                <c:pt idx="99">
                  <c:v>154</c:v>
                </c:pt>
                <c:pt idx="100">
                  <c:v>155</c:v>
                </c:pt>
                <c:pt idx="101">
                  <c:v>156</c:v>
                </c:pt>
                <c:pt idx="102">
                  <c:v>157</c:v>
                </c:pt>
                <c:pt idx="103">
                  <c:v>158</c:v>
                </c:pt>
                <c:pt idx="104">
                  <c:v>159</c:v>
                </c:pt>
                <c:pt idx="105">
                  <c:v>160</c:v>
                </c:pt>
                <c:pt idx="106">
                  <c:v>161</c:v>
                </c:pt>
                <c:pt idx="107">
                  <c:v>162</c:v>
                </c:pt>
                <c:pt idx="108">
                  <c:v>163</c:v>
                </c:pt>
                <c:pt idx="109">
                  <c:v>164</c:v>
                </c:pt>
                <c:pt idx="110">
                  <c:v>165</c:v>
                </c:pt>
                <c:pt idx="111">
                  <c:v>166</c:v>
                </c:pt>
                <c:pt idx="112">
                  <c:v>167</c:v>
                </c:pt>
                <c:pt idx="113">
                  <c:v>168</c:v>
                </c:pt>
                <c:pt idx="114">
                  <c:v>169</c:v>
                </c:pt>
                <c:pt idx="115">
                  <c:v>170</c:v>
                </c:pt>
                <c:pt idx="116">
                  <c:v>171</c:v>
                </c:pt>
                <c:pt idx="117">
                  <c:v>172</c:v>
                </c:pt>
                <c:pt idx="118">
                  <c:v>173</c:v>
                </c:pt>
                <c:pt idx="119">
                  <c:v>174</c:v>
                </c:pt>
                <c:pt idx="120">
                  <c:v>175</c:v>
                </c:pt>
                <c:pt idx="121">
                  <c:v>176</c:v>
                </c:pt>
                <c:pt idx="122">
                  <c:v>177</c:v>
                </c:pt>
              </c:numCache>
            </c:numRef>
          </c:xVal>
          <c:yVal>
            <c:numRef>
              <c:f>Cumul_removed_bSIR!$X$62:$X$184</c:f>
              <c:numCache>
                <c:formatCode>General</c:formatCode>
                <c:ptCount val="1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1.1234592372349858E-3</c:v>
                </c:pt>
                <c:pt idx="16">
                  <c:v>4.9138099259008923E-3</c:v>
                </c:pt>
                <c:pt idx="17">
                  <c:v>8.8637737896230754E-3</c:v>
                </c:pt>
                <c:pt idx="18">
                  <c:v>1.2978597051452431E-2</c:v>
                </c:pt>
                <c:pt idx="19">
                  <c:v>1.7263560178050953E-2</c:v>
                </c:pt>
                <c:pt idx="20">
                  <c:v>2.1723963462488713E-2</c:v>
                </c:pt>
                <c:pt idx="21">
                  <c:v>2.6365111140052667E-2</c:v>
                </c:pt>
                <c:pt idx="22">
                  <c:v>3.1192293985835541E-2</c:v>
                </c:pt>
                <c:pt idx="23">
                  <c:v>3.6210770350694386E-2</c:v>
                </c:pt>
                <c:pt idx="24">
                  <c:v>4.1425745601643062E-2</c:v>
                </c:pt>
                <c:pt idx="25">
                  <c:v>4.684234994397813E-2</c:v>
                </c:pt>
                <c:pt idx="26">
                  <c:v>5.2465614615534617E-2</c:v>
                </c:pt>
                <c:pt idx="27">
                  <c:v>5.8300446458522726E-2</c:v>
                </c:pt>
                <c:pt idx="28">
                  <c:v>6.4351600891437072E-2</c:v>
                </c:pt>
                <c:pt idx="29">
                  <c:v>7.0623653322622215E-2</c:v>
                </c:pt>
                <c:pt idx="30">
                  <c:v>7.71209690681737E-2</c:v>
                </c:pt>
                <c:pt idx="31">
                  <c:v>8.3847671859933776E-2</c:v>
                </c:pt>
                <c:pt idx="32">
                  <c:v>9.0807611054274262E-2</c:v>
                </c:pt>
                <c:pt idx="33">
                  <c:v>9.8004327679008602E-2</c:v>
                </c:pt>
                <c:pt idx="34">
                  <c:v>0.10544101948390591</c:v>
                </c:pt>
                <c:pt idx="35">
                  <c:v>0.11312050518960866</c:v>
                </c:pt>
                <c:pt idx="36">
                  <c:v>0.1210451881599242</c:v>
                </c:pt>
                <c:pt idx="37">
                  <c:v>0.12921701975302907</c:v>
                </c:pt>
                <c:pt idx="38">
                  <c:v>0.13763746263759263</c:v>
                </c:pt>
                <c:pt idx="39">
                  <c:v>0.14630745438960852</c:v>
                </c:pt>
                <c:pt idx="40">
                  <c:v>0.15522737171416776</c:v>
                </c:pt>
                <c:pt idx="41">
                  <c:v>0.16439699566280835</c:v>
                </c:pt>
                <c:pt idx="42">
                  <c:v>0.17381547824067645</c:v>
                </c:pt>
                <c:pt idx="43">
                  <c:v>0.18348131081771982</c:v>
                </c:pt>
                <c:pt idx="44">
                  <c:v>0.19339229477371256</c:v>
                </c:pt>
                <c:pt idx="45">
                  <c:v>0.20354551481725056</c:v>
                </c:pt>
                <c:pt idx="46">
                  <c:v>0.21393731542317085</c:v>
                </c:pt>
                <c:pt idx="47">
                  <c:v>0.2245632808304226</c:v>
                </c:pt>
                <c:pt idx="48">
                  <c:v>0.2354182190325658</c:v>
                </c:pt>
                <c:pt idx="49">
                  <c:v>0.24649615017529164</c:v>
                </c:pt>
                <c:pt idx="50">
                  <c:v>0.25779029974922191</c:v>
                </c:pt>
                <c:pt idx="51">
                  <c:v>0.26929309693153558</c:v>
                </c:pt>
                <c:pt idx="52">
                  <c:v>0.28099617838665741</c:v>
                </c:pt>
                <c:pt idx="53">
                  <c:v>0.29289039778451315</c:v>
                </c:pt>
                <c:pt idx="54">
                  <c:v>0.30496584123512455</c:v>
                </c:pt>
                <c:pt idx="55">
                  <c:v>0.31721184877125874</c:v>
                </c:pt>
                <c:pt idx="56">
                  <c:v>0.32961704193736702</c:v>
                </c:pt>
                <c:pt idx="57">
                  <c:v>0.34216935746429866</c:v>
                </c:pt>
                <c:pt idx="58">
                  <c:v>0.3548560869266304</c:v>
                </c:pt>
                <c:pt idx="59">
                  <c:v>0.36766392219446448</c:v>
                </c:pt>
                <c:pt idx="60">
                  <c:v>0.38057900640596382</c:v>
                </c:pt>
                <c:pt idx="61">
                  <c:v>0.39358699010251197</c:v>
                </c:pt>
                <c:pt idx="62">
                  <c:v>0.40667309208714558</c:v>
                </c:pt>
                <c:pt idx="63">
                  <c:v>0.41982216449066201</c:v>
                </c:pt>
                <c:pt idx="64">
                  <c:v>0.43301876146043516</c:v>
                </c:pt>
                <c:pt idx="65">
                  <c:v>0.44624721082617297</c:v>
                </c:pt>
                <c:pt idx="66">
                  <c:v>0.45949168804616758</c:v>
                </c:pt>
                <c:pt idx="67">
                  <c:v>0.47273629169834541</c:v>
                </c:pt>
                <c:pt idx="68">
                  <c:v>0.48596511975362466</c:v>
                </c:pt>
                <c:pt idx="69">
                  <c:v>0.49916234585545721</c:v>
                </c:pt>
                <c:pt idx="70">
                  <c:v>0.51231229482932272</c:v>
                </c:pt>
                <c:pt idx="71">
                  <c:v>0.52539951665936524</c:v>
                </c:pt>
                <c:pt idx="72">
                  <c:v>0.53840885819594864</c:v>
                </c:pt>
                <c:pt idx="73">
                  <c:v>0.5513255318969702</c:v>
                </c:pt>
                <c:pt idx="74">
                  <c:v>0.56413518095627746</c:v>
                </c:pt>
                <c:pt idx="75">
                  <c:v>0.57682394023317773</c:v>
                </c:pt>
                <c:pt idx="76">
                  <c:v>0.58937849246629359</c:v>
                </c:pt>
                <c:pt idx="77">
                  <c:v>0.60178611933114434</c:v>
                </c:pt>
                <c:pt idx="78">
                  <c:v>0.61403474698203109</c:v>
                </c:pt>
                <c:pt idx="79">
                  <c:v>0.62611298580313035</c:v>
                </c:pt>
                <c:pt idx="80">
                  <c:v>0.63801016417929546</c:v>
                </c:pt>
                <c:pt idx="81">
                  <c:v>0.64971635618206691</c:v>
                </c:pt>
                <c:pt idx="82">
                  <c:v>0.6612224031490912</c:v>
                </c:pt>
                <c:pt idx="83">
                  <c:v>0.67251992921396953</c:v>
                </c:pt>
                <c:pt idx="84">
                  <c:v>0.68360135091713303</c:v>
                </c:pt>
                <c:pt idx="85">
                  <c:v>0.69445988109550327</c:v>
                </c:pt>
                <c:pt idx="86">
                  <c:v>0.70508952730855845</c:v>
                </c:pt>
                <c:pt idx="87">
                  <c:v>0.71548508511028219</c:v>
                </c:pt>
                <c:pt idx="88">
                  <c:v>0.72564212651992044</c:v>
                </c:pt>
                <c:pt idx="89">
                  <c:v>0.73555698407932135</c:v>
                </c:pt>
                <c:pt idx="90">
                  <c:v>0.74522673091090286</c:v>
                </c:pt>
                <c:pt idx="91">
                  <c:v>0.75464915720820425</c:v>
                </c:pt>
                <c:pt idx="92">
                  <c:v>0.76382274360095193</c:v>
                </c:pt>
                <c:pt idx="93">
                  <c:v>0.77274663183910963</c:v>
                </c:pt>
                <c:pt idx="94">
                  <c:v>0.78142059323617163</c:v>
                </c:pt>
                <c:pt idx="95">
                  <c:v>0.78984499530170071</c:v>
                </c:pt>
                <c:pt idx="96">
                  <c:v>0.79802076697762059</c:v>
                </c:pt>
                <c:pt idx="97">
                  <c:v>0.80594936287284391</c:v>
                </c:pt>
                <c:pt idx="98">
                  <c:v>0.81363272686726773</c:v>
                </c:pt>
                <c:pt idx="99">
                  <c:v>0.82107325542981291</c:v>
                </c:pt>
                <c:pt idx="100">
                  <c:v>0.82827376096675331</c:v>
                </c:pt>
                <c:pt idx="101">
                  <c:v>0.8352374354868275</c:v>
                </c:pt>
                <c:pt idx="102">
                  <c:v>0.84196781483915417</c:v>
                </c:pt>
                <c:pt idx="103">
                  <c:v>0.84846874374940795</c:v>
                </c:pt>
                <c:pt idx="104">
                  <c:v>0.85474434184953085</c:v>
                </c:pt>
                <c:pt idx="105">
                  <c:v>0.86079897086690582</c:v>
                </c:pt>
                <c:pt idx="106">
                  <c:v>0.86663720311077663</c:v>
                </c:pt>
                <c:pt idx="107">
                  <c:v>0.87226379136701371</c:v>
                </c:pt>
                <c:pt idx="108">
                  <c:v>0.87768364028736356</c:v>
                </c:pt>
                <c:pt idx="109">
                  <c:v>0.88290177933622338</c:v>
                </c:pt>
                <c:pt idx="110">
                  <c:v>0.88792333733682949</c:v>
                </c:pt>
                <c:pt idx="111">
                  <c:v>0.89275351863965036</c:v>
                </c:pt>
                <c:pt idx="112">
                  <c:v>0.89739758091868638</c:v>
                </c:pt>
                <c:pt idx="113">
                  <c:v>0.90186081458629319</c:v>
                </c:pt>
                <c:pt idx="114">
                  <c:v>0.90614852380402799</c:v>
                </c:pt>
                <c:pt idx="115">
                  <c:v>0.91026600905574062</c:v>
                </c:pt>
                <c:pt idx="116">
                  <c:v>0.91421855123964313</c:v>
                </c:pt>
                <c:pt idx="117">
                  <c:v>0.91801139722823155</c:v>
                </c:pt>
                <c:pt idx="118">
                  <c:v>0.92164974683862122</c:v>
                </c:pt>
                <c:pt idx="119">
                  <c:v>0.92513874115092509</c:v>
                </c:pt>
                <c:pt idx="120">
                  <c:v>0.92848345210864569</c:v>
                </c:pt>
                <c:pt idx="121">
                  <c:v>0.93168887333252892</c:v>
                </c:pt>
                <c:pt idx="122">
                  <c:v>0.93475991207779785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F9FF-4FA3-A0D4-B42B2AAF0996}"/>
            </c:ext>
          </c:extLst>
        </c:ser>
        <c:ser>
          <c:idx val="4"/>
          <c:order val="4"/>
          <c:tx>
            <c:strRef>
              <c:f>Cumul_removed_bSIR!$B$6</c:f>
              <c:strCache>
                <c:ptCount val="1"/>
                <c:pt idx="0">
                  <c:v>15/05/2020</c:v>
                </c:pt>
              </c:strCache>
            </c:strRef>
          </c:tx>
          <c:spPr>
            <a:ln w="19050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(Cumul_removed_bSIR!$C$6,Cumul_removed_bSIR!$C$6)</c:f>
              <c:numCache>
                <c:formatCode>General</c:formatCode>
                <c:ptCount val="2"/>
                <c:pt idx="0">
                  <c:v>136</c:v>
                </c:pt>
                <c:pt idx="1">
                  <c:v>136</c:v>
                </c:pt>
              </c:numCache>
            </c:numRef>
          </c:xVal>
          <c:yVal>
            <c:numRef>
              <c:f>(Cumul_removed_bSIR!$F$6,Cumul_removed_bSIR!$G$6)</c:f>
              <c:numCache>
                <c:formatCode>General</c:formatCode>
                <c:ptCount val="2"/>
                <c:pt idx="0">
                  <c:v>0</c:v>
                </c:pt>
                <c:pt idx="1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F9FF-4FA3-A0D4-B42B2AAF09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6175632"/>
        <c:axId val="976174672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Cumul_removed_bSIR!$G$7</c15:sqref>
                        </c15:formulaRef>
                      </c:ext>
                    </c:extLst>
                    <c:strCache>
                      <c:ptCount val="1"/>
                      <c:pt idx="0">
                        <c:v>Italiy sum of regions  (Norm.)</c:v>
                      </c:pt>
                    </c:strCache>
                  </c:strRef>
                </c:tx>
                <c:spPr>
                  <a:ln w="19050" cap="rnd">
                    <a:solidFill>
                      <a:schemeClr val="tx1"/>
                    </a:solidFill>
                    <a:prstDash val="lgDash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Cumul_removed_bSIR!$C$8:$C$184</c15:sqref>
                        </c15:formulaRef>
                      </c:ext>
                    </c:extLst>
                    <c:numCache>
                      <c:formatCode>General</c:formatCode>
                      <c:ptCount val="17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Cumul_removed_bSIR!$G$8:$G$184</c15:sqref>
                        </c15:formulaRef>
                      </c:ext>
                    </c:extLst>
                    <c:numCache>
                      <c:formatCode>General</c:formatCode>
                      <c:ptCount val="17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1.0786706623105511E-3</c:v>
                      </c:pt>
                      <c:pt idx="70">
                        <c:v>4.7179127035216432E-3</c:v>
                      </c:pt>
                      <c:pt idx="71">
                        <c:v>8.5104046745434359E-3</c:v>
                      </c:pt>
                      <c:pt idx="72">
                        <c:v>1.2461183649001194E-2</c:v>
                      </c:pt>
                      <c:pt idx="73">
                        <c:v>1.6575319578952655E-2</c:v>
                      </c:pt>
                      <c:pt idx="74">
                        <c:v>2.0857901452450828E-2</c:v>
                      </c:pt>
                      <c:pt idx="75">
                        <c:v>2.5456692373757528E-2</c:v>
                      </c:pt>
                      <c:pt idx="76">
                        <c:v>3.0287130195826441E-2</c:v>
                      </c:pt>
                      <c:pt idx="77">
                        <c:v>3.5310503199100791E-2</c:v>
                      </c:pt>
                      <c:pt idx="78">
                        <c:v>4.0532133837805247E-2</c:v>
                      </c:pt>
                      <c:pt idx="79">
                        <c:v>4.5957271545122122E-2</c:v>
                      </c:pt>
                      <c:pt idx="80">
                        <c:v>5.159106834013337E-2</c:v>
                      </c:pt>
                      <c:pt idx="81">
                        <c:v>5.7438552728189526E-2</c:v>
                      </c:pt>
                      <c:pt idx="82">
                        <c:v>6.3504601914081457E-2</c:v>
                      </c:pt>
                      <c:pt idx="83">
                        <c:v>6.9793912367392186E-2</c:v>
                      </c:pt>
                      <c:pt idx="84">
                        <c:v>7.6310968801610396E-2</c:v>
                      </c:pt>
                      <c:pt idx="85">
                        <c:v>8.3060011652982046E-2</c:v>
                      </c:pt>
                      <c:pt idx="86">
                        <c:v>9.0045003171539406E-2</c:v>
                      </c:pt>
                      <c:pt idx="87">
                        <c:v>9.7269592265138052E-2</c:v>
                      </c:pt>
                      <c:pt idx="88">
                        <c:v>0.10473707826741192</c:v>
                      </c:pt>
                      <c:pt idx="89">
                        <c:v>0.11245037383202576</c:v>
                      </c:pt>
                      <c:pt idx="90">
                        <c:v>0.12041196718808303</c:v>
                      </c:pt>
                      <c:pt idx="91">
                        <c:v>0.12862388402456001</c:v>
                      </c:pt>
                      <c:pt idx="92">
                        <c:v>0.13708764930464387</c:v>
                      </c:pt>
                      <c:pt idx="93">
                        <c:v>0.14580424934320718</c:v>
                      </c:pt>
                      <c:pt idx="94">
                        <c:v>0.15477409451164414</c:v>
                      </c:pt>
                      <c:pt idx="95">
                        <c:v>0.16399698296313617</c:v>
                      </c:pt>
                      <c:pt idx="96">
                        <c:v>0.17347206579726515</c:v>
                      </c:pt>
                      <c:pt idx="97">
                        <c:v>0.18319781410484726</c:v>
                      </c:pt>
                      <c:pt idx="98">
                        <c:v>0.19317198835102048</c:v>
                      </c:pt>
                      <c:pt idx="99">
                        <c:v>0.20339161056606317</c:v>
                      </c:pt>
                      <c:pt idx="100">
                        <c:v>0.21385293981825326</c:v>
                      </c:pt>
                      <c:pt idx="101">
                        <c:v>0.22455145144049671</c:v>
                      </c:pt>
                      <c:pt idx="102">
                        <c:v>0.23548182047169403</c:v>
                      </c:pt>
                      <c:pt idx="103">
                        <c:v>0.24663790975430031</c:v>
                      </c:pt>
                      <c:pt idx="104">
                        <c:v>0.25801276310080762</c:v>
                      </c:pt>
                      <c:pt idx="105">
                        <c:v>0.26959860390370083</c:v>
                      </c:pt>
                      <c:pt idx="106">
                        <c:v>0.28138683951579208</c:v>
                      </c:pt>
                      <c:pt idx="107">
                        <c:v>0.29336807167096723</c:v>
                      </c:pt>
                      <c:pt idx="108">
                        <c:v>0.30553211314977274</c:v>
                      </c:pt>
                      <c:pt idx="109">
                        <c:v>0.31786801082073796</c:v>
                      </c:pt>
                      <c:pt idx="110">
                        <c:v>0.33036407510791993</c:v>
                      </c:pt>
                      <c:pt idx="111">
                        <c:v>0.34300791584922363</c:v>
                      </c:pt>
                      <c:pt idx="112">
                        <c:v>0.35578648442016114</c:v>
                      </c:pt>
                      <c:pt idx="113">
                        <c:v>0.3686861219056739</c:v>
                      </c:pt>
                      <c:pt idx="114">
                        <c:v>0.38169261301040991</c:v>
                      </c:pt>
                      <c:pt idx="115">
                        <c:v>0.39479124530748433</c:v>
                      </c:pt>
                      <c:pt idx="116">
                        <c:v>0.4079668733393978</c:v>
                      </c:pt>
                      <c:pt idx="117">
                        <c:v>0.42120398700450856</c:v>
                      </c:pt>
                      <c:pt idx="118">
                        <c:v>0.43448678359029164</c:v>
                      </c:pt>
                      <c:pt idx="119">
                        <c:v>0.44779924275238503</c:v>
                      </c:pt>
                      <c:pt idx="120">
                        <c:v>0.46112520368775134</c:v>
                      </c:pt>
                      <c:pt idx="121">
                        <c:v>0.47444844371249489</c:v>
                      </c:pt>
                      <c:pt idx="122">
                        <c:v>0.48775275743095392</c:v>
                      </c:pt>
                      <c:pt idx="123">
                        <c:v>0.50102203567325976</c:v>
                      </c:pt>
                      <c:pt idx="124">
                        <c:v>0.51424034338383329</c:v>
                      </c:pt>
                      <c:pt idx="125">
                        <c:v>0.52739199566309336</c:v>
                      </c:pt>
                      <c:pt idx="126">
                        <c:v>0.54046163119840507</c:v>
                      </c:pt>
                      <c:pt idx="127">
                        <c:v>0.55343428236705694</c:v>
                      </c:pt>
                      <c:pt idx="128">
                        <c:v>0.5662954413525384</c:v>
                      </c:pt>
                      <c:pt idx="129">
                        <c:v>0.5790311216840387</c:v>
                      </c:pt>
                      <c:pt idx="130">
                        <c:v>0.59162791468612441</c:v>
                      </c:pt>
                      <c:pt idx="131">
                        <c:v>0.604073040409012</c:v>
                      </c:pt>
                      <c:pt idx="132">
                        <c:v>0.6163543926977314</c:v>
                      </c:pt>
                      <c:pt idx="133">
                        <c:v>0.62846057814867495</c:v>
                      </c:pt>
                      <c:pt idx="134">
                        <c:v>0.64038094879257157</c:v>
                      </c:pt>
                      <c:pt idx="135">
                        <c:v>0.65210562843186182</c:v>
                      </c:pt>
                      <c:pt idx="136">
                        <c:v>0.66362553264603852</c:v>
                      </c:pt>
                      <c:pt idx="137">
                        <c:v>0.67493238255918053</c:v>
                      </c:pt>
                      <c:pt idx="138">
                        <c:v>0.68601871253831859</c:v>
                      </c:pt>
                      <c:pt idx="139">
                        <c:v>0.69687787205831719</c:v>
                      </c:pt>
                      <c:pt idx="140">
                        <c:v>0.70750402202785878</c:v>
                      </c:pt>
                      <c:pt idx="141">
                        <c:v>0.71789212592126528</c:v>
                      </c:pt>
                      <c:pt idx="142">
                        <c:v>0.72803793610201251</c:v>
                      </c:pt>
                      <c:pt idx="143">
                        <c:v>0.73793797575582543</c:v>
                      </c:pt>
                      <c:pt idx="144">
                        <c:v>0.74758951687432518</c:v>
                      </c:pt>
                      <c:pt idx="145">
                        <c:v>0.75699055474468946</c:v>
                      </c:pt>
                      <c:pt idx="146">
                        <c:v>0.76613977940720934</c:v>
                      </c:pt>
                      <c:pt idx="147">
                        <c:v>0.77503654454160187</c:v>
                      </c:pt>
                      <c:pt idx="148">
                        <c:v>0.78368083423522206</c:v>
                      </c:pt>
                      <c:pt idx="149">
                        <c:v>0.79207322807272029</c:v>
                      </c:pt>
                      <c:pt idx="150">
                        <c:v>0.80021486496805261</c:v>
                      </c:pt>
                      <c:pt idx="151">
                        <c:v>0.80810740613694287</c:v>
                      </c:pt>
                      <c:pt idx="152">
                        <c:v>0.8157529975817569</c:v>
                      </c:pt>
                      <c:pt idx="153">
                        <c:v>0.82315423243210284</c:v>
                      </c:pt>
                      <c:pt idx="154">
                        <c:v>0.83031411345408712</c:v>
                      </c:pt>
                      <c:pt idx="155">
                        <c:v>0.83723601600974251</c:v>
                      </c:pt>
                      <c:pt idx="156">
                        <c:v>0.84392365171634531</c:v>
                      </c:pt>
                      <c:pt idx="157">
                        <c:v>0.8503810330237167</c:v>
                      </c:pt>
                      <c:pt idx="158">
                        <c:v>0.8566124388966514</c:v>
                      </c:pt>
                      <c:pt idx="159">
                        <c:v>0.86262238175973105</c:v>
                      </c:pt>
                      <c:pt idx="160">
                        <c:v>0.86841557583333617</c:v>
                      </c:pt>
                      <c:pt idx="161">
                        <c:v>0.87399690696285659</c:v>
                      </c:pt>
                      <c:pt idx="162">
                        <c:v>0.87937140401820113</c:v>
                      </c:pt>
                      <c:pt idx="163">
                        <c:v>0.88454421191778176</c:v>
                      </c:pt>
                      <c:pt idx="164">
                        <c:v>0.88952056631031307</c:v>
                      </c:pt>
                      <c:pt idx="165">
                        <c:v>0.89430576992904309</c:v>
                      </c:pt>
                      <c:pt idx="166">
                        <c:v>0.89890517061641484</c:v>
                      </c:pt>
                      <c:pt idx="167">
                        <c:v>0.90332414100257008</c:v>
                      </c:pt>
                      <c:pt idx="168">
                        <c:v>0.90756805980853983</c:v>
                      </c:pt>
                      <c:pt idx="169">
                        <c:v>0.91164229473423186</c:v>
                      </c:pt>
                      <c:pt idx="170">
                        <c:v>0.9155521868824088</c:v>
                      </c:pt>
                      <c:pt idx="171">
                        <c:v>0.91930303666254531</c:v>
                      </c:pt>
                      <c:pt idx="172">
                        <c:v>0.92290009111267257</c:v>
                      </c:pt>
                      <c:pt idx="173">
                        <c:v>0.92634853257292171</c:v>
                      </c:pt>
                      <c:pt idx="174">
                        <c:v>0.92965346864130027</c:v>
                      </c:pt>
                      <c:pt idx="175">
                        <c:v>0.93281992334018593</c:v>
                      </c:pt>
                      <c:pt idx="176">
                        <c:v>0.93585282942092607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F9FF-4FA3-A0D4-B42B2AAF0996}"/>
                  </c:ext>
                </c:extLst>
              </c15:ser>
            </c15:filteredScatterSeries>
          </c:ext>
        </c:extLst>
      </c:scatterChart>
      <c:valAx>
        <c:axId val="9761756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Days from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76174672"/>
        <c:crosses val="autoZero"/>
        <c:crossBetween val="midCat"/>
      </c:valAx>
      <c:valAx>
        <c:axId val="97617467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Cumulative removals (normalized)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761756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userShapes r:id="rId3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600" b="1" i="0" u="none" strike="noStrike" kern="1200" baseline="0">
                <a:solidFill>
                  <a:srgbClr val="44546A"/>
                </a:solidFill>
                <a:latin typeface="+mn-lt"/>
                <a:ea typeface="+mn-ea"/>
                <a:cs typeface="+mn-cs"/>
              </a:defRPr>
            </a:pPr>
            <a:r>
              <a:rPr lang="it-IT" sz="1800" b="1" i="0" baseline="0">
                <a:effectLst/>
              </a:rPr>
              <a:t>COVID-19 Italy Removals (recoveries or deaths)</a:t>
            </a:r>
            <a:endParaRPr lang="it-IT">
              <a:effectLst/>
            </a:endParaRP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>
                <a:solidFill>
                  <a:srgbClr val="44546A"/>
                </a:solidFill>
              </a:defRPr>
            </a:pPr>
            <a:r>
              <a:rPr lang="it-IT" sz="1800" b="1" i="0" baseline="0">
                <a:effectLst/>
              </a:rPr>
              <a:t>Cumulative Removals - basic SIR</a:t>
            </a:r>
            <a:endParaRPr lang="it-IT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600" b="1" i="0" u="none" strike="noStrike" kern="1200" baseline="0">
              <a:solidFill>
                <a:srgbClr val="44546A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0546164268848419"/>
          <c:y val="0.1523757215453829"/>
          <c:w val="0.67992425879723528"/>
          <c:h val="0.79451795610791842"/>
        </c:manualLayout>
      </c:layout>
      <c:scatterChart>
        <c:scatterStyle val="smoothMarker"/>
        <c:varyColors val="0"/>
        <c:ser>
          <c:idx val="5"/>
          <c:order val="6"/>
          <c:tx>
            <c:strRef>
              <c:f>Cumul_removed_bSIR!$P$7</c:f>
              <c:strCache>
                <c:ptCount val="1"/>
                <c:pt idx="0">
                  <c:v>region fit</c:v>
                </c:pt>
              </c:strCache>
            </c:strRef>
          </c:tx>
          <c:spPr>
            <a:ln w="952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Cumul_removed_bSIR!$C$62:$C$184</c:f>
              <c:numCache>
                <c:formatCode>General</c:formatCode>
                <c:ptCount val="123"/>
                <c:pt idx="0">
                  <c:v>55</c:v>
                </c:pt>
                <c:pt idx="1">
                  <c:v>56</c:v>
                </c:pt>
                <c:pt idx="2">
                  <c:v>57</c:v>
                </c:pt>
                <c:pt idx="3">
                  <c:v>58</c:v>
                </c:pt>
                <c:pt idx="4">
                  <c:v>59</c:v>
                </c:pt>
                <c:pt idx="5">
                  <c:v>60</c:v>
                </c:pt>
                <c:pt idx="6">
                  <c:v>61</c:v>
                </c:pt>
                <c:pt idx="7">
                  <c:v>62</c:v>
                </c:pt>
                <c:pt idx="8">
                  <c:v>63</c:v>
                </c:pt>
                <c:pt idx="9">
                  <c:v>64</c:v>
                </c:pt>
                <c:pt idx="10">
                  <c:v>65</c:v>
                </c:pt>
                <c:pt idx="11">
                  <c:v>66</c:v>
                </c:pt>
                <c:pt idx="12">
                  <c:v>67</c:v>
                </c:pt>
                <c:pt idx="13">
                  <c:v>68</c:v>
                </c:pt>
                <c:pt idx="14">
                  <c:v>69</c:v>
                </c:pt>
                <c:pt idx="15">
                  <c:v>70</c:v>
                </c:pt>
                <c:pt idx="16">
                  <c:v>71</c:v>
                </c:pt>
                <c:pt idx="17">
                  <c:v>72</c:v>
                </c:pt>
                <c:pt idx="18">
                  <c:v>73</c:v>
                </c:pt>
                <c:pt idx="19">
                  <c:v>74</c:v>
                </c:pt>
                <c:pt idx="20">
                  <c:v>75</c:v>
                </c:pt>
                <c:pt idx="21">
                  <c:v>76</c:v>
                </c:pt>
                <c:pt idx="22">
                  <c:v>77</c:v>
                </c:pt>
                <c:pt idx="23">
                  <c:v>78</c:v>
                </c:pt>
                <c:pt idx="24">
                  <c:v>79</c:v>
                </c:pt>
                <c:pt idx="25">
                  <c:v>80</c:v>
                </c:pt>
                <c:pt idx="26">
                  <c:v>81</c:v>
                </c:pt>
                <c:pt idx="27">
                  <c:v>82</c:v>
                </c:pt>
                <c:pt idx="28">
                  <c:v>83</c:v>
                </c:pt>
                <c:pt idx="29">
                  <c:v>84</c:v>
                </c:pt>
                <c:pt idx="30">
                  <c:v>85</c:v>
                </c:pt>
                <c:pt idx="31">
                  <c:v>86</c:v>
                </c:pt>
                <c:pt idx="32">
                  <c:v>87</c:v>
                </c:pt>
                <c:pt idx="33">
                  <c:v>88</c:v>
                </c:pt>
                <c:pt idx="34">
                  <c:v>89</c:v>
                </c:pt>
                <c:pt idx="35">
                  <c:v>90</c:v>
                </c:pt>
                <c:pt idx="36">
                  <c:v>91</c:v>
                </c:pt>
                <c:pt idx="37">
                  <c:v>92</c:v>
                </c:pt>
                <c:pt idx="38">
                  <c:v>93</c:v>
                </c:pt>
                <c:pt idx="39">
                  <c:v>94</c:v>
                </c:pt>
                <c:pt idx="40">
                  <c:v>95</c:v>
                </c:pt>
                <c:pt idx="41">
                  <c:v>96</c:v>
                </c:pt>
                <c:pt idx="42">
                  <c:v>97</c:v>
                </c:pt>
                <c:pt idx="43">
                  <c:v>98</c:v>
                </c:pt>
                <c:pt idx="44">
                  <c:v>99</c:v>
                </c:pt>
                <c:pt idx="45">
                  <c:v>100</c:v>
                </c:pt>
                <c:pt idx="46">
                  <c:v>101</c:v>
                </c:pt>
                <c:pt idx="47">
                  <c:v>102</c:v>
                </c:pt>
                <c:pt idx="48">
                  <c:v>103</c:v>
                </c:pt>
                <c:pt idx="49">
                  <c:v>104</c:v>
                </c:pt>
                <c:pt idx="50">
                  <c:v>105</c:v>
                </c:pt>
                <c:pt idx="51">
                  <c:v>106</c:v>
                </c:pt>
                <c:pt idx="52">
                  <c:v>107</c:v>
                </c:pt>
                <c:pt idx="53">
                  <c:v>108</c:v>
                </c:pt>
                <c:pt idx="54">
                  <c:v>109</c:v>
                </c:pt>
                <c:pt idx="55">
                  <c:v>110</c:v>
                </c:pt>
                <c:pt idx="56">
                  <c:v>111</c:v>
                </c:pt>
                <c:pt idx="57">
                  <c:v>112</c:v>
                </c:pt>
                <c:pt idx="58">
                  <c:v>113</c:v>
                </c:pt>
                <c:pt idx="59">
                  <c:v>114</c:v>
                </c:pt>
                <c:pt idx="60">
                  <c:v>115</c:v>
                </c:pt>
                <c:pt idx="61">
                  <c:v>116</c:v>
                </c:pt>
                <c:pt idx="62">
                  <c:v>117</c:v>
                </c:pt>
                <c:pt idx="63">
                  <c:v>118</c:v>
                </c:pt>
                <c:pt idx="64">
                  <c:v>119</c:v>
                </c:pt>
                <c:pt idx="65">
                  <c:v>120</c:v>
                </c:pt>
                <c:pt idx="66">
                  <c:v>121</c:v>
                </c:pt>
                <c:pt idx="67">
                  <c:v>122</c:v>
                </c:pt>
                <c:pt idx="68">
                  <c:v>123</c:v>
                </c:pt>
                <c:pt idx="69">
                  <c:v>124</c:v>
                </c:pt>
                <c:pt idx="70">
                  <c:v>125</c:v>
                </c:pt>
                <c:pt idx="71">
                  <c:v>126</c:v>
                </c:pt>
                <c:pt idx="72">
                  <c:v>127</c:v>
                </c:pt>
                <c:pt idx="73">
                  <c:v>128</c:v>
                </c:pt>
                <c:pt idx="74">
                  <c:v>129</c:v>
                </c:pt>
                <c:pt idx="75">
                  <c:v>130</c:v>
                </c:pt>
                <c:pt idx="76">
                  <c:v>131</c:v>
                </c:pt>
                <c:pt idx="77">
                  <c:v>132</c:v>
                </c:pt>
                <c:pt idx="78">
                  <c:v>133</c:v>
                </c:pt>
                <c:pt idx="79">
                  <c:v>134</c:v>
                </c:pt>
                <c:pt idx="80">
                  <c:v>135</c:v>
                </c:pt>
                <c:pt idx="81">
                  <c:v>136</c:v>
                </c:pt>
                <c:pt idx="82">
                  <c:v>137</c:v>
                </c:pt>
                <c:pt idx="83">
                  <c:v>138</c:v>
                </c:pt>
                <c:pt idx="84">
                  <c:v>139</c:v>
                </c:pt>
                <c:pt idx="85">
                  <c:v>140</c:v>
                </c:pt>
                <c:pt idx="86">
                  <c:v>141</c:v>
                </c:pt>
                <c:pt idx="87">
                  <c:v>142</c:v>
                </c:pt>
                <c:pt idx="88">
                  <c:v>143</c:v>
                </c:pt>
                <c:pt idx="89">
                  <c:v>144</c:v>
                </c:pt>
                <c:pt idx="90">
                  <c:v>145</c:v>
                </c:pt>
                <c:pt idx="91">
                  <c:v>146</c:v>
                </c:pt>
                <c:pt idx="92">
                  <c:v>147</c:v>
                </c:pt>
                <c:pt idx="93">
                  <c:v>148</c:v>
                </c:pt>
                <c:pt idx="94">
                  <c:v>149</c:v>
                </c:pt>
                <c:pt idx="95">
                  <c:v>150</c:v>
                </c:pt>
                <c:pt idx="96">
                  <c:v>151</c:v>
                </c:pt>
                <c:pt idx="97">
                  <c:v>152</c:v>
                </c:pt>
                <c:pt idx="98">
                  <c:v>153</c:v>
                </c:pt>
                <c:pt idx="99">
                  <c:v>154</c:v>
                </c:pt>
                <c:pt idx="100">
                  <c:v>155</c:v>
                </c:pt>
                <c:pt idx="101">
                  <c:v>156</c:v>
                </c:pt>
                <c:pt idx="102">
                  <c:v>157</c:v>
                </c:pt>
                <c:pt idx="103">
                  <c:v>158</c:v>
                </c:pt>
                <c:pt idx="104">
                  <c:v>159</c:v>
                </c:pt>
                <c:pt idx="105">
                  <c:v>160</c:v>
                </c:pt>
                <c:pt idx="106">
                  <c:v>161</c:v>
                </c:pt>
                <c:pt idx="107">
                  <c:v>162</c:v>
                </c:pt>
                <c:pt idx="108">
                  <c:v>163</c:v>
                </c:pt>
                <c:pt idx="109">
                  <c:v>164</c:v>
                </c:pt>
                <c:pt idx="110">
                  <c:v>165</c:v>
                </c:pt>
                <c:pt idx="111">
                  <c:v>166</c:v>
                </c:pt>
                <c:pt idx="112">
                  <c:v>167</c:v>
                </c:pt>
                <c:pt idx="113">
                  <c:v>168</c:v>
                </c:pt>
                <c:pt idx="114">
                  <c:v>169</c:v>
                </c:pt>
                <c:pt idx="115">
                  <c:v>170</c:v>
                </c:pt>
                <c:pt idx="116">
                  <c:v>171</c:v>
                </c:pt>
                <c:pt idx="117">
                  <c:v>172</c:v>
                </c:pt>
                <c:pt idx="118">
                  <c:v>173</c:v>
                </c:pt>
                <c:pt idx="119">
                  <c:v>174</c:v>
                </c:pt>
                <c:pt idx="120">
                  <c:v>175</c:v>
                </c:pt>
                <c:pt idx="121">
                  <c:v>176</c:v>
                </c:pt>
                <c:pt idx="122">
                  <c:v>177</c:v>
                </c:pt>
              </c:numCache>
            </c:numRef>
          </c:xVal>
          <c:yVal>
            <c:numRef>
              <c:f>Cumul_removed_bSIR!$P$62:$P$184</c:f>
              <c:numCache>
                <c:formatCode>General</c:formatCode>
                <c:ptCount val="1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32.100824509866122</c:v>
                </c:pt>
                <c:pt idx="22">
                  <c:v>76.133024300898043</c:v>
                </c:pt>
                <c:pt idx="23">
                  <c:v>122.25050093716941</c:v>
                </c:pt>
                <c:pt idx="24">
                  <c:v>170.52629118323117</c:v>
                </c:pt>
                <c:pt idx="25">
                  <c:v>221.03323925488343</c:v>
                </c:pt>
                <c:pt idx="26">
                  <c:v>273.84365113606447</c:v>
                </c:pt>
                <c:pt idx="27">
                  <c:v>329.02891540797884</c:v>
                </c:pt>
                <c:pt idx="28">
                  <c:v>386.65909009117553</c:v>
                </c:pt>
                <c:pt idx="29">
                  <c:v>446.80245537716399</c:v>
                </c:pt>
                <c:pt idx="30">
                  <c:v>509.5250325647749</c:v>
                </c:pt>
                <c:pt idx="31">
                  <c:v>574.89007001946868</c:v>
                </c:pt>
                <c:pt idx="32">
                  <c:v>642.95749754149949</c:v>
                </c:pt>
                <c:pt idx="33">
                  <c:v>713.7833511598343</c:v>
                </c:pt>
                <c:pt idx="34">
                  <c:v>787.41917105948437</c:v>
                </c:pt>
                <c:pt idx="35">
                  <c:v>863.9113760946401</c:v>
                </c:pt>
                <c:pt idx="36">
                  <c:v>943.30061913025622</c:v>
                </c:pt>
                <c:pt idx="37">
                  <c:v>1025.6211282791292</c:v>
                </c:pt>
                <c:pt idx="38">
                  <c:v>1110.9000399457316</c:v>
                </c:pt>
                <c:pt idx="39">
                  <c:v>1199.1567304344867</c:v>
                </c:pt>
                <c:pt idx="40">
                  <c:v>1290.4021537082767</c:v>
                </c:pt>
                <c:pt idx="41">
                  <c:v>1384.6381936691487</c:v>
                </c:pt>
                <c:pt idx="42">
                  <c:v>1481.8570400513306</c:v>
                </c:pt>
                <c:pt idx="43">
                  <c:v>1582.0405976386276</c:v>
                </c:pt>
                <c:pt idx="44">
                  <c:v>1685.1599390144866</c:v>
                </c:pt>
                <c:pt idx="45">
                  <c:v>1791.1748113935785</c:v>
                </c:pt>
                <c:pt idx="46">
                  <c:v>1900.0332082393834</c:v>
                </c:pt>
                <c:pt idx="47">
                  <c:v>2011.6710163155669</c:v>
                </c:pt>
                <c:pt idx="48">
                  <c:v>2126.0117485259707</c:v>
                </c:pt>
                <c:pt idx="49">
                  <c:v>2242.9663723493127</c:v>
                </c:pt>
                <c:pt idx="50">
                  <c:v>2362.4332428573034</c:v>
                </c:pt>
                <c:pt idx="51">
                  <c:v>2484.2981482130458</c:v>
                </c:pt>
                <c:pt idx="52">
                  <c:v>2608.4344741836117</c:v>
                </c:pt>
                <c:pt idx="53">
                  <c:v>2734.70349257925</c:v>
                </c:pt>
                <c:pt idx="54">
                  <c:v>2862.954776674921</c:v>
                </c:pt>
                <c:pt idx="55">
                  <c:v>2993.0267446110092</c:v>
                </c:pt>
                <c:pt idx="56">
                  <c:v>3124.7473295525961</c:v>
                </c:pt>
                <c:pt idx="57">
                  <c:v>3257.9347730628738</c:v>
                </c:pt>
                <c:pt idx="58">
                  <c:v>3392.3985357762895</c:v>
                </c:pt>
                <c:pt idx="59">
                  <c:v>3527.9403171064591</c:v>
                </c:pt>
                <c:pt idx="60">
                  <c:v>3664.3551734618636</c:v>
                </c:pt>
                <c:pt idx="61">
                  <c:v>3801.4327223383148</c:v>
                </c:pt>
                <c:pt idx="62">
                  <c:v>3938.9584177784354</c:v>
                </c:pt>
                <c:pt idx="63">
                  <c:v>4076.7148810967178</c:v>
                </c:pt>
                <c:pt idx="64">
                  <c:v>4214.483269517802</c:v>
                </c:pt>
                <c:pt idx="65">
                  <c:v>4352.0446645084685</c:v>
                </c:pt>
                <c:pt idx="66">
                  <c:v>4489.181461130469</c:v>
                </c:pt>
                <c:pt idx="67">
                  <c:v>4625.6787397178032</c:v>
                </c:pt>
                <c:pt idx="68">
                  <c:v>4761.3256015890902</c:v>
                </c:pt>
                <c:pt idx="69">
                  <c:v>4895.9164513290225</c:v>
                </c:pt>
                <c:pt idx="70">
                  <c:v>5029.2522093839034</c:v>
                </c:pt>
                <c:pt idx="71">
                  <c:v>5161.1414402733317</c:v>
                </c:pt>
                <c:pt idx="72">
                  <c:v>5291.4013835703663</c:v>
                </c:pt>
                <c:pt idx="73">
                  <c:v>5419.858876885336</c:v>
                </c:pt>
                <c:pt idx="74">
                  <c:v>5546.3511623365266</c:v>
                </c:pt>
                <c:pt idx="75">
                  <c:v>5670.726570335326</c:v>
                </c:pt>
                <c:pt idx="76">
                  <c:v>5792.8450768845623</c:v>
                </c:pt>
                <c:pt idx="77">
                  <c:v>5912.5787329205805</c:v>
                </c:pt>
                <c:pt idx="78">
                  <c:v>6029.8119664614005</c:v>
                </c:pt>
                <c:pt idx="79">
                  <c:v>6144.4417604016344</c:v>
                </c:pt>
                <c:pt idx="80">
                  <c:v>6256.3777106754269</c:v>
                </c:pt>
                <c:pt idx="81">
                  <c:v>6365.5419711570212</c:v>
                </c:pt>
                <c:pt idx="82">
                  <c:v>6471.8690930604926</c:v>
                </c:pt>
                <c:pt idx="83">
                  <c:v>6575.3057677217812</c:v>
                </c:pt>
                <c:pt idx="84">
                  <c:v>6675.8104824934389</c:v>
                </c:pt>
                <c:pt idx="85">
                  <c:v>6773.3531000597977</c:v>
                </c:pt>
                <c:pt idx="86">
                  <c:v>6867.9143718003515</c:v>
                </c:pt>
                <c:pt idx="87">
                  <c:v>6959.4853959104294</c:v>
                </c:pt>
                <c:pt idx="88">
                  <c:v>7048.0670308544068</c:v>
                </c:pt>
                <c:pt idx="89">
                  <c:v>7133.6692744049269</c:v>
                </c:pt>
                <c:pt idx="90">
                  <c:v>7216.3106180408222</c:v>
                </c:pt>
                <c:pt idx="91">
                  <c:v>7296.0173858667531</c:v>
                </c:pt>
                <c:pt idx="92">
                  <c:v>7372.8230665084684</c:v>
                </c:pt>
                <c:pt idx="93">
                  <c:v>7446.7676456575609</c:v>
                </c:pt>
                <c:pt idx="94">
                  <c:v>7517.8969461147954</c:v>
                </c:pt>
                <c:pt idx="95">
                  <c:v>7586.2619813356705</c:v>
                </c:pt>
                <c:pt idx="96">
                  <c:v>7651.9183276364647</c:v>
                </c:pt>
                <c:pt idx="97">
                  <c:v>7714.9255193917006</c:v>
                </c:pt>
                <c:pt idx="98">
                  <c:v>7775.3464707594485</c:v>
                </c:pt>
                <c:pt idx="99">
                  <c:v>7833.2469267206725</c:v>
                </c:pt>
                <c:pt idx="100">
                  <c:v>7888.694945521891</c:v>
                </c:pt>
                <c:pt idx="101">
                  <c:v>7941.7604139727264</c:v>
                </c:pt>
                <c:pt idx="102">
                  <c:v>7992.5145964752137</c:v>
                </c:pt>
                <c:pt idx="103">
                  <c:v>8041.0297181516726</c:v>
                </c:pt>
                <c:pt idx="104">
                  <c:v>8087.3785819923987</c:v>
                </c:pt>
                <c:pt idx="105">
                  <c:v>8131.6342195618317</c:v>
                </c:pt>
                <c:pt idx="106">
                  <c:v>8173.8695744795514</c:v>
                </c:pt>
                <c:pt idx="107">
                  <c:v>8214.157217626791</c:v>
                </c:pt>
                <c:pt idx="108">
                  <c:v>8252.569092816093</c:v>
                </c:pt>
                <c:pt idx="109">
                  <c:v>8289.1762914965584</c:v>
                </c:pt>
                <c:pt idx="110">
                  <c:v>8324.0488549451693</c:v>
                </c:pt>
                <c:pt idx="111">
                  <c:v>8357.2556023110574</c:v>
                </c:pt>
                <c:pt idx="112">
                  <c:v>8388.8639828294927</c:v>
                </c:pt>
                <c:pt idx="113">
                  <c:v>8418.9399505013425</c:v>
                </c:pt>
                <c:pt idx="114">
                  <c:v>8447.5478595373115</c:v>
                </c:pt>
                <c:pt idx="115">
                  <c:v>8474.7503788905124</c:v>
                </c:pt>
                <c:pt idx="116">
                  <c:v>8500.6084242419001</c:v>
                </c:pt>
                <c:pt idx="117">
                  <c:v>8525.1811058578242</c:v>
                </c:pt>
                <c:pt idx="118">
                  <c:v>8548.5256908039828</c:v>
                </c:pt>
                <c:pt idx="119">
                  <c:v>8570.6975780730554</c:v>
                </c:pt>
                <c:pt idx="120">
                  <c:v>8591.7502852618236</c:v>
                </c:pt>
                <c:pt idx="121">
                  <c:v>8611.735445515611</c:v>
                </c:pt>
                <c:pt idx="122">
                  <c:v>8630.702813541684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209-4F7C-B4D0-66E8A6935D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2081744"/>
        <c:axId val="622082064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Cumul_removed_bSIR!$F$7</c15:sqref>
                        </c15:formulaRef>
                      </c:ext>
                    </c:extLst>
                    <c:strCache>
                      <c:ptCount val="1"/>
                      <c:pt idx="0">
                        <c:v>Italy sum of regions</c:v>
                      </c:pt>
                    </c:strCache>
                  </c:strRef>
                </c:tx>
                <c:spPr>
                  <a:ln w="9525" cap="rnd">
                    <a:solidFill>
                      <a:schemeClr val="tx1"/>
                    </a:solidFill>
                    <a:prstDash val="lgDash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Cumul_removed_bSIR!$C$8:$C$184</c15:sqref>
                        </c15:formulaRef>
                      </c:ext>
                    </c:extLst>
                    <c:numCache>
                      <c:formatCode>General</c:formatCode>
                      <c:ptCount val="17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Cumul_removed_bSIR!$F$8:$F$184</c15:sqref>
                        </c15:formulaRef>
                      </c:ext>
                    </c:extLst>
                    <c:numCache>
                      <c:formatCode>0</c:formatCode>
                      <c:ptCount val="17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242.70089901987399</c:v>
                      </c:pt>
                      <c:pt idx="70">
                        <c:v>1061.5303582923698</c:v>
                      </c:pt>
                      <c:pt idx="71">
                        <c:v>1914.841051772273</c:v>
                      </c:pt>
                      <c:pt idx="72">
                        <c:v>2803.7663210252686</c:v>
                      </c:pt>
                      <c:pt idx="73">
                        <c:v>3729.4469052643476</c:v>
                      </c:pt>
                      <c:pt idx="74">
                        <c:v>4693.0278268014363</c:v>
                      </c:pt>
                      <c:pt idx="75">
                        <c:v>5727.7557840954441</c:v>
                      </c:pt>
                      <c:pt idx="76">
                        <c:v>6814.6042940609495</c:v>
                      </c:pt>
                      <c:pt idx="77">
                        <c:v>7944.8632197976785</c:v>
                      </c:pt>
                      <c:pt idx="78">
                        <c:v>9119.7301135061807</c:v>
                      </c:pt>
                      <c:pt idx="79">
                        <c:v>10340.386097652477</c:v>
                      </c:pt>
                      <c:pt idx="80">
                        <c:v>11607.990376530008</c:v>
                      </c:pt>
                      <c:pt idx="81">
                        <c:v>12923.674363842643</c:v>
                      </c:pt>
                      <c:pt idx="82">
                        <c:v>14288.535430668328</c:v>
                      </c:pt>
                      <c:pt idx="83">
                        <c:v>15703.630282663242</c:v>
                      </c:pt>
                      <c:pt idx="84">
                        <c:v>17169.96798036234</c:v>
                      </c:pt>
                      <c:pt idx="85">
                        <c:v>18688.502621920961</c:v>
                      </c:pt>
                      <c:pt idx="86">
                        <c:v>20260.125713596368</c:v>
                      </c:pt>
                      <c:pt idx="87">
                        <c:v>21885.658259656062</c:v>
                      </c:pt>
                      <c:pt idx="88">
                        <c:v>23565.842610167681</c:v>
                      </c:pt>
                      <c:pt idx="89">
                        <c:v>25301.334112205797</c:v>
                      </c:pt>
                      <c:pt idx="90">
                        <c:v>27092.69261731868</c:v>
                      </c:pt>
                      <c:pt idx="91">
                        <c:v>28940.373905526001</c:v>
                      </c:pt>
                      <c:pt idx="92">
                        <c:v>30844.721093544871</c:v>
                      </c:pt>
                      <c:pt idx="93">
                        <c:v>32805.956102221615</c:v>
                      </c:pt>
                      <c:pt idx="94">
                        <c:v>34824.171265119934</c:v>
                      </c:pt>
                      <c:pt idx="95">
                        <c:v>36899.321166705638</c:v>
                      </c:pt>
                      <c:pt idx="96">
                        <c:v>39031.214804384661</c:v>
                      </c:pt>
                      <c:pt idx="97">
                        <c:v>41219.508173590635</c:v>
                      </c:pt>
                      <c:pt idx="98">
                        <c:v>43463.69737897961</c:v>
                      </c:pt>
                      <c:pt idx="99">
                        <c:v>45763.11237736421</c:v>
                      </c:pt>
                      <c:pt idx="100">
                        <c:v>48116.911459106981</c:v>
                      </c:pt>
                      <c:pt idx="101">
                        <c:v>50524.076574111758</c:v>
                      </c:pt>
                      <c:pt idx="102">
                        <c:v>52983.409606131157</c:v>
                      </c:pt>
                      <c:pt idx="103">
                        <c:v>55493.529694717567</c:v>
                      </c:pt>
                      <c:pt idx="104">
                        <c:v>58052.871697681709</c:v>
                      </c:pt>
                      <c:pt idx="105">
                        <c:v>60659.685878332682</c:v>
                      </c:pt>
                      <c:pt idx="106">
                        <c:v>63312.038891053213</c:v>
                      </c:pt>
                      <c:pt idx="107">
                        <c:v>66007.816125967627</c:v>
                      </c:pt>
                      <c:pt idx="108">
                        <c:v>68744.725458698871</c:v>
                      </c:pt>
                      <c:pt idx="109">
                        <c:v>71520.302434666039</c:v>
                      </c:pt>
                      <c:pt idx="110">
                        <c:v>74331.91689928199</c:v>
                      </c:pt>
                      <c:pt idx="111">
                        <c:v>77176.781066075317</c:v>
                      </c:pt>
                      <c:pt idx="112">
                        <c:v>80051.958994536253</c:v>
                      </c:pt>
                      <c:pt idx="113">
                        <c:v>82954.377428776628</c:v>
                      </c:pt>
                      <c:pt idx="114">
                        <c:v>85880.837927342232</c:v>
                      </c:pt>
                      <c:pt idx="115">
                        <c:v>88828.030194183972</c:v>
                      </c:pt>
                      <c:pt idx="116">
                        <c:v>91792.546501364501</c:v>
                      </c:pt>
                      <c:pt idx="117">
                        <c:v>94770.897076014429</c:v>
                      </c:pt>
                      <c:pt idx="118">
                        <c:v>97759.526307815613</c:v>
                      </c:pt>
                      <c:pt idx="119">
                        <c:v>100754.82961928663</c:v>
                      </c:pt>
                      <c:pt idx="120">
                        <c:v>103753.17082974405</c:v>
                      </c:pt>
                      <c:pt idx="121">
                        <c:v>106750.89983531136</c:v>
                      </c:pt>
                      <c:pt idx="122">
                        <c:v>109744.37042196463</c:v>
                      </c:pt>
                      <c:pt idx="123">
                        <c:v>112729.95802648344</c:v>
                      </c:pt>
                      <c:pt idx="124">
                        <c:v>115704.07726136249</c:v>
                      </c:pt>
                      <c:pt idx="125">
                        <c:v>118663.199024196</c:v>
                      </c:pt>
                      <c:pt idx="126">
                        <c:v>121603.86701964114</c:v>
                      </c:pt>
                      <c:pt idx="127">
                        <c:v>124522.71353258782</c:v>
                      </c:pt>
                      <c:pt idx="128">
                        <c:v>127416.47430432113</c:v>
                      </c:pt>
                      <c:pt idx="129">
                        <c:v>130282.00237890871</c:v>
                      </c:pt>
                      <c:pt idx="130">
                        <c:v>133116.28080437798</c:v>
                      </c:pt>
                      <c:pt idx="131">
                        <c:v>135916.43409202769</c:v>
                      </c:pt>
                      <c:pt idx="132">
                        <c:v>138679.73835698958</c:v>
                      </c:pt>
                      <c:pt idx="133">
                        <c:v>141403.63008345186</c:v>
                      </c:pt>
                      <c:pt idx="134">
                        <c:v>144085.7134783286</c:v>
                      </c:pt>
                      <c:pt idx="135">
                        <c:v>146723.76639716892</c:v>
                      </c:pt>
                      <c:pt idx="136">
                        <c:v>149315.74484535865</c:v>
                      </c:pt>
                      <c:pt idx="137">
                        <c:v>151859.78607581562</c:v>
                      </c:pt>
                      <c:pt idx="138">
                        <c:v>154354.21032112167</c:v>
                      </c:pt>
                      <c:pt idx="139">
                        <c:v>156797.52121312136</c:v>
                      </c:pt>
                      <c:pt idx="140">
                        <c:v>159188.40495626823</c:v>
                      </c:pt>
                      <c:pt idx="141">
                        <c:v>161525.72833228469</c:v>
                      </c:pt>
                      <c:pt idx="142">
                        <c:v>163808.53562295283</c:v>
                      </c:pt>
                      <c:pt idx="143">
                        <c:v>166036.04454506072</c:v>
                      </c:pt>
                      <c:pt idx="144">
                        <c:v>168207.64129672316</c:v>
                      </c:pt>
                      <c:pt idx="145">
                        <c:v>170322.87481755513</c:v>
                      </c:pt>
                      <c:pt idx="146">
                        <c:v>172381.4503666221</c:v>
                      </c:pt>
                      <c:pt idx="147">
                        <c:v>174383.22252186041</c:v>
                      </c:pt>
                      <c:pt idx="148">
                        <c:v>176328.18770292497</c:v>
                      </c:pt>
                      <c:pt idx="149">
                        <c:v>178216.47631636207</c:v>
                      </c:pt>
                      <c:pt idx="150">
                        <c:v>180048.34461781185</c:v>
                      </c:pt>
                      <c:pt idx="151">
                        <c:v>181824.16638081215</c:v>
                      </c:pt>
                      <c:pt idx="152">
                        <c:v>183544.42445589529</c:v>
                      </c:pt>
                      <c:pt idx="153">
                        <c:v>185209.70229722315</c:v>
                      </c:pt>
                      <c:pt idx="154">
                        <c:v>186820.6755271696</c:v>
                      </c:pt>
                      <c:pt idx="155">
                        <c:v>188378.10360219207</c:v>
                      </c:pt>
                      <c:pt idx="156">
                        <c:v>189882.82163617769</c:v>
                      </c:pt>
                      <c:pt idx="157">
                        <c:v>191335.73243033627</c:v>
                      </c:pt>
                      <c:pt idx="158">
                        <c:v>192737.79875174657</c:v>
                      </c:pt>
                      <c:pt idx="159">
                        <c:v>194090.03589593948</c:v>
                      </c:pt>
                      <c:pt idx="160">
                        <c:v>195393.50456250063</c:v>
                      </c:pt>
                      <c:pt idx="161">
                        <c:v>196649.30406664274</c:v>
                      </c:pt>
                      <c:pt idx="162">
                        <c:v>197858.56590409525</c:v>
                      </c:pt>
                      <c:pt idx="163">
                        <c:v>199022.4476815009</c:v>
                      </c:pt>
                      <c:pt idx="164">
                        <c:v>200142.12741982043</c:v>
                      </c:pt>
                      <c:pt idx="165">
                        <c:v>201218.79823403471</c:v>
                      </c:pt>
                      <c:pt idx="166">
                        <c:v>202253.66338869333</c:v>
                      </c:pt>
                      <c:pt idx="167">
                        <c:v>203247.93172557827</c:v>
                      </c:pt>
                      <c:pt idx="168">
                        <c:v>204202.81345692146</c:v>
                      </c:pt>
                      <c:pt idx="169">
                        <c:v>205119.51631520217</c:v>
                      </c:pt>
                      <c:pt idx="170">
                        <c:v>205999.24204854199</c:v>
                      </c:pt>
                      <c:pt idx="171">
                        <c:v>206843.1832490727</c:v>
                      </c:pt>
                      <c:pt idx="172">
                        <c:v>207652.52050035133</c:v>
                      </c:pt>
                      <c:pt idx="173">
                        <c:v>208428.41982890738</c:v>
                      </c:pt>
                      <c:pt idx="174">
                        <c:v>209172.03044429256</c:v>
                      </c:pt>
                      <c:pt idx="175">
                        <c:v>209884.48275154183</c:v>
                      </c:pt>
                      <c:pt idx="176">
                        <c:v>210566.88661970836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1209-4F7C-B4D0-66E8A6935DDB}"/>
                  </c:ext>
                </c:extLst>
              </c15:ser>
            </c15:filteredScatterSeries>
            <c15:filteredScatterSeries>
              <c15:ser>
                <c:idx val="1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Cumul_removed_bSIR!$I$7</c15:sqref>
                        </c15:formulaRef>
                      </c:ext>
                    </c:extLst>
                    <c:strCache>
                      <c:ptCount val="1"/>
                      <c:pt idx="0">
                        <c:v>Italy fit</c:v>
                      </c:pt>
                    </c:strCache>
                  </c:strRef>
                </c:tx>
                <c:spPr>
                  <a:ln w="9525" cap="rnd">
                    <a:solidFill>
                      <a:srgbClr val="0070C0"/>
                    </a:solidFill>
                    <a:prstDash val="dash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Cumul_removed_bSIR!$C$8:$C$184</c15:sqref>
                        </c15:formulaRef>
                      </c:ext>
                    </c:extLst>
                    <c:numCache>
                      <c:formatCode>General</c:formatCode>
                      <c:ptCount val="17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Cumul_removed_bSIR!$I$8:$I$184</c15:sqref>
                        </c15:formulaRef>
                      </c:ext>
                    </c:extLst>
                    <c:numCache>
                      <c:formatCode>General</c:formatCode>
                      <c:ptCount val="17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129.02576862024938</c:v>
                      </c:pt>
                      <c:pt idx="70">
                        <c:v>978.05040302826933</c:v>
                      </c:pt>
                      <c:pt idx="71">
                        <c:v>1863.1845850473394</c:v>
                      </c:pt>
                      <c:pt idx="72">
                        <c:v>2785.6321063424789</c:v>
                      </c:pt>
                      <c:pt idx="73">
                        <c:v>3746.6055186727481</c:v>
                      </c:pt>
                      <c:pt idx="74">
                        <c:v>4747.3228558556657</c:v>
                      </c:pt>
                      <c:pt idx="75">
                        <c:v>5789.0040141284207</c:v>
                      </c:pt>
                      <c:pt idx="76">
                        <c:v>6872.8667783592682</c:v>
                      </c:pt>
                      <c:pt idx="77">
                        <c:v>8000.1224833371307</c:v>
                      </c:pt>
                      <c:pt idx="78">
                        <c:v>9171.971301530506</c:v>
                      </c:pt>
                      <c:pt idx="79">
                        <c:v>10389.597151287138</c:v>
                      </c:pt>
                      <c:pt idx="80">
                        <c:v>11654.162222470273</c:v>
                      </c:pt>
                      <c:pt idx="81">
                        <c:v>12966.801120014454</c:v>
                      </c:pt>
                      <c:pt idx="82">
                        <c:v>14328.614629851865</c:v>
                      </c:pt>
                      <c:pt idx="83">
                        <c:v>15740.663116114691</c:v>
                      </c:pt>
                      <c:pt idx="84">
                        <c:v>17203.95956346106</c:v>
                      </c:pt>
                      <c:pt idx="85">
                        <c:v>18719.462283792105</c:v>
                      </c:pt>
                      <c:pt idx="86">
                        <c:v>20288.067312499181</c:v>
                      </c:pt>
                      <c:pt idx="87">
                        <c:v>21910.600525673406</c:v>
                      </c:pt>
                      <c:pt idx="88">
                        <c:v>23587.809516367521</c:v>
                      </c:pt>
                      <c:pt idx="89">
                        <c:v>25320.355274959162</c:v>
                      </c:pt>
                      <c:pt idx="90">
                        <c:v>27108.803725840477</c:v>
                      </c:pt>
                      <c:pt idx="91">
                        <c:v>28953.617179946959</c:v>
                      </c:pt>
                      <c:pt idx="92">
                        <c:v>30855.145769920447</c:v>
                      </c:pt>
                      <c:pt idx="93">
                        <c:v>32813.618941838598</c:v>
                      </c:pt>
                      <c:pt idx="94">
                        <c:v>34829.137084278154</c:v>
                      </c:pt>
                      <c:pt idx="95">
                        <c:v>36901.663381846025</c:v>
                      </c:pt>
                      <c:pt idx="96">
                        <c:v>39031.015986023151</c:v>
                      </c:pt>
                      <c:pt idx="97">
                        <c:v>41216.860601031651</c:v>
                      </c:pt>
                      <c:pt idx="98">
                        <c:v>43458.703586257718</c:v>
                      </c:pt>
                      <c:pt idx="99">
                        <c:v>45755.885679343373</c:v>
                      </c:pt>
                      <c:pt idx="100">
                        <c:v>48107.576445208608</c:v>
                      </c:pt>
                      <c:pt idx="101">
                        <c:v>50512.769555802355</c:v>
                      </c:pt>
                      <c:pt idx="102">
                        <c:v>52970.279003145995</c:v>
                      </c:pt>
                      <c:pt idx="103">
                        <c:v>55478.736344095603</c:v>
                      </c:pt>
                      <c:pt idx="104">
                        <c:v>58036.589069107889</c:v>
                      </c:pt>
                      <c:pt idx="105">
                        <c:v>60642.100179094807</c:v>
                      </c:pt>
                      <c:pt idx="106">
                        <c:v>63293.349044181807</c:v>
                      </c:pt>
                      <c:pt idx="107">
                        <c:v>65988.233605889051</c:v>
                      </c:pt>
                      <c:pt idx="108">
                        <c:v>68724.47397003349</c:v>
                      </c:pt>
                      <c:pt idx="109">
                        <c:v>71499.617421664065</c:v>
                      </c:pt>
                      <c:pt idx="110">
                        <c:v>74311.044875810316</c:v>
                      </c:pt>
                      <c:pt idx="111">
                        <c:v>77155.978759027974</c:v>
                      </c:pt>
                      <c:pt idx="112">
                        <c:v>80031.492296992452</c:v>
                      </c:pt>
                      <c:pt idx="113">
                        <c:v>82934.520163104055</c:v>
                      </c:pt>
                      <c:pt idx="114">
                        <c:v>85861.870422645647</c:v>
                      </c:pt>
                      <c:pt idx="115">
                        <c:v>88810.237686916284</c:v>
                      </c:pt>
                      <c:pt idx="116">
                        <c:v>91776.217372416228</c:v>
                      </c:pt>
                      <c:pt idx="117">
                        <c:v>94756.320942036313</c:v>
                      </c:pt>
                      <c:pt idx="118">
                        <c:v>97746.991988753813</c:v>
                      </c:pt>
                      <c:pt idx="119">
                        <c:v>100744.62300797222</c:v>
                      </c:pt>
                      <c:pt idx="120">
                        <c:v>103745.57269273401</c:v>
                      </c:pt>
                      <c:pt idx="121">
                        <c:v>106746.18357689501</c:v>
                      </c:pt>
                      <c:pt idx="122">
                        <c:v>109742.79984522074</c:v>
                      </c:pt>
                      <c:pt idx="123">
                        <c:v>112731.78512641216</c:v>
                      </c:pt>
                      <c:pt idx="124">
                        <c:v>115709.54008536975</c:v>
                      </c:pt>
                      <c:pt idx="125">
                        <c:v>118672.51963455633</c:v>
                      </c:pt>
                      <c:pt idx="126">
                        <c:v>121617.24959101743</c:v>
                      </c:pt>
                      <c:pt idx="127">
                        <c:v>124540.34261529395</c:v>
                      </c:pt>
                      <c:pt idx="128">
                        <c:v>127438.51328084791</c:v>
                      </c:pt>
                      <c:pt idx="129">
                        <c:v>130308.59213740559</c:v>
                      </c:pt>
                      <c:pt idx="130">
                        <c:v>133147.5386484114</c:v>
                      </c:pt>
                      <c:pt idx="131">
                        <c:v>135952.45290117257</c:v>
                      </c:pt>
                      <c:pt idx="132">
                        <c:v>138720.58600779896</c:v>
                      </c:pt>
                      <c:pt idx="133">
                        <c:v>141449.34913524927</c:v>
                      </c:pt>
                      <c:pt idx="134">
                        <c:v>144136.32112322818</c:v>
                      </c:pt>
                      <c:pt idx="135">
                        <c:v>146779.25466889204</c:v>
                      </c:pt>
                      <c:pt idx="136">
                        <c:v>149376.08107690827</c:v>
                      </c:pt>
                      <c:pt idx="137">
                        <c:v>151924.91359199889</c:v>
                      </c:pt>
                      <c:pt idx="138">
                        <c:v>154424.04934836543</c:v>
                      </c:pt>
                      <c:pt idx="139">
                        <c:v>156871.96998606343</c:v>
                      </c:pt>
                      <c:pt idx="140">
                        <c:v>159267.3409982727</c:v>
                      </c:pt>
                      <c:pt idx="141">
                        <c:v>161609.00988533389</c:v>
                      </c:pt>
                      <c:pt idx="142">
                        <c:v>163896.00320131209</c:v>
                      </c:pt>
                      <c:pt idx="143">
                        <c:v>166127.52258666258</c:v>
                      </c:pt>
                      <c:pt idx="144">
                        <c:v>168302.93988634052</c:v>
                      </c:pt>
                      <c:pt idx="145">
                        <c:v>170421.79145647187</c:v>
                      </c:pt>
                      <c:pt idx="146">
                        <c:v>172483.7717645987</c:v>
                      </c:pt>
                      <c:pt idx="147">
                        <c:v>174488.72638866471</c:v>
                      </c:pt>
                      <c:pt idx="148">
                        <c:v>176436.64451847816</c:v>
                      </c:pt>
                      <c:pt idx="149">
                        <c:v>178327.65106056517</c:v>
                      </c:pt>
                      <c:pt idx="150">
                        <c:v>180161.99844329598</c:v>
                      </c:pt>
                      <c:pt idx="151">
                        <c:v>181940.05821412909</c:v>
                      </c:pt>
                      <c:pt idx="152">
                        <c:v>183662.31251497279</c:v>
                      </c:pt>
                      <c:pt idx="153">
                        <c:v>185329.34551519627</c:v>
                      </c:pt>
                      <c:pt idx="154">
                        <c:v>186941.83487491793</c:v>
                      </c:pt>
                      <c:pt idx="155">
                        <c:v>188500.54330402554</c:v>
                      </c:pt>
                      <c:pt idx="156">
                        <c:v>190006.31027508716</c:v>
                      </c:pt>
                      <c:pt idx="157">
                        <c:v>191460.04394103767</c:v>
                      </c:pt>
                      <c:pt idx="158">
                        <c:v>192862.71330138325</c:v>
                      </c:pt>
                      <c:pt idx="159">
                        <c:v>194215.34065375486</c:v>
                      </c:pt>
                      <c:pt idx="160">
                        <c:v>195518.99436104883</c:v>
                      </c:pt>
                      <c:pt idx="161">
                        <c:v>196774.78195817431</c:v>
                      </c:pt>
                      <c:pt idx="162">
                        <c:v>197983.84361663528</c:v>
                      </c:pt>
                      <c:pt idx="163">
                        <c:v>199147.34597984416</c:v>
                      </c:pt>
                      <c:pt idx="164">
                        <c:v>200266.47637721029</c:v>
                      </c:pt>
                      <c:pt idx="165">
                        <c:v>201342.43742068313</c:v>
                      </c:pt>
                      <c:pt idx="166">
                        <c:v>202376.44198355189</c:v>
                      </c:pt>
                      <c:pt idx="167">
                        <c:v>203369.70855790231</c:v>
                      </c:pt>
                      <c:pt idx="168">
                        <c:v>204323.4569841928</c:v>
                      </c:pt>
                      <c:pt idx="169">
                        <c:v>205238.90454390828</c:v>
                      </c:pt>
                      <c:pt idx="170">
                        <c:v>206117.26240416378</c:v>
                      </c:pt>
                      <c:pt idx="171">
                        <c:v>206959.73240142319</c:v>
                      </c:pt>
                      <c:pt idx="172">
                        <c:v>207767.50415014703</c:v>
                      </c:pt>
                      <c:pt idx="173">
                        <c:v>208541.7524611523</c:v>
                      </c:pt>
                      <c:pt idx="174">
                        <c:v>209283.63505372521</c:v>
                      </c:pt>
                      <c:pt idx="175">
                        <c:v>209994.29054504537</c:v>
                      </c:pt>
                      <c:pt idx="176">
                        <c:v>210674.83670022123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1209-4F7C-B4D0-66E8A6935DDB}"/>
                  </c:ext>
                </c:extLst>
              </c15:ser>
            </c15:filteredScatterSeries>
            <c15:filteredScatterSeries>
              <c15:ser>
                <c:idx val="6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Cumul_removed_bSIR!$S$7</c15:sqref>
                        </c15:formulaRef>
                      </c:ext>
                    </c:extLst>
                    <c:strCache>
                      <c:ptCount val="1"/>
                      <c:pt idx="0">
                        <c:v>r. Upper CI</c:v>
                      </c:pt>
                    </c:strCache>
                  </c:strRef>
                </c:tx>
                <c:spPr>
                  <a:ln w="952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Cumul_removed_bSIR!$C$8:$C$184</c15:sqref>
                        </c15:formulaRef>
                      </c:ext>
                    </c:extLst>
                    <c:numCache>
                      <c:formatCode>General</c:formatCode>
                      <c:ptCount val="17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Cumul_removed_bSIR!$S$8:$S$184</c15:sqref>
                        </c15:formulaRef>
                      </c:ext>
                    </c:extLst>
                    <c:numCache>
                      <c:formatCode>0</c:formatCode>
                      <c:ptCount val="177"/>
                      <c:pt idx="0">
                        <c:v>86.019277464869106</c:v>
                      </c:pt>
                      <c:pt idx="1">
                        <c:v>86.019277464869106</c:v>
                      </c:pt>
                      <c:pt idx="2">
                        <c:v>86.019277464869106</c:v>
                      </c:pt>
                      <c:pt idx="3">
                        <c:v>86.019277464869106</c:v>
                      </c:pt>
                      <c:pt idx="4">
                        <c:v>86.019277464869106</c:v>
                      </c:pt>
                      <c:pt idx="5">
                        <c:v>86.019277464869106</c:v>
                      </c:pt>
                      <c:pt idx="6">
                        <c:v>86.019277464869106</c:v>
                      </c:pt>
                      <c:pt idx="7">
                        <c:v>86.019277464869106</c:v>
                      </c:pt>
                      <c:pt idx="8">
                        <c:v>86.019277464869106</c:v>
                      </c:pt>
                      <c:pt idx="9">
                        <c:v>86.019277464869106</c:v>
                      </c:pt>
                      <c:pt idx="10">
                        <c:v>86.019277464869106</c:v>
                      </c:pt>
                      <c:pt idx="11">
                        <c:v>86.019277464869106</c:v>
                      </c:pt>
                      <c:pt idx="12">
                        <c:v>86.019277464869106</c:v>
                      </c:pt>
                      <c:pt idx="13">
                        <c:v>86.019277464869106</c:v>
                      </c:pt>
                      <c:pt idx="14">
                        <c:v>86.019277464869106</c:v>
                      </c:pt>
                      <c:pt idx="15">
                        <c:v>86.019277464869106</c:v>
                      </c:pt>
                      <c:pt idx="16">
                        <c:v>86.019277464869106</c:v>
                      </c:pt>
                      <c:pt idx="17">
                        <c:v>86.019277464869106</c:v>
                      </c:pt>
                      <c:pt idx="18">
                        <c:v>86.019277464869106</c:v>
                      </c:pt>
                      <c:pt idx="19">
                        <c:v>86.019277464869106</c:v>
                      </c:pt>
                      <c:pt idx="20">
                        <c:v>86.019277464869106</c:v>
                      </c:pt>
                      <c:pt idx="21">
                        <c:v>86.019277464869106</c:v>
                      </c:pt>
                      <c:pt idx="22">
                        <c:v>86.019277464869106</c:v>
                      </c:pt>
                      <c:pt idx="23">
                        <c:v>86.019277464869106</c:v>
                      </c:pt>
                      <c:pt idx="24">
                        <c:v>86.019277464869106</c:v>
                      </c:pt>
                      <c:pt idx="25">
                        <c:v>86.019277464869106</c:v>
                      </c:pt>
                      <c:pt idx="26">
                        <c:v>86.019277464869106</c:v>
                      </c:pt>
                      <c:pt idx="27">
                        <c:v>86.019277464869106</c:v>
                      </c:pt>
                      <c:pt idx="28">
                        <c:v>86.019277464869106</c:v>
                      </c:pt>
                      <c:pt idx="29">
                        <c:v>86.019277464869106</c:v>
                      </c:pt>
                      <c:pt idx="30">
                        <c:v>86.019277464869106</c:v>
                      </c:pt>
                      <c:pt idx="31">
                        <c:v>86.019277464869106</c:v>
                      </c:pt>
                      <c:pt idx="32">
                        <c:v>86.019277464869106</c:v>
                      </c:pt>
                      <c:pt idx="33">
                        <c:v>86.019277464869106</c:v>
                      </c:pt>
                      <c:pt idx="34">
                        <c:v>86.019277464869106</c:v>
                      </c:pt>
                      <c:pt idx="35">
                        <c:v>86.019277464869106</c:v>
                      </c:pt>
                      <c:pt idx="36">
                        <c:v>86.019277464869106</c:v>
                      </c:pt>
                      <c:pt idx="37">
                        <c:v>86.019277464869106</c:v>
                      </c:pt>
                      <c:pt idx="38">
                        <c:v>86.019277464869106</c:v>
                      </c:pt>
                      <c:pt idx="39">
                        <c:v>86.019277464869106</c:v>
                      </c:pt>
                      <c:pt idx="40">
                        <c:v>86.019277464869106</c:v>
                      </c:pt>
                      <c:pt idx="41">
                        <c:v>86.019277464869106</c:v>
                      </c:pt>
                      <c:pt idx="42">
                        <c:v>86.019277464869106</c:v>
                      </c:pt>
                      <c:pt idx="43">
                        <c:v>86.019277464869106</c:v>
                      </c:pt>
                      <c:pt idx="44">
                        <c:v>86.019277464869106</c:v>
                      </c:pt>
                      <c:pt idx="45">
                        <c:v>86.019277464869106</c:v>
                      </c:pt>
                      <c:pt idx="46">
                        <c:v>86.019277464869106</c:v>
                      </c:pt>
                      <c:pt idx="47">
                        <c:v>86.019277464869106</c:v>
                      </c:pt>
                      <c:pt idx="48">
                        <c:v>86.019277464869106</c:v>
                      </c:pt>
                      <c:pt idx="49">
                        <c:v>86.019277464869106</c:v>
                      </c:pt>
                      <c:pt idx="50">
                        <c:v>86.019277464869106</c:v>
                      </c:pt>
                      <c:pt idx="51">
                        <c:v>86.019277464869106</c:v>
                      </c:pt>
                      <c:pt idx="52">
                        <c:v>86.019277464869106</c:v>
                      </c:pt>
                      <c:pt idx="53">
                        <c:v>86.019277464869106</c:v>
                      </c:pt>
                      <c:pt idx="54">
                        <c:v>86.019277464869106</c:v>
                      </c:pt>
                      <c:pt idx="55">
                        <c:v>86.019277464869106</c:v>
                      </c:pt>
                      <c:pt idx="56">
                        <c:v>86.019277464869106</c:v>
                      </c:pt>
                      <c:pt idx="57">
                        <c:v>86.019277464869106</c:v>
                      </c:pt>
                      <c:pt idx="58">
                        <c:v>86.019277464869106</c:v>
                      </c:pt>
                      <c:pt idx="59">
                        <c:v>86.019277464869106</c:v>
                      </c:pt>
                      <c:pt idx="60">
                        <c:v>86.019277464869106</c:v>
                      </c:pt>
                      <c:pt idx="61">
                        <c:v>86.019277464869106</c:v>
                      </c:pt>
                      <c:pt idx="62">
                        <c:v>86.019277464869106</c:v>
                      </c:pt>
                      <c:pt idx="63">
                        <c:v>86.019277464869106</c:v>
                      </c:pt>
                      <c:pt idx="64">
                        <c:v>86.019277464869106</c:v>
                      </c:pt>
                      <c:pt idx="65">
                        <c:v>86.019277464869106</c:v>
                      </c:pt>
                      <c:pt idx="66">
                        <c:v>86.019277464869106</c:v>
                      </c:pt>
                      <c:pt idx="67">
                        <c:v>86.019277464869106</c:v>
                      </c:pt>
                      <c:pt idx="68">
                        <c:v>86.019277464869106</c:v>
                      </c:pt>
                      <c:pt idx="69">
                        <c:v>86.019277464869106</c:v>
                      </c:pt>
                      <c:pt idx="70">
                        <c:v>86.019277464869106</c:v>
                      </c:pt>
                      <c:pt idx="71">
                        <c:v>86.019277464869106</c:v>
                      </c:pt>
                      <c:pt idx="72">
                        <c:v>86.019277464869106</c:v>
                      </c:pt>
                      <c:pt idx="73">
                        <c:v>86.019277464869106</c:v>
                      </c:pt>
                      <c:pt idx="74">
                        <c:v>86.019277464869106</c:v>
                      </c:pt>
                      <c:pt idx="75">
                        <c:v>118.12010197473523</c:v>
                      </c:pt>
                      <c:pt idx="76">
                        <c:v>162.15230176576716</c:v>
                      </c:pt>
                      <c:pt idx="77">
                        <c:v>208.26977840203853</c:v>
                      </c:pt>
                      <c:pt idx="78">
                        <c:v>256.54556864810024</c:v>
                      </c:pt>
                      <c:pt idx="79">
                        <c:v>307.05251671975253</c:v>
                      </c:pt>
                      <c:pt idx="80">
                        <c:v>359.86292860093357</c:v>
                      </c:pt>
                      <c:pt idx="81">
                        <c:v>415.04819287284795</c:v>
                      </c:pt>
                      <c:pt idx="82">
                        <c:v>472.67836755604463</c:v>
                      </c:pt>
                      <c:pt idx="83">
                        <c:v>532.82173284203304</c:v>
                      </c:pt>
                      <c:pt idx="84">
                        <c:v>595.54431002964407</c:v>
                      </c:pt>
                      <c:pt idx="85">
                        <c:v>660.90934748433779</c:v>
                      </c:pt>
                      <c:pt idx="86">
                        <c:v>728.9767750063686</c:v>
                      </c:pt>
                      <c:pt idx="87">
                        <c:v>799.8026286247034</c:v>
                      </c:pt>
                      <c:pt idx="88">
                        <c:v>873.43844852435348</c:v>
                      </c:pt>
                      <c:pt idx="89">
                        <c:v>949.93065355950921</c:v>
                      </c:pt>
                      <c:pt idx="90">
                        <c:v>1029.3198965951253</c:v>
                      </c:pt>
                      <c:pt idx="91">
                        <c:v>1111.6404057439981</c:v>
                      </c:pt>
                      <c:pt idx="92">
                        <c:v>1196.9193174106008</c:v>
                      </c:pt>
                      <c:pt idx="93">
                        <c:v>1285.1760078993557</c:v>
                      </c:pt>
                      <c:pt idx="94">
                        <c:v>1376.4214311731457</c:v>
                      </c:pt>
                      <c:pt idx="95">
                        <c:v>1470.6574711340177</c:v>
                      </c:pt>
                      <c:pt idx="96">
                        <c:v>1567.8763175161998</c:v>
                      </c:pt>
                      <c:pt idx="97">
                        <c:v>1668.0598751034968</c:v>
                      </c:pt>
                      <c:pt idx="98">
                        <c:v>1771.1792164793555</c:v>
                      </c:pt>
                      <c:pt idx="99">
                        <c:v>1877.1940888584477</c:v>
                      </c:pt>
                      <c:pt idx="100">
                        <c:v>1986.0524857042524</c:v>
                      </c:pt>
                      <c:pt idx="101">
                        <c:v>2097.6902937804361</c:v>
                      </c:pt>
                      <c:pt idx="102">
                        <c:v>2212.0310259908397</c:v>
                      </c:pt>
                      <c:pt idx="103">
                        <c:v>2328.9856498141817</c:v>
                      </c:pt>
                      <c:pt idx="104">
                        <c:v>2448.4525203221724</c:v>
                      </c:pt>
                      <c:pt idx="105">
                        <c:v>2570.3174256779148</c:v>
                      </c:pt>
                      <c:pt idx="106">
                        <c:v>2694.4537516484806</c:v>
                      </c:pt>
                      <c:pt idx="107">
                        <c:v>2820.722770044119</c:v>
                      </c:pt>
                      <c:pt idx="108">
                        <c:v>2948.97405413979</c:v>
                      </c:pt>
                      <c:pt idx="109">
                        <c:v>3079.0460220758782</c:v>
                      </c:pt>
                      <c:pt idx="110">
                        <c:v>3210.766607017465</c:v>
                      </c:pt>
                      <c:pt idx="111">
                        <c:v>3343.9540505277428</c:v>
                      </c:pt>
                      <c:pt idx="112">
                        <c:v>3478.4178132411585</c:v>
                      </c:pt>
                      <c:pt idx="113">
                        <c:v>3613.9595945713281</c:v>
                      </c:pt>
                      <c:pt idx="114">
                        <c:v>3750.3744509267326</c:v>
                      </c:pt>
                      <c:pt idx="115">
                        <c:v>3887.4519998031838</c:v>
                      </c:pt>
                      <c:pt idx="116">
                        <c:v>4024.9776952433044</c:v>
                      </c:pt>
                      <c:pt idx="117">
                        <c:v>4162.7341585615868</c:v>
                      </c:pt>
                      <c:pt idx="118">
                        <c:v>4300.5025469826714</c:v>
                      </c:pt>
                      <c:pt idx="119">
                        <c:v>4438.0639419733379</c:v>
                      </c:pt>
                      <c:pt idx="120">
                        <c:v>4575.2007385953384</c:v>
                      </c:pt>
                      <c:pt idx="121">
                        <c:v>4711.6980171826726</c:v>
                      </c:pt>
                      <c:pt idx="122">
                        <c:v>4847.3448790539596</c:v>
                      </c:pt>
                      <c:pt idx="123">
                        <c:v>4981.9357287938919</c:v>
                      </c:pt>
                      <c:pt idx="124">
                        <c:v>5115.2714868487728</c:v>
                      </c:pt>
                      <c:pt idx="125">
                        <c:v>5247.1607177382011</c:v>
                      </c:pt>
                      <c:pt idx="126">
                        <c:v>5377.4206610352358</c:v>
                      </c:pt>
                      <c:pt idx="127">
                        <c:v>5505.8781543502055</c:v>
                      </c:pt>
                      <c:pt idx="128">
                        <c:v>5632.3704398013961</c:v>
                      </c:pt>
                      <c:pt idx="129">
                        <c:v>5756.7458478001954</c:v>
                      </c:pt>
                      <c:pt idx="130">
                        <c:v>5878.8643543494318</c:v>
                      </c:pt>
                      <c:pt idx="131">
                        <c:v>5998.5980103854499</c:v>
                      </c:pt>
                      <c:pt idx="132">
                        <c:v>6115.83124392627</c:v>
                      </c:pt>
                      <c:pt idx="133">
                        <c:v>6230.4610378665038</c:v>
                      </c:pt>
                      <c:pt idx="134">
                        <c:v>6342.3969881402963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209-4F7C-B4D0-66E8A6935DDB}"/>
                  </c:ext>
                </c:extLst>
              </c15:ser>
            </c15:filteredScatterSeries>
            <c15:filteredScatterSeries>
              <c15:ser>
                <c:idx val="7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Cumul_removed_bSIR!$T$7</c15:sqref>
                        </c15:formulaRef>
                      </c:ext>
                    </c:extLst>
                    <c:strCache>
                      <c:ptCount val="1"/>
                      <c:pt idx="0">
                        <c:v>r. Lower CI</c:v>
                      </c:pt>
                    </c:strCache>
                  </c:strRef>
                </c:tx>
                <c:spPr>
                  <a:ln w="952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Cumul_removed_bSIR!$C$8:$C$184</c15:sqref>
                        </c15:formulaRef>
                      </c:ext>
                    </c:extLst>
                    <c:numCache>
                      <c:formatCode>General</c:formatCode>
                      <c:ptCount val="17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Cumul_removed_bSIR!$T$8:$T$184</c15:sqref>
                        </c15:formulaRef>
                      </c:ext>
                    </c:extLst>
                    <c:numCache>
                      <c:formatCode>0</c:formatCode>
                      <c:ptCount val="17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36.2312234723003</c:v>
                      </c:pt>
                      <c:pt idx="78">
                        <c:v>84.50701371836206</c:v>
                      </c:pt>
                      <c:pt idx="79">
                        <c:v>135.01396179001432</c:v>
                      </c:pt>
                      <c:pt idx="80">
                        <c:v>187.82437367119536</c:v>
                      </c:pt>
                      <c:pt idx="81">
                        <c:v>243.00963794310974</c:v>
                      </c:pt>
                      <c:pt idx="82">
                        <c:v>300.63981262630642</c:v>
                      </c:pt>
                      <c:pt idx="83">
                        <c:v>360.78317791229489</c:v>
                      </c:pt>
                      <c:pt idx="84">
                        <c:v>423.5057550999058</c:v>
                      </c:pt>
                      <c:pt idx="85">
                        <c:v>488.87079255459957</c:v>
                      </c:pt>
                      <c:pt idx="86">
                        <c:v>556.93822007663039</c:v>
                      </c:pt>
                      <c:pt idx="87">
                        <c:v>627.76407369496519</c:v>
                      </c:pt>
                      <c:pt idx="88">
                        <c:v>701.39989359461526</c:v>
                      </c:pt>
                      <c:pt idx="89">
                        <c:v>777.892098629771</c:v>
                      </c:pt>
                      <c:pt idx="90">
                        <c:v>857.28134166538712</c:v>
                      </c:pt>
                      <c:pt idx="91">
                        <c:v>939.60185081426005</c:v>
                      </c:pt>
                      <c:pt idx="92">
                        <c:v>1024.8807624808624</c:v>
                      </c:pt>
                      <c:pt idx="93">
                        <c:v>1113.1374529696177</c:v>
                      </c:pt>
                      <c:pt idx="94">
                        <c:v>1204.3828762434077</c:v>
                      </c:pt>
                      <c:pt idx="95">
                        <c:v>1298.6189162042797</c:v>
                      </c:pt>
                      <c:pt idx="96">
                        <c:v>1395.8377625864614</c:v>
                      </c:pt>
                      <c:pt idx="97">
                        <c:v>1496.0213201737583</c:v>
                      </c:pt>
                      <c:pt idx="98">
                        <c:v>1599.1406615496176</c:v>
                      </c:pt>
                      <c:pt idx="99">
                        <c:v>1705.1555339287092</c:v>
                      </c:pt>
                      <c:pt idx="100">
                        <c:v>1814.0139307745144</c:v>
                      </c:pt>
                      <c:pt idx="101">
                        <c:v>1925.6517388506977</c:v>
                      </c:pt>
                      <c:pt idx="102">
                        <c:v>2039.9924710611017</c:v>
                      </c:pt>
                      <c:pt idx="103">
                        <c:v>2156.9470948844437</c:v>
                      </c:pt>
                      <c:pt idx="104">
                        <c:v>2276.4139653924344</c:v>
                      </c:pt>
                      <c:pt idx="105">
                        <c:v>2398.2788707481768</c:v>
                      </c:pt>
                      <c:pt idx="106">
                        <c:v>2522.4151967187427</c:v>
                      </c:pt>
                      <c:pt idx="107">
                        <c:v>2648.684215114381</c:v>
                      </c:pt>
                      <c:pt idx="108">
                        <c:v>2776.9354992100521</c:v>
                      </c:pt>
                      <c:pt idx="109">
                        <c:v>2907.0074671461402</c:v>
                      </c:pt>
                      <c:pt idx="110">
                        <c:v>3038.7280520877271</c:v>
                      </c:pt>
                      <c:pt idx="111">
                        <c:v>3171.9154955980048</c:v>
                      </c:pt>
                      <c:pt idx="112">
                        <c:v>3306.3792583114205</c:v>
                      </c:pt>
                      <c:pt idx="113">
                        <c:v>3441.9210396415901</c:v>
                      </c:pt>
                      <c:pt idx="114">
                        <c:v>3578.3358959969946</c:v>
                      </c:pt>
                      <c:pt idx="115">
                        <c:v>3715.4134448734458</c:v>
                      </c:pt>
                      <c:pt idx="116">
                        <c:v>3852.9391403135664</c:v>
                      </c:pt>
                      <c:pt idx="117">
                        <c:v>3990.6956036318488</c:v>
                      </c:pt>
                      <c:pt idx="118">
                        <c:v>4128.4639920529326</c:v>
                      </c:pt>
                      <c:pt idx="119">
                        <c:v>4266.025387043599</c:v>
                      </c:pt>
                      <c:pt idx="120">
                        <c:v>4403.1621836655995</c:v>
                      </c:pt>
                      <c:pt idx="121">
                        <c:v>4539.6594622529337</c:v>
                      </c:pt>
                      <c:pt idx="122">
                        <c:v>4675.3063241242207</c:v>
                      </c:pt>
                      <c:pt idx="123">
                        <c:v>4809.897173864153</c:v>
                      </c:pt>
                      <c:pt idx="124">
                        <c:v>4943.2329319190339</c:v>
                      </c:pt>
                      <c:pt idx="125">
                        <c:v>5075.1221628084622</c:v>
                      </c:pt>
                      <c:pt idx="126">
                        <c:v>5205.3821061054969</c:v>
                      </c:pt>
                      <c:pt idx="127">
                        <c:v>5333.8395994204666</c:v>
                      </c:pt>
                      <c:pt idx="128">
                        <c:v>5460.3318848716572</c:v>
                      </c:pt>
                      <c:pt idx="129">
                        <c:v>5584.7072928704565</c:v>
                      </c:pt>
                      <c:pt idx="130">
                        <c:v>5706.8257994196929</c:v>
                      </c:pt>
                      <c:pt idx="131">
                        <c:v>5826.559455455711</c:v>
                      </c:pt>
                      <c:pt idx="132">
                        <c:v>5943.7926889965311</c:v>
                      </c:pt>
                      <c:pt idx="133">
                        <c:v>6058.4224829367649</c:v>
                      </c:pt>
                      <c:pt idx="134">
                        <c:v>6170.3584332105575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209-4F7C-B4D0-66E8A6935DDB}"/>
                  </c:ext>
                </c:extLst>
              </c15:ser>
            </c15:filteredScatterSeries>
            <c15:filteredScatterSeries>
              <c15:ser>
                <c:idx val="9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Cumul_removed_bSIR!$W$7</c15:sqref>
                        </c15:formulaRef>
                      </c:ext>
                    </c:extLst>
                    <c:strCache>
                      <c:ptCount val="1"/>
                      <c:pt idx="0">
                        <c:v>rest of Italy fit</c:v>
                      </c:pt>
                    </c:strCache>
                  </c:strRef>
                </c:tx>
                <c:spPr>
                  <a:ln w="9525" cap="rnd">
                    <a:solidFill>
                      <a:srgbClr val="00B05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Cumul_removed_bSIR!$C$8:$C$184</c15:sqref>
                        </c15:formulaRef>
                      </c:ext>
                    </c:extLst>
                    <c:numCache>
                      <c:formatCode>General</c:formatCode>
                      <c:ptCount val="17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Cumul_removed_bSIR!$W$8:$W$184</c15:sqref>
                        </c15:formulaRef>
                      </c:ext>
                    </c:extLst>
                    <c:numCache>
                      <c:formatCode>General</c:formatCode>
                      <c:ptCount val="17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242.70089901987399</c:v>
                      </c:pt>
                      <c:pt idx="70">
                        <c:v>1061.5303582923698</c:v>
                      </c:pt>
                      <c:pt idx="71">
                        <c:v>1914.841051772273</c:v>
                      </c:pt>
                      <c:pt idx="72">
                        <c:v>2803.7663210252686</c:v>
                      </c:pt>
                      <c:pt idx="73">
                        <c:v>3729.4469052643476</c:v>
                      </c:pt>
                      <c:pt idx="74">
                        <c:v>4693.0278268014363</c:v>
                      </c:pt>
                      <c:pt idx="75">
                        <c:v>5695.6549595855777</c:v>
                      </c:pt>
                      <c:pt idx="76">
                        <c:v>6738.4712697600517</c:v>
                      </c:pt>
                      <c:pt idx="77">
                        <c:v>7822.6127188605087</c:v>
                      </c:pt>
                      <c:pt idx="78">
                        <c:v>8949.2038223229501</c:v>
                      </c:pt>
                      <c:pt idx="79">
                        <c:v>10119.352858397595</c:v>
                      </c:pt>
                      <c:pt idx="80">
                        <c:v>11334.146725393943</c:v>
                      </c:pt>
                      <c:pt idx="81">
                        <c:v>12594.645448434665</c:v>
                      </c:pt>
                      <c:pt idx="82">
                        <c:v>13901.876340577151</c:v>
                      </c:pt>
                      <c:pt idx="83">
                        <c:v>15256.827827286077</c:v>
                      </c:pt>
                      <c:pt idx="84">
                        <c:v>16660.442947797565</c:v>
                      </c:pt>
                      <c:pt idx="85">
                        <c:v>18113.612551901493</c:v>
                      </c:pt>
                      <c:pt idx="86">
                        <c:v>19617.16821605487</c:v>
                      </c:pt>
                      <c:pt idx="87">
                        <c:v>21171.874908496229</c:v>
                      </c:pt>
                      <c:pt idx="88">
                        <c:v>22778.423439108195</c:v>
                      </c:pt>
                      <c:pt idx="89">
                        <c:v>24437.422736111159</c:v>
                      </c:pt>
                      <c:pt idx="90">
                        <c:v>26149.391998188425</c:v>
                      </c:pt>
                      <c:pt idx="91">
                        <c:v>27914.752777246871</c:v>
                      </c:pt>
                      <c:pt idx="92">
                        <c:v>29733.821053599138</c:v>
                      </c:pt>
                      <c:pt idx="93">
                        <c:v>31606.799371787129</c:v>
                      </c:pt>
                      <c:pt idx="94">
                        <c:v>33533.769111411661</c:v>
                      </c:pt>
                      <c:pt idx="95">
                        <c:v>35514.682973036492</c:v>
                      </c:pt>
                      <c:pt idx="96">
                        <c:v>37549.357764333334</c:v>
                      </c:pt>
                      <c:pt idx="97">
                        <c:v>39637.467575952011</c:v>
                      </c:pt>
                      <c:pt idx="98">
                        <c:v>41778.537439965126</c:v>
                      </c:pt>
                      <c:pt idx="99">
                        <c:v>43971.937565970635</c:v>
                      </c:pt>
                      <c:pt idx="100">
                        <c:v>46216.878250867601</c:v>
                      </c:pt>
                      <c:pt idx="101">
                        <c:v>48512.405557796192</c:v>
                      </c:pt>
                      <c:pt idx="102">
                        <c:v>50857.397857605189</c:v>
                      </c:pt>
                      <c:pt idx="103">
                        <c:v>53250.563322368253</c:v>
                      </c:pt>
                      <c:pt idx="104">
                        <c:v>55690.438454824405</c:v>
                      </c:pt>
                      <c:pt idx="105">
                        <c:v>58175.387730119633</c:v>
                      </c:pt>
                      <c:pt idx="106">
                        <c:v>60703.604416869603</c:v>
                      </c:pt>
                      <c:pt idx="107">
                        <c:v>63273.11263338838</c:v>
                      </c:pt>
                      <c:pt idx="108">
                        <c:v>65881.770682023955</c:v>
                      </c:pt>
                      <c:pt idx="109">
                        <c:v>68527.27569005503</c:v>
                      </c:pt>
                      <c:pt idx="110">
                        <c:v>71207.169569729391</c:v>
                      </c:pt>
                      <c:pt idx="111">
                        <c:v>73918.846293012437</c:v>
                      </c:pt>
                      <c:pt idx="112">
                        <c:v>76659.560458759966</c:v>
                      </c:pt>
                      <c:pt idx="113">
                        <c:v>79426.437111670166</c:v>
                      </c:pt>
                      <c:pt idx="114">
                        <c:v>82216.482753880366</c:v>
                      </c:pt>
                      <c:pt idx="115">
                        <c:v>85026.597471845656</c:v>
                      </c:pt>
                      <c:pt idx="116">
                        <c:v>87853.588083586059</c:v>
                      </c:pt>
                      <c:pt idx="117">
                        <c:v>90694.18219491771</c:v>
                      </c:pt>
                      <c:pt idx="118">
                        <c:v>93545.043038297808</c:v>
                      </c:pt>
                      <c:pt idx="119">
                        <c:v>96402.784954778152</c:v>
                      </c:pt>
                      <c:pt idx="120">
                        <c:v>99263.989368613577</c:v>
                      </c:pt>
                      <c:pt idx="121">
                        <c:v>102125.22109559356</c:v>
                      </c:pt>
                      <c:pt idx="122">
                        <c:v>104983.04482037554</c:v>
                      </c:pt>
                      <c:pt idx="123">
                        <c:v>107834.04157515442</c:v>
                      </c:pt>
                      <c:pt idx="124">
                        <c:v>110674.82505197858</c:v>
                      </c:pt>
                      <c:pt idx="125">
                        <c:v>113502.05758392267</c:v>
                      </c:pt>
                      <c:pt idx="126">
                        <c:v>116312.46563607077</c:v>
                      </c:pt>
                      <c:pt idx="127">
                        <c:v>119102.85465570248</c:v>
                      </c:pt>
                      <c:pt idx="128">
                        <c:v>121870.12314198462</c:v>
                      </c:pt>
                      <c:pt idx="129">
                        <c:v>124611.27580857338</c:v>
                      </c:pt>
                      <c:pt idx="130">
                        <c:v>127323.43572749342</c:v>
                      </c:pt>
                      <c:pt idx="131">
                        <c:v>130003.85535910711</c:v>
                      </c:pt>
                      <c:pt idx="132">
                        <c:v>132649.92639052818</c:v>
                      </c:pt>
                      <c:pt idx="133">
                        <c:v>135259.18832305024</c:v>
                      </c:pt>
                      <c:pt idx="134">
                        <c:v>137829.33576765319</c:v>
                      </c:pt>
                      <c:pt idx="135">
                        <c:v>140358.2244260119</c:v>
                      </c:pt>
                      <c:pt idx="136">
                        <c:v>142843.87575229816</c:v>
                      </c:pt>
                      <c:pt idx="137">
                        <c:v>145284.48030809383</c:v>
                      </c:pt>
                      <c:pt idx="138">
                        <c:v>147678.39983862825</c:v>
                      </c:pt>
                      <c:pt idx="139">
                        <c:v>150024.16811306158</c:v>
                      </c:pt>
                      <c:pt idx="140">
                        <c:v>152320.49058446789</c:v>
                      </c:pt>
                      <c:pt idx="141">
                        <c:v>154566.24293637427</c:v>
                      </c:pt>
                      <c:pt idx="142">
                        <c:v>156760.46859209842</c:v>
                      </c:pt>
                      <c:pt idx="143">
                        <c:v>158902.37527065579</c:v>
                      </c:pt>
                      <c:pt idx="144">
                        <c:v>160991.33067868234</c:v>
                      </c:pt>
                      <c:pt idx="145">
                        <c:v>163026.85743168838</c:v>
                      </c:pt>
                      <c:pt idx="146">
                        <c:v>165008.62730011364</c:v>
                      </c:pt>
                      <c:pt idx="147">
                        <c:v>166936.45487620286</c:v>
                      </c:pt>
                      <c:pt idx="148">
                        <c:v>168810.29075681017</c:v>
                      </c:pt>
                      <c:pt idx="149">
                        <c:v>170630.21433502639</c:v>
                      </c:pt>
                      <c:pt idx="150">
                        <c:v>172396.42629017538</c:v>
                      </c:pt>
                      <c:pt idx="151">
                        <c:v>174109.24086142046</c:v>
                      </c:pt>
                      <c:pt idx="152">
                        <c:v>175769.07798513584</c:v>
                      </c:pt>
                      <c:pt idx="153">
                        <c:v>177376.45537050249</c:v>
                      </c:pt>
                      <c:pt idx="154">
                        <c:v>178931.98058164772</c:v>
                      </c:pt>
                      <c:pt idx="155">
                        <c:v>180436.34318821935</c:v>
                      </c:pt>
                      <c:pt idx="156">
                        <c:v>181890.30703970249</c:v>
                      </c:pt>
                      <c:pt idx="157">
                        <c:v>183294.7027121846</c:v>
                      </c:pt>
                      <c:pt idx="158">
                        <c:v>184650.42016975416</c:v>
                      </c:pt>
                      <c:pt idx="159">
                        <c:v>185958.40167637766</c:v>
                      </c:pt>
                      <c:pt idx="160">
                        <c:v>187219.63498802108</c:v>
                      </c:pt>
                      <c:pt idx="161">
                        <c:v>188435.14684901596</c:v>
                      </c:pt>
                      <c:pt idx="162">
                        <c:v>189605.99681127915</c:v>
                      </c:pt>
                      <c:pt idx="163">
                        <c:v>190733.27139000435</c:v>
                      </c:pt>
                      <c:pt idx="164">
                        <c:v>191818.07856487526</c:v>
                      </c:pt>
                      <c:pt idx="165">
                        <c:v>192861.54263172366</c:v>
                      </c:pt>
                      <c:pt idx="166">
                        <c:v>193864.79940586383</c:v>
                      </c:pt>
                      <c:pt idx="167">
                        <c:v>194828.99177507692</c:v>
                      </c:pt>
                      <c:pt idx="168">
                        <c:v>195755.26559738416</c:v>
                      </c:pt>
                      <c:pt idx="169">
                        <c:v>196644.76593631165</c:v>
                      </c:pt>
                      <c:pt idx="170">
                        <c:v>197498.6336243001</c:v>
                      </c:pt>
                      <c:pt idx="171">
                        <c:v>198318.00214321486</c:v>
                      </c:pt>
                      <c:pt idx="172">
                        <c:v>199103.99480954735</c:v>
                      </c:pt>
                      <c:pt idx="173">
                        <c:v>199857.72225083434</c:v>
                      </c:pt>
                      <c:pt idx="174">
                        <c:v>200580.28015903072</c:v>
                      </c:pt>
                      <c:pt idx="175">
                        <c:v>201272.74730602623</c:v>
                      </c:pt>
                      <c:pt idx="176">
                        <c:v>201936.18380616666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209-4F7C-B4D0-66E8A6935DDB}"/>
                  </c:ext>
                </c:extLst>
              </c15:ser>
            </c15:filteredScatterSeries>
            <c15:filteredScatterSeries>
              <c15:ser>
                <c:idx val="10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Cumul_removed_bSIR!$Z$7</c15:sqref>
                        </c15:formulaRef>
                      </c:ext>
                    </c:extLst>
                    <c:strCache>
                      <c:ptCount val="1"/>
                      <c:pt idx="0">
                        <c:v>o.r. Upper CI</c:v>
                      </c:pt>
                    </c:strCache>
                  </c:strRef>
                </c:tx>
                <c:spPr>
                  <a:ln w="952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Cumul_removed_bSIR!$C$8:$C$184</c15:sqref>
                        </c15:formulaRef>
                      </c:ext>
                    </c:extLst>
                    <c:numCache>
                      <c:formatCode>General</c:formatCode>
                      <c:ptCount val="17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Cumul_removed_bSIR!$Z$8:$Z$184</c15:sqref>
                        </c15:formulaRef>
                      </c:ext>
                    </c:extLst>
                    <c:numCache>
                      <c:formatCode>0</c:formatCode>
                      <c:ptCount val="177"/>
                      <c:pt idx="0">
                        <c:v>2484.3366939346993</c:v>
                      </c:pt>
                      <c:pt idx="1">
                        <c:v>2484.3366939346993</c:v>
                      </c:pt>
                      <c:pt idx="2">
                        <c:v>2484.3366939346993</c:v>
                      </c:pt>
                      <c:pt idx="3">
                        <c:v>2484.3366939346993</c:v>
                      </c:pt>
                      <c:pt idx="4">
                        <c:v>2484.3366939346993</c:v>
                      </c:pt>
                      <c:pt idx="5">
                        <c:v>2484.3366939346993</c:v>
                      </c:pt>
                      <c:pt idx="6">
                        <c:v>2484.3366939346993</c:v>
                      </c:pt>
                      <c:pt idx="7">
                        <c:v>2484.3366939346993</c:v>
                      </c:pt>
                      <c:pt idx="8">
                        <c:v>2484.3366939346993</c:v>
                      </c:pt>
                      <c:pt idx="9">
                        <c:v>2484.3366939346993</c:v>
                      </c:pt>
                      <c:pt idx="10">
                        <c:v>2484.3366939346993</c:v>
                      </c:pt>
                      <c:pt idx="11">
                        <c:v>2484.3366939346993</c:v>
                      </c:pt>
                      <c:pt idx="12">
                        <c:v>2484.3366939346993</c:v>
                      </c:pt>
                      <c:pt idx="13">
                        <c:v>2484.3366939346993</c:v>
                      </c:pt>
                      <c:pt idx="14">
                        <c:v>2484.3366939346993</c:v>
                      </c:pt>
                      <c:pt idx="15">
                        <c:v>2484.3366939346993</c:v>
                      </c:pt>
                      <c:pt idx="16">
                        <c:v>2484.3366939346993</c:v>
                      </c:pt>
                      <c:pt idx="17">
                        <c:v>2484.3366939346993</c:v>
                      </c:pt>
                      <c:pt idx="18">
                        <c:v>2484.3366939346993</c:v>
                      </c:pt>
                      <c:pt idx="19">
                        <c:v>2484.3366939346993</c:v>
                      </c:pt>
                      <c:pt idx="20">
                        <c:v>2484.3366939346993</c:v>
                      </c:pt>
                      <c:pt idx="21">
                        <c:v>2484.3366939346993</c:v>
                      </c:pt>
                      <c:pt idx="22">
                        <c:v>2484.3366939346993</c:v>
                      </c:pt>
                      <c:pt idx="23">
                        <c:v>2484.3366939346993</c:v>
                      </c:pt>
                      <c:pt idx="24">
                        <c:v>2484.3366939346993</c:v>
                      </c:pt>
                      <c:pt idx="25">
                        <c:v>2484.3366939346993</c:v>
                      </c:pt>
                      <c:pt idx="26">
                        <c:v>2484.3366939346993</c:v>
                      </c:pt>
                      <c:pt idx="27">
                        <c:v>2484.3366939346993</c:v>
                      </c:pt>
                      <c:pt idx="28">
                        <c:v>2484.3366939346993</c:v>
                      </c:pt>
                      <c:pt idx="29">
                        <c:v>2484.3366939346993</c:v>
                      </c:pt>
                      <c:pt idx="30">
                        <c:v>2484.3366939346993</c:v>
                      </c:pt>
                      <c:pt idx="31">
                        <c:v>2484.3366939346993</c:v>
                      </c:pt>
                      <c:pt idx="32">
                        <c:v>2484.3366939346993</c:v>
                      </c:pt>
                      <c:pt idx="33">
                        <c:v>2484.3366939346993</c:v>
                      </c:pt>
                      <c:pt idx="34">
                        <c:v>2484.3366939346993</c:v>
                      </c:pt>
                      <c:pt idx="35">
                        <c:v>2484.3366939346993</c:v>
                      </c:pt>
                      <c:pt idx="36">
                        <c:v>2484.3366939346993</c:v>
                      </c:pt>
                      <c:pt idx="37">
                        <c:v>2484.3366939346993</c:v>
                      </c:pt>
                      <c:pt idx="38">
                        <c:v>2484.3366939346993</c:v>
                      </c:pt>
                      <c:pt idx="39">
                        <c:v>2484.3366939346993</c:v>
                      </c:pt>
                      <c:pt idx="40">
                        <c:v>2484.3366939346993</c:v>
                      </c:pt>
                      <c:pt idx="41">
                        <c:v>2484.3366939346993</c:v>
                      </c:pt>
                      <c:pt idx="42">
                        <c:v>2484.3366939346993</c:v>
                      </c:pt>
                      <c:pt idx="43">
                        <c:v>2484.3366939346993</c:v>
                      </c:pt>
                      <c:pt idx="44">
                        <c:v>2484.3366939346993</c:v>
                      </c:pt>
                      <c:pt idx="45">
                        <c:v>2484.3366939346993</c:v>
                      </c:pt>
                      <c:pt idx="46">
                        <c:v>2484.3366939346993</c:v>
                      </c:pt>
                      <c:pt idx="47">
                        <c:v>2484.3366939346993</c:v>
                      </c:pt>
                      <c:pt idx="48">
                        <c:v>2484.3366939346993</c:v>
                      </c:pt>
                      <c:pt idx="49">
                        <c:v>2484.3366939346993</c:v>
                      </c:pt>
                      <c:pt idx="50">
                        <c:v>2484.3366939346993</c:v>
                      </c:pt>
                      <c:pt idx="51">
                        <c:v>2484.3366939346993</c:v>
                      </c:pt>
                      <c:pt idx="52">
                        <c:v>2484.3366939346993</c:v>
                      </c:pt>
                      <c:pt idx="53">
                        <c:v>2484.3366939346993</c:v>
                      </c:pt>
                      <c:pt idx="54">
                        <c:v>2484.3366939346993</c:v>
                      </c:pt>
                      <c:pt idx="55">
                        <c:v>2484.3366939346993</c:v>
                      </c:pt>
                      <c:pt idx="56">
                        <c:v>2484.3366939346993</c:v>
                      </c:pt>
                      <c:pt idx="57">
                        <c:v>2484.3366939346993</c:v>
                      </c:pt>
                      <c:pt idx="58">
                        <c:v>2484.3366939346993</c:v>
                      </c:pt>
                      <c:pt idx="59">
                        <c:v>2484.3366939346993</c:v>
                      </c:pt>
                      <c:pt idx="60">
                        <c:v>2484.3366939346993</c:v>
                      </c:pt>
                      <c:pt idx="61">
                        <c:v>2484.3366939346993</c:v>
                      </c:pt>
                      <c:pt idx="62">
                        <c:v>2484.3366939346993</c:v>
                      </c:pt>
                      <c:pt idx="63">
                        <c:v>2484.3366939346993</c:v>
                      </c:pt>
                      <c:pt idx="64">
                        <c:v>2484.3366939346993</c:v>
                      </c:pt>
                      <c:pt idx="65">
                        <c:v>2484.3366939346993</c:v>
                      </c:pt>
                      <c:pt idx="66">
                        <c:v>2484.3366939346993</c:v>
                      </c:pt>
                      <c:pt idx="67">
                        <c:v>2484.3366939346993</c:v>
                      </c:pt>
                      <c:pt idx="68">
                        <c:v>2484.3366939346993</c:v>
                      </c:pt>
                      <c:pt idx="69">
                        <c:v>2727.0375929545735</c:v>
                      </c:pt>
                      <c:pt idx="70">
                        <c:v>3545.8670522270691</c:v>
                      </c:pt>
                      <c:pt idx="71">
                        <c:v>4399.177745706972</c:v>
                      </c:pt>
                      <c:pt idx="72">
                        <c:v>5288.1030149599683</c:v>
                      </c:pt>
                      <c:pt idx="73">
                        <c:v>6213.7835991990469</c:v>
                      </c:pt>
                      <c:pt idx="74">
                        <c:v>7177.3645207361351</c:v>
                      </c:pt>
                      <c:pt idx="75">
                        <c:v>8179.9916535202774</c:v>
                      </c:pt>
                      <c:pt idx="76">
                        <c:v>9222.8079636947514</c:v>
                      </c:pt>
                      <c:pt idx="77">
                        <c:v>10306.949412795208</c:v>
                      </c:pt>
                      <c:pt idx="78">
                        <c:v>11433.54051625765</c:v>
                      </c:pt>
                      <c:pt idx="79">
                        <c:v>12603.689552332295</c:v>
                      </c:pt>
                      <c:pt idx="80">
                        <c:v>13818.483419328642</c:v>
                      </c:pt>
                      <c:pt idx="81">
                        <c:v>15078.982142369365</c:v>
                      </c:pt>
                      <c:pt idx="82">
                        <c:v>16386.213034511849</c:v>
                      </c:pt>
                      <c:pt idx="83">
                        <c:v>17741.164521220777</c:v>
                      </c:pt>
                      <c:pt idx="84">
                        <c:v>19144.779641732264</c:v>
                      </c:pt>
                      <c:pt idx="85">
                        <c:v>20597.949245836193</c:v>
                      </c:pt>
                      <c:pt idx="86">
                        <c:v>22101.50490998957</c:v>
                      </c:pt>
                      <c:pt idx="87">
                        <c:v>23656.211602430929</c:v>
                      </c:pt>
                      <c:pt idx="88">
                        <c:v>25262.760133042895</c:v>
                      </c:pt>
                      <c:pt idx="89">
                        <c:v>26921.759430045859</c:v>
                      </c:pt>
                      <c:pt idx="90">
                        <c:v>28633.728692123124</c:v>
                      </c:pt>
                      <c:pt idx="91">
                        <c:v>30399.089471181571</c:v>
                      </c:pt>
                      <c:pt idx="92">
                        <c:v>32218.157747533838</c:v>
                      </c:pt>
                      <c:pt idx="93">
                        <c:v>34091.136065721825</c:v>
                      </c:pt>
                      <c:pt idx="94">
                        <c:v>36018.105805346357</c:v>
                      </c:pt>
                      <c:pt idx="95">
                        <c:v>37999.019666971188</c:v>
                      </c:pt>
                      <c:pt idx="96">
                        <c:v>40033.69445826803</c:v>
                      </c:pt>
                      <c:pt idx="97">
                        <c:v>42121.804269886707</c:v>
                      </c:pt>
                      <c:pt idx="98">
                        <c:v>44262.874133899822</c:v>
                      </c:pt>
                      <c:pt idx="99">
                        <c:v>46456.274259905331</c:v>
                      </c:pt>
                      <c:pt idx="100">
                        <c:v>48701.214944802297</c:v>
                      </c:pt>
                      <c:pt idx="101">
                        <c:v>50996.742251730888</c:v>
                      </c:pt>
                      <c:pt idx="102">
                        <c:v>53341.734551539885</c:v>
                      </c:pt>
                      <c:pt idx="103">
                        <c:v>55734.900016302949</c:v>
                      </c:pt>
                      <c:pt idx="104">
                        <c:v>58174.775148759101</c:v>
                      </c:pt>
                      <c:pt idx="105">
                        <c:v>60659.72442405433</c:v>
                      </c:pt>
                      <c:pt idx="106">
                        <c:v>63187.941110804299</c:v>
                      </c:pt>
                      <c:pt idx="107">
                        <c:v>65757.449327323076</c:v>
                      </c:pt>
                      <c:pt idx="108">
                        <c:v>68366.107375958658</c:v>
                      </c:pt>
                      <c:pt idx="109">
                        <c:v>71011.612383989734</c:v>
                      </c:pt>
                      <c:pt idx="110">
                        <c:v>73691.506263664094</c:v>
                      </c:pt>
                      <c:pt idx="111">
                        <c:v>76403.18298694714</c:v>
                      </c:pt>
                      <c:pt idx="112">
                        <c:v>79143.89715269467</c:v>
                      </c:pt>
                      <c:pt idx="113">
                        <c:v>81910.773805604869</c:v>
                      </c:pt>
                      <c:pt idx="114">
                        <c:v>84700.819447815069</c:v>
                      </c:pt>
                      <c:pt idx="115">
                        <c:v>87510.93416578036</c:v>
                      </c:pt>
                      <c:pt idx="116">
                        <c:v>90337.924777520762</c:v>
                      </c:pt>
                      <c:pt idx="117">
                        <c:v>93178.518888852414</c:v>
                      </c:pt>
                      <c:pt idx="118">
                        <c:v>96029.379732232512</c:v>
                      </c:pt>
                      <c:pt idx="119">
                        <c:v>98887.121648712855</c:v>
                      </c:pt>
                      <c:pt idx="120">
                        <c:v>101748.32606254828</c:v>
                      </c:pt>
                      <c:pt idx="121">
                        <c:v>104609.55778952826</c:v>
                      </c:pt>
                      <c:pt idx="122">
                        <c:v>107467.38151431024</c:v>
                      </c:pt>
                      <c:pt idx="123">
                        <c:v>110318.37826908912</c:v>
                      </c:pt>
                      <c:pt idx="124">
                        <c:v>113159.16174591328</c:v>
                      </c:pt>
                      <c:pt idx="125">
                        <c:v>115986.39427785737</c:v>
                      </c:pt>
                      <c:pt idx="126">
                        <c:v>118796.80233000548</c:v>
                      </c:pt>
                      <c:pt idx="127">
                        <c:v>121587.19134963719</c:v>
                      </c:pt>
                      <c:pt idx="128">
                        <c:v>124354.45983591932</c:v>
                      </c:pt>
                      <c:pt idx="129">
                        <c:v>127095.61250250808</c:v>
                      </c:pt>
                      <c:pt idx="130">
                        <c:v>129807.77242142812</c:v>
                      </c:pt>
                      <c:pt idx="131">
                        <c:v>132488.1920530418</c:v>
                      </c:pt>
                      <c:pt idx="132">
                        <c:v>135134.26308446287</c:v>
                      </c:pt>
                      <c:pt idx="133">
                        <c:v>137743.52501698493</c:v>
                      </c:pt>
                      <c:pt idx="134">
                        <c:v>140313.67246158788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209-4F7C-B4D0-66E8A6935DDB}"/>
                  </c:ext>
                </c:extLst>
              </c15:ser>
            </c15:filteredScatterSeries>
            <c15:filteredScatterSeries>
              <c15:ser>
                <c:idx val="11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Cumul_removed_bSIR!$AA$7</c15:sqref>
                        </c15:formulaRef>
                      </c:ext>
                    </c:extLst>
                    <c:strCache>
                      <c:ptCount val="1"/>
                      <c:pt idx="0">
                        <c:v>o.r. Lower CI</c:v>
                      </c:pt>
                    </c:strCache>
                  </c:strRef>
                </c:tx>
                <c:spPr>
                  <a:ln w="952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Cumul_removed_bSIR!$C$8:$C$184</c15:sqref>
                        </c15:formulaRef>
                      </c:ext>
                    </c:extLst>
                    <c:numCache>
                      <c:formatCode>General</c:formatCode>
                      <c:ptCount val="17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Cumul_removed_bSIR!$AA$8:$AA$184</c15:sqref>
                        </c15:formulaRef>
                      </c:ext>
                    </c:extLst>
                    <c:numCache>
                      <c:formatCode>0</c:formatCode>
                      <c:ptCount val="17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319.42962709056928</c:v>
                      </c:pt>
                      <c:pt idx="73">
                        <c:v>1245.1102113296483</c:v>
                      </c:pt>
                      <c:pt idx="74">
                        <c:v>2208.691132866737</c:v>
                      </c:pt>
                      <c:pt idx="75">
                        <c:v>3211.3182656508784</c:v>
                      </c:pt>
                      <c:pt idx="76">
                        <c:v>4254.1345758253519</c:v>
                      </c:pt>
                      <c:pt idx="77">
                        <c:v>5338.2760249258099</c:v>
                      </c:pt>
                      <c:pt idx="78">
                        <c:v>6464.8671283882504</c:v>
                      </c:pt>
                      <c:pt idx="79">
                        <c:v>7635.0161644628952</c:v>
                      </c:pt>
                      <c:pt idx="80">
                        <c:v>8849.810031459243</c:v>
                      </c:pt>
                      <c:pt idx="81">
                        <c:v>10110.308754499965</c:v>
                      </c:pt>
                      <c:pt idx="82">
                        <c:v>11417.539646642452</c:v>
                      </c:pt>
                      <c:pt idx="83">
                        <c:v>12772.491133351377</c:v>
                      </c:pt>
                      <c:pt idx="84">
                        <c:v>14176.106253862865</c:v>
                      </c:pt>
                      <c:pt idx="85">
                        <c:v>15629.275857966793</c:v>
                      </c:pt>
                      <c:pt idx="86">
                        <c:v>17132.83152212017</c:v>
                      </c:pt>
                      <c:pt idx="87">
                        <c:v>18687.538214561529</c:v>
                      </c:pt>
                      <c:pt idx="88">
                        <c:v>20294.086745173496</c:v>
                      </c:pt>
                      <c:pt idx="89">
                        <c:v>21953.086042176459</c:v>
                      </c:pt>
                      <c:pt idx="90">
                        <c:v>23665.055304253725</c:v>
                      </c:pt>
                      <c:pt idx="91">
                        <c:v>25430.416083312171</c:v>
                      </c:pt>
                      <c:pt idx="92">
                        <c:v>27249.484359664439</c:v>
                      </c:pt>
                      <c:pt idx="93">
                        <c:v>29122.462677852429</c:v>
                      </c:pt>
                      <c:pt idx="94">
                        <c:v>31049.432417476961</c:v>
                      </c:pt>
                      <c:pt idx="95">
                        <c:v>33030.346279101796</c:v>
                      </c:pt>
                      <c:pt idx="96">
                        <c:v>35065.021070398638</c:v>
                      </c:pt>
                      <c:pt idx="97">
                        <c:v>37153.130882017314</c:v>
                      </c:pt>
                      <c:pt idx="98">
                        <c:v>39294.20074603043</c:v>
                      </c:pt>
                      <c:pt idx="99">
                        <c:v>41487.600872035939</c:v>
                      </c:pt>
                      <c:pt idx="100">
                        <c:v>43732.541556932905</c:v>
                      </c:pt>
                      <c:pt idx="101">
                        <c:v>46028.068863861496</c:v>
                      </c:pt>
                      <c:pt idx="102">
                        <c:v>48373.061163670493</c:v>
                      </c:pt>
                      <c:pt idx="103">
                        <c:v>50766.226628433556</c:v>
                      </c:pt>
                      <c:pt idx="104">
                        <c:v>53206.101760889709</c:v>
                      </c:pt>
                      <c:pt idx="105">
                        <c:v>55691.051036184937</c:v>
                      </c:pt>
                      <c:pt idx="106">
                        <c:v>58219.267722934906</c:v>
                      </c:pt>
                      <c:pt idx="107">
                        <c:v>60788.775939453684</c:v>
                      </c:pt>
                      <c:pt idx="108">
                        <c:v>63397.433988089258</c:v>
                      </c:pt>
                      <c:pt idx="109">
                        <c:v>66042.938996120327</c:v>
                      </c:pt>
                      <c:pt idx="110">
                        <c:v>68722.832875794687</c:v>
                      </c:pt>
                      <c:pt idx="111">
                        <c:v>71434.509599077734</c:v>
                      </c:pt>
                      <c:pt idx="112">
                        <c:v>74175.223764825263</c:v>
                      </c:pt>
                      <c:pt idx="113">
                        <c:v>76942.100417735463</c:v>
                      </c:pt>
                      <c:pt idx="114">
                        <c:v>79732.146059945662</c:v>
                      </c:pt>
                      <c:pt idx="115">
                        <c:v>82542.260777910953</c:v>
                      </c:pt>
                      <c:pt idx="116">
                        <c:v>85369.251389651356</c:v>
                      </c:pt>
                      <c:pt idx="117">
                        <c:v>88209.845500983007</c:v>
                      </c:pt>
                      <c:pt idx="118">
                        <c:v>91060.706344363105</c:v>
                      </c:pt>
                      <c:pt idx="119">
                        <c:v>93918.448260843448</c:v>
                      </c:pt>
                      <c:pt idx="120">
                        <c:v>96779.652674678873</c:v>
                      </c:pt>
                      <c:pt idx="121">
                        <c:v>99640.884401658855</c:v>
                      </c:pt>
                      <c:pt idx="122">
                        <c:v>102498.70812644083</c:v>
                      </c:pt>
                      <c:pt idx="123">
                        <c:v>105349.70488121972</c:v>
                      </c:pt>
                      <c:pt idx="124">
                        <c:v>108190.48835804388</c:v>
                      </c:pt>
                      <c:pt idx="125">
                        <c:v>111017.72088998796</c:v>
                      </c:pt>
                      <c:pt idx="126">
                        <c:v>113828.12894213607</c:v>
                      </c:pt>
                      <c:pt idx="127">
                        <c:v>116618.51796176778</c:v>
                      </c:pt>
                      <c:pt idx="128">
                        <c:v>119385.78644804991</c:v>
                      </c:pt>
                      <c:pt idx="129">
                        <c:v>122126.93911463868</c:v>
                      </c:pt>
                      <c:pt idx="130">
                        <c:v>124839.09903355871</c:v>
                      </c:pt>
                      <c:pt idx="131">
                        <c:v>127519.51866517241</c:v>
                      </c:pt>
                      <c:pt idx="132">
                        <c:v>130165.58969659348</c:v>
                      </c:pt>
                      <c:pt idx="133">
                        <c:v>132774.85162911555</c:v>
                      </c:pt>
                      <c:pt idx="134">
                        <c:v>135344.9990737185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209-4F7C-B4D0-66E8A6935DDB}"/>
                  </c:ext>
                </c:extLst>
              </c15:ser>
            </c15:filteredScatterSeries>
          </c:ext>
        </c:extLst>
      </c:scatterChart>
      <c:scatterChart>
        <c:scatterStyle val="lineMarker"/>
        <c:varyColors val="0"/>
        <c:ser>
          <c:idx val="4"/>
          <c:order val="5"/>
          <c:tx>
            <c:strRef>
              <c:f>Cumul_removed_bSIR!$N$7</c:f>
              <c:strCache>
                <c:ptCount val="1"/>
                <c:pt idx="0">
                  <c:v>region data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5"/>
            <c:spPr>
              <a:solidFill>
                <a:srgbClr val="FF0000"/>
              </a:solidFill>
              <a:ln w="9525">
                <a:noFill/>
                <a:round/>
              </a:ln>
              <a:effectLst/>
            </c:spPr>
          </c:marker>
          <c:xVal>
            <c:numRef>
              <c:f>Cumul_removed_bSIR!$C$62:$C$184</c:f>
              <c:numCache>
                <c:formatCode>General</c:formatCode>
                <c:ptCount val="123"/>
                <c:pt idx="0">
                  <c:v>55</c:v>
                </c:pt>
                <c:pt idx="1">
                  <c:v>56</c:v>
                </c:pt>
                <c:pt idx="2">
                  <c:v>57</c:v>
                </c:pt>
                <c:pt idx="3">
                  <c:v>58</c:v>
                </c:pt>
                <c:pt idx="4">
                  <c:v>59</c:v>
                </c:pt>
                <c:pt idx="5">
                  <c:v>60</c:v>
                </c:pt>
                <c:pt idx="6">
                  <c:v>61</c:v>
                </c:pt>
                <c:pt idx="7">
                  <c:v>62</c:v>
                </c:pt>
                <c:pt idx="8">
                  <c:v>63</c:v>
                </c:pt>
                <c:pt idx="9">
                  <c:v>64</c:v>
                </c:pt>
                <c:pt idx="10">
                  <c:v>65</c:v>
                </c:pt>
                <c:pt idx="11">
                  <c:v>66</c:v>
                </c:pt>
                <c:pt idx="12">
                  <c:v>67</c:v>
                </c:pt>
                <c:pt idx="13">
                  <c:v>68</c:v>
                </c:pt>
                <c:pt idx="14">
                  <c:v>69</c:v>
                </c:pt>
                <c:pt idx="15">
                  <c:v>70</c:v>
                </c:pt>
                <c:pt idx="16">
                  <c:v>71</c:v>
                </c:pt>
                <c:pt idx="17">
                  <c:v>72</c:v>
                </c:pt>
                <c:pt idx="18">
                  <c:v>73</c:v>
                </c:pt>
                <c:pt idx="19">
                  <c:v>74</c:v>
                </c:pt>
                <c:pt idx="20">
                  <c:v>75</c:v>
                </c:pt>
                <c:pt idx="21">
                  <c:v>76</c:v>
                </c:pt>
                <c:pt idx="22">
                  <c:v>77</c:v>
                </c:pt>
                <c:pt idx="23">
                  <c:v>78</c:v>
                </c:pt>
                <c:pt idx="24">
                  <c:v>79</c:v>
                </c:pt>
                <c:pt idx="25">
                  <c:v>80</c:v>
                </c:pt>
                <c:pt idx="26">
                  <c:v>81</c:v>
                </c:pt>
                <c:pt idx="27">
                  <c:v>82</c:v>
                </c:pt>
                <c:pt idx="28">
                  <c:v>83</c:v>
                </c:pt>
                <c:pt idx="29">
                  <c:v>84</c:v>
                </c:pt>
                <c:pt idx="30">
                  <c:v>85</c:v>
                </c:pt>
                <c:pt idx="31">
                  <c:v>86</c:v>
                </c:pt>
                <c:pt idx="32">
                  <c:v>87</c:v>
                </c:pt>
                <c:pt idx="33">
                  <c:v>88</c:v>
                </c:pt>
                <c:pt idx="34">
                  <c:v>89</c:v>
                </c:pt>
                <c:pt idx="35">
                  <c:v>90</c:v>
                </c:pt>
                <c:pt idx="36">
                  <c:v>91</c:v>
                </c:pt>
                <c:pt idx="37">
                  <c:v>92</c:v>
                </c:pt>
                <c:pt idx="38">
                  <c:v>93</c:v>
                </c:pt>
                <c:pt idx="39">
                  <c:v>94</c:v>
                </c:pt>
                <c:pt idx="40">
                  <c:v>95</c:v>
                </c:pt>
                <c:pt idx="41">
                  <c:v>96</c:v>
                </c:pt>
                <c:pt idx="42">
                  <c:v>97</c:v>
                </c:pt>
                <c:pt idx="43">
                  <c:v>98</c:v>
                </c:pt>
                <c:pt idx="44">
                  <c:v>99</c:v>
                </c:pt>
                <c:pt idx="45">
                  <c:v>100</c:v>
                </c:pt>
                <c:pt idx="46">
                  <c:v>101</c:v>
                </c:pt>
                <c:pt idx="47">
                  <c:v>102</c:v>
                </c:pt>
                <c:pt idx="48">
                  <c:v>103</c:v>
                </c:pt>
                <c:pt idx="49">
                  <c:v>104</c:v>
                </c:pt>
                <c:pt idx="50">
                  <c:v>105</c:v>
                </c:pt>
                <c:pt idx="51">
                  <c:v>106</c:v>
                </c:pt>
                <c:pt idx="52">
                  <c:v>107</c:v>
                </c:pt>
                <c:pt idx="53">
                  <c:v>108</c:v>
                </c:pt>
                <c:pt idx="54">
                  <c:v>109</c:v>
                </c:pt>
                <c:pt idx="55">
                  <c:v>110</c:v>
                </c:pt>
                <c:pt idx="56">
                  <c:v>111</c:v>
                </c:pt>
                <c:pt idx="57">
                  <c:v>112</c:v>
                </c:pt>
                <c:pt idx="58">
                  <c:v>113</c:v>
                </c:pt>
                <c:pt idx="59">
                  <c:v>114</c:v>
                </c:pt>
                <c:pt idx="60">
                  <c:v>115</c:v>
                </c:pt>
                <c:pt idx="61">
                  <c:v>116</c:v>
                </c:pt>
                <c:pt idx="62">
                  <c:v>117</c:v>
                </c:pt>
                <c:pt idx="63">
                  <c:v>118</c:v>
                </c:pt>
                <c:pt idx="64">
                  <c:v>119</c:v>
                </c:pt>
                <c:pt idx="65">
                  <c:v>120</c:v>
                </c:pt>
                <c:pt idx="66">
                  <c:v>121</c:v>
                </c:pt>
                <c:pt idx="67">
                  <c:v>122</c:v>
                </c:pt>
                <c:pt idx="68">
                  <c:v>123</c:v>
                </c:pt>
                <c:pt idx="69">
                  <c:v>124</c:v>
                </c:pt>
                <c:pt idx="70">
                  <c:v>125</c:v>
                </c:pt>
                <c:pt idx="71">
                  <c:v>126</c:v>
                </c:pt>
                <c:pt idx="72">
                  <c:v>127</c:v>
                </c:pt>
                <c:pt idx="73">
                  <c:v>128</c:v>
                </c:pt>
                <c:pt idx="74">
                  <c:v>129</c:v>
                </c:pt>
                <c:pt idx="75">
                  <c:v>130</c:v>
                </c:pt>
                <c:pt idx="76">
                  <c:v>131</c:v>
                </c:pt>
                <c:pt idx="77">
                  <c:v>132</c:v>
                </c:pt>
                <c:pt idx="78">
                  <c:v>133</c:v>
                </c:pt>
                <c:pt idx="79">
                  <c:v>134</c:v>
                </c:pt>
                <c:pt idx="80">
                  <c:v>135</c:v>
                </c:pt>
                <c:pt idx="81">
                  <c:v>136</c:v>
                </c:pt>
                <c:pt idx="82">
                  <c:v>137</c:v>
                </c:pt>
                <c:pt idx="83">
                  <c:v>138</c:v>
                </c:pt>
                <c:pt idx="84">
                  <c:v>139</c:v>
                </c:pt>
                <c:pt idx="85">
                  <c:v>140</c:v>
                </c:pt>
                <c:pt idx="86">
                  <c:v>141</c:v>
                </c:pt>
                <c:pt idx="87">
                  <c:v>142</c:v>
                </c:pt>
                <c:pt idx="88">
                  <c:v>143</c:v>
                </c:pt>
                <c:pt idx="89">
                  <c:v>144</c:v>
                </c:pt>
                <c:pt idx="90">
                  <c:v>145</c:v>
                </c:pt>
                <c:pt idx="91">
                  <c:v>146</c:v>
                </c:pt>
                <c:pt idx="92">
                  <c:v>147</c:v>
                </c:pt>
                <c:pt idx="93">
                  <c:v>148</c:v>
                </c:pt>
                <c:pt idx="94">
                  <c:v>149</c:v>
                </c:pt>
                <c:pt idx="95">
                  <c:v>150</c:v>
                </c:pt>
                <c:pt idx="96">
                  <c:v>151</c:v>
                </c:pt>
                <c:pt idx="97">
                  <c:v>152</c:v>
                </c:pt>
                <c:pt idx="98">
                  <c:v>153</c:v>
                </c:pt>
                <c:pt idx="99">
                  <c:v>154</c:v>
                </c:pt>
                <c:pt idx="100">
                  <c:v>155</c:v>
                </c:pt>
                <c:pt idx="101">
                  <c:v>156</c:v>
                </c:pt>
                <c:pt idx="102">
                  <c:v>157</c:v>
                </c:pt>
                <c:pt idx="103">
                  <c:v>158</c:v>
                </c:pt>
                <c:pt idx="104">
                  <c:v>159</c:v>
                </c:pt>
                <c:pt idx="105">
                  <c:v>160</c:v>
                </c:pt>
                <c:pt idx="106">
                  <c:v>161</c:v>
                </c:pt>
                <c:pt idx="107">
                  <c:v>162</c:v>
                </c:pt>
                <c:pt idx="108">
                  <c:v>163</c:v>
                </c:pt>
                <c:pt idx="109">
                  <c:v>164</c:v>
                </c:pt>
                <c:pt idx="110">
                  <c:v>165</c:v>
                </c:pt>
                <c:pt idx="111">
                  <c:v>166</c:v>
                </c:pt>
                <c:pt idx="112">
                  <c:v>167</c:v>
                </c:pt>
                <c:pt idx="113">
                  <c:v>168</c:v>
                </c:pt>
                <c:pt idx="114">
                  <c:v>169</c:v>
                </c:pt>
                <c:pt idx="115">
                  <c:v>170</c:v>
                </c:pt>
                <c:pt idx="116">
                  <c:v>171</c:v>
                </c:pt>
                <c:pt idx="117">
                  <c:v>172</c:v>
                </c:pt>
                <c:pt idx="118">
                  <c:v>173</c:v>
                </c:pt>
                <c:pt idx="119">
                  <c:v>174</c:v>
                </c:pt>
                <c:pt idx="120">
                  <c:v>175</c:v>
                </c:pt>
                <c:pt idx="121">
                  <c:v>176</c:v>
                </c:pt>
                <c:pt idx="122">
                  <c:v>177</c:v>
                </c:pt>
              </c:numCache>
            </c:numRef>
          </c:xVal>
          <c:yVal>
            <c:numRef>
              <c:f>Cumul_removed_bSIR!$N$62:$N$184</c:f>
              <c:numCache>
                <c:formatCode>General</c:formatCode>
                <c:ptCount val="1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5</c:v>
                </c:pt>
                <c:pt idx="9">
                  <c:v>5</c:v>
                </c:pt>
                <c:pt idx="10">
                  <c:v>7</c:v>
                </c:pt>
                <c:pt idx="11">
                  <c:v>8</c:v>
                </c:pt>
                <c:pt idx="12">
                  <c:v>9</c:v>
                </c:pt>
                <c:pt idx="13">
                  <c:v>11</c:v>
                </c:pt>
                <c:pt idx="14">
                  <c:v>12</c:v>
                </c:pt>
                <c:pt idx="15">
                  <c:v>13</c:v>
                </c:pt>
                <c:pt idx="16">
                  <c:v>13</c:v>
                </c:pt>
                <c:pt idx="17">
                  <c:v>31</c:v>
                </c:pt>
                <c:pt idx="18">
                  <c:v>41</c:v>
                </c:pt>
                <c:pt idx="19">
                  <c:v>79</c:v>
                </c:pt>
                <c:pt idx="20">
                  <c:v>66</c:v>
                </c:pt>
                <c:pt idx="21">
                  <c:v>92</c:v>
                </c:pt>
                <c:pt idx="22">
                  <c:v>117</c:v>
                </c:pt>
                <c:pt idx="23">
                  <c:v>143</c:v>
                </c:pt>
                <c:pt idx="24">
                  <c:v>176</c:v>
                </c:pt>
                <c:pt idx="25">
                  <c:v>220</c:v>
                </c:pt>
                <c:pt idx="26">
                  <c:v>277</c:v>
                </c:pt>
                <c:pt idx="27">
                  <c:v>314</c:v>
                </c:pt>
                <c:pt idx="28">
                  <c:v>371</c:v>
                </c:pt>
                <c:pt idx="29">
                  <c:v>424</c:v>
                </c:pt>
                <c:pt idx="30">
                  <c:v>479</c:v>
                </c:pt>
                <c:pt idx="31">
                  <c:v>540</c:v>
                </c:pt>
                <c:pt idx="32">
                  <c:v>636</c:v>
                </c:pt>
                <c:pt idx="33">
                  <c:v>736</c:v>
                </c:pt>
                <c:pt idx="34">
                  <c:v>797</c:v>
                </c:pt>
                <c:pt idx="35">
                  <c:v>834</c:v>
                </c:pt>
                <c:pt idx="36">
                  <c:v>908</c:v>
                </c:pt>
                <c:pt idx="37">
                  <c:v>1015</c:v>
                </c:pt>
                <c:pt idx="38">
                  <c:v>1122</c:v>
                </c:pt>
                <c:pt idx="39">
                  <c:v>1219</c:v>
                </c:pt>
                <c:pt idx="40">
                  <c:v>1309</c:v>
                </c:pt>
                <c:pt idx="41">
                  <c:v>1356</c:v>
                </c:pt>
                <c:pt idx="42">
                  <c:v>1432</c:v>
                </c:pt>
                <c:pt idx="43">
                  <c:v>1545</c:v>
                </c:pt>
                <c:pt idx="44">
                  <c:v>1661</c:v>
                </c:pt>
                <c:pt idx="45">
                  <c:v>1767</c:v>
                </c:pt>
                <c:pt idx="46">
                  <c:v>1890</c:v>
                </c:pt>
                <c:pt idx="47">
                  <c:v>2043</c:v>
                </c:pt>
                <c:pt idx="48">
                  <c:v>2161</c:v>
                </c:pt>
                <c:pt idx="49">
                  <c:v>2231</c:v>
                </c:pt>
                <c:pt idx="50">
                  <c:v>2342</c:v>
                </c:pt>
                <c:pt idx="51">
                  <c:v>2472</c:v>
                </c:pt>
                <c:pt idx="52">
                  <c:v>2602</c:v>
                </c:pt>
                <c:pt idx="53">
                  <c:v>2729</c:v>
                </c:pt>
                <c:pt idx="54">
                  <c:v>2889</c:v>
                </c:pt>
                <c:pt idx="55">
                  <c:v>3038</c:v>
                </c:pt>
                <c:pt idx="56">
                  <c:v>3173</c:v>
                </c:pt>
                <c:pt idx="57">
                  <c:v>3301</c:v>
                </c:pt>
                <c:pt idx="58">
                  <c:v>3442</c:v>
                </c:pt>
                <c:pt idx="59">
                  <c:v>3583</c:v>
                </c:pt>
                <c:pt idx="60">
                  <c:v>3736</c:v>
                </c:pt>
                <c:pt idx="61">
                  <c:v>3868</c:v>
                </c:pt>
                <c:pt idx="62">
                  <c:v>4008</c:v>
                </c:pt>
                <c:pt idx="63">
                  <c:v>4062</c:v>
                </c:pt>
                <c:pt idx="64">
                  <c:v>4201</c:v>
                </c:pt>
                <c:pt idx="65">
                  <c:v>4313</c:v>
                </c:pt>
                <c:pt idx="66">
                  <c:v>4442</c:v>
                </c:pt>
                <c:pt idx="67">
                  <c:v>4608</c:v>
                </c:pt>
                <c:pt idx="68">
                  <c:v>4714</c:v>
                </c:pt>
                <c:pt idx="69">
                  <c:v>4808</c:v>
                </c:pt>
                <c:pt idx="70">
                  <c:v>4904</c:v>
                </c:pt>
                <c:pt idx="71">
                  <c:v>5048</c:v>
                </c:pt>
                <c:pt idx="72">
                  <c:v>5245</c:v>
                </c:pt>
                <c:pt idx="73">
                  <c:v>5397</c:v>
                </c:pt>
                <c:pt idx="74">
                  <c:v>5547</c:v>
                </c:pt>
                <c:pt idx="75">
                  <c:v>5756</c:v>
                </c:pt>
                <c:pt idx="76">
                  <c:v>5888</c:v>
                </c:pt>
                <c:pt idx="77">
                  <c:v>5988</c:v>
                </c:pt>
                <c:pt idx="78">
                  <c:v>6084</c:v>
                </c:pt>
                <c:pt idx="79">
                  <c:v>6212</c:v>
                </c:pt>
                <c:pt idx="80">
                  <c:v>6335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209-4F7C-B4D0-66E8A6935D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2081744"/>
        <c:axId val="6220820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Cumul_removed_bSIR!$D$7</c15:sqref>
                        </c15:formulaRef>
                      </c:ext>
                    </c:extLst>
                    <c:strCache>
                      <c:ptCount val="1"/>
                      <c:pt idx="0">
                        <c:v>Italy cumulative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square"/>
                  <c:size val="5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 w="9525">
                      <a:solidFill>
                        <a:schemeClr val="accent1"/>
                      </a:solidFill>
                      <a:round/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Cumul_removed_bSIR!$C$8:$C$184</c15:sqref>
                        </c15:formulaRef>
                      </c:ext>
                    </c:extLst>
                    <c:numCache>
                      <c:formatCode>General</c:formatCode>
                      <c:ptCount val="17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Cumul_removed_bSIR!$D$8:$D$184</c15:sqref>
                        </c15:formulaRef>
                      </c:ext>
                    </c:extLst>
                    <c:numCache>
                      <c:formatCode>0</c:formatCode>
                      <c:ptCount val="177"/>
                      <c:pt idx="54">
                        <c:v>8</c:v>
                      </c:pt>
                      <c:pt idx="55">
                        <c:v>11</c:v>
                      </c:pt>
                      <c:pt idx="56">
                        <c:v>15</c:v>
                      </c:pt>
                      <c:pt idx="57">
                        <c:v>62</c:v>
                      </c:pt>
                      <c:pt idx="58">
                        <c:v>67</c:v>
                      </c:pt>
                      <c:pt idx="59">
                        <c:v>79</c:v>
                      </c:pt>
                      <c:pt idx="60">
                        <c:v>117</c:v>
                      </c:pt>
                      <c:pt idx="61">
                        <c:v>201</c:v>
                      </c:pt>
                      <c:pt idx="62">
                        <c:v>239</c:v>
                      </c:pt>
                      <c:pt idx="63">
                        <c:v>383</c:v>
                      </c:pt>
                      <c:pt idx="64">
                        <c:v>562</c:v>
                      </c:pt>
                      <c:pt idx="65">
                        <c:v>720</c:v>
                      </c:pt>
                      <c:pt idx="66">
                        <c:v>822</c:v>
                      </c:pt>
                      <c:pt idx="67">
                        <c:v>988</c:v>
                      </c:pt>
                      <c:pt idx="68">
                        <c:v>1187</c:v>
                      </c:pt>
                      <c:pt idx="69">
                        <c:v>1635</c:v>
                      </c:pt>
                      <c:pt idx="70">
                        <c:v>1872</c:v>
                      </c:pt>
                      <c:pt idx="71">
                        <c:v>2274</c:v>
                      </c:pt>
                      <c:pt idx="72">
                        <c:v>2705</c:v>
                      </c:pt>
                      <c:pt idx="73">
                        <c:v>3407</c:v>
                      </c:pt>
                      <c:pt idx="74">
                        <c:v>4144</c:v>
                      </c:pt>
                      <c:pt idx="75">
                        <c:v>4907</c:v>
                      </c:pt>
                      <c:pt idx="76">
                        <c:v>5444</c:v>
                      </c:pt>
                      <c:pt idx="77">
                        <c:v>7003</c:v>
                      </c:pt>
                      <c:pt idx="78">
                        <c:v>7845</c:v>
                      </c:pt>
                      <c:pt idx="79">
                        <c:v>9161</c:v>
                      </c:pt>
                      <c:pt idx="80">
                        <c:v>10897</c:v>
                      </c:pt>
                      <c:pt idx="81">
                        <c:v>12500</c:v>
                      </c:pt>
                      <c:pt idx="82">
                        <c:v>13509</c:v>
                      </c:pt>
                      <c:pt idx="83">
                        <c:v>15146</c:v>
                      </c:pt>
                      <c:pt idx="84">
                        <c:v>16865</c:v>
                      </c:pt>
                      <c:pt idx="85">
                        <c:v>18526</c:v>
                      </c:pt>
                      <c:pt idx="86">
                        <c:v>20084</c:v>
                      </c:pt>
                      <c:pt idx="87">
                        <c:v>22407</c:v>
                      </c:pt>
                      <c:pt idx="88">
                        <c:v>23809</c:v>
                      </c:pt>
                      <c:pt idx="89">
                        <c:v>26211</c:v>
                      </c:pt>
                      <c:pt idx="90">
                        <c:v>28157</c:v>
                      </c:pt>
                      <c:pt idx="91">
                        <c:v>30002</c:v>
                      </c:pt>
                      <c:pt idx="92">
                        <c:v>32193</c:v>
                      </c:pt>
                      <c:pt idx="93">
                        <c:v>34439</c:v>
                      </c:pt>
                      <c:pt idx="94">
                        <c:v>36358</c:v>
                      </c:pt>
                      <c:pt idx="95">
                        <c:v>37702</c:v>
                      </c:pt>
                      <c:pt idx="96">
                        <c:v>39360</c:v>
                      </c:pt>
                      <c:pt idx="97">
                        <c:v>41519</c:v>
                      </c:pt>
                      <c:pt idx="98">
                        <c:v>44160</c:v>
                      </c:pt>
                      <c:pt idx="99">
                        <c:v>46749</c:v>
                      </c:pt>
                      <c:pt idx="100">
                        <c:v>49304</c:v>
                      </c:pt>
                      <c:pt idx="101">
                        <c:v>52002</c:v>
                      </c:pt>
                      <c:pt idx="102">
                        <c:v>54110</c:v>
                      </c:pt>
                      <c:pt idx="103">
                        <c:v>55900</c:v>
                      </c:pt>
                      <c:pt idx="104">
                        <c:v>58197</c:v>
                      </c:pt>
                      <c:pt idx="105">
                        <c:v>59737</c:v>
                      </c:pt>
                      <c:pt idx="106">
                        <c:v>62334</c:v>
                      </c:pt>
                      <c:pt idx="107">
                        <c:v>65472</c:v>
                      </c:pt>
                      <c:pt idx="108">
                        <c:v>68154</c:v>
                      </c:pt>
                      <c:pt idx="109">
                        <c:v>70715</c:v>
                      </c:pt>
                      <c:pt idx="110">
                        <c:v>72991</c:v>
                      </c:pt>
                      <c:pt idx="111">
                        <c:v>76248</c:v>
                      </c:pt>
                      <c:pt idx="112">
                        <c:v>79628</c:v>
                      </c:pt>
                      <c:pt idx="113">
                        <c:v>83125</c:v>
                      </c:pt>
                      <c:pt idx="114">
                        <c:v>86467</c:v>
                      </c:pt>
                      <c:pt idx="115">
                        <c:v>89504</c:v>
                      </c:pt>
                      <c:pt idx="116">
                        <c:v>91572</c:v>
                      </c:pt>
                      <c:pt idx="117">
                        <c:v>93601</c:v>
                      </c:pt>
                      <c:pt idx="118">
                        <c:v>96300</c:v>
                      </c:pt>
                      <c:pt idx="119">
                        <c:v>98934</c:v>
                      </c:pt>
                      <c:pt idx="120">
                        <c:v>103912</c:v>
                      </c:pt>
                      <c:pt idx="121">
                        <c:v>106485</c:v>
                      </c:pt>
                      <c:pt idx="122">
                        <c:v>108624</c:v>
                      </c:pt>
                      <c:pt idx="123">
                        <c:v>110538</c:v>
                      </c:pt>
                      <c:pt idx="124">
                        <c:v>111958</c:v>
                      </c:pt>
                      <c:pt idx="125">
                        <c:v>114546</c:v>
                      </c:pt>
                      <c:pt idx="126">
                        <c:v>122929</c:v>
                      </c:pt>
                      <c:pt idx="127">
                        <c:v>126234</c:v>
                      </c:pt>
                      <c:pt idx="128">
                        <c:v>129224</c:v>
                      </c:pt>
                      <c:pt idx="129">
                        <c:v>133426</c:v>
                      </c:pt>
                      <c:pt idx="130">
                        <c:v>135746</c:v>
                      </c:pt>
                      <c:pt idx="131">
                        <c:v>137326</c:v>
                      </c:pt>
                      <c:pt idx="132">
                        <c:v>139950</c:v>
                      </c:pt>
                      <c:pt idx="133">
                        <c:v>143647</c:v>
                      </c:pt>
                      <c:pt idx="134">
                        <c:v>146656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4-1209-4F7C-B4D0-66E8A6935DDB}"/>
                  </c:ext>
                </c:extLst>
              </c15:ser>
            </c15:filteredScatterSeries>
            <c15:filteredScatterSeries>
              <c15:ser>
                <c:idx val="2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Cumul_removed_bSIR!$L$7</c15:sqref>
                        </c15:formulaRef>
                      </c:ext>
                    </c:extLst>
                    <c:strCache>
                      <c:ptCount val="1"/>
                      <c:pt idx="0">
                        <c:v>Upper CI</c:v>
                      </c:pt>
                    </c:strCache>
                  </c:strRef>
                </c:tx>
                <c:spPr>
                  <a:ln w="952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Cumul_removed_bSIR!$C$8:$C$184</c15:sqref>
                        </c15:formulaRef>
                      </c:ext>
                    </c:extLst>
                    <c:numCache>
                      <c:formatCode>General</c:formatCode>
                      <c:ptCount val="17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Cumul_removed_bSIR!$L$8:$L$184</c15:sqref>
                        </c15:formulaRef>
                      </c:ext>
                    </c:extLst>
                    <c:numCache>
                      <c:formatCode>0</c:formatCode>
                      <c:ptCount val="177"/>
                      <c:pt idx="0">
                        <c:v>2460.5777545213355</c:v>
                      </c:pt>
                      <c:pt idx="1">
                        <c:v>2460.5777545213355</c:v>
                      </c:pt>
                      <c:pt idx="2">
                        <c:v>2460.5777545213355</c:v>
                      </c:pt>
                      <c:pt idx="3">
                        <c:v>2460.5777545213355</c:v>
                      </c:pt>
                      <c:pt idx="4">
                        <c:v>2460.5777545213355</c:v>
                      </c:pt>
                      <c:pt idx="5">
                        <c:v>2460.5777545213355</c:v>
                      </c:pt>
                      <c:pt idx="6">
                        <c:v>2460.5777545213355</c:v>
                      </c:pt>
                      <c:pt idx="7">
                        <c:v>2460.5777545213355</c:v>
                      </c:pt>
                      <c:pt idx="8">
                        <c:v>2460.5777545213355</c:v>
                      </c:pt>
                      <c:pt idx="9">
                        <c:v>2460.5777545213355</c:v>
                      </c:pt>
                      <c:pt idx="10">
                        <c:v>2460.5777545213355</c:v>
                      </c:pt>
                      <c:pt idx="11">
                        <c:v>2460.5777545213355</c:v>
                      </c:pt>
                      <c:pt idx="12">
                        <c:v>2460.5777545213355</c:v>
                      </c:pt>
                      <c:pt idx="13">
                        <c:v>2460.5777545213355</c:v>
                      </c:pt>
                      <c:pt idx="14">
                        <c:v>2460.5777545213355</c:v>
                      </c:pt>
                      <c:pt idx="15">
                        <c:v>2460.5777545213355</c:v>
                      </c:pt>
                      <c:pt idx="16">
                        <c:v>2460.5777545213355</c:v>
                      </c:pt>
                      <c:pt idx="17">
                        <c:v>2460.5777545213355</c:v>
                      </c:pt>
                      <c:pt idx="18">
                        <c:v>2460.5777545213355</c:v>
                      </c:pt>
                      <c:pt idx="19">
                        <c:v>2460.5777545213355</c:v>
                      </c:pt>
                      <c:pt idx="20">
                        <c:v>2460.5777545213355</c:v>
                      </c:pt>
                      <c:pt idx="21">
                        <c:v>2460.5777545213355</c:v>
                      </c:pt>
                      <c:pt idx="22">
                        <c:v>2460.5777545213355</c:v>
                      </c:pt>
                      <c:pt idx="23">
                        <c:v>2460.5777545213355</c:v>
                      </c:pt>
                      <c:pt idx="24">
                        <c:v>2460.5777545213355</c:v>
                      </c:pt>
                      <c:pt idx="25">
                        <c:v>2460.5777545213355</c:v>
                      </c:pt>
                      <c:pt idx="26">
                        <c:v>2460.5777545213355</c:v>
                      </c:pt>
                      <c:pt idx="27">
                        <c:v>2460.5777545213355</c:v>
                      </c:pt>
                      <c:pt idx="28">
                        <c:v>2460.5777545213355</c:v>
                      </c:pt>
                      <c:pt idx="29">
                        <c:v>2460.5777545213355</c:v>
                      </c:pt>
                      <c:pt idx="30">
                        <c:v>2460.5777545213355</c:v>
                      </c:pt>
                      <c:pt idx="31">
                        <c:v>2460.5777545213355</c:v>
                      </c:pt>
                      <c:pt idx="32">
                        <c:v>2460.5777545213355</c:v>
                      </c:pt>
                      <c:pt idx="33">
                        <c:v>2460.5777545213355</c:v>
                      </c:pt>
                      <c:pt idx="34">
                        <c:v>2460.5777545213355</c:v>
                      </c:pt>
                      <c:pt idx="35">
                        <c:v>2460.5777545213355</c:v>
                      </c:pt>
                      <c:pt idx="36">
                        <c:v>2460.5777545213355</c:v>
                      </c:pt>
                      <c:pt idx="37">
                        <c:v>2460.5777545213355</c:v>
                      </c:pt>
                      <c:pt idx="38">
                        <c:v>2460.5777545213355</c:v>
                      </c:pt>
                      <c:pt idx="39">
                        <c:v>2460.5777545213355</c:v>
                      </c:pt>
                      <c:pt idx="40">
                        <c:v>2460.5777545213355</c:v>
                      </c:pt>
                      <c:pt idx="41">
                        <c:v>2460.5777545213355</c:v>
                      </c:pt>
                      <c:pt idx="42">
                        <c:v>2460.5777545213355</c:v>
                      </c:pt>
                      <c:pt idx="43">
                        <c:v>2460.5777545213355</c:v>
                      </c:pt>
                      <c:pt idx="44">
                        <c:v>2460.5777545213355</c:v>
                      </c:pt>
                      <c:pt idx="45">
                        <c:v>2460.5777545213355</c:v>
                      </c:pt>
                      <c:pt idx="46">
                        <c:v>2460.5777545213355</c:v>
                      </c:pt>
                      <c:pt idx="47">
                        <c:v>2460.5777545213355</c:v>
                      </c:pt>
                      <c:pt idx="48">
                        <c:v>2460.5777545213355</c:v>
                      </c:pt>
                      <c:pt idx="49">
                        <c:v>2460.5777545213355</c:v>
                      </c:pt>
                      <c:pt idx="50">
                        <c:v>2460.5777545213355</c:v>
                      </c:pt>
                      <c:pt idx="51">
                        <c:v>2460.5777545213355</c:v>
                      </c:pt>
                      <c:pt idx="52">
                        <c:v>2460.5777545213355</c:v>
                      </c:pt>
                      <c:pt idx="53">
                        <c:v>2460.5777545213355</c:v>
                      </c:pt>
                      <c:pt idx="54">
                        <c:v>2460.5777545213355</c:v>
                      </c:pt>
                      <c:pt idx="55">
                        <c:v>2460.5777545213355</c:v>
                      </c:pt>
                      <c:pt idx="56">
                        <c:v>2460.5777545213355</c:v>
                      </c:pt>
                      <c:pt idx="57">
                        <c:v>2460.5777545213355</c:v>
                      </c:pt>
                      <c:pt idx="58">
                        <c:v>2460.5777545213355</c:v>
                      </c:pt>
                      <c:pt idx="59">
                        <c:v>2460.5777545213355</c:v>
                      </c:pt>
                      <c:pt idx="60">
                        <c:v>2460.5777545213355</c:v>
                      </c:pt>
                      <c:pt idx="61">
                        <c:v>2460.5777545213355</c:v>
                      </c:pt>
                      <c:pt idx="62">
                        <c:v>2460.5777545213355</c:v>
                      </c:pt>
                      <c:pt idx="63">
                        <c:v>2460.5777545213355</c:v>
                      </c:pt>
                      <c:pt idx="64">
                        <c:v>2460.5777545213355</c:v>
                      </c:pt>
                      <c:pt idx="65">
                        <c:v>2460.5777545213355</c:v>
                      </c:pt>
                      <c:pt idx="66">
                        <c:v>2460.5777545213355</c:v>
                      </c:pt>
                      <c:pt idx="67">
                        <c:v>2460.5777545213355</c:v>
                      </c:pt>
                      <c:pt idx="68">
                        <c:v>2460.5777545213355</c:v>
                      </c:pt>
                      <c:pt idx="69">
                        <c:v>2703.2786535412097</c:v>
                      </c:pt>
                      <c:pt idx="70">
                        <c:v>3522.1081128137052</c:v>
                      </c:pt>
                      <c:pt idx="71">
                        <c:v>4375.4188062936082</c:v>
                      </c:pt>
                      <c:pt idx="72">
                        <c:v>5264.3440755466036</c:v>
                      </c:pt>
                      <c:pt idx="73">
                        <c:v>6190.0246597856831</c:v>
                      </c:pt>
                      <c:pt idx="74">
                        <c:v>7153.6055813227722</c:v>
                      </c:pt>
                      <c:pt idx="75">
                        <c:v>8188.3335386167801</c:v>
                      </c:pt>
                      <c:pt idx="76">
                        <c:v>9275.1820485822846</c:v>
                      </c:pt>
                      <c:pt idx="77">
                        <c:v>10405.440974319014</c:v>
                      </c:pt>
                      <c:pt idx="78">
                        <c:v>11580.307868027516</c:v>
                      </c:pt>
                      <c:pt idx="79">
                        <c:v>12800.963852173812</c:v>
                      </c:pt>
                      <c:pt idx="80">
                        <c:v>14068.568131051343</c:v>
                      </c:pt>
                      <c:pt idx="81">
                        <c:v>15384.252118363978</c:v>
                      </c:pt>
                      <c:pt idx="82">
                        <c:v>16749.113185189664</c:v>
                      </c:pt>
                      <c:pt idx="83">
                        <c:v>18164.208037184577</c:v>
                      </c:pt>
                      <c:pt idx="84">
                        <c:v>19630.545734883675</c:v>
                      </c:pt>
                      <c:pt idx="85">
                        <c:v>21149.080376442296</c:v>
                      </c:pt>
                      <c:pt idx="86">
                        <c:v>22720.703468117703</c:v>
                      </c:pt>
                      <c:pt idx="87">
                        <c:v>24346.236014177397</c:v>
                      </c:pt>
                      <c:pt idx="88">
                        <c:v>26026.420364689016</c:v>
                      </c:pt>
                      <c:pt idx="89">
                        <c:v>27761.911866727132</c:v>
                      </c:pt>
                      <c:pt idx="90">
                        <c:v>29553.270371840015</c:v>
                      </c:pt>
                      <c:pt idx="91">
                        <c:v>31400.951660047336</c:v>
                      </c:pt>
                      <c:pt idx="92">
                        <c:v>33305.29884806621</c:v>
                      </c:pt>
                      <c:pt idx="93">
                        <c:v>35266.53385674295</c:v>
                      </c:pt>
                      <c:pt idx="94">
                        <c:v>37284.749019641269</c:v>
                      </c:pt>
                      <c:pt idx="95">
                        <c:v>39359.898921226973</c:v>
                      </c:pt>
                      <c:pt idx="96">
                        <c:v>41491.792558905996</c:v>
                      </c:pt>
                      <c:pt idx="97">
                        <c:v>43680.08592811197</c:v>
                      </c:pt>
                      <c:pt idx="98">
                        <c:v>45924.275133500945</c:v>
                      </c:pt>
                      <c:pt idx="99">
                        <c:v>48223.690131885545</c:v>
                      </c:pt>
                      <c:pt idx="100">
                        <c:v>50577.489213628316</c:v>
                      </c:pt>
                      <c:pt idx="101">
                        <c:v>52984.654328633093</c:v>
                      </c:pt>
                      <c:pt idx="102">
                        <c:v>55443.987360652492</c:v>
                      </c:pt>
                      <c:pt idx="103">
                        <c:v>57954.107449238902</c:v>
                      </c:pt>
                      <c:pt idx="104">
                        <c:v>60513.449452203044</c:v>
                      </c:pt>
                      <c:pt idx="105">
                        <c:v>63120.263632854017</c:v>
                      </c:pt>
                      <c:pt idx="106">
                        <c:v>65772.616645574555</c:v>
                      </c:pt>
                      <c:pt idx="107">
                        <c:v>68468.393880488962</c:v>
                      </c:pt>
                      <c:pt idx="108">
                        <c:v>71205.303213220206</c:v>
                      </c:pt>
                      <c:pt idx="109">
                        <c:v>73980.880189187374</c:v>
                      </c:pt>
                      <c:pt idx="110">
                        <c:v>76792.494653803325</c:v>
                      </c:pt>
                      <c:pt idx="111">
                        <c:v>79637.358820596652</c:v>
                      </c:pt>
                      <c:pt idx="112">
                        <c:v>82512.536749057588</c:v>
                      </c:pt>
                      <c:pt idx="113">
                        <c:v>85414.955183297963</c:v>
                      </c:pt>
                      <c:pt idx="114">
                        <c:v>88341.415681863567</c:v>
                      </c:pt>
                      <c:pt idx="115">
                        <c:v>91288.607948705307</c:v>
                      </c:pt>
                      <c:pt idx="116">
                        <c:v>94253.124255885836</c:v>
                      </c:pt>
                      <c:pt idx="117">
                        <c:v>97231.474830535764</c:v>
                      </c:pt>
                      <c:pt idx="118">
                        <c:v>100220.10406233695</c:v>
                      </c:pt>
                      <c:pt idx="119">
                        <c:v>103215.40737380796</c:v>
                      </c:pt>
                      <c:pt idx="120">
                        <c:v>106213.74858426538</c:v>
                      </c:pt>
                      <c:pt idx="121">
                        <c:v>109211.47758983269</c:v>
                      </c:pt>
                      <c:pt idx="122">
                        <c:v>112204.94817648597</c:v>
                      </c:pt>
                      <c:pt idx="123">
                        <c:v>115190.53578100477</c:v>
                      </c:pt>
                      <c:pt idx="124">
                        <c:v>118164.65501588382</c:v>
                      </c:pt>
                      <c:pt idx="125">
                        <c:v>121123.77677871734</c:v>
                      </c:pt>
                      <c:pt idx="126">
                        <c:v>124064.44477416248</c:v>
                      </c:pt>
                      <c:pt idx="127">
                        <c:v>126983.29128710915</c:v>
                      </c:pt>
                      <c:pt idx="128">
                        <c:v>129877.05205884247</c:v>
                      </c:pt>
                      <c:pt idx="129">
                        <c:v>132742.58013343005</c:v>
                      </c:pt>
                      <c:pt idx="130">
                        <c:v>135576.85855889932</c:v>
                      </c:pt>
                      <c:pt idx="131">
                        <c:v>138377.01184654902</c:v>
                      </c:pt>
                      <c:pt idx="132">
                        <c:v>141140.31611151091</c:v>
                      </c:pt>
                      <c:pt idx="133">
                        <c:v>143864.2078379732</c:v>
                      </c:pt>
                      <c:pt idx="134">
                        <c:v>146546.29123284994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209-4F7C-B4D0-66E8A6935DDB}"/>
                  </c:ext>
                </c:extLst>
              </c15:ser>
            </c15:filteredScatterSeries>
            <c15:filteredScatterSeries>
              <c15:ser>
                <c:idx val="3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Cumul_removed_bSIR!$M$7</c15:sqref>
                        </c15:formulaRef>
                      </c:ext>
                    </c:extLst>
                    <c:strCache>
                      <c:ptCount val="1"/>
                      <c:pt idx="0">
                        <c:v>Lower CI</c:v>
                      </c:pt>
                    </c:strCache>
                  </c:strRef>
                </c:tx>
                <c:spPr>
                  <a:ln w="952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Cumul_removed_bSIR!$C$8:$C$184</c15:sqref>
                        </c15:formulaRef>
                      </c:ext>
                    </c:extLst>
                    <c:numCache>
                      <c:formatCode>General</c:formatCode>
                      <c:ptCount val="17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Cumul_removed_bSIR!$M$8:$M$184</c15:sqref>
                        </c15:formulaRef>
                      </c:ext>
                    </c:extLst>
                    <c:numCache>
                      <c:formatCode>0</c:formatCode>
                      <c:ptCount val="17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343.18856650393309</c:v>
                      </c:pt>
                      <c:pt idx="73">
                        <c:v>1268.8691507430121</c:v>
                      </c:pt>
                      <c:pt idx="74">
                        <c:v>2232.4500722801008</c:v>
                      </c:pt>
                      <c:pt idx="75">
                        <c:v>3267.1780295741087</c:v>
                      </c:pt>
                      <c:pt idx="76">
                        <c:v>4354.0265395396145</c:v>
                      </c:pt>
                      <c:pt idx="77">
                        <c:v>5484.2854652763435</c:v>
                      </c:pt>
                      <c:pt idx="78">
                        <c:v>6659.1523589848457</c:v>
                      </c:pt>
                      <c:pt idx="79">
                        <c:v>7879.8083431311425</c:v>
                      </c:pt>
                      <c:pt idx="80">
                        <c:v>9147.4126220086728</c:v>
                      </c:pt>
                      <c:pt idx="81">
                        <c:v>10463.096609321308</c:v>
                      </c:pt>
                      <c:pt idx="82">
                        <c:v>11827.957676146993</c:v>
                      </c:pt>
                      <c:pt idx="83">
                        <c:v>13243.052528141907</c:v>
                      </c:pt>
                      <c:pt idx="84">
                        <c:v>14709.390225841005</c:v>
                      </c:pt>
                      <c:pt idx="85">
                        <c:v>16227.924867399626</c:v>
                      </c:pt>
                      <c:pt idx="86">
                        <c:v>17799.547959075033</c:v>
                      </c:pt>
                      <c:pt idx="87">
                        <c:v>19425.080505134727</c:v>
                      </c:pt>
                      <c:pt idx="88">
                        <c:v>21105.264855646346</c:v>
                      </c:pt>
                      <c:pt idx="89">
                        <c:v>22840.756357684462</c:v>
                      </c:pt>
                      <c:pt idx="90">
                        <c:v>24632.114862797345</c:v>
                      </c:pt>
                      <c:pt idx="91">
                        <c:v>26479.796151004666</c:v>
                      </c:pt>
                      <c:pt idx="92">
                        <c:v>28384.143339023536</c:v>
                      </c:pt>
                      <c:pt idx="93">
                        <c:v>30345.37834770028</c:v>
                      </c:pt>
                      <c:pt idx="94">
                        <c:v>32363.593510598599</c:v>
                      </c:pt>
                      <c:pt idx="95">
                        <c:v>34438.743412184303</c:v>
                      </c:pt>
                      <c:pt idx="96">
                        <c:v>36570.637049863326</c:v>
                      </c:pt>
                      <c:pt idx="97">
                        <c:v>38758.9304190693</c:v>
                      </c:pt>
                      <c:pt idx="98">
                        <c:v>41003.119624458275</c:v>
                      </c:pt>
                      <c:pt idx="99">
                        <c:v>43302.534622842875</c:v>
                      </c:pt>
                      <c:pt idx="100">
                        <c:v>45656.333704585646</c:v>
                      </c:pt>
                      <c:pt idx="101">
                        <c:v>48063.498819590422</c:v>
                      </c:pt>
                      <c:pt idx="102">
                        <c:v>50522.831851609822</c:v>
                      </c:pt>
                      <c:pt idx="103">
                        <c:v>53032.951940196232</c:v>
                      </c:pt>
                      <c:pt idx="104">
                        <c:v>55592.293943160374</c:v>
                      </c:pt>
                      <c:pt idx="105">
                        <c:v>58199.108123811347</c:v>
                      </c:pt>
                      <c:pt idx="106">
                        <c:v>60851.461136531878</c:v>
                      </c:pt>
                      <c:pt idx="107">
                        <c:v>63547.238371446292</c:v>
                      </c:pt>
                      <c:pt idx="108">
                        <c:v>66284.147704177536</c:v>
                      </c:pt>
                      <c:pt idx="109">
                        <c:v>69059.724680144704</c:v>
                      </c:pt>
                      <c:pt idx="110">
                        <c:v>71871.339144760655</c:v>
                      </c:pt>
                      <c:pt idx="111">
                        <c:v>74716.203311553982</c:v>
                      </c:pt>
                      <c:pt idx="112">
                        <c:v>77591.381240014918</c:v>
                      </c:pt>
                      <c:pt idx="113">
                        <c:v>80493.799674255293</c:v>
                      </c:pt>
                      <c:pt idx="114">
                        <c:v>83420.260172820897</c:v>
                      </c:pt>
                      <c:pt idx="115">
                        <c:v>86367.452439662637</c:v>
                      </c:pt>
                      <c:pt idx="116">
                        <c:v>89331.968746843166</c:v>
                      </c:pt>
                      <c:pt idx="117">
                        <c:v>92310.319321493094</c:v>
                      </c:pt>
                      <c:pt idx="118">
                        <c:v>95298.948553294278</c:v>
                      </c:pt>
                      <c:pt idx="119">
                        <c:v>98294.251864765291</c:v>
                      </c:pt>
                      <c:pt idx="120">
                        <c:v>101292.59307522271</c:v>
                      </c:pt>
                      <c:pt idx="121">
                        <c:v>104290.32208079002</c:v>
                      </c:pt>
                      <c:pt idx="122">
                        <c:v>107283.7926674433</c:v>
                      </c:pt>
                      <c:pt idx="123">
                        <c:v>110269.3802719621</c:v>
                      </c:pt>
                      <c:pt idx="124">
                        <c:v>113243.49950684115</c:v>
                      </c:pt>
                      <c:pt idx="125">
                        <c:v>116202.62126967467</c:v>
                      </c:pt>
                      <c:pt idx="126">
                        <c:v>119143.28926511981</c:v>
                      </c:pt>
                      <c:pt idx="127">
                        <c:v>122062.13577806648</c:v>
                      </c:pt>
                      <c:pt idx="128">
                        <c:v>124955.8965497998</c:v>
                      </c:pt>
                      <c:pt idx="129">
                        <c:v>127821.42462438738</c:v>
                      </c:pt>
                      <c:pt idx="130">
                        <c:v>130655.70304985665</c:v>
                      </c:pt>
                      <c:pt idx="131">
                        <c:v>133455.85633750635</c:v>
                      </c:pt>
                      <c:pt idx="132">
                        <c:v>136219.16060246824</c:v>
                      </c:pt>
                      <c:pt idx="133">
                        <c:v>138943.05232893053</c:v>
                      </c:pt>
                      <c:pt idx="134">
                        <c:v>141625.13572380727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209-4F7C-B4D0-66E8A6935DDB}"/>
                  </c:ext>
                </c:extLst>
              </c15:ser>
            </c15:filteredScatterSeries>
            <c15:filteredScatterSeries>
              <c15:ser>
                <c:idx val="8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Cumul_removed_bSIR!$U$7</c15:sqref>
                        </c15:formulaRef>
                      </c:ext>
                    </c:extLst>
                    <c:strCache>
                      <c:ptCount val="1"/>
                      <c:pt idx="0">
                        <c:v>rest of Italy 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rgbClr val="00B050"/>
                    </a:solidFill>
                    <a:ln w="9525">
                      <a:noFill/>
                      <a:round/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Cumul_removed_bSIR!$C$8:$C$184</c15:sqref>
                        </c15:formulaRef>
                      </c:ext>
                    </c:extLst>
                    <c:numCache>
                      <c:formatCode>General</c:formatCode>
                      <c:ptCount val="17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Cumul_removed_bSIR!$U$8:$U$184</c15:sqref>
                        </c15:formulaRef>
                      </c:ext>
                    </c:extLst>
                    <c:numCache>
                      <c:formatCode>0</c:formatCode>
                      <c:ptCount val="177"/>
                      <c:pt idx="54">
                        <c:v>8</c:v>
                      </c:pt>
                      <c:pt idx="55">
                        <c:v>11</c:v>
                      </c:pt>
                      <c:pt idx="56">
                        <c:v>15</c:v>
                      </c:pt>
                      <c:pt idx="57">
                        <c:v>62</c:v>
                      </c:pt>
                      <c:pt idx="58">
                        <c:v>67</c:v>
                      </c:pt>
                      <c:pt idx="59">
                        <c:v>75</c:v>
                      </c:pt>
                      <c:pt idx="60">
                        <c:v>113</c:v>
                      </c:pt>
                      <c:pt idx="61">
                        <c:v>197</c:v>
                      </c:pt>
                      <c:pt idx="62">
                        <c:v>234</c:v>
                      </c:pt>
                      <c:pt idx="63">
                        <c:v>378</c:v>
                      </c:pt>
                      <c:pt idx="64">
                        <c:v>555</c:v>
                      </c:pt>
                      <c:pt idx="65">
                        <c:v>712</c:v>
                      </c:pt>
                      <c:pt idx="66">
                        <c:v>813</c:v>
                      </c:pt>
                      <c:pt idx="67">
                        <c:v>977</c:v>
                      </c:pt>
                      <c:pt idx="68">
                        <c:v>1175</c:v>
                      </c:pt>
                      <c:pt idx="69">
                        <c:v>1622</c:v>
                      </c:pt>
                      <c:pt idx="70">
                        <c:v>1859</c:v>
                      </c:pt>
                      <c:pt idx="71">
                        <c:v>2243</c:v>
                      </c:pt>
                      <c:pt idx="72">
                        <c:v>2664</c:v>
                      </c:pt>
                      <c:pt idx="73">
                        <c:v>3328</c:v>
                      </c:pt>
                      <c:pt idx="74">
                        <c:v>4078</c:v>
                      </c:pt>
                      <c:pt idx="75">
                        <c:v>4815</c:v>
                      </c:pt>
                      <c:pt idx="76">
                        <c:v>5327</c:v>
                      </c:pt>
                      <c:pt idx="77">
                        <c:v>6860</c:v>
                      </c:pt>
                      <c:pt idx="78">
                        <c:v>7669</c:v>
                      </c:pt>
                      <c:pt idx="79">
                        <c:v>8941</c:v>
                      </c:pt>
                      <c:pt idx="80">
                        <c:v>10620</c:v>
                      </c:pt>
                      <c:pt idx="81">
                        <c:v>12186</c:v>
                      </c:pt>
                      <c:pt idx="82">
                        <c:v>13138</c:v>
                      </c:pt>
                      <c:pt idx="83">
                        <c:v>14722</c:v>
                      </c:pt>
                      <c:pt idx="84">
                        <c:v>16386</c:v>
                      </c:pt>
                      <c:pt idx="85">
                        <c:v>17986</c:v>
                      </c:pt>
                      <c:pt idx="86">
                        <c:v>19448</c:v>
                      </c:pt>
                      <c:pt idx="87">
                        <c:v>21671</c:v>
                      </c:pt>
                      <c:pt idx="88">
                        <c:v>23012</c:v>
                      </c:pt>
                      <c:pt idx="89">
                        <c:v>25377</c:v>
                      </c:pt>
                      <c:pt idx="90">
                        <c:v>27249</c:v>
                      </c:pt>
                      <c:pt idx="91">
                        <c:v>28987</c:v>
                      </c:pt>
                      <c:pt idx="92">
                        <c:v>31071</c:v>
                      </c:pt>
                      <c:pt idx="93">
                        <c:v>33220</c:v>
                      </c:pt>
                      <c:pt idx="94">
                        <c:v>35049</c:v>
                      </c:pt>
                      <c:pt idx="95">
                        <c:v>36346</c:v>
                      </c:pt>
                      <c:pt idx="96">
                        <c:v>37928</c:v>
                      </c:pt>
                      <c:pt idx="97">
                        <c:v>39974</c:v>
                      </c:pt>
                      <c:pt idx="98">
                        <c:v>42499</c:v>
                      </c:pt>
                      <c:pt idx="99">
                        <c:v>44982</c:v>
                      </c:pt>
                      <c:pt idx="100">
                        <c:v>47414</c:v>
                      </c:pt>
                      <c:pt idx="101">
                        <c:v>49959</c:v>
                      </c:pt>
                      <c:pt idx="102">
                        <c:v>51949</c:v>
                      </c:pt>
                      <c:pt idx="103">
                        <c:v>53669</c:v>
                      </c:pt>
                      <c:pt idx="104">
                        <c:v>55855</c:v>
                      </c:pt>
                      <c:pt idx="105">
                        <c:v>57265</c:v>
                      </c:pt>
                      <c:pt idx="106">
                        <c:v>59732</c:v>
                      </c:pt>
                      <c:pt idx="107">
                        <c:v>62743</c:v>
                      </c:pt>
                      <c:pt idx="108">
                        <c:v>65265</c:v>
                      </c:pt>
                      <c:pt idx="109">
                        <c:v>67677</c:v>
                      </c:pt>
                      <c:pt idx="110">
                        <c:v>69818</c:v>
                      </c:pt>
                      <c:pt idx="111">
                        <c:v>72947</c:v>
                      </c:pt>
                      <c:pt idx="112">
                        <c:v>76186</c:v>
                      </c:pt>
                      <c:pt idx="113">
                        <c:v>79542</c:v>
                      </c:pt>
                      <c:pt idx="114">
                        <c:v>82731</c:v>
                      </c:pt>
                      <c:pt idx="115">
                        <c:v>85636</c:v>
                      </c:pt>
                      <c:pt idx="116">
                        <c:v>87564</c:v>
                      </c:pt>
                      <c:pt idx="117">
                        <c:v>89539</c:v>
                      </c:pt>
                      <c:pt idx="118">
                        <c:v>92099</c:v>
                      </c:pt>
                      <c:pt idx="119">
                        <c:v>94621</c:v>
                      </c:pt>
                      <c:pt idx="120">
                        <c:v>99470</c:v>
                      </c:pt>
                      <c:pt idx="121">
                        <c:v>101877</c:v>
                      </c:pt>
                      <c:pt idx="122">
                        <c:v>103910</c:v>
                      </c:pt>
                      <c:pt idx="123">
                        <c:v>105730</c:v>
                      </c:pt>
                      <c:pt idx="124">
                        <c:v>107054</c:v>
                      </c:pt>
                      <c:pt idx="125">
                        <c:v>109498</c:v>
                      </c:pt>
                      <c:pt idx="126">
                        <c:v>117684</c:v>
                      </c:pt>
                      <c:pt idx="127">
                        <c:v>120837</c:v>
                      </c:pt>
                      <c:pt idx="128">
                        <c:v>123677</c:v>
                      </c:pt>
                      <c:pt idx="129">
                        <c:v>127670</c:v>
                      </c:pt>
                      <c:pt idx="130">
                        <c:v>129858</c:v>
                      </c:pt>
                      <c:pt idx="131">
                        <c:v>131338</c:v>
                      </c:pt>
                      <c:pt idx="132">
                        <c:v>133866</c:v>
                      </c:pt>
                      <c:pt idx="133">
                        <c:v>137435</c:v>
                      </c:pt>
                      <c:pt idx="134">
                        <c:v>140321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209-4F7C-B4D0-66E8A6935DDB}"/>
                  </c:ext>
                </c:extLst>
              </c15:ser>
            </c15:filteredScatterSeries>
          </c:ext>
        </c:extLst>
      </c:scatterChart>
      <c:valAx>
        <c:axId val="6220817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Days from 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2">
                <a:lumMod val="40000"/>
                <a:lumOff val="6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22082064"/>
        <c:crosses val="autoZero"/>
        <c:crossBetween val="midCat"/>
      </c:valAx>
      <c:valAx>
        <c:axId val="622082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Cumulative</a:t>
                </a:r>
                <a:r>
                  <a:rPr lang="it-IT" baseline="0"/>
                  <a:t> removals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2">
                <a:lumMod val="40000"/>
                <a:lumOff val="6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220817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userShapes r:id="rId3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rgbClr val="0070C0"/>
                </a:solidFill>
              </a:rPr>
              <a:t>Italy</a:t>
            </a:r>
            <a:r>
              <a:rPr lang="en-US" baseline="0">
                <a:solidFill>
                  <a:srgbClr val="0070C0"/>
                </a:solidFill>
              </a:rPr>
              <a:t> - </a:t>
            </a:r>
            <a:r>
              <a:rPr lang="en-US">
                <a:solidFill>
                  <a:srgbClr val="0070C0"/>
                </a:solidFill>
              </a:rPr>
              <a:t>New</a:t>
            </a:r>
            <a:r>
              <a:rPr lang="en-US" baseline="0">
                <a:solidFill>
                  <a:srgbClr val="0070C0"/>
                </a:solidFill>
              </a:rPr>
              <a:t> vs Accumulative removals - Phase space trajectory - basic SIR normalized</a:t>
            </a:r>
            <a:endParaRPr lang="en-US">
              <a:solidFill>
                <a:srgbClr val="0070C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9"/>
          <c:order val="0"/>
          <c:tx>
            <c:strRef>
              <c:f>'New_removed - bSIR'!$N$7</c:f>
              <c:strCache>
                <c:ptCount val="1"/>
                <c:pt idx="0">
                  <c:v>Italy remov. rate fit (Norm.)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'New_removed - bSIR'!$H$77:$H$184</c:f>
              <c:numCache>
                <c:formatCode>General</c:formatCode>
                <c:ptCount val="108"/>
                <c:pt idx="0">
                  <c:v>5.7344786053444171E-4</c:v>
                </c:pt>
                <c:pt idx="1">
                  <c:v>4.3468906801256415E-3</c:v>
                </c:pt>
                <c:pt idx="2">
                  <c:v>8.280820377988175E-3</c:v>
                </c:pt>
                <c:pt idx="3">
                  <c:v>1.2380587139299907E-2</c:v>
                </c:pt>
                <c:pt idx="4">
                  <c:v>1.6651580082989993E-2</c:v>
                </c:pt>
                <c:pt idx="5">
                  <c:v>2.1099212692691847E-2</c:v>
                </c:pt>
                <c:pt idx="6">
                  <c:v>2.5728906729459648E-2</c:v>
                </c:pt>
                <c:pt idx="7">
                  <c:v>3.0546074570485637E-2</c:v>
                </c:pt>
                <c:pt idx="8">
                  <c:v>3.5556099925942802E-2</c:v>
                </c:pt>
                <c:pt idx="9">
                  <c:v>4.0764316895691141E-2</c:v>
                </c:pt>
                <c:pt idx="10">
                  <c:v>4.6175987339053946E-2</c:v>
                </c:pt>
                <c:pt idx="11">
                  <c:v>5.1796276544312327E-2</c:v>
                </c:pt>
                <c:pt idx="12">
                  <c:v>5.7630227200064242E-2</c:v>
                </c:pt>
                <c:pt idx="13">
                  <c:v>6.3682731688230507E-2</c:v>
                </c:pt>
                <c:pt idx="14">
                  <c:v>6.995850273828752E-2</c:v>
                </c:pt>
                <c:pt idx="15">
                  <c:v>7.6462042504271382E-2</c:v>
                </c:pt>
                <c:pt idx="16">
                  <c:v>8.3197610150187132E-2</c:v>
                </c:pt>
                <c:pt idx="17">
                  <c:v>9.0169188055551922E-2</c:v>
                </c:pt>
                <c:pt idx="18">
                  <c:v>9.7380446780770694E-2</c:v>
                </c:pt>
                <c:pt idx="19">
                  <c:v>0.10483470896163342</c:v>
                </c:pt>
                <c:pt idx="20">
                  <c:v>0.11253491233315183</c:v>
                </c:pt>
                <c:pt idx="21">
                  <c:v>0.12048357211484656</c:v>
                </c:pt>
                <c:pt idx="22">
                  <c:v>0.12868274302198648</c:v>
                </c:pt>
                <c:pt idx="23">
                  <c:v>0.13713398119964643</c:v>
                </c:pt>
                <c:pt idx="24">
                  <c:v>0.14583830640817155</c:v>
                </c:pt>
                <c:pt idx="25">
                  <c:v>0.15479616481901401</c:v>
                </c:pt>
                <c:pt idx="26">
                  <c:v>0.16400739280820456</c:v>
                </c:pt>
                <c:pt idx="27">
                  <c:v>0.1734711821601029</c:v>
                </c:pt>
                <c:pt idx="28">
                  <c:v>0.18318604711569622</c:v>
                </c:pt>
                <c:pt idx="29">
                  <c:v>0.19314979371670096</c:v>
                </c:pt>
                <c:pt idx="30">
                  <c:v>0.20335949190819277</c:v>
                </c:pt>
                <c:pt idx="31">
                  <c:v>0.21381145086759382</c:v>
                </c:pt>
                <c:pt idx="32">
                  <c:v>0.22450119802578825</c:v>
                </c:pt>
                <c:pt idx="33">
                  <c:v>0.23542346223620442</c:v>
                </c:pt>
                <c:pt idx="34">
                  <c:v>0.2465721615293138</c:v>
                </c:pt>
                <c:pt idx="35">
                  <c:v>0.25794039586270173</c:v>
                </c:pt>
                <c:pt idx="36">
                  <c:v>0.26952044524042135</c:v>
                </c:pt>
                <c:pt idx="37">
                  <c:v>0.28130377352969693</c:v>
                </c:pt>
                <c:pt idx="38">
                  <c:v>0.2932810382483958</c:v>
                </c:pt>
                <c:pt idx="39">
                  <c:v>0.30544210653348219</c:v>
                </c:pt>
                <c:pt idx="40">
                  <c:v>0.31777607742961805</c:v>
                </c:pt>
                <c:pt idx="41">
                  <c:v>0.33027131055915698</c:v>
                </c:pt>
                <c:pt idx="42">
                  <c:v>0.34291546115123545</c:v>
                </c:pt>
                <c:pt idx="43">
                  <c:v>0.35569552131996646</c:v>
                </c:pt>
                <c:pt idx="44">
                  <c:v>0.36859786739157357</c:v>
                </c:pt>
                <c:pt idx="45">
                  <c:v>0.38160831298953618</c:v>
                </c:pt>
                <c:pt idx="46">
                  <c:v>0.39471216749740573</c:v>
                </c:pt>
                <c:pt idx="47">
                  <c:v>0.40789429943296102</c:v>
                </c:pt>
                <c:pt idx="48">
                  <c:v>0.42113920418682804</c:v>
                </c:pt>
                <c:pt idx="49">
                  <c:v>0.43443107550557253</c:v>
                </c:pt>
                <c:pt idx="50">
                  <c:v>0.44775388003543209</c:v>
                </c:pt>
                <c:pt idx="51">
                  <c:v>0.46109143418992893</c:v>
                </c:pt>
                <c:pt idx="52">
                  <c:v>0.47442748256397782</c:v>
                </c:pt>
                <c:pt idx="53">
                  <c:v>0.48774577708986994</c:v>
                </c:pt>
                <c:pt idx="54">
                  <c:v>0.50103015611738733</c:v>
                </c:pt>
                <c:pt idx="55">
                  <c:v>0.5142646226016433</c:v>
                </c:pt>
                <c:pt idx="56">
                  <c:v>0.52743342059802811</c:v>
                </c:pt>
                <c:pt idx="57">
                  <c:v>0.5405211092934108</c:v>
                </c:pt>
                <c:pt idx="58">
                  <c:v>0.55351263384575089</c:v>
                </c:pt>
                <c:pt idx="59">
                  <c:v>0.56639339235932407</c:v>
                </c:pt>
                <c:pt idx="60">
                  <c:v>0.57914929838846929</c:v>
                </c:pt>
                <c:pt idx="61">
                  <c:v>0.59176683843738398</c:v>
                </c:pt>
                <c:pt idx="62">
                  <c:v>0.60423312400521145</c:v>
                </c:pt>
                <c:pt idx="63">
                  <c:v>0.61653593781243987</c:v>
                </c:pt>
                <c:pt idx="64">
                  <c:v>0.62866377393444117</c:v>
                </c:pt>
                <c:pt idx="65">
                  <c:v>0.6406058716587919</c:v>
                </c:pt>
                <c:pt idx="66">
                  <c:v>0.65235224297285355</c:v>
                </c:pt>
                <c:pt idx="67">
                  <c:v>0.66389369367514783</c:v>
                </c:pt>
                <c:pt idx="68">
                  <c:v>0.6752218381866617</c:v>
                </c:pt>
                <c:pt idx="69">
                  <c:v>0.68632910821495741</c:v>
                </c:pt>
                <c:pt idx="70">
                  <c:v>0.69720875549361527</c:v>
                </c:pt>
                <c:pt idx="71">
                  <c:v>0.70785484888121197</c:v>
                </c:pt>
                <c:pt idx="72">
                  <c:v>0.71826226615703948</c:v>
                </c:pt>
                <c:pt idx="73">
                  <c:v>0.7284266808947204</c:v>
                </c:pt>
                <c:pt idx="74">
                  <c:v>0.73834454482961154</c:v>
                </c:pt>
                <c:pt idx="75">
                  <c:v>0.74801306616151342</c:v>
                </c:pt>
                <c:pt idx="76">
                  <c:v>0.75743018425098607</c:v>
                </c:pt>
                <c:pt idx="77">
                  <c:v>0.76659454117599424</c:v>
                </c:pt>
                <c:pt idx="78">
                  <c:v>0.77550545061628762</c:v>
                </c:pt>
                <c:pt idx="79">
                  <c:v>0.78416286452656958</c:v>
                </c:pt>
                <c:pt idx="80">
                  <c:v>0.79256733804695634</c:v>
                </c:pt>
                <c:pt idx="81">
                  <c:v>0.80071999308131547</c:v>
                </c:pt>
                <c:pt idx="82">
                  <c:v>0.80862248095168487</c:v>
                </c:pt>
                <c:pt idx="83">
                  <c:v>0.8162769445109902</c:v>
                </c:pt>
                <c:pt idx="84">
                  <c:v>0.82368598006753901</c:v>
                </c:pt>
                <c:pt idx="85">
                  <c:v>0.83085259944407963</c:v>
                </c:pt>
                <c:pt idx="86">
                  <c:v>0.8377801924623357</c:v>
                </c:pt>
                <c:pt idx="87">
                  <c:v>0.8444724901114985</c:v>
                </c:pt>
                <c:pt idx="88">
                  <c:v>0.85093352862683413</c:v>
                </c:pt>
                <c:pt idx="89">
                  <c:v>0.85716761467281444</c:v>
                </c:pt>
                <c:pt idx="90">
                  <c:v>0.86317929179446606</c:v>
                </c:pt>
                <c:pt idx="91">
                  <c:v>0.86897330827132813</c:v>
                </c:pt>
                <c:pt idx="92">
                  <c:v>0.87455458648077466</c:v>
                </c:pt>
                <c:pt idx="93">
                  <c:v>0.87992819385171239</c:v>
                </c:pt>
                <c:pt idx="94">
                  <c:v>0.88509931546597409</c:v>
                </c:pt>
                <c:pt idx="95">
                  <c:v>0.89007322834315683</c:v>
                </c:pt>
                <c:pt idx="96">
                  <c:v>0.89485527742525839</c:v>
                </c:pt>
                <c:pt idx="97">
                  <c:v>0.89945085326023066</c:v>
                </c:pt>
                <c:pt idx="98">
                  <c:v>0.90386537136845468</c:v>
                </c:pt>
                <c:pt idx="99">
                  <c:v>0.90810425326307909</c:v>
                </c:pt>
                <c:pt idx="100">
                  <c:v>0.91217290908403681</c:v>
                </c:pt>
                <c:pt idx="101">
                  <c:v>0.91607672179628341</c:v>
                </c:pt>
                <c:pt idx="102">
                  <c:v>0.91982103289521411</c:v>
                </c:pt>
                <c:pt idx="103">
                  <c:v>0.92341112955620896</c:v>
                </c:pt>
                <c:pt idx="104">
                  <c:v>0.92685223316067689</c:v>
                </c:pt>
                <c:pt idx="105">
                  <c:v>0.93014948912766759</c:v>
                </c:pt>
                <c:pt idx="106">
                  <c:v>0.93330795797797939</c:v>
                </c:pt>
                <c:pt idx="107">
                  <c:v>0.9363326075565388</c:v>
                </c:pt>
              </c:numCache>
            </c:numRef>
          </c:xVal>
          <c:yVal>
            <c:numRef>
              <c:f>'New_removed - bSIR'!$N$77:$N$184</c:f>
              <c:numCache>
                <c:formatCode>General</c:formatCode>
                <c:ptCount val="108"/>
                <c:pt idx="0">
                  <c:v>0.27699295980895955</c:v>
                </c:pt>
                <c:pt idx="1">
                  <c:v>0.28882452314933349</c:v>
                </c:pt>
                <c:pt idx="2">
                  <c:v>0.30105536655517989</c:v>
                </c:pt>
                <c:pt idx="3">
                  <c:v>0.31368891797808351</c:v>
                </c:pt>
                <c:pt idx="4">
                  <c:v>0.32672756859346408</c:v>
                </c:pt>
                <c:pt idx="5">
                  <c:v>0.34017256124266004</c:v>
                </c:pt>
                <c:pt idx="6">
                  <c:v>0.35402387444018679</c:v>
                </c:pt>
                <c:pt idx="7">
                  <c:v>0.368280102475675</c:v>
                </c:pt>
                <c:pt idx="8">
                  <c:v>0.3829383322646871</c:v>
                </c:pt>
                <c:pt idx="9">
                  <c:v>0.39799401773717596</c:v>
                </c:pt>
                <c:pt idx="10">
                  <c:v>0.41344085269594644</c:v>
                </c:pt>
                <c:pt idx="11">
                  <c:v>0.4292706432288616</c:v>
                </c:pt>
                <c:pt idx="12">
                  <c:v>0.44547318091605809</c:v>
                </c:pt>
                <c:pt idx="13">
                  <c:v>0.46203611823497676</c:v>
                </c:pt>
                <c:pt idx="14">
                  <c:v>0.47894484772897522</c:v>
                </c:pt>
                <c:pt idx="15">
                  <c:v>0.49618238666647674</c:v>
                </c:pt>
                <c:pt idx="16">
                  <c:v>0.51372926907340444</c:v>
                </c:pt>
                <c:pt idx="17">
                  <c:v>0.53156344716777615</c:v>
                </c:pt>
                <c:pt idx="18">
                  <c:v>0.54966020435708385</c:v>
                </c:pt>
                <c:pt idx="19">
                  <c:v>0.56799208207125396</c:v>
                </c:pt>
                <c:pt idx="20">
                  <c:v>0.58652882279096263</c:v>
                </c:pt>
                <c:pt idx="21">
                  <c:v>0.60523733168700478</c:v>
                </c:pt>
                <c:pt idx="22">
                  <c:v>0.62408165930519599</c:v>
                </c:pt>
                <c:pt idx="23">
                  <c:v>0.64302300770695597</c:v>
                </c:pt>
                <c:pt idx="24">
                  <c:v>0.66201976240235894</c:v>
                </c:pt>
                <c:pt idx="25">
                  <c:v>0.68102755228477452</c:v>
                </c:pt>
                <c:pt idx="26">
                  <c:v>0.69999933958946092</c:v>
                </c:pt>
                <c:pt idx="27">
                  <c:v>0.71888554164900598</c:v>
                </c:pt>
                <c:pt idx="28">
                  <c:v>0.73763418590382412</c:v>
                </c:pt>
                <c:pt idx="29">
                  <c:v>0.75619109924518879</c:v>
                </c:pt>
                <c:pt idx="30">
                  <c:v>0.77450013232238957</c:v>
                </c:pt>
                <c:pt idx="31">
                  <c:v>0.7925034189376392</c:v>
                </c:pt>
                <c:pt idx="32">
                  <c:v>0.81014167008754945</c:v>
                </c:pt>
                <c:pt idx="33">
                  <c:v>0.82735450159610013</c:v>
                </c:pt>
                <c:pt idx="34">
                  <c:v>0.84408079363117805</c:v>
                </c:pt>
                <c:pt idx="35">
                  <c:v>0.86025907971756754</c:v>
                </c:pt>
                <c:pt idx="36">
                  <c:v>0.87582796216858139</c:v>
                </c:pt>
                <c:pt idx="37">
                  <c:v>0.89072655017319902</c:v>
                </c:pt>
                <c:pt idx="38">
                  <c:v>0.90489491611406081</c:v>
                </c:pt>
                <c:pt idx="39">
                  <c:v>0.91827456507355409</c:v>
                </c:pt>
                <c:pt idx="40">
                  <c:v>0.9308089119305174</c:v>
                </c:pt>
                <c:pt idx="41">
                  <c:v>0.94244375997857954</c:v>
                </c:pt>
                <c:pt idx="42">
                  <c:v>0.95312777462768161</c:v>
                </c:pt>
                <c:pt idx="43">
                  <c:v>0.96281294549982865</c:v>
                </c:pt>
                <c:pt idx="44">
                  <c:v>0.9714550301130076</c:v>
                </c:pt>
                <c:pt idx="45">
                  <c:v>0.9790139723744925</c:v>
                </c:pt>
                <c:pt idx="46">
                  <c:v>0.98545428928344581</c:v>
                </c:pt>
                <c:pt idx="47">
                  <c:v>0.9907454195752976</c:v>
                </c:pt>
                <c:pt idx="48">
                  <c:v>0.99486202852441841</c:v>
                </c:pt>
                <c:pt idx="49">
                  <c:v>0.99778426374961338</c:v>
                </c:pt>
                <c:pt idx="50">
                  <c:v>0.99949795762651594</c:v>
                </c:pt>
                <c:pt idx="51">
                  <c:v>0.99999477278491222</c:v>
                </c:pt>
                <c:pt idx="52">
                  <c:v>0.99927228813599778</c:v>
                </c:pt>
                <c:pt idx="53">
                  <c:v>0.9973340239098667</c:v>
                </c:pt>
                <c:pt idx="54">
                  <c:v>0.99418940525966248</c:v>
                </c:pt>
                <c:pt idx="55">
                  <c:v>0.9898536650769918</c:v>
                </c:pt>
                <c:pt idx="56">
                  <c:v>0.98434768773392023</c:v>
                </c:pt>
                <c:pt idx="57">
                  <c:v>0.97769779649151467</c:v>
                </c:pt>
                <c:pt idx="58">
                  <c:v>0.96993548826642417</c:v>
                </c:pt>
                <c:pt idx="59">
                  <c:v>0.96109712030125738</c:v>
                </c:pt>
                <c:pt idx="60">
                  <c:v>0.95122355402085801</c:v>
                </c:pt>
                <c:pt idx="61">
                  <c:v>0.94035976195875193</c:v>
                </c:pt>
                <c:pt idx="62">
                  <c:v>0.92855440409440981</c:v>
                </c:pt>
                <c:pt idx="63">
                  <c:v>0.91585938024611302</c:v>
                </c:pt>
                <c:pt idx="64">
                  <c:v>0.90232936531451979</c:v>
                </c:pt>
                <c:pt idx="65">
                  <c:v>0.88802133417192419</c:v>
                </c:pt>
                <c:pt idx="66">
                  <c:v>0.87299408284945956</c:v>
                </c:pt>
                <c:pt idx="67">
                  <c:v>0.85730775240078649</c:v>
                </c:pt>
                <c:pt idx="68">
                  <c:v>0.84102336143110379</c:v>
                </c:pt>
                <c:pt idx="69">
                  <c:v>0.82420235279194254</c:v>
                </c:pt>
                <c:pt idx="70">
                  <c:v>0.8069061593742537</c:v>
                </c:pt>
                <c:pt idx="71">
                  <c:v>0.78919579330462652</c:v>
                </c:pt>
                <c:pt idx="72">
                  <c:v>0.77113146218212192</c:v>
                </c:pt>
                <c:pt idx="73">
                  <c:v>0.7527722153055143</c:v>
                </c:pt>
                <c:pt idx="74">
                  <c:v>0.73417562215097354</c:v>
                </c:pt>
                <c:pt idx="75">
                  <c:v>0.71539748468483311</c:v>
                </c:pt>
                <c:pt idx="76">
                  <c:v>0.69649158444958359</c:v>
                </c:pt>
                <c:pt idx="77">
                  <c:v>0.67750946475573182</c:v>
                </c:pt>
                <c:pt idx="78">
                  <c:v>0.65850024775736427</c:v>
                </c:pt>
                <c:pt idx="79">
                  <c:v>0.63951048569247437</c:v>
                </c:pt>
                <c:pt idx="80">
                  <c:v>0.62058404513510246</c:v>
                </c:pt>
                <c:pt idx="81">
                  <c:v>0.60176202273784085</c:v>
                </c:pt>
                <c:pt idx="82">
                  <c:v>0.5830826906407508</c:v>
                </c:pt>
                <c:pt idx="83">
                  <c:v>0.56458146948511123</c:v>
                </c:pt>
                <c:pt idx="84">
                  <c:v>0.54629092679491797</c:v>
                </c:pt>
                <c:pt idx="85">
                  <c:v>0.52824079837180682</c:v>
                </c:pt>
                <c:pt idx="86">
                  <c:v>0.51045803028523107</c:v>
                </c:pt>
                <c:pt idx="87">
                  <c:v>0.49296683902380978</c:v>
                </c:pt>
                <c:pt idx="88">
                  <c:v>0.47578878739988212</c:v>
                </c:pt>
                <c:pt idx="89">
                  <c:v>0.45894287386143828</c:v>
                </c:pt>
                <c:pt idx="90">
                  <c:v>0.44244563295766537</c:v>
                </c:pt>
                <c:pt idx="91">
                  <c:v>0.42631124482056731</c:v>
                </c:pt>
                <c:pt idx="92">
                  <c:v>0.41055165165989793</c:v>
                </c:pt>
                <c:pt idx="93">
                  <c:v>0.39517667941691165</c:v>
                </c:pt>
                <c:pt idx="94">
                  <c:v>0.38019416287952867</c:v>
                </c:pt>
                <c:pt idx="95">
                  <c:v>0.36561007272328966</c:v>
                </c:pt>
                <c:pt idx="96">
                  <c:v>0.3514286431053999</c:v>
                </c:pt>
                <c:pt idx="97">
                  <c:v>0.33765249860012825</c:v>
                </c:pt>
                <c:pt idx="98">
                  <c:v>0.32428277942037398</c:v>
                </c:pt>
                <c:pt idx="99">
                  <c:v>0.31131926402025573</c:v>
                </c:pt>
                <c:pt idx="100">
                  <c:v>0.29876048831558527</c:v>
                </c:pt>
                <c:pt idx="101">
                  <c:v>0.28660386089187767</c:v>
                </c:pt>
                <c:pt idx="102">
                  <c:v>0.27484577369235452</c:v>
                </c:pt>
                <c:pt idx="103">
                  <c:v>0.26348170779074154</c:v>
                </c:pt>
                <c:pt idx="104">
                  <c:v>0.25250633395536604</c:v>
                </c:pt>
                <c:pt idx="105">
                  <c:v>0.24191360780215837</c:v>
                </c:pt>
                <c:pt idx="106">
                  <c:v>0.23169685941490401</c:v>
                </c:pt>
                <c:pt idx="107">
                  <c:v>0.22184887738184225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65CF-4F43-9B34-9E22C4FEB052}"/>
            </c:ext>
          </c:extLst>
        </c:ser>
        <c:ser>
          <c:idx val="0"/>
          <c:order val="1"/>
          <c:tx>
            <c:strRef>
              <c:f>'New_removed - bSIR'!$J$7</c:f>
              <c:strCache>
                <c:ptCount val="1"/>
                <c:pt idx="0">
                  <c:v>Italy sum of regions (Norm.)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'New_removed - bSIR'!$H$77:$H$184</c:f>
              <c:numCache>
                <c:formatCode>General</c:formatCode>
                <c:ptCount val="108"/>
                <c:pt idx="0">
                  <c:v>5.7344786053444171E-4</c:v>
                </c:pt>
                <c:pt idx="1">
                  <c:v>4.3468906801256415E-3</c:v>
                </c:pt>
                <c:pt idx="2">
                  <c:v>8.280820377988175E-3</c:v>
                </c:pt>
                <c:pt idx="3">
                  <c:v>1.2380587139299907E-2</c:v>
                </c:pt>
                <c:pt idx="4">
                  <c:v>1.6651580082989993E-2</c:v>
                </c:pt>
                <c:pt idx="5">
                  <c:v>2.1099212692691847E-2</c:v>
                </c:pt>
                <c:pt idx="6">
                  <c:v>2.5728906729459648E-2</c:v>
                </c:pt>
                <c:pt idx="7">
                  <c:v>3.0546074570485637E-2</c:v>
                </c:pt>
                <c:pt idx="8">
                  <c:v>3.5556099925942802E-2</c:v>
                </c:pt>
                <c:pt idx="9">
                  <c:v>4.0764316895691141E-2</c:v>
                </c:pt>
                <c:pt idx="10">
                  <c:v>4.6175987339053946E-2</c:v>
                </c:pt>
                <c:pt idx="11">
                  <c:v>5.1796276544312327E-2</c:v>
                </c:pt>
                <c:pt idx="12">
                  <c:v>5.7630227200064242E-2</c:v>
                </c:pt>
                <c:pt idx="13">
                  <c:v>6.3682731688230507E-2</c:v>
                </c:pt>
                <c:pt idx="14">
                  <c:v>6.995850273828752E-2</c:v>
                </c:pt>
                <c:pt idx="15">
                  <c:v>7.6462042504271382E-2</c:v>
                </c:pt>
                <c:pt idx="16">
                  <c:v>8.3197610150187132E-2</c:v>
                </c:pt>
                <c:pt idx="17">
                  <c:v>9.0169188055551922E-2</c:v>
                </c:pt>
                <c:pt idx="18">
                  <c:v>9.7380446780770694E-2</c:v>
                </c:pt>
                <c:pt idx="19">
                  <c:v>0.10483470896163342</c:v>
                </c:pt>
                <c:pt idx="20">
                  <c:v>0.11253491233315183</c:v>
                </c:pt>
                <c:pt idx="21">
                  <c:v>0.12048357211484656</c:v>
                </c:pt>
                <c:pt idx="22">
                  <c:v>0.12868274302198648</c:v>
                </c:pt>
                <c:pt idx="23">
                  <c:v>0.13713398119964643</c:v>
                </c:pt>
                <c:pt idx="24">
                  <c:v>0.14583830640817155</c:v>
                </c:pt>
                <c:pt idx="25">
                  <c:v>0.15479616481901401</c:v>
                </c:pt>
                <c:pt idx="26">
                  <c:v>0.16400739280820456</c:v>
                </c:pt>
                <c:pt idx="27">
                  <c:v>0.1734711821601029</c:v>
                </c:pt>
                <c:pt idx="28">
                  <c:v>0.18318604711569622</c:v>
                </c:pt>
                <c:pt idx="29">
                  <c:v>0.19314979371670096</c:v>
                </c:pt>
                <c:pt idx="30">
                  <c:v>0.20335949190819277</c:v>
                </c:pt>
                <c:pt idx="31">
                  <c:v>0.21381145086759382</c:v>
                </c:pt>
                <c:pt idx="32">
                  <c:v>0.22450119802578825</c:v>
                </c:pt>
                <c:pt idx="33">
                  <c:v>0.23542346223620442</c:v>
                </c:pt>
                <c:pt idx="34">
                  <c:v>0.2465721615293138</c:v>
                </c:pt>
                <c:pt idx="35">
                  <c:v>0.25794039586270173</c:v>
                </c:pt>
                <c:pt idx="36">
                  <c:v>0.26952044524042135</c:v>
                </c:pt>
                <c:pt idx="37">
                  <c:v>0.28130377352969693</c:v>
                </c:pt>
                <c:pt idx="38">
                  <c:v>0.2932810382483958</c:v>
                </c:pt>
                <c:pt idx="39">
                  <c:v>0.30544210653348219</c:v>
                </c:pt>
                <c:pt idx="40">
                  <c:v>0.31777607742961805</c:v>
                </c:pt>
                <c:pt idx="41">
                  <c:v>0.33027131055915698</c:v>
                </c:pt>
                <c:pt idx="42">
                  <c:v>0.34291546115123545</c:v>
                </c:pt>
                <c:pt idx="43">
                  <c:v>0.35569552131996646</c:v>
                </c:pt>
                <c:pt idx="44">
                  <c:v>0.36859786739157357</c:v>
                </c:pt>
                <c:pt idx="45">
                  <c:v>0.38160831298953618</c:v>
                </c:pt>
                <c:pt idx="46">
                  <c:v>0.39471216749740573</c:v>
                </c:pt>
                <c:pt idx="47">
                  <c:v>0.40789429943296102</c:v>
                </c:pt>
                <c:pt idx="48">
                  <c:v>0.42113920418682804</c:v>
                </c:pt>
                <c:pt idx="49">
                  <c:v>0.43443107550557253</c:v>
                </c:pt>
                <c:pt idx="50">
                  <c:v>0.44775388003543209</c:v>
                </c:pt>
                <c:pt idx="51">
                  <c:v>0.46109143418992893</c:v>
                </c:pt>
                <c:pt idx="52">
                  <c:v>0.47442748256397782</c:v>
                </c:pt>
                <c:pt idx="53">
                  <c:v>0.48774577708986994</c:v>
                </c:pt>
                <c:pt idx="54">
                  <c:v>0.50103015611738733</c:v>
                </c:pt>
                <c:pt idx="55">
                  <c:v>0.5142646226016433</c:v>
                </c:pt>
                <c:pt idx="56">
                  <c:v>0.52743342059802811</c:v>
                </c:pt>
                <c:pt idx="57">
                  <c:v>0.5405211092934108</c:v>
                </c:pt>
                <c:pt idx="58">
                  <c:v>0.55351263384575089</c:v>
                </c:pt>
                <c:pt idx="59">
                  <c:v>0.56639339235932407</c:v>
                </c:pt>
                <c:pt idx="60">
                  <c:v>0.57914929838846929</c:v>
                </c:pt>
                <c:pt idx="61">
                  <c:v>0.59176683843738398</c:v>
                </c:pt>
                <c:pt idx="62">
                  <c:v>0.60423312400521145</c:v>
                </c:pt>
                <c:pt idx="63">
                  <c:v>0.61653593781243987</c:v>
                </c:pt>
                <c:pt idx="64">
                  <c:v>0.62866377393444117</c:v>
                </c:pt>
                <c:pt idx="65">
                  <c:v>0.6406058716587919</c:v>
                </c:pt>
                <c:pt idx="66">
                  <c:v>0.65235224297285355</c:v>
                </c:pt>
                <c:pt idx="67">
                  <c:v>0.66389369367514783</c:v>
                </c:pt>
                <c:pt idx="68">
                  <c:v>0.6752218381866617</c:v>
                </c:pt>
                <c:pt idx="69">
                  <c:v>0.68632910821495741</c:v>
                </c:pt>
                <c:pt idx="70">
                  <c:v>0.69720875549361527</c:v>
                </c:pt>
                <c:pt idx="71">
                  <c:v>0.70785484888121197</c:v>
                </c:pt>
                <c:pt idx="72">
                  <c:v>0.71826226615703948</c:v>
                </c:pt>
                <c:pt idx="73">
                  <c:v>0.7284266808947204</c:v>
                </c:pt>
                <c:pt idx="74">
                  <c:v>0.73834454482961154</c:v>
                </c:pt>
                <c:pt idx="75">
                  <c:v>0.74801306616151342</c:v>
                </c:pt>
                <c:pt idx="76">
                  <c:v>0.75743018425098607</c:v>
                </c:pt>
                <c:pt idx="77">
                  <c:v>0.76659454117599424</c:v>
                </c:pt>
                <c:pt idx="78">
                  <c:v>0.77550545061628762</c:v>
                </c:pt>
                <c:pt idx="79">
                  <c:v>0.78416286452656958</c:v>
                </c:pt>
                <c:pt idx="80">
                  <c:v>0.79256733804695634</c:v>
                </c:pt>
                <c:pt idx="81">
                  <c:v>0.80071999308131547</c:v>
                </c:pt>
                <c:pt idx="82">
                  <c:v>0.80862248095168487</c:v>
                </c:pt>
                <c:pt idx="83">
                  <c:v>0.8162769445109902</c:v>
                </c:pt>
                <c:pt idx="84">
                  <c:v>0.82368598006753901</c:v>
                </c:pt>
                <c:pt idx="85">
                  <c:v>0.83085259944407963</c:v>
                </c:pt>
                <c:pt idx="86">
                  <c:v>0.8377801924623357</c:v>
                </c:pt>
                <c:pt idx="87">
                  <c:v>0.8444724901114985</c:v>
                </c:pt>
                <c:pt idx="88">
                  <c:v>0.85093352862683413</c:v>
                </c:pt>
                <c:pt idx="89">
                  <c:v>0.85716761467281444</c:v>
                </c:pt>
                <c:pt idx="90">
                  <c:v>0.86317929179446606</c:v>
                </c:pt>
                <c:pt idx="91">
                  <c:v>0.86897330827132813</c:v>
                </c:pt>
                <c:pt idx="92">
                  <c:v>0.87455458648077466</c:v>
                </c:pt>
                <c:pt idx="93">
                  <c:v>0.87992819385171239</c:v>
                </c:pt>
                <c:pt idx="94">
                  <c:v>0.88509931546597409</c:v>
                </c:pt>
                <c:pt idx="95">
                  <c:v>0.89007322834315683</c:v>
                </c:pt>
                <c:pt idx="96">
                  <c:v>0.89485527742525839</c:v>
                </c:pt>
                <c:pt idx="97">
                  <c:v>0.89945085326023066</c:v>
                </c:pt>
                <c:pt idx="98">
                  <c:v>0.90386537136845468</c:v>
                </c:pt>
                <c:pt idx="99">
                  <c:v>0.90810425326307909</c:v>
                </c:pt>
                <c:pt idx="100">
                  <c:v>0.91217290908403681</c:v>
                </c:pt>
                <c:pt idx="101">
                  <c:v>0.91607672179628341</c:v>
                </c:pt>
                <c:pt idx="102">
                  <c:v>0.91982103289521411</c:v>
                </c:pt>
                <c:pt idx="103">
                  <c:v>0.92341112955620896</c:v>
                </c:pt>
                <c:pt idx="104">
                  <c:v>0.92685223316067689</c:v>
                </c:pt>
                <c:pt idx="105">
                  <c:v>0.93014948912766759</c:v>
                </c:pt>
                <c:pt idx="106">
                  <c:v>0.93330795797797939</c:v>
                </c:pt>
                <c:pt idx="107">
                  <c:v>0.9363326075565388</c:v>
                </c:pt>
              </c:numCache>
            </c:numRef>
          </c:xVal>
          <c:yVal>
            <c:numRef>
              <c:f>'New_removed - bSIR'!$J$77:$J$184</c:f>
              <c:numCache>
                <c:formatCode>General</c:formatCode>
                <c:ptCount val="108"/>
                <c:pt idx="0">
                  <c:v>0.27810031411175801</c:v>
                </c:pt>
                <c:pt idx="1">
                  <c:v>0.28994935273632733</c:v>
                </c:pt>
                <c:pt idx="2">
                  <c:v>0.30219734184986541</c:v>
                </c:pt>
                <c:pt idx="3">
                  <c:v>0.31484767130620195</c:v>
                </c:pt>
                <c:pt idx="4">
                  <c:v>0.32790269178284587</c:v>
                </c:pt>
                <c:pt idx="5">
                  <c:v>0.34136360285463152</c:v>
                </c:pt>
                <c:pt idx="6">
                  <c:v>0.35523033657694786</c:v>
                </c:pt>
                <c:pt idx="7">
                  <c:v>0.3695014371063986</c:v>
                </c:pt>
                <c:pt idx="8">
                  <c:v>0.38417393701289582</c:v>
                </c:pt>
                <c:pt idx="9">
                  <c:v>0.39924323107362242</c:v>
                </c:pt>
                <c:pt idx="10">
                  <c:v>0.41470294848514028</c:v>
                </c:pt>
                <c:pt idx="11">
                  <c:v>0.43054482458403404</c:v>
                </c:pt>
                <c:pt idx="12">
                  <c:v>0.44675857332711877</c:v>
                </c:pt>
                <c:pt idx="13">
                  <c:v>0.46333176194739323</c:v>
                </c:pt>
                <c:pt idx="14">
                  <c:v>0.48024968936882695</c:v>
                </c:pt>
                <c:pt idx="15">
                  <c:v>0.49749527012859818</c:v>
                </c:pt>
                <c:pt idx="16">
                  <c:v>0.51504892571574612</c:v>
                </c:pt>
                <c:pt idx="17">
                  <c:v>0.53288848538601996</c:v>
                </c:pt>
                <c:pt idx="18">
                  <c:v>0.55098909864909906</c:v>
                </c:pt>
                <c:pt idx="19">
                  <c:v>0.56932316174092312</c:v>
                </c:pt>
                <c:pt idx="20">
                  <c:v>0.58786026048475781</c:v>
                </c:pt>
                <c:pt idx="21">
                  <c:v>0.60656713200367429</c:v>
                </c:pt>
                <c:pt idx="22">
                  <c:v>0.62540764776794566</c:v>
                </c:pt>
                <c:pt idx="23">
                  <c:v>0.64434282043716318</c:v>
                </c:pt>
                <c:pt idx="24">
                  <c:v>0.66333083688238448</c:v>
                </c:pt>
                <c:pt idx="25">
                  <c:v>0.68232711964273063</c:v>
                </c:pt>
                <c:pt idx="26">
                  <c:v>0.70128441887849891</c:v>
                </c:pt>
                <c:pt idx="27">
                  <c:v>0.72015293662511304</c:v>
                </c:pt>
                <c:pt idx="28">
                  <c:v>0.73888048482652069</c:v>
                </c:pt>
                <c:pt idx="29">
                  <c:v>0.75741267823199632</c:v>
                </c:pt>
                <c:pt idx="30">
                  <c:v>0.77569316277773581</c:v>
                </c:pt>
                <c:pt idx="31">
                  <c:v>0.79366387954745232</c:v>
                </c:pt>
                <c:pt idx="32">
                  <c:v>0.8112653638200461</c:v>
                </c:pt>
                <c:pt idx="33">
                  <c:v>0.82843707807569</c:v>
                </c:pt>
                <c:pt idx="34">
                  <c:v>0.84511777715529524</c:v>
                </c:pt>
                <c:pt idx="35">
                  <c:v>0.86124590306585869</c:v>
                </c:pt>
                <c:pt idx="36">
                  <c:v>0.87676000621161621</c:v>
                </c:pt>
                <c:pt idx="37">
                  <c:v>0.89159918912634351</c:v>
                </c:pt>
                <c:pt idx="38">
                  <c:v>0.90570356810523223</c:v>
                </c:pt>
                <c:pt idx="39">
                  <c:v>0.91901474750638545</c:v>
                </c:pt>
                <c:pt idx="40">
                  <c:v>0.93147630093323497</c:v>
                </c:pt>
                <c:pt idx="41">
                  <c:v>0.94303425304085087</c:v>
                </c:pt>
                <c:pt idx="42">
                  <c:v>0.95363755535065997</c:v>
                </c:pt>
                <c:pt idx="43">
                  <c:v>0.96323854922679353</c:v>
                </c:pt>
                <c:pt idx="44">
                  <c:v>0.97179340907744627</c:v>
                </c:pt>
                <c:pt idx="45">
                  <c:v>0.9792625589067484</c:v>
                </c:pt>
                <c:pt idx="46">
                  <c:v>0.98561105556271489</c:v>
                </c:pt>
                <c:pt idx="47">
                  <c:v>0.99080893240591417</c:v>
                </c:pt>
                <c:pt idx="48">
                  <c:v>0.99483149765736001</c:v>
                </c:pt>
                <c:pt idx="49">
                  <c:v>0.99765958236318486</c:v>
                </c:pt>
                <c:pt idx="50">
                  <c:v>0.99927973372320433</c:v>
                </c:pt>
                <c:pt idx="51">
                  <c:v>0.99968435045097981</c:v>
                </c:pt>
                <c:pt idx="52">
                  <c:v>0.99887175784092463</c:v>
                </c:pt>
                <c:pt idx="53">
                  <c:v>0.99684622128649403</c:v>
                </c:pt>
                <c:pt idx="54">
                  <c:v>0.99361789809353562</c:v>
                </c:pt>
                <c:pt idx="55">
                  <c:v>0.98920272853433333</c:v>
                </c:pt>
                <c:pt idx="56">
                  <c:v>0.98362226816067433</c:v>
                </c:pt>
                <c:pt idx="57">
                  <c:v>0.97690346440959064</c:v>
                </c:pt>
                <c:pt idx="58">
                  <c:v>0.96907838146681313</c:v>
                </c:pt>
                <c:pt idx="59">
                  <c:v>0.96018387817722262</c:v>
                </c:pt>
                <c:pt idx="60">
                  <c:v>0.95026124448956628</c:v>
                </c:pt>
                <c:pt idx="61">
                  <c:v>0.93935580248002393</c:v>
                </c:pt>
                <c:pt idx="62">
                  <c:v>0.92751647840638285</c:v>
                </c:pt>
                <c:pt idx="63">
                  <c:v>0.91479535249734634</c:v>
                </c:pt>
                <c:pt idx="64">
                  <c:v>0.9012471932805709</c:v>
                </c:pt>
                <c:pt idx="65">
                  <c:v>0.88692898320385938</c:v>
                </c:pt>
                <c:pt idx="66">
                  <c:v>0.87189944211615211</c:v>
                </c:pt>
                <c:pt idx="67">
                  <c:v>0.85621855486183029</c:v>
                </c:pt>
                <c:pt idx="68">
                  <c:v>0.83994710881942392</c:v>
                </c:pt>
                <c:pt idx="69">
                  <c:v>0.8231462467022731</c:v>
                </c:pt>
                <c:pt idx="70">
                  <c:v>0.80587703935339017</c:v>
                </c:pt>
                <c:pt idx="71">
                  <c:v>0.78820008262960994</c:v>
                </c:pt>
                <c:pt idx="72">
                  <c:v>0.77017512180071601</c:v>
                </c:pt>
                <c:pt idx="73">
                  <c:v>0.75186070620632717</c:v>
                </c:pt>
                <c:pt idx="74">
                  <c:v>0.73331387623427646</c:v>
                </c:pt>
                <c:pt idx="75">
                  <c:v>0.71458988402447532</c:v>
                </c:pt>
                <c:pt idx="76">
                  <c:v>0.69574194867519945</c:v>
                </c:pt>
                <c:pt idx="77">
                  <c:v>0.67682104614539107</c:v>
                </c:pt>
                <c:pt idx="78">
                  <c:v>0.65787573351555484</c:v>
                </c:pt>
                <c:pt idx="79">
                  <c:v>0.63895200679739561</c:v>
                </c:pt>
                <c:pt idx="80">
                  <c:v>0.62009319107245364</c:v>
                </c:pt>
                <c:pt idx="81">
                  <c:v>0.60133986139453233</c:v>
                </c:pt>
                <c:pt idx="82">
                  <c:v>0.58272979260961766</c:v>
                </c:pt>
                <c:pt idx="83">
                  <c:v>0.56429793602866762</c:v>
                </c:pt>
                <c:pt idx="84">
                  <c:v>0.54607642073003126</c:v>
                </c:pt>
                <c:pt idx="85">
                  <c:v>0.52809457716531993</c:v>
                </c:pt>
                <c:pt idx="86">
                  <c:v>0.51037898069035659</c:v>
                </c:pt>
                <c:pt idx="87">
                  <c:v>0.49295351263597514</c:v>
                </c:pt>
                <c:pt idx="88">
                  <c:v>0.47583943656615274</c:v>
                </c:pt>
                <c:pt idx="89">
                  <c:v>0.45905548743737468</c:v>
                </c:pt>
                <c:pt idx="90">
                  <c:v>0.44261797146747295</c:v>
                </c:pt>
                <c:pt idx="91">
                  <c:v>0.42654087463884632</c:v>
                </c:pt>
                <c:pt idx="92">
                  <c:v>0.41083597789470516</c:v>
                </c:pt>
                <c:pt idx="93">
                  <c:v>0.39551297723296497</c:v>
                </c:pt>
                <c:pt idx="94">
                  <c:v>0.38057960705621147</c:v>
                </c:pt>
                <c:pt idx="95">
                  <c:v>0.36604176529396559</c:v>
                </c:pt>
                <c:pt idx="96">
                  <c:v>0.35190363897186389</c:v>
                </c:pt>
                <c:pt idx="97">
                  <c:v>0.33816782905855169</c:v>
                </c:pt>
                <c:pt idx="98">
                  <c:v>0.32483547357265269</c:v>
                </c:pt>
                <c:pt idx="99">
                  <c:v>0.31190636807729871</c:v>
                </c:pt>
                <c:pt idx="100">
                  <c:v>0.29937908282688008</c:v>
                </c:pt>
                <c:pt idx="101">
                  <c:v>0.28725107595886995</c:v>
                </c:pt>
                <c:pt idx="102">
                  <c:v>0.27551880224206293</c:v>
                </c:pt>
                <c:pt idx="103">
                  <c:v>0.26417781700092641</c:v>
                </c:pt>
                <c:pt idx="104">
                  <c:v>0.25322287493384793</c:v>
                </c:pt>
                <c:pt idx="105">
                  <c:v>0.24264802363092944</c:v>
                </c:pt>
                <c:pt idx="106">
                  <c:v>0.23244669167484558</c:v>
                </c:pt>
                <c:pt idx="107">
                  <c:v>0.22261177127656614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2-65CF-4F43-9B34-9E22C4FEB052}"/>
            </c:ext>
          </c:extLst>
        </c:ser>
        <c:ser>
          <c:idx val="1"/>
          <c:order val="2"/>
          <c:tx>
            <c:strRef>
              <c:f>'New_removed - bSIR'!$B$6</c:f>
              <c:strCache>
                <c:ptCount val="1"/>
                <c:pt idx="0">
                  <c:v>15/05/2020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9525">
                <a:noFill/>
              </a:ln>
              <a:effectLst/>
            </c:spPr>
          </c:marker>
          <c:xVal>
            <c:numRef>
              <c:f>'New_removed - bSIR'!$H$6</c:f>
              <c:numCache>
                <c:formatCode>General</c:formatCode>
                <c:ptCount val="1"/>
                <c:pt idx="0">
                  <c:v>0.65235224297285355</c:v>
                </c:pt>
              </c:numCache>
            </c:numRef>
          </c:xVal>
          <c:yVal>
            <c:numRef>
              <c:f>'New_removed - bSIR'!$I$6</c:f>
              <c:numCache>
                <c:formatCode>General</c:formatCode>
                <c:ptCount val="1"/>
                <c:pt idx="0">
                  <c:v>0.87299408284945956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3-65CF-4F43-9B34-9E22C4FEB0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6191312"/>
        <c:axId val="976191632"/>
      </c:scatterChart>
      <c:valAx>
        <c:axId val="976191312"/>
        <c:scaling>
          <c:orientation val="minMax"/>
          <c:max val="1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Accumulative</a:t>
                </a:r>
                <a:r>
                  <a:rPr lang="it-IT" baseline="0"/>
                  <a:t> # of people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76191632"/>
        <c:crosses val="autoZero"/>
        <c:crossBetween val="midCat"/>
      </c:valAx>
      <c:valAx>
        <c:axId val="97619163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removal rate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761913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rgbClr val="FF0000"/>
                </a:solidFill>
              </a:rPr>
              <a:t>selected region</a:t>
            </a:r>
            <a:r>
              <a:rPr lang="en-US" baseline="0">
                <a:solidFill>
                  <a:srgbClr val="FF0000"/>
                </a:solidFill>
              </a:rPr>
              <a:t> - </a:t>
            </a:r>
            <a:r>
              <a:rPr lang="en-US">
                <a:solidFill>
                  <a:srgbClr val="FF0000"/>
                </a:solidFill>
              </a:rPr>
              <a:t>New</a:t>
            </a:r>
            <a:r>
              <a:rPr lang="en-US" baseline="0">
                <a:solidFill>
                  <a:srgbClr val="FF0000"/>
                </a:solidFill>
              </a:rPr>
              <a:t> vs Accumulative removals - Phase space trajectory - basic SIR normalized</a:t>
            </a:r>
            <a:endParaRPr lang="en-US">
              <a:solidFill>
                <a:srgbClr val="FF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9"/>
          <c:order val="0"/>
          <c:tx>
            <c:strRef>
              <c:f>'New_removed - bSIR'!$AA$7</c:f>
              <c:strCache>
                <c:ptCount val="1"/>
                <c:pt idx="0">
                  <c:v>region fit (Norm.)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'New_removed - bSIR'!$Y$83:$Y$184</c:f>
              <c:numCache>
                <c:formatCode>General</c:formatCode>
                <c:ptCount val="102"/>
                <c:pt idx="0">
                  <c:v>3.5786872363284417E-3</c:v>
                </c:pt>
                <c:pt idx="1">
                  <c:v>8.4875166444702381E-3</c:v>
                </c:pt>
                <c:pt idx="2">
                  <c:v>1.3628818387644305E-2</c:v>
                </c:pt>
                <c:pt idx="3">
                  <c:v>1.9010734803035806E-2</c:v>
                </c:pt>
                <c:pt idx="4">
                  <c:v>2.4641386761971397E-2</c:v>
                </c:pt>
                <c:pt idx="5">
                  <c:v>3.0528835132225693E-2</c:v>
                </c:pt>
                <c:pt idx="6">
                  <c:v>3.6681038507021049E-2</c:v>
                </c:pt>
                <c:pt idx="7">
                  <c:v>4.3105807145058586E-2</c:v>
                </c:pt>
                <c:pt idx="8">
                  <c:v>4.981075310782207E-2</c:v>
                </c:pt>
                <c:pt idx="9">
                  <c:v>5.6803236629294859E-2</c:v>
                </c:pt>
                <c:pt idx="10">
                  <c:v>6.4090308809305316E-2</c:v>
                </c:pt>
                <c:pt idx="11">
                  <c:v>7.1678650785005515E-2</c:v>
                </c:pt>
                <c:pt idx="12">
                  <c:v>7.9574509605332702E-2</c:v>
                </c:pt>
                <c:pt idx="13">
                  <c:v>8.7783631110310414E-2</c:v>
                </c:pt>
                <c:pt idx="14">
                  <c:v>9.6311190200071367E-2</c:v>
                </c:pt>
                <c:pt idx="15">
                  <c:v>0.10516171896658374</c:v>
                </c:pt>
                <c:pt idx="16">
                  <c:v>0.11433903325296869</c:v>
                </c:pt>
                <c:pt idx="17">
                  <c:v>0.12384615829941266</c:v>
                </c:pt>
                <c:pt idx="18">
                  <c:v>0.13368525422903976</c:v>
                </c:pt>
                <c:pt idx="19">
                  <c:v>0.14385754221942884</c:v>
                </c:pt>
                <c:pt idx="20">
                  <c:v>0.15436323229310464</c:v>
                </c:pt>
                <c:pt idx="21">
                  <c:v>0.16520145374039361</c:v>
                </c:pt>
                <c:pt idx="22">
                  <c:v>0.17637018925737208</c:v>
                </c:pt>
                <c:pt idx="23">
                  <c:v>0.18786621393695502</c:v>
                </c:pt>
                <c:pt idx="24">
                  <c:v>0.19968504028913919</c:v>
                </c:pt>
                <c:pt idx="25">
                  <c:v>0.21182087048376627</c:v>
                </c:pt>
                <c:pt idx="26">
                  <c:v>0.22426655700285028</c:v>
                </c:pt>
                <c:pt idx="27">
                  <c:v>0.23701357285685293</c:v>
                </c:pt>
                <c:pt idx="28">
                  <c:v>0.25005199245811738</c:v>
                </c:pt>
                <c:pt idx="29">
                  <c:v>0.26337048415354553</c:v>
                </c:pt>
                <c:pt idx="30">
                  <c:v>0.27695631529688358</c:v>
                </c:pt>
                <c:pt idx="31">
                  <c:v>0.29079537058903138</c:v>
                </c:pt>
                <c:pt idx="32">
                  <c:v>0.30487218423403012</c:v>
                </c:pt>
                <c:pt idx="33">
                  <c:v>0.31916998625138471</c:v>
                </c:pt>
                <c:pt idx="34">
                  <c:v>0.33367076305585386</c:v>
                </c:pt>
                <c:pt idx="35">
                  <c:v>0.3483553321686283</c:v>
                </c:pt>
                <c:pt idx="36">
                  <c:v>0.36320343066475741</c:v>
                </c:pt>
                <c:pt idx="37">
                  <c:v>0.37819381669746815</c:v>
                </c:pt>
                <c:pt idx="38">
                  <c:v>0.39330438317797761</c:v>
                </c:pt>
                <c:pt idx="39">
                  <c:v>0.40851228243722004</c:v>
                </c:pt>
                <c:pt idx="40">
                  <c:v>0.4237940604613506</c:v>
                </c:pt>
                <c:pt idx="41">
                  <c:v>0.43912579908343763</c:v>
                </c:pt>
                <c:pt idx="42">
                  <c:v>0.45448326433631192</c:v>
                </c:pt>
                <c:pt idx="43">
                  <c:v>0.46984205903208492</c:v>
                </c:pt>
                <c:pt idx="44">
                  <c:v>0.48517777753717595</c:v>
                </c:pt>
                <c:pt idx="45">
                  <c:v>0.5004661606611448</c:v>
                </c:pt>
                <c:pt idx="46">
                  <c:v>0.51568324857500591</c:v>
                </c:pt>
                <c:pt idx="47">
                  <c:v>0.530805529720077</c:v>
                </c:pt>
                <c:pt idx="48">
                  <c:v>0.54581008376020312</c:v>
                </c:pt>
                <c:pt idx="49">
                  <c:v>0.56067471676520664</c:v>
                </c:pt>
                <c:pt idx="50">
                  <c:v>0.57537808698699355</c:v>
                </c:pt>
                <c:pt idx="51">
                  <c:v>0.58989981979602746</c:v>
                </c:pt>
                <c:pt idx="52">
                  <c:v>0.60422061057807541</c:v>
                </c:pt>
                <c:pt idx="53">
                  <c:v>0.61832231464175325</c:v>
                </c:pt>
                <c:pt idx="54">
                  <c:v>0.63218802344875424</c:v>
                </c:pt>
                <c:pt idx="55">
                  <c:v>0.64580212674298354</c:v>
                </c:pt>
                <c:pt idx="56">
                  <c:v>0.65915036041478048</c:v>
                </c:pt>
                <c:pt idx="57">
                  <c:v>0.67221984018521741</c:v>
                </c:pt>
                <c:pt idx="58">
                  <c:v>0.68499908142716104</c:v>
                </c:pt>
                <c:pt idx="59">
                  <c:v>0.69747800564943441</c:v>
                </c:pt>
                <c:pt idx="60">
                  <c:v>0.70964793435418294</c:v>
                </c:pt>
                <c:pt idx="61">
                  <c:v>0.7215015711327194</c:v>
                </c:pt>
                <c:pt idx="62">
                  <c:v>0.73303297299016512</c:v>
                </c:pt>
                <c:pt idx="63">
                  <c:v>0.74423751198366095</c:v>
                </c:pt>
                <c:pt idx="64">
                  <c:v>0.75511182832327739</c:v>
                </c:pt>
                <c:pt idx="65">
                  <c:v>0.7656537761204405</c:v>
                </c:pt>
                <c:pt idx="66">
                  <c:v>0.77586236297775135</c:v>
                </c:pt>
                <c:pt idx="67">
                  <c:v>0.7857376845991535</c:v>
                </c:pt>
                <c:pt idx="68">
                  <c:v>0.795280855563537</c:v>
                </c:pt>
                <c:pt idx="69">
                  <c:v>0.80449393735126218</c:v>
                </c:pt>
                <c:pt idx="70">
                  <c:v>0.81337986464512302</c:v>
                </c:pt>
                <c:pt idx="71">
                  <c:v>0.82194237084821276</c:v>
                </c:pt>
                <c:pt idx="72">
                  <c:v>0.83018591367419858</c:v>
                </c:pt>
                <c:pt idx="73">
                  <c:v>0.8381156015735558</c:v>
                </c:pt>
                <c:pt idx="74">
                  <c:v>0.8457371216650692</c:v>
                </c:pt>
                <c:pt idx="75">
                  <c:v>0.85305666974765493</c:v>
                </c:pt>
                <c:pt idx="76">
                  <c:v>0.86008088287532891</c:v>
                </c:pt>
                <c:pt idx="77">
                  <c:v>0.86681677488957065</c:v>
                </c:pt>
                <c:pt idx="78">
                  <c:v>0.87327167521969595</c:v>
                </c:pt>
                <c:pt idx="79">
                  <c:v>0.87945317118415733</c:v>
                </c:pt>
                <c:pt idx="80">
                  <c:v>0.88536905395459597</c:v>
                </c:pt>
                <c:pt idx="81">
                  <c:v>0.89102726828040291</c:v>
                </c:pt>
                <c:pt idx="82">
                  <c:v>0.89643586601467917</c:v>
                </c:pt>
                <c:pt idx="83">
                  <c:v>0.90160296343282043</c:v>
                </c:pt>
                <c:pt idx="84">
                  <c:v>0.90653670229228889</c:v>
                </c:pt>
                <c:pt idx="85">
                  <c:v>0.91124521454621532</c:v>
                </c:pt>
                <c:pt idx="86">
                  <c:v>0.91573659059384516</c:v>
                </c:pt>
                <c:pt idx="87">
                  <c:v>0.92001885092710067</c:v>
                </c:pt>
                <c:pt idx="88">
                  <c:v>0.92409992101410909</c:v>
                </c:pt>
                <c:pt idx="89">
                  <c:v>0.92798760924695312</c:v>
                </c:pt>
                <c:pt idx="90">
                  <c:v>0.93168958777157829</c:v>
                </c:pt>
                <c:pt idx="91">
                  <c:v>0.93521337601220655</c:v>
                </c:pt>
                <c:pt idx="92">
                  <c:v>0.93856632670026119</c:v>
                </c:pt>
                <c:pt idx="93">
                  <c:v>0.94175561421820642</c:v>
                </c:pt>
                <c:pt idx="94">
                  <c:v>0.94478822507140603</c:v>
                </c:pt>
                <c:pt idx="95">
                  <c:v>0.9476709503056745</c:v>
                </c:pt>
                <c:pt idx="96">
                  <c:v>0.95041037969429476</c:v>
                </c:pt>
                <c:pt idx="97">
                  <c:v>0.95301289752552765</c:v>
                </c:pt>
                <c:pt idx="98">
                  <c:v>0.95548467982977203</c:v>
                </c:pt>
                <c:pt idx="99">
                  <c:v>0.95783169289429471</c:v>
                </c:pt>
                <c:pt idx="100">
                  <c:v>0.96005969292258764</c:v>
                </c:pt>
                <c:pt idx="101">
                  <c:v>0.9621742267047585</c:v>
                </c:pt>
              </c:numCache>
            </c:numRef>
          </c:xVal>
          <c:yVal>
            <c:numRef>
              <c:f>'New_removed - bSIR'!$AA$83:$AA$184</c:f>
              <c:numCache>
                <c:formatCode>General</c:formatCode>
                <c:ptCount val="102"/>
                <c:pt idx="0">
                  <c:v>0.31214889029971521</c:v>
                </c:pt>
                <c:pt idx="1">
                  <c:v>0.32701670510942565</c:v>
                </c:pt>
                <c:pt idx="2">
                  <c:v>0.34241446485664251</c:v>
                </c:pt>
                <c:pt idx="3">
                  <c:v>0.35834194689972149</c:v>
                </c:pt>
                <c:pt idx="4">
                  <c:v>0.37479653970548127</c:v>
                </c:pt>
                <c:pt idx="5">
                  <c:v>0.39177300244172519</c:v>
                </c:pt>
                <c:pt idx="6">
                  <c:v>0.40926321972955593</c:v>
                </c:pt>
                <c:pt idx="7">
                  <c:v>0.42725595406189093</c:v>
                </c:pt>
                <c:pt idx="8">
                  <c:v>0.44573659884069916</c:v>
                </c:pt>
                <c:pt idx="9">
                  <c:v>0.46468693544829082</c:v>
                </c:pt>
                <c:pt idx="10">
                  <c:v>0.48408489823834527</c:v>
                </c:pt>
                <c:pt idx="11">
                  <c:v>0.5039043517989541</c:v>
                </c:pt>
                <c:pt idx="12">
                  <c:v>0.52411488528913641</c:v>
                </c:pt>
                <c:pt idx="13">
                  <c:v>0.54468162906606743</c:v>
                </c:pt>
                <c:pt idx="14">
                  <c:v>0.56556509918458142</c:v>
                </c:pt>
                <c:pt idx="15">
                  <c:v>0.58672107564319942</c:v>
                </c:pt>
                <c:pt idx="16">
                  <c:v>0.60810052045046159</c:v>
                </c:pt>
                <c:pt idx="17">
                  <c:v>0.62964954166911324</c:v>
                </c:pt>
                <c:pt idx="18">
                  <c:v>0.65130940954090633</c:v>
                </c:pt>
                <c:pt idx="19">
                  <c:v>0.67301663057946559</c:v>
                </c:pt>
                <c:pt idx="20">
                  <c:v>0.69470308512262979</c:v>
                </c:pt>
                <c:pt idx="21">
                  <c:v>0.71629623324184954</c:v>
                </c:pt>
                <c:pt idx="22">
                  <c:v>0.73771939310209744</c:v>
                </c:pt>
                <c:pt idx="23">
                  <c:v>0.75889209484465936</c:v>
                </c:pt>
                <c:pt idx="24">
                  <c:v>0.77973051182775011</c:v>
                </c:pt>
                <c:pt idx="25">
                  <c:v>0.80014796961544765</c:v>
                </c:pt>
                <c:pt idx="26">
                  <c:v>0.82005553147271082</c:v>
                </c:pt>
                <c:pt idx="27">
                  <c:v>0.83936265733242188</c:v>
                </c:pt>
                <c:pt idx="28">
                  <c:v>0.85797793128919819</c:v>
                </c:pt>
                <c:pt idx="29">
                  <c:v>0.87580985069407158</c:v>
                </c:pt>
                <c:pt idx="30">
                  <c:v>0.89276766793339368</c:v>
                </c:pt>
                <c:pt idx="31">
                  <c:v>0.90876227404155985</c:v>
                </c:pt>
                <c:pt idx="32">
                  <c:v>0.92370711149289897</c:v>
                </c:pt>
                <c:pt idx="33">
                  <c:v>0.93751910191856103</c:v>
                </c:pt>
                <c:pt idx="34">
                  <c:v>0.95011957317375273</c:v>
                </c:pt>
                <c:pt idx="35">
                  <c:v>0.96143516920905403</c:v>
                </c:pt>
                <c:pt idx="36">
                  <c:v>0.97139872563799312</c:v>
                </c:pt>
                <c:pt idx="37">
                  <c:v>0.97995009379044162</c:v>
                </c:pt>
                <c:pt idx="38">
                  <c:v>0.98703689643075954</c:v>
                </c:pt>
                <c:pt idx="39">
                  <c:v>0.99261519921519425</c:v>
                </c:pt>
                <c:pt idx="40">
                  <c:v>0.99665008335846139</c:v>
                </c:pt>
                <c:pt idx="41">
                  <c:v>0.99911610684662522</c:v>
                </c:pt>
                <c:pt idx="42">
                  <c:v>0.99999764382309164</c:v>
                </c:pt>
                <c:pt idx="43">
                  <c:v>0.99928909441759062</c:v>
                </c:pt>
                <c:pt idx="44">
                  <c:v>0.9969949601986301</c:v>
                </c:pt>
                <c:pt idx="45">
                  <c:v>0.99312978350890713</c:v>
                </c:pt>
                <c:pt idx="46">
                  <c:v>0.98771795208337643</c:v>
                </c:pt>
                <c:pt idx="47">
                  <c:v>0.98079337344065654</c:v>
                </c:pt>
                <c:pt idx="48">
                  <c:v>0.97239902647236354</c:v>
                </c:pt>
                <c:pt idx="49">
                  <c:v>0.96258640033160792</c:v>
                </c:pt>
                <c:pt idx="50">
                  <c:v>0.95141483305371244</c:v>
                </c:pt>
                <c:pt idx="51">
                  <c:v>0.93895076425815949</c:v>
                </c:pt>
                <c:pt idx="52">
                  <c:v>0.92526691772930192</c:v>
                </c:pt>
                <c:pt idx="53">
                  <c:v>0.91044143062403138</c:v>
                </c:pt>
                <c:pt idx="54">
                  <c:v>0.89455694649875928</c:v>
                </c:pt>
                <c:pt idx="55">
                  <c:v>0.87769968929768927</c:v>
                </c:pt>
                <c:pt idx="56">
                  <c:v>0.85995853493066099</c:v>
                </c:pt>
                <c:pt idx="57">
                  <c:v>0.84142409613906988</c:v>
                </c:pt>
                <c:pt idx="58">
                  <c:v>0.82218783506260984</c:v>
                </c:pt>
                <c:pt idx="59">
                  <c:v>0.80234121634687072</c:v>
                </c:pt>
                <c:pt idx="60">
                  <c:v>0.78197491184621215</c:v>
                </c:pt>
                <c:pt idx="61">
                  <c:v>0.76117806605306326</c:v>
                </c:pt>
                <c:pt idx="62">
                  <c:v>0.74003762939689444</c:v>
                </c:pt>
                <c:pt idx="63">
                  <c:v>0.71863776457133144</c:v>
                </c:pt>
                <c:pt idx="64">
                  <c:v>0.69705932912652002</c:v>
                </c:pt>
                <c:pt idx="65">
                  <c:v>0.67537943575690773</c:v>
                </c:pt>
                <c:pt idx="66">
                  <c:v>0.65367109006299839</c:v>
                </c:pt>
                <c:pt idx="67">
                  <c:v>0.63200290409954196</c:v>
                </c:pt>
                <c:pt idx="68">
                  <c:v>0.61043888276209779</c:v>
                </c:pt>
                <c:pt idx="69">
                  <c:v>0.58903827901908268</c:v>
                </c:pt>
                <c:pt idx="70">
                  <c:v>0.56785551316886262</c:v>
                </c:pt>
                <c:pt idx="71">
                  <c:v>0.5469401506852668</c:v>
                </c:pt>
                <c:pt idx="72">
                  <c:v>0.52633693279808036</c:v>
                </c:pt>
                <c:pt idx="73">
                  <c:v>0.50608585372100801</c:v>
                </c:pt>
                <c:pt idx="74">
                  <c:v>0.48622227836842269</c:v>
                </c:pt>
                <c:pt idx="75">
                  <c:v>0.46677709447195564</c:v>
                </c:pt>
                <c:pt idx="76">
                  <c:v>0.44777689319605241</c:v>
                </c:pt>
                <c:pt idx="77">
                  <c:v>0.42924417263522652</c:v>
                </c:pt>
                <c:pt idx="78">
                  <c:v>0.41119755893326415</c:v>
                </c:pt>
                <c:pt idx="79">
                  <c:v>0.39365204017574773</c:v>
                </c:pt>
                <c:pt idx="80">
                  <c:v>0.37661920865361598</c:v>
                </c:pt>
                <c:pt idx="81">
                  <c:v>0.36010750756087134</c:v>
                </c:pt>
                <c:pt idx="82">
                  <c:v>0.34412247866010298</c:v>
                </c:pt>
                <c:pt idx="83">
                  <c:v>0.32866700791358028</c:v>
                </c:pt>
                <c:pt idx="84">
                  <c:v>0.31374156652599733</c:v>
                </c:pt>
                <c:pt idx="85">
                  <c:v>0.29934444527022591</c:v>
                </c:pt>
                <c:pt idx="86">
                  <c:v>0.28547198036437221</c:v>
                </c:pt>
                <c:pt idx="87">
                  <c:v>0.27211876953336617</c:v>
                </c:pt>
                <c:pt idx="88">
                  <c:v>0.25927787721911588</c:v>
                </c:pt>
                <c:pt idx="89">
                  <c:v>0.24694102819901717</c:v>
                </c:pt>
                <c:pt idx="90">
                  <c:v>0.23509878913341106</c:v>
                </c:pt>
                <c:pt idx="91">
                  <c:v>0.22374073778936446</c:v>
                </c:pt>
                <c:pt idx="92">
                  <c:v>0.21285561988245466</c:v>
                </c:pt>
                <c:pt idx="93">
                  <c:v>0.20243149364204416</c:v>
                </c:pt>
                <c:pt idx="94">
                  <c:v>0.19245586234115594</c:v>
                </c:pt>
                <c:pt idx="95">
                  <c:v>0.18291579514198694</c:v>
                </c:pt>
                <c:pt idx="96">
                  <c:v>0.17379803669488489</c:v>
                </c:pt>
                <c:pt idx="97">
                  <c:v>0.16508910599484469</c:v>
                </c:pt>
                <c:pt idx="98">
                  <c:v>0.15677538504776051</c:v>
                </c:pt>
                <c:pt idx="99">
                  <c:v>0.14884319793118017</c:v>
                </c:pt>
                <c:pt idx="100">
                  <c:v>0.14127888085341947</c:v>
                </c:pt>
                <c:pt idx="101">
                  <c:v>0.13406884382266843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66D-4D17-8F76-9434177CC5C1}"/>
            </c:ext>
          </c:extLst>
        </c:ser>
        <c:ser>
          <c:idx val="0"/>
          <c:order val="1"/>
          <c:tx>
            <c:strRef>
              <c:f>'New_removed - bSIR'!$B$6</c:f>
              <c:strCache>
                <c:ptCount val="1"/>
                <c:pt idx="0">
                  <c:v>15/05/2020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xVal>
            <c:numRef>
              <c:f>'New_removed - bSIR'!$Y$6</c:f>
              <c:numCache>
                <c:formatCode>General</c:formatCode>
                <c:ptCount val="1"/>
                <c:pt idx="0">
                  <c:v>0.70964793435418294</c:v>
                </c:pt>
              </c:numCache>
            </c:numRef>
          </c:xVal>
          <c:yVal>
            <c:numRef>
              <c:f>'New_removed - bSIR'!$Z$6</c:f>
              <c:numCache>
                <c:formatCode>General</c:formatCode>
                <c:ptCount val="1"/>
                <c:pt idx="0">
                  <c:v>0.78197491184621215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66D-4D17-8F76-9434177CC5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6191312"/>
        <c:axId val="976191632"/>
      </c:scatterChart>
      <c:valAx>
        <c:axId val="976191312"/>
        <c:scaling>
          <c:orientation val="minMax"/>
          <c:max val="1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Accumulative</a:t>
                </a:r>
                <a:r>
                  <a:rPr lang="it-IT" baseline="0"/>
                  <a:t> # of people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76191632"/>
        <c:crosses val="autoZero"/>
        <c:crossBetween val="midCat"/>
      </c:valAx>
      <c:valAx>
        <c:axId val="97619163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removal rate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761913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userShapes r:id="rId3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rgbClr val="00B050"/>
                </a:solidFill>
              </a:rPr>
              <a:t>rest of Italy outside selected region</a:t>
            </a:r>
            <a:r>
              <a:rPr lang="en-US" baseline="0">
                <a:solidFill>
                  <a:srgbClr val="00B050"/>
                </a:solidFill>
              </a:rPr>
              <a:t> - </a:t>
            </a:r>
            <a:r>
              <a:rPr lang="en-US">
                <a:solidFill>
                  <a:srgbClr val="00B050"/>
                </a:solidFill>
              </a:rPr>
              <a:t>New</a:t>
            </a:r>
            <a:r>
              <a:rPr lang="en-US" baseline="0">
                <a:solidFill>
                  <a:srgbClr val="00B050"/>
                </a:solidFill>
              </a:rPr>
              <a:t> vs Accumulative removals - Phase space trajectory - basic SIR normalized</a:t>
            </a:r>
            <a:endParaRPr lang="en-US">
              <a:solidFill>
                <a:srgbClr val="00B05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9"/>
          <c:order val="0"/>
          <c:tx>
            <c:strRef>
              <c:f>'New_removed - bSIR'!$AM$7</c:f>
              <c:strCache>
                <c:ptCount val="1"/>
                <c:pt idx="0">
                  <c:v>rest of Italy fit (Norm.)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'New_removed - bSIR'!$AK$77:$AK$184</c:f>
              <c:numCache>
                <c:formatCode>General</c:formatCode>
                <c:ptCount val="108"/>
                <c:pt idx="0">
                  <c:v>1.1234592372349858E-3</c:v>
                </c:pt>
                <c:pt idx="1">
                  <c:v>4.9138099259008923E-3</c:v>
                </c:pt>
                <c:pt idx="2">
                  <c:v>8.8637737896230754E-3</c:v>
                </c:pt>
                <c:pt idx="3">
                  <c:v>1.2978597051452431E-2</c:v>
                </c:pt>
                <c:pt idx="4">
                  <c:v>1.7263560178050953E-2</c:v>
                </c:pt>
                <c:pt idx="5">
                  <c:v>2.1723963462488713E-2</c:v>
                </c:pt>
                <c:pt idx="6">
                  <c:v>2.6365111140052667E-2</c:v>
                </c:pt>
                <c:pt idx="7">
                  <c:v>3.1192293985835541E-2</c:v>
                </c:pt>
                <c:pt idx="8">
                  <c:v>3.6210770350694386E-2</c:v>
                </c:pt>
                <c:pt idx="9">
                  <c:v>4.1425745601643062E-2</c:v>
                </c:pt>
                <c:pt idx="10">
                  <c:v>4.684234994397813E-2</c:v>
                </c:pt>
                <c:pt idx="11">
                  <c:v>5.2465614615534617E-2</c:v>
                </c:pt>
                <c:pt idx="12">
                  <c:v>5.8300446458522726E-2</c:v>
                </c:pt>
                <c:pt idx="13">
                  <c:v>6.4351600891437072E-2</c:v>
                </c:pt>
                <c:pt idx="14">
                  <c:v>7.0623653322622215E-2</c:v>
                </c:pt>
                <c:pt idx="15">
                  <c:v>7.71209690681737E-2</c:v>
                </c:pt>
                <c:pt idx="16">
                  <c:v>8.3847671859933776E-2</c:v>
                </c:pt>
                <c:pt idx="17">
                  <c:v>9.0807611054274262E-2</c:v>
                </c:pt>
                <c:pt idx="18">
                  <c:v>9.8004327679008602E-2</c:v>
                </c:pt>
                <c:pt idx="19">
                  <c:v>0.10544101948390591</c:v>
                </c:pt>
                <c:pt idx="20">
                  <c:v>0.11312050518960866</c:v>
                </c:pt>
                <c:pt idx="21">
                  <c:v>0.1210451881599242</c:v>
                </c:pt>
                <c:pt idx="22">
                  <c:v>0.12921701975302907</c:v>
                </c:pt>
                <c:pt idx="23">
                  <c:v>0.13763746263759263</c:v>
                </c:pt>
                <c:pt idx="24">
                  <c:v>0.14630745438960852</c:v>
                </c:pt>
                <c:pt idx="25">
                  <c:v>0.15522737171416776</c:v>
                </c:pt>
                <c:pt idx="26">
                  <c:v>0.16439699566280835</c:v>
                </c:pt>
                <c:pt idx="27">
                  <c:v>0.17381547824067645</c:v>
                </c:pt>
                <c:pt idx="28">
                  <c:v>0.18348131081771982</c:v>
                </c:pt>
                <c:pt idx="29">
                  <c:v>0.19339229477371256</c:v>
                </c:pt>
                <c:pt idx="30">
                  <c:v>0.20354551481725056</c:v>
                </c:pt>
                <c:pt idx="31">
                  <c:v>0.21393731542317085</c:v>
                </c:pt>
                <c:pt idx="32">
                  <c:v>0.2245632808304226</c:v>
                </c:pt>
                <c:pt idx="33">
                  <c:v>0.2354182190325658</c:v>
                </c:pt>
                <c:pt idx="34">
                  <c:v>0.24649615017529164</c:v>
                </c:pt>
                <c:pt idx="35">
                  <c:v>0.25779029974922191</c:v>
                </c:pt>
                <c:pt idx="36">
                  <c:v>0.26929309693153558</c:v>
                </c:pt>
                <c:pt idx="37">
                  <c:v>0.28099617838665741</c:v>
                </c:pt>
                <c:pt idx="38">
                  <c:v>0.29289039778451315</c:v>
                </c:pt>
                <c:pt idx="39">
                  <c:v>0.30496584123512455</c:v>
                </c:pt>
                <c:pt idx="40">
                  <c:v>0.31721184877125874</c:v>
                </c:pt>
                <c:pt idx="41">
                  <c:v>0.32961704193736702</c:v>
                </c:pt>
                <c:pt idx="42">
                  <c:v>0.34216935746429866</c:v>
                </c:pt>
                <c:pt idx="43">
                  <c:v>0.3548560869266304</c:v>
                </c:pt>
                <c:pt idx="44">
                  <c:v>0.36766392219446448</c:v>
                </c:pt>
                <c:pt idx="45">
                  <c:v>0.38057900640596382</c:v>
                </c:pt>
                <c:pt idx="46">
                  <c:v>0.39358699010251197</c:v>
                </c:pt>
                <c:pt idx="47">
                  <c:v>0.40667309208714558</c:v>
                </c:pt>
                <c:pt idx="48">
                  <c:v>0.41982216449066201</c:v>
                </c:pt>
                <c:pt idx="49">
                  <c:v>0.43301876146043516</c:v>
                </c:pt>
                <c:pt idx="50">
                  <c:v>0.44624721082617297</c:v>
                </c:pt>
                <c:pt idx="51">
                  <c:v>0.45949168804616758</c:v>
                </c:pt>
                <c:pt idx="52">
                  <c:v>0.47273629169834541</c:v>
                </c:pt>
                <c:pt idx="53">
                  <c:v>0.48596511975362466</c:v>
                </c:pt>
                <c:pt idx="54">
                  <c:v>0.49916234585545721</c:v>
                </c:pt>
                <c:pt idx="55">
                  <c:v>0.51231229482932272</c:v>
                </c:pt>
                <c:pt idx="56">
                  <c:v>0.52539951665936524</c:v>
                </c:pt>
                <c:pt idx="57">
                  <c:v>0.53840885819594864</c:v>
                </c:pt>
                <c:pt idx="58">
                  <c:v>0.5513255318969702</c:v>
                </c:pt>
                <c:pt idx="59">
                  <c:v>0.56413518095627746</c:v>
                </c:pt>
                <c:pt idx="60">
                  <c:v>0.57682394023317773</c:v>
                </c:pt>
                <c:pt idx="61">
                  <c:v>0.58937849246629359</c:v>
                </c:pt>
                <c:pt idx="62">
                  <c:v>0.60178611933114434</c:v>
                </c:pt>
                <c:pt idx="63">
                  <c:v>0.61403474698203109</c:v>
                </c:pt>
                <c:pt idx="64">
                  <c:v>0.62611298580313035</c:v>
                </c:pt>
                <c:pt idx="65">
                  <c:v>0.63801016417929546</c:v>
                </c:pt>
                <c:pt idx="66">
                  <c:v>0.64971635618206691</c:v>
                </c:pt>
                <c:pt idx="67">
                  <c:v>0.6612224031490912</c:v>
                </c:pt>
                <c:pt idx="68">
                  <c:v>0.67251992921396953</c:v>
                </c:pt>
                <c:pt idx="69">
                  <c:v>0.68360135091713303</c:v>
                </c:pt>
                <c:pt idx="70">
                  <c:v>0.69445988109550327</c:v>
                </c:pt>
                <c:pt idx="71">
                  <c:v>0.70508952730855845</c:v>
                </c:pt>
                <c:pt idx="72">
                  <c:v>0.71548508511028219</c:v>
                </c:pt>
                <c:pt idx="73">
                  <c:v>0.72564212651992044</c:v>
                </c:pt>
                <c:pt idx="74">
                  <c:v>0.73555698407932135</c:v>
                </c:pt>
                <c:pt idx="75">
                  <c:v>0.74522673091090286</c:v>
                </c:pt>
                <c:pt idx="76">
                  <c:v>0.75464915720820425</c:v>
                </c:pt>
                <c:pt idx="77">
                  <c:v>0.76382274360095193</c:v>
                </c:pt>
                <c:pt idx="78">
                  <c:v>0.77274663183910963</c:v>
                </c:pt>
                <c:pt idx="79">
                  <c:v>0.78142059323617163</c:v>
                </c:pt>
                <c:pt idx="80">
                  <c:v>0.78984499530170071</c:v>
                </c:pt>
                <c:pt idx="81">
                  <c:v>0.79802076697762059</c:v>
                </c:pt>
                <c:pt idx="82">
                  <c:v>0.80594936287284391</c:v>
                </c:pt>
                <c:pt idx="83">
                  <c:v>0.81363272686726773</c:v>
                </c:pt>
                <c:pt idx="84">
                  <c:v>0.82107325542981291</c:v>
                </c:pt>
                <c:pt idx="85">
                  <c:v>0.82827376096675331</c:v>
                </c:pt>
                <c:pt idx="86">
                  <c:v>0.8352374354868275</c:v>
                </c:pt>
                <c:pt idx="87">
                  <c:v>0.84196781483915417</c:v>
                </c:pt>
                <c:pt idx="88">
                  <c:v>0.84846874374940795</c:v>
                </c:pt>
                <c:pt idx="89">
                  <c:v>0.85474434184953085</c:v>
                </c:pt>
                <c:pt idx="90">
                  <c:v>0.86079897086690582</c:v>
                </c:pt>
                <c:pt idx="91">
                  <c:v>0.86663720311077663</c:v>
                </c:pt>
                <c:pt idx="92">
                  <c:v>0.87226379136701371</c:v>
                </c:pt>
                <c:pt idx="93">
                  <c:v>0.87768364028736356</c:v>
                </c:pt>
                <c:pt idx="94">
                  <c:v>0.88290177933622338</c:v>
                </c:pt>
                <c:pt idx="95">
                  <c:v>0.88792333733682949</c:v>
                </c:pt>
                <c:pt idx="96">
                  <c:v>0.89275351863965036</c:v>
                </c:pt>
                <c:pt idx="97">
                  <c:v>0.89739758091868638</c:v>
                </c:pt>
                <c:pt idx="98">
                  <c:v>0.90186081458629319</c:v>
                </c:pt>
                <c:pt idx="99">
                  <c:v>0.90614852380402799</c:v>
                </c:pt>
                <c:pt idx="100">
                  <c:v>0.91026600905574062</c:v>
                </c:pt>
                <c:pt idx="101">
                  <c:v>0.91421855123964313</c:v>
                </c:pt>
                <c:pt idx="102">
                  <c:v>0.91801139722823155</c:v>
                </c:pt>
                <c:pt idx="103">
                  <c:v>0.92164974683862122</c:v>
                </c:pt>
                <c:pt idx="104">
                  <c:v>0.92513874115092509</c:v>
                </c:pt>
                <c:pt idx="105">
                  <c:v>0.92848345210864569</c:v>
                </c:pt>
                <c:pt idx="106">
                  <c:v>0.93168887333252892</c:v>
                </c:pt>
                <c:pt idx="107">
                  <c:v>0.93475991207779785</c:v>
                </c:pt>
              </c:numCache>
            </c:numRef>
          </c:xVal>
          <c:yVal>
            <c:numRef>
              <c:f>'New_removed - bSIR'!$AM$77:$AM$184</c:f>
              <c:numCache>
                <c:formatCode>General</c:formatCode>
                <c:ptCount val="108"/>
                <c:pt idx="0">
                  <c:v>0.28023154922128896</c:v>
                </c:pt>
                <c:pt idx="1">
                  <c:v>0.2920834780985252</c:v>
                </c:pt>
                <c:pt idx="2">
                  <c:v>0.30432980378286745</c:v>
                </c:pt>
                <c:pt idx="3">
                  <c:v>0.31697361955830811</c:v>
                </c:pt>
                <c:pt idx="4">
                  <c:v>0.33001698434384258</c:v>
                </c:pt>
                <c:pt idx="5">
                  <c:v>0.34346081405528778</c:v>
                </c:pt>
                <c:pt idx="6">
                  <c:v>0.35730476884352746</c:v>
                </c:pt>
                <c:pt idx="7">
                  <c:v>0.37154713674063028</c:v>
                </c:pt>
                <c:pt idx="8">
                  <c:v>0.38618471436514185</c:v>
                </c:pt>
                <c:pt idx="9">
                  <c:v>0.40121268546679389</c:v>
                </c:pt>
                <c:pt idx="10">
                  <c:v>0.41662449822799535</c:v>
                </c:pt>
                <c:pt idx="11">
                  <c:v>0.43241174238360186</c:v>
                </c:pt>
                <c:pt idx="12">
                  <c:v>0.44856402736988843</c:v>
                </c:pt>
                <c:pt idx="13">
                  <c:v>0.4650688628664067</c:v>
                </c:pt>
                <c:pt idx="14">
                  <c:v>0.48191154324787755</c:v>
                </c:pt>
                <c:pt idx="15">
                  <c:v>0.49907503761448074</c:v>
                </c:pt>
                <c:pt idx="16">
                  <c:v>0.51653988721432331</c:v>
                </c:pt>
                <c:pt idx="17">
                  <c:v>0.53428411220748162</c:v>
                </c:pt>
                <c:pt idx="18">
                  <c:v>0.55228312984234407</c:v>
                </c:pt>
                <c:pt idx="19">
                  <c:v>0.57050968621713849</c:v>
                </c:pt>
                <c:pt idx="20">
                  <c:v>0.58893380387724426</c:v>
                </c:pt>
                <c:pt idx="21">
                  <c:v>0.60752274754669944</c:v>
                </c:pt>
                <c:pt idx="22">
                  <c:v>0.62624101030452706</c:v>
                </c:pt>
                <c:pt idx="23">
                  <c:v>0.64505032248763172</c:v>
                </c:pt>
                <c:pt idx="24">
                  <c:v>0.6639096855265787</c:v>
                </c:pt>
                <c:pt idx="25">
                  <c:v>0.68277543279373731</c:v>
                </c:pt>
                <c:pt idx="26">
                  <c:v>0.70160131936072623</c:v>
                </c:pt>
                <c:pt idx="27">
                  <c:v>0.72033864232053901</c:v>
                </c:pt>
                <c:pt idx="28">
                  <c:v>0.73893639302705105</c:v>
                </c:pt>
                <c:pt idx="29">
                  <c:v>0.75734144224012001</c:v>
                </c:pt>
                <c:pt idx="30">
                  <c:v>0.77549875873923402</c:v>
                </c:pt>
                <c:pt idx="31">
                  <c:v>0.79335166148564673</c:v>
                </c:pt>
                <c:pt idx="32">
                  <c:v>0.81084210487720587</c:v>
                </c:pt>
                <c:pt idx="33">
                  <c:v>0.82791099605895846</c:v>
                </c:pt>
                <c:pt idx="34">
                  <c:v>0.84449854263570923</c:v>
                </c:pt>
                <c:pt idx="35">
                  <c:v>0.86054462849178048</c:v>
                </c:pt>
                <c:pt idx="36">
                  <c:v>0.87598921477220026</c:v>
                </c:pt>
                <c:pt idx="37">
                  <c:v>0.89077276243414139</c:v>
                </c:pt>
                <c:pt idx="38">
                  <c:v>0.90483667215480823</c:v>
                </c:pt>
                <c:pt idx="39">
                  <c:v>0.91812373680034221</c:v>
                </c:pt>
                <c:pt idx="40">
                  <c:v>0.93057860113825863</c:v>
                </c:pt>
                <c:pt idx="41">
                  <c:v>0.94214822303182311</c:v>
                </c:pt>
                <c:pt idx="42">
                  <c:v>0.95278233000610779</c:v>
                </c:pt>
                <c:pt idx="43">
                  <c:v>0.96243386483797033</c:v>
                </c:pt>
                <c:pt idx="44">
                  <c:v>0.97105941370929127</c:v>
                </c:pt>
                <c:pt idx="45">
                  <c:v>0.97861961048478452</c:v>
                </c:pt>
                <c:pt idx="46">
                  <c:v>0.98507951083917422</c:v>
                </c:pt>
                <c:pt idx="47">
                  <c:v>0.99040893026594368</c:v>
                </c:pt>
                <c:pt idx="48">
                  <c:v>0.99458274044918504</c:v>
                </c:pt>
                <c:pt idx="49">
                  <c:v>0.99758111906455993</c:v>
                </c:pt>
                <c:pt idx="50">
                  <c:v>0.9993897487837643</c:v>
                </c:pt>
                <c:pt idx="51">
                  <c:v>0.9999999620734541</c:v>
                </c:pt>
                <c:pt idx="52">
                  <c:v>0.99940882928485264</c:v>
                </c:pt>
                <c:pt idx="53">
                  <c:v>0.99761918850137365</c:v>
                </c:pt>
                <c:pt idx="54">
                  <c:v>0.99463961662332012</c:v>
                </c:pt>
                <c:pt idx="55">
                  <c:v>0.99048434219433679</c:v>
                </c:pt>
                <c:pt idx="56">
                  <c:v>0.98517310148645698</c:v>
                </c:pt>
                <c:pt idx="57">
                  <c:v>0.97873094033255092</c:v>
                </c:pt>
                <c:pt idx="58">
                  <c:v>0.97118796510145533</c:v>
                </c:pt>
                <c:pt idx="59">
                  <c:v>0.96257904702923747</c:v>
                </c:pt>
                <c:pt idx="60">
                  <c:v>0.9529434848302385</c:v>
                </c:pt>
                <c:pt idx="61">
                  <c:v>0.94232463109813158</c:v>
                </c:pt>
                <c:pt idx="62">
                  <c:v>0.93076948845873708</c:v>
                </c:pt>
                <c:pt idx="63">
                  <c:v>0.91832828174604531</c:v>
                </c:pt>
                <c:pt idx="64">
                  <c:v>0.90505401263865459</c:v>
                </c:pt>
                <c:pt idx="65">
                  <c:v>0.89100200321801737</c:v>
                </c:pt>
                <c:pt idx="66">
                  <c:v>0.87622943479904769</c:v>
                </c:pt>
                <c:pt idx="67">
                  <c:v>0.8607948881480364</c:v>
                </c:pt>
                <c:pt idx="68">
                  <c:v>0.84475789085579178</c:v>
                </c:pt>
                <c:pt idx="69">
                  <c:v>0.82817847719120741</c:v>
                </c:pt>
                <c:pt idx="70">
                  <c:v>0.81111676523950116</c:v>
                </c:pt>
                <c:pt idx="71">
                  <c:v>0.79363255554853318</c:v>
                </c:pt>
                <c:pt idx="72">
                  <c:v>0.77578495488450105</c:v>
                </c:pt>
                <c:pt idx="73">
                  <c:v>0.75763202805312924</c:v>
                </c:pt>
                <c:pt idx="74">
                  <c:v>0.73923048009140235</c:v>
                </c:pt>
                <c:pt idx="75">
                  <c:v>0.72063537049370918</c:v>
                </c:pt>
                <c:pt idx="76">
                  <c:v>0.70189986051885056</c:v>
                </c:pt>
                <c:pt idx="77">
                  <c:v>0.68307499404261174</c:v>
                </c:pt>
                <c:pt idx="78">
                  <c:v>0.66420951188407984</c:v>
                </c:pt>
                <c:pt idx="79">
                  <c:v>0.64534969904997941</c:v>
                </c:pt>
                <c:pt idx="80">
                  <c:v>0.62653926391510228</c:v>
                </c:pt>
                <c:pt idx="81">
                  <c:v>0.60781924799144738</c:v>
                </c:pt>
                <c:pt idx="82">
                  <c:v>0.58922796463500549</c:v>
                </c:pt>
                <c:pt idx="83">
                  <c:v>0.57080096479663189</c:v>
                </c:pt>
                <c:pt idx="84">
                  <c:v>0.55257102773997757</c:v>
                </c:pt>
                <c:pt idx="85">
                  <c:v>0.53456817452176175</c:v>
                </c:pt>
                <c:pt idx="86">
                  <c:v>0.51681970195346738</c:v>
                </c:pt>
                <c:pt idx="87">
                  <c:v>0.49935023473394291</c:v>
                </c:pt>
                <c:pt idx="88">
                  <c:v>0.4821817934540274</c:v>
                </c:pt>
                <c:pt idx="89">
                  <c:v>0.4653338762215819</c:v>
                </c:pt>
                <c:pt idx="90">
                  <c:v>0.44882355173260569</c:v>
                </c:pt>
                <c:pt idx="91">
                  <c:v>0.43266556171592374</c:v>
                </c:pt>
                <c:pt idx="92">
                  <c:v>0.41687243079999581</c:v>
                </c:pt>
                <c:pt idx="93">
                  <c:v>0.40145458198582912</c:v>
                </c:pt>
                <c:pt idx="94">
                  <c:v>0.38642045605526115</c:v>
                </c:pt>
                <c:pt idx="95">
                  <c:v>0.37177663339503342</c:v>
                </c:pt>
                <c:pt idx="96">
                  <c:v>0.35752795687053934</c:v>
                </c:pt>
                <c:pt idx="97">
                  <c:v>0.34367765453590782</c:v>
                </c:pt>
                <c:pt idx="98">
                  <c:v>0.33022746111659373</c:v>
                </c:pt>
                <c:pt idx="99">
                  <c:v>0.31717773734486787</c:v>
                </c:pt>
                <c:pt idx="100">
                  <c:v>0.30452758636584792</c:v>
                </c:pt>
                <c:pt idx="101">
                  <c:v>0.29227496656078694</c:v>
                </c:pt>
                <c:pt idx="102">
                  <c:v>0.28041680025434773</c:v>
                </c:pt>
                <c:pt idx="103">
                  <c:v>0.26894907788297856</c:v>
                </c:pt>
                <c:pt idx="104">
                  <c:v>0.25786695730199344</c:v>
                </c:pt>
                <c:pt idx="105">
                  <c:v>0.24716485799949303</c:v>
                </c:pt>
                <c:pt idx="106">
                  <c:v>0.23683655006595841</c:v>
                </c:pt>
                <c:pt idx="107">
                  <c:v>0.22687523783954561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368-4D96-9AD9-471CC8070874}"/>
            </c:ext>
          </c:extLst>
        </c:ser>
        <c:ser>
          <c:idx val="0"/>
          <c:order val="1"/>
          <c:tx>
            <c:strRef>
              <c:f>'New_removed - bSIR'!$B$6</c:f>
              <c:strCache>
                <c:ptCount val="1"/>
                <c:pt idx="0">
                  <c:v>15/05/2020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noFill/>
              </a:ln>
              <a:effectLst/>
            </c:spPr>
          </c:marker>
          <c:xVal>
            <c:numRef>
              <c:f>'New_removed - bSIR'!$AK$6</c:f>
              <c:numCache>
                <c:formatCode>General</c:formatCode>
                <c:ptCount val="1"/>
                <c:pt idx="0">
                  <c:v>0.64971635618206691</c:v>
                </c:pt>
              </c:numCache>
            </c:numRef>
          </c:xVal>
          <c:yVal>
            <c:numRef>
              <c:f>'New_removed - bSIR'!$AL$6</c:f>
              <c:numCache>
                <c:formatCode>General</c:formatCode>
                <c:ptCount val="1"/>
                <c:pt idx="0">
                  <c:v>0.87622943479904769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368-4D96-9AD9-471CC80708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6191312"/>
        <c:axId val="976191632"/>
      </c:scatterChart>
      <c:valAx>
        <c:axId val="976191312"/>
        <c:scaling>
          <c:orientation val="minMax"/>
          <c:max val="1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Accumulative</a:t>
                </a:r>
                <a:r>
                  <a:rPr lang="it-IT" baseline="0"/>
                  <a:t> # of people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76191632"/>
        <c:crosses val="autoZero"/>
        <c:crossBetween val="midCat"/>
      </c:valAx>
      <c:valAx>
        <c:axId val="97619163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removal</a:t>
                </a:r>
                <a:r>
                  <a:rPr lang="it-IT" baseline="0"/>
                  <a:t> rate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761913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>
                <a:solidFill>
                  <a:srgbClr val="0070C0"/>
                </a:solidFill>
              </a:rPr>
              <a:t>Italy - </a:t>
            </a:r>
            <a:r>
              <a:rPr lang="it-IT" sz="1400" b="0" i="0" u="none" strike="noStrike" baseline="0">
                <a:solidFill>
                  <a:srgbClr val="0070C0"/>
                </a:solidFill>
                <a:effectLst/>
              </a:rPr>
              <a:t>Accumulative removals - basic SIR</a:t>
            </a:r>
            <a:endParaRPr lang="it-IT">
              <a:solidFill>
                <a:srgbClr val="0070C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'New_removed - bSIR'!$D$7</c:f>
              <c:strCache>
                <c:ptCount val="1"/>
                <c:pt idx="0">
                  <c:v>Italy cumul. data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noFill/>
              </a:ln>
              <a:effectLst/>
            </c:spPr>
          </c:marker>
          <c:xVal>
            <c:numRef>
              <c:f>'New_removed - bSIR'!$C$62:$C$184</c:f>
              <c:numCache>
                <c:formatCode>General</c:formatCode>
                <c:ptCount val="123"/>
                <c:pt idx="0">
                  <c:v>55</c:v>
                </c:pt>
                <c:pt idx="1">
                  <c:v>56</c:v>
                </c:pt>
                <c:pt idx="2">
                  <c:v>57</c:v>
                </c:pt>
                <c:pt idx="3">
                  <c:v>58</c:v>
                </c:pt>
                <c:pt idx="4">
                  <c:v>59</c:v>
                </c:pt>
                <c:pt idx="5">
                  <c:v>60</c:v>
                </c:pt>
                <c:pt idx="6">
                  <c:v>61</c:v>
                </c:pt>
                <c:pt idx="7">
                  <c:v>62</c:v>
                </c:pt>
                <c:pt idx="8">
                  <c:v>63</c:v>
                </c:pt>
                <c:pt idx="9">
                  <c:v>64</c:v>
                </c:pt>
                <c:pt idx="10">
                  <c:v>65</c:v>
                </c:pt>
                <c:pt idx="11">
                  <c:v>66</c:v>
                </c:pt>
                <c:pt idx="12">
                  <c:v>67</c:v>
                </c:pt>
                <c:pt idx="13">
                  <c:v>68</c:v>
                </c:pt>
                <c:pt idx="14">
                  <c:v>69</c:v>
                </c:pt>
                <c:pt idx="15">
                  <c:v>70</c:v>
                </c:pt>
                <c:pt idx="16">
                  <c:v>71</c:v>
                </c:pt>
                <c:pt idx="17">
                  <c:v>72</c:v>
                </c:pt>
                <c:pt idx="18">
                  <c:v>73</c:v>
                </c:pt>
                <c:pt idx="19">
                  <c:v>74</c:v>
                </c:pt>
                <c:pt idx="20">
                  <c:v>75</c:v>
                </c:pt>
                <c:pt idx="21">
                  <c:v>76</c:v>
                </c:pt>
                <c:pt idx="22">
                  <c:v>77</c:v>
                </c:pt>
                <c:pt idx="23">
                  <c:v>78</c:v>
                </c:pt>
                <c:pt idx="24">
                  <c:v>79</c:v>
                </c:pt>
                <c:pt idx="25">
                  <c:v>80</c:v>
                </c:pt>
                <c:pt idx="26">
                  <c:v>81</c:v>
                </c:pt>
                <c:pt idx="27">
                  <c:v>82</c:v>
                </c:pt>
                <c:pt idx="28">
                  <c:v>83</c:v>
                </c:pt>
                <c:pt idx="29">
                  <c:v>84</c:v>
                </c:pt>
                <c:pt idx="30">
                  <c:v>85</c:v>
                </c:pt>
                <c:pt idx="31">
                  <c:v>86</c:v>
                </c:pt>
                <c:pt idx="32">
                  <c:v>87</c:v>
                </c:pt>
                <c:pt idx="33">
                  <c:v>88</c:v>
                </c:pt>
                <c:pt idx="34">
                  <c:v>89</c:v>
                </c:pt>
                <c:pt idx="35">
                  <c:v>90</c:v>
                </c:pt>
                <c:pt idx="36">
                  <c:v>91</c:v>
                </c:pt>
                <c:pt idx="37">
                  <c:v>92</c:v>
                </c:pt>
                <c:pt idx="38">
                  <c:v>93</c:v>
                </c:pt>
                <c:pt idx="39">
                  <c:v>94</c:v>
                </c:pt>
                <c:pt idx="40">
                  <c:v>95</c:v>
                </c:pt>
                <c:pt idx="41">
                  <c:v>96</c:v>
                </c:pt>
                <c:pt idx="42">
                  <c:v>97</c:v>
                </c:pt>
                <c:pt idx="43">
                  <c:v>98</c:v>
                </c:pt>
                <c:pt idx="44">
                  <c:v>99</c:v>
                </c:pt>
                <c:pt idx="45">
                  <c:v>100</c:v>
                </c:pt>
                <c:pt idx="46">
                  <c:v>101</c:v>
                </c:pt>
                <c:pt idx="47">
                  <c:v>102</c:v>
                </c:pt>
                <c:pt idx="48">
                  <c:v>103</c:v>
                </c:pt>
                <c:pt idx="49">
                  <c:v>104</c:v>
                </c:pt>
                <c:pt idx="50">
                  <c:v>105</c:v>
                </c:pt>
                <c:pt idx="51">
                  <c:v>106</c:v>
                </c:pt>
                <c:pt idx="52">
                  <c:v>107</c:v>
                </c:pt>
                <c:pt idx="53">
                  <c:v>108</c:v>
                </c:pt>
                <c:pt idx="54">
                  <c:v>109</c:v>
                </c:pt>
                <c:pt idx="55">
                  <c:v>110</c:v>
                </c:pt>
                <c:pt idx="56">
                  <c:v>111</c:v>
                </c:pt>
                <c:pt idx="57">
                  <c:v>112</c:v>
                </c:pt>
                <c:pt idx="58">
                  <c:v>113</c:v>
                </c:pt>
                <c:pt idx="59">
                  <c:v>114</c:v>
                </c:pt>
                <c:pt idx="60">
                  <c:v>115</c:v>
                </c:pt>
                <c:pt idx="61">
                  <c:v>116</c:v>
                </c:pt>
                <c:pt idx="62">
                  <c:v>117</c:v>
                </c:pt>
                <c:pt idx="63">
                  <c:v>118</c:v>
                </c:pt>
                <c:pt idx="64">
                  <c:v>119</c:v>
                </c:pt>
                <c:pt idx="65">
                  <c:v>120</c:v>
                </c:pt>
                <c:pt idx="66">
                  <c:v>121</c:v>
                </c:pt>
                <c:pt idx="67">
                  <c:v>122</c:v>
                </c:pt>
                <c:pt idx="68">
                  <c:v>123</c:v>
                </c:pt>
                <c:pt idx="69">
                  <c:v>124</c:v>
                </c:pt>
                <c:pt idx="70">
                  <c:v>125</c:v>
                </c:pt>
                <c:pt idx="71">
                  <c:v>126</c:v>
                </c:pt>
                <c:pt idx="72">
                  <c:v>127</c:v>
                </c:pt>
                <c:pt idx="73">
                  <c:v>128</c:v>
                </c:pt>
                <c:pt idx="74">
                  <c:v>129</c:v>
                </c:pt>
                <c:pt idx="75">
                  <c:v>130</c:v>
                </c:pt>
                <c:pt idx="76">
                  <c:v>131</c:v>
                </c:pt>
                <c:pt idx="77">
                  <c:v>132</c:v>
                </c:pt>
                <c:pt idx="78">
                  <c:v>133</c:v>
                </c:pt>
                <c:pt idx="79">
                  <c:v>134</c:v>
                </c:pt>
                <c:pt idx="80">
                  <c:v>135</c:v>
                </c:pt>
                <c:pt idx="81">
                  <c:v>136</c:v>
                </c:pt>
                <c:pt idx="82">
                  <c:v>137</c:v>
                </c:pt>
                <c:pt idx="83">
                  <c:v>138</c:v>
                </c:pt>
                <c:pt idx="84">
                  <c:v>139</c:v>
                </c:pt>
                <c:pt idx="85">
                  <c:v>140</c:v>
                </c:pt>
                <c:pt idx="86">
                  <c:v>141</c:v>
                </c:pt>
                <c:pt idx="87">
                  <c:v>142</c:v>
                </c:pt>
                <c:pt idx="88">
                  <c:v>143</c:v>
                </c:pt>
                <c:pt idx="89">
                  <c:v>144</c:v>
                </c:pt>
                <c:pt idx="90">
                  <c:v>145</c:v>
                </c:pt>
                <c:pt idx="91">
                  <c:v>146</c:v>
                </c:pt>
                <c:pt idx="92">
                  <c:v>147</c:v>
                </c:pt>
                <c:pt idx="93">
                  <c:v>148</c:v>
                </c:pt>
                <c:pt idx="94">
                  <c:v>149</c:v>
                </c:pt>
                <c:pt idx="95">
                  <c:v>150</c:v>
                </c:pt>
                <c:pt idx="96">
                  <c:v>151</c:v>
                </c:pt>
                <c:pt idx="97">
                  <c:v>152</c:v>
                </c:pt>
                <c:pt idx="98">
                  <c:v>153</c:v>
                </c:pt>
                <c:pt idx="99">
                  <c:v>154</c:v>
                </c:pt>
                <c:pt idx="100">
                  <c:v>155</c:v>
                </c:pt>
                <c:pt idx="101">
                  <c:v>156</c:v>
                </c:pt>
                <c:pt idx="102">
                  <c:v>157</c:v>
                </c:pt>
                <c:pt idx="103">
                  <c:v>158</c:v>
                </c:pt>
                <c:pt idx="104">
                  <c:v>159</c:v>
                </c:pt>
                <c:pt idx="105">
                  <c:v>160</c:v>
                </c:pt>
                <c:pt idx="106">
                  <c:v>161</c:v>
                </c:pt>
                <c:pt idx="107">
                  <c:v>162</c:v>
                </c:pt>
                <c:pt idx="108">
                  <c:v>163</c:v>
                </c:pt>
                <c:pt idx="109">
                  <c:v>164</c:v>
                </c:pt>
                <c:pt idx="110">
                  <c:v>165</c:v>
                </c:pt>
                <c:pt idx="111">
                  <c:v>166</c:v>
                </c:pt>
                <c:pt idx="112">
                  <c:v>167</c:v>
                </c:pt>
                <c:pt idx="113">
                  <c:v>168</c:v>
                </c:pt>
                <c:pt idx="114">
                  <c:v>169</c:v>
                </c:pt>
                <c:pt idx="115">
                  <c:v>170</c:v>
                </c:pt>
                <c:pt idx="116">
                  <c:v>171</c:v>
                </c:pt>
                <c:pt idx="117">
                  <c:v>172</c:v>
                </c:pt>
                <c:pt idx="118">
                  <c:v>173</c:v>
                </c:pt>
                <c:pt idx="119">
                  <c:v>174</c:v>
                </c:pt>
                <c:pt idx="120">
                  <c:v>175</c:v>
                </c:pt>
                <c:pt idx="121">
                  <c:v>176</c:v>
                </c:pt>
                <c:pt idx="122">
                  <c:v>177</c:v>
                </c:pt>
              </c:numCache>
            </c:numRef>
          </c:xVal>
          <c:yVal>
            <c:numRef>
              <c:f>'New_removed - bSIR'!$D$62:$D$184</c:f>
              <c:numCache>
                <c:formatCode>General</c:formatCode>
                <c:ptCount val="123"/>
                <c:pt idx="0">
                  <c:v>8</c:v>
                </c:pt>
                <c:pt idx="1">
                  <c:v>11</c:v>
                </c:pt>
                <c:pt idx="2">
                  <c:v>15</c:v>
                </c:pt>
                <c:pt idx="3">
                  <c:v>62</c:v>
                </c:pt>
                <c:pt idx="4">
                  <c:v>67</c:v>
                </c:pt>
                <c:pt idx="5">
                  <c:v>79</c:v>
                </c:pt>
                <c:pt idx="6">
                  <c:v>117</c:v>
                </c:pt>
                <c:pt idx="7">
                  <c:v>201</c:v>
                </c:pt>
                <c:pt idx="8">
                  <c:v>239</c:v>
                </c:pt>
                <c:pt idx="9">
                  <c:v>383</c:v>
                </c:pt>
                <c:pt idx="10">
                  <c:v>562</c:v>
                </c:pt>
                <c:pt idx="11">
                  <c:v>720</c:v>
                </c:pt>
                <c:pt idx="12">
                  <c:v>822</c:v>
                </c:pt>
                <c:pt idx="13">
                  <c:v>988</c:v>
                </c:pt>
                <c:pt idx="14">
                  <c:v>1187</c:v>
                </c:pt>
                <c:pt idx="15">
                  <c:v>1635</c:v>
                </c:pt>
                <c:pt idx="16">
                  <c:v>1872</c:v>
                </c:pt>
                <c:pt idx="17">
                  <c:v>2274</c:v>
                </c:pt>
                <c:pt idx="18">
                  <c:v>2705</c:v>
                </c:pt>
                <c:pt idx="19">
                  <c:v>3407</c:v>
                </c:pt>
                <c:pt idx="20">
                  <c:v>4144</c:v>
                </c:pt>
                <c:pt idx="21">
                  <c:v>4907</c:v>
                </c:pt>
                <c:pt idx="22">
                  <c:v>5444</c:v>
                </c:pt>
                <c:pt idx="23">
                  <c:v>7003</c:v>
                </c:pt>
                <c:pt idx="24">
                  <c:v>7845</c:v>
                </c:pt>
                <c:pt idx="25">
                  <c:v>9161</c:v>
                </c:pt>
                <c:pt idx="26">
                  <c:v>10897</c:v>
                </c:pt>
                <c:pt idx="27">
                  <c:v>12500</c:v>
                </c:pt>
                <c:pt idx="28">
                  <c:v>13509</c:v>
                </c:pt>
                <c:pt idx="29">
                  <c:v>15146</c:v>
                </c:pt>
                <c:pt idx="30">
                  <c:v>16865</c:v>
                </c:pt>
                <c:pt idx="31">
                  <c:v>18526</c:v>
                </c:pt>
                <c:pt idx="32">
                  <c:v>20084</c:v>
                </c:pt>
                <c:pt idx="33">
                  <c:v>22407</c:v>
                </c:pt>
                <c:pt idx="34">
                  <c:v>23809</c:v>
                </c:pt>
                <c:pt idx="35">
                  <c:v>26211</c:v>
                </c:pt>
                <c:pt idx="36">
                  <c:v>28157</c:v>
                </c:pt>
                <c:pt idx="37">
                  <c:v>30002</c:v>
                </c:pt>
                <c:pt idx="38">
                  <c:v>32193</c:v>
                </c:pt>
                <c:pt idx="39">
                  <c:v>34439</c:v>
                </c:pt>
                <c:pt idx="40">
                  <c:v>36358</c:v>
                </c:pt>
                <c:pt idx="41">
                  <c:v>37702</c:v>
                </c:pt>
                <c:pt idx="42">
                  <c:v>39360</c:v>
                </c:pt>
                <c:pt idx="43">
                  <c:v>41519</c:v>
                </c:pt>
                <c:pt idx="44">
                  <c:v>44160</c:v>
                </c:pt>
                <c:pt idx="45">
                  <c:v>46749</c:v>
                </c:pt>
                <c:pt idx="46">
                  <c:v>49304</c:v>
                </c:pt>
                <c:pt idx="47">
                  <c:v>52002</c:v>
                </c:pt>
                <c:pt idx="48">
                  <c:v>54110</c:v>
                </c:pt>
                <c:pt idx="49">
                  <c:v>55900</c:v>
                </c:pt>
                <c:pt idx="50">
                  <c:v>58197</c:v>
                </c:pt>
                <c:pt idx="51">
                  <c:v>59737</c:v>
                </c:pt>
                <c:pt idx="52">
                  <c:v>62334</c:v>
                </c:pt>
                <c:pt idx="53">
                  <c:v>65472</c:v>
                </c:pt>
                <c:pt idx="54">
                  <c:v>68154</c:v>
                </c:pt>
                <c:pt idx="55">
                  <c:v>70715</c:v>
                </c:pt>
                <c:pt idx="56">
                  <c:v>72991</c:v>
                </c:pt>
                <c:pt idx="57">
                  <c:v>76248</c:v>
                </c:pt>
                <c:pt idx="58">
                  <c:v>79628</c:v>
                </c:pt>
                <c:pt idx="59">
                  <c:v>83125</c:v>
                </c:pt>
                <c:pt idx="60">
                  <c:v>86467</c:v>
                </c:pt>
                <c:pt idx="61">
                  <c:v>89504</c:v>
                </c:pt>
                <c:pt idx="62">
                  <c:v>91572</c:v>
                </c:pt>
                <c:pt idx="63">
                  <c:v>93601</c:v>
                </c:pt>
                <c:pt idx="64">
                  <c:v>96300</c:v>
                </c:pt>
                <c:pt idx="65">
                  <c:v>98934</c:v>
                </c:pt>
                <c:pt idx="66">
                  <c:v>103912</c:v>
                </c:pt>
                <c:pt idx="67">
                  <c:v>106485</c:v>
                </c:pt>
                <c:pt idx="68">
                  <c:v>108624</c:v>
                </c:pt>
                <c:pt idx="69">
                  <c:v>110538</c:v>
                </c:pt>
                <c:pt idx="70">
                  <c:v>111958</c:v>
                </c:pt>
                <c:pt idx="71">
                  <c:v>114546</c:v>
                </c:pt>
                <c:pt idx="72">
                  <c:v>122929</c:v>
                </c:pt>
                <c:pt idx="73">
                  <c:v>126234</c:v>
                </c:pt>
                <c:pt idx="74">
                  <c:v>129224</c:v>
                </c:pt>
                <c:pt idx="75">
                  <c:v>133426</c:v>
                </c:pt>
                <c:pt idx="76">
                  <c:v>135746</c:v>
                </c:pt>
                <c:pt idx="77">
                  <c:v>137326</c:v>
                </c:pt>
                <c:pt idx="78">
                  <c:v>139950</c:v>
                </c:pt>
                <c:pt idx="79">
                  <c:v>143647</c:v>
                </c:pt>
                <c:pt idx="80">
                  <c:v>146656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C29-4763-8D31-F39940B2BA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9487760"/>
        <c:axId val="969487440"/>
      </c:scatterChart>
      <c:scatterChart>
        <c:scatterStyle val="smoothMarker"/>
        <c:varyColors val="0"/>
        <c:ser>
          <c:idx val="1"/>
          <c:order val="1"/>
          <c:tx>
            <c:strRef>
              <c:f>'New_removed - bSIR'!$G$7</c:f>
              <c:strCache>
                <c:ptCount val="1"/>
                <c:pt idx="0">
                  <c:v>Italy cumul. fit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'New_removed - bSIR'!$C$62:$C$184</c:f>
              <c:numCache>
                <c:formatCode>General</c:formatCode>
                <c:ptCount val="123"/>
                <c:pt idx="0">
                  <c:v>55</c:v>
                </c:pt>
                <c:pt idx="1">
                  <c:v>56</c:v>
                </c:pt>
                <c:pt idx="2">
                  <c:v>57</c:v>
                </c:pt>
                <c:pt idx="3">
                  <c:v>58</c:v>
                </c:pt>
                <c:pt idx="4">
                  <c:v>59</c:v>
                </c:pt>
                <c:pt idx="5">
                  <c:v>60</c:v>
                </c:pt>
                <c:pt idx="6">
                  <c:v>61</c:v>
                </c:pt>
                <c:pt idx="7">
                  <c:v>62</c:v>
                </c:pt>
                <c:pt idx="8">
                  <c:v>63</c:v>
                </c:pt>
                <c:pt idx="9">
                  <c:v>64</c:v>
                </c:pt>
                <c:pt idx="10">
                  <c:v>65</c:v>
                </c:pt>
                <c:pt idx="11">
                  <c:v>66</c:v>
                </c:pt>
                <c:pt idx="12">
                  <c:v>67</c:v>
                </c:pt>
                <c:pt idx="13">
                  <c:v>68</c:v>
                </c:pt>
                <c:pt idx="14">
                  <c:v>69</c:v>
                </c:pt>
                <c:pt idx="15">
                  <c:v>70</c:v>
                </c:pt>
                <c:pt idx="16">
                  <c:v>71</c:v>
                </c:pt>
                <c:pt idx="17">
                  <c:v>72</c:v>
                </c:pt>
                <c:pt idx="18">
                  <c:v>73</c:v>
                </c:pt>
                <c:pt idx="19">
                  <c:v>74</c:v>
                </c:pt>
                <c:pt idx="20">
                  <c:v>75</c:v>
                </c:pt>
                <c:pt idx="21">
                  <c:v>76</c:v>
                </c:pt>
                <c:pt idx="22">
                  <c:v>77</c:v>
                </c:pt>
                <c:pt idx="23">
                  <c:v>78</c:v>
                </c:pt>
                <c:pt idx="24">
                  <c:v>79</c:v>
                </c:pt>
                <c:pt idx="25">
                  <c:v>80</c:v>
                </c:pt>
                <c:pt idx="26">
                  <c:v>81</c:v>
                </c:pt>
                <c:pt idx="27">
                  <c:v>82</c:v>
                </c:pt>
                <c:pt idx="28">
                  <c:v>83</c:v>
                </c:pt>
                <c:pt idx="29">
                  <c:v>84</c:v>
                </c:pt>
                <c:pt idx="30">
                  <c:v>85</c:v>
                </c:pt>
                <c:pt idx="31">
                  <c:v>86</c:v>
                </c:pt>
                <c:pt idx="32">
                  <c:v>87</c:v>
                </c:pt>
                <c:pt idx="33">
                  <c:v>88</c:v>
                </c:pt>
                <c:pt idx="34">
                  <c:v>89</c:v>
                </c:pt>
                <c:pt idx="35">
                  <c:v>90</c:v>
                </c:pt>
                <c:pt idx="36">
                  <c:v>91</c:v>
                </c:pt>
                <c:pt idx="37">
                  <c:v>92</c:v>
                </c:pt>
                <c:pt idx="38">
                  <c:v>93</c:v>
                </c:pt>
                <c:pt idx="39">
                  <c:v>94</c:v>
                </c:pt>
                <c:pt idx="40">
                  <c:v>95</c:v>
                </c:pt>
                <c:pt idx="41">
                  <c:v>96</c:v>
                </c:pt>
                <c:pt idx="42">
                  <c:v>97</c:v>
                </c:pt>
                <c:pt idx="43">
                  <c:v>98</c:v>
                </c:pt>
                <c:pt idx="44">
                  <c:v>99</c:v>
                </c:pt>
                <c:pt idx="45">
                  <c:v>100</c:v>
                </c:pt>
                <c:pt idx="46">
                  <c:v>101</c:v>
                </c:pt>
                <c:pt idx="47">
                  <c:v>102</c:v>
                </c:pt>
                <c:pt idx="48">
                  <c:v>103</c:v>
                </c:pt>
                <c:pt idx="49">
                  <c:v>104</c:v>
                </c:pt>
                <c:pt idx="50">
                  <c:v>105</c:v>
                </c:pt>
                <c:pt idx="51">
                  <c:v>106</c:v>
                </c:pt>
                <c:pt idx="52">
                  <c:v>107</c:v>
                </c:pt>
                <c:pt idx="53">
                  <c:v>108</c:v>
                </c:pt>
                <c:pt idx="54">
                  <c:v>109</c:v>
                </c:pt>
                <c:pt idx="55">
                  <c:v>110</c:v>
                </c:pt>
                <c:pt idx="56">
                  <c:v>111</c:v>
                </c:pt>
                <c:pt idx="57">
                  <c:v>112</c:v>
                </c:pt>
                <c:pt idx="58">
                  <c:v>113</c:v>
                </c:pt>
                <c:pt idx="59">
                  <c:v>114</c:v>
                </c:pt>
                <c:pt idx="60">
                  <c:v>115</c:v>
                </c:pt>
                <c:pt idx="61">
                  <c:v>116</c:v>
                </c:pt>
                <c:pt idx="62">
                  <c:v>117</c:v>
                </c:pt>
                <c:pt idx="63">
                  <c:v>118</c:v>
                </c:pt>
                <c:pt idx="64">
                  <c:v>119</c:v>
                </c:pt>
                <c:pt idx="65">
                  <c:v>120</c:v>
                </c:pt>
                <c:pt idx="66">
                  <c:v>121</c:v>
                </c:pt>
                <c:pt idx="67">
                  <c:v>122</c:v>
                </c:pt>
                <c:pt idx="68">
                  <c:v>123</c:v>
                </c:pt>
                <c:pt idx="69">
                  <c:v>124</c:v>
                </c:pt>
                <c:pt idx="70">
                  <c:v>125</c:v>
                </c:pt>
                <c:pt idx="71">
                  <c:v>126</c:v>
                </c:pt>
                <c:pt idx="72">
                  <c:v>127</c:v>
                </c:pt>
                <c:pt idx="73">
                  <c:v>128</c:v>
                </c:pt>
                <c:pt idx="74">
                  <c:v>129</c:v>
                </c:pt>
                <c:pt idx="75">
                  <c:v>130</c:v>
                </c:pt>
                <c:pt idx="76">
                  <c:v>131</c:v>
                </c:pt>
                <c:pt idx="77">
                  <c:v>132</c:v>
                </c:pt>
                <c:pt idx="78">
                  <c:v>133</c:v>
                </c:pt>
                <c:pt idx="79">
                  <c:v>134</c:v>
                </c:pt>
                <c:pt idx="80">
                  <c:v>135</c:v>
                </c:pt>
                <c:pt idx="81">
                  <c:v>136</c:v>
                </c:pt>
                <c:pt idx="82">
                  <c:v>137</c:v>
                </c:pt>
                <c:pt idx="83">
                  <c:v>138</c:v>
                </c:pt>
                <c:pt idx="84">
                  <c:v>139</c:v>
                </c:pt>
                <c:pt idx="85">
                  <c:v>140</c:v>
                </c:pt>
                <c:pt idx="86">
                  <c:v>141</c:v>
                </c:pt>
                <c:pt idx="87">
                  <c:v>142</c:v>
                </c:pt>
                <c:pt idx="88">
                  <c:v>143</c:v>
                </c:pt>
                <c:pt idx="89">
                  <c:v>144</c:v>
                </c:pt>
                <c:pt idx="90">
                  <c:v>145</c:v>
                </c:pt>
                <c:pt idx="91">
                  <c:v>146</c:v>
                </c:pt>
                <c:pt idx="92">
                  <c:v>147</c:v>
                </c:pt>
                <c:pt idx="93">
                  <c:v>148</c:v>
                </c:pt>
                <c:pt idx="94">
                  <c:v>149</c:v>
                </c:pt>
                <c:pt idx="95">
                  <c:v>150</c:v>
                </c:pt>
                <c:pt idx="96">
                  <c:v>151</c:v>
                </c:pt>
                <c:pt idx="97">
                  <c:v>152</c:v>
                </c:pt>
                <c:pt idx="98">
                  <c:v>153</c:v>
                </c:pt>
                <c:pt idx="99">
                  <c:v>154</c:v>
                </c:pt>
                <c:pt idx="100">
                  <c:v>155</c:v>
                </c:pt>
                <c:pt idx="101">
                  <c:v>156</c:v>
                </c:pt>
                <c:pt idx="102">
                  <c:v>157</c:v>
                </c:pt>
                <c:pt idx="103">
                  <c:v>158</c:v>
                </c:pt>
                <c:pt idx="104">
                  <c:v>159</c:v>
                </c:pt>
                <c:pt idx="105">
                  <c:v>160</c:v>
                </c:pt>
                <c:pt idx="106">
                  <c:v>161</c:v>
                </c:pt>
                <c:pt idx="107">
                  <c:v>162</c:v>
                </c:pt>
                <c:pt idx="108">
                  <c:v>163</c:v>
                </c:pt>
                <c:pt idx="109">
                  <c:v>164</c:v>
                </c:pt>
                <c:pt idx="110">
                  <c:v>165</c:v>
                </c:pt>
                <c:pt idx="111">
                  <c:v>166</c:v>
                </c:pt>
                <c:pt idx="112">
                  <c:v>167</c:v>
                </c:pt>
                <c:pt idx="113">
                  <c:v>168</c:v>
                </c:pt>
                <c:pt idx="114">
                  <c:v>169</c:v>
                </c:pt>
                <c:pt idx="115">
                  <c:v>170</c:v>
                </c:pt>
                <c:pt idx="116">
                  <c:v>171</c:v>
                </c:pt>
                <c:pt idx="117">
                  <c:v>172</c:v>
                </c:pt>
                <c:pt idx="118">
                  <c:v>173</c:v>
                </c:pt>
                <c:pt idx="119">
                  <c:v>174</c:v>
                </c:pt>
                <c:pt idx="120">
                  <c:v>175</c:v>
                </c:pt>
                <c:pt idx="121">
                  <c:v>176</c:v>
                </c:pt>
                <c:pt idx="122">
                  <c:v>177</c:v>
                </c:pt>
              </c:numCache>
            </c:numRef>
          </c:xVal>
          <c:yVal>
            <c:numRef>
              <c:f>'New_removed - bSIR'!$G$62:$G$184</c:f>
              <c:numCache>
                <c:formatCode>General</c:formatCode>
                <c:ptCount val="1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129.02576862024938</c:v>
                </c:pt>
                <c:pt idx="16">
                  <c:v>978.05040302826933</c:v>
                </c:pt>
                <c:pt idx="17">
                  <c:v>1863.1845850473394</c:v>
                </c:pt>
                <c:pt idx="18">
                  <c:v>2785.6321063424789</c:v>
                </c:pt>
                <c:pt idx="19">
                  <c:v>3746.6055186727481</c:v>
                </c:pt>
                <c:pt idx="20">
                  <c:v>4747.3228558556657</c:v>
                </c:pt>
                <c:pt idx="21">
                  <c:v>5789.0040141284207</c:v>
                </c:pt>
                <c:pt idx="22">
                  <c:v>6872.8667783592682</c:v>
                </c:pt>
                <c:pt idx="23">
                  <c:v>8000.1224833371307</c:v>
                </c:pt>
                <c:pt idx="24">
                  <c:v>9171.971301530506</c:v>
                </c:pt>
                <c:pt idx="25">
                  <c:v>10389.597151287138</c:v>
                </c:pt>
                <c:pt idx="26">
                  <c:v>11654.162222470273</c:v>
                </c:pt>
                <c:pt idx="27">
                  <c:v>12966.801120014454</c:v>
                </c:pt>
                <c:pt idx="28">
                  <c:v>14328.614629851865</c:v>
                </c:pt>
                <c:pt idx="29">
                  <c:v>15740.663116114691</c:v>
                </c:pt>
                <c:pt idx="30">
                  <c:v>17203.95956346106</c:v>
                </c:pt>
                <c:pt idx="31">
                  <c:v>18719.462283792105</c:v>
                </c:pt>
                <c:pt idx="32">
                  <c:v>20288.067312499181</c:v>
                </c:pt>
                <c:pt idx="33">
                  <c:v>21910.600525673406</c:v>
                </c:pt>
                <c:pt idx="34">
                  <c:v>23587.809516367521</c:v>
                </c:pt>
                <c:pt idx="35">
                  <c:v>25320.355274959162</c:v>
                </c:pt>
                <c:pt idx="36">
                  <c:v>27108.803725840477</c:v>
                </c:pt>
                <c:pt idx="37">
                  <c:v>28953.617179946959</c:v>
                </c:pt>
                <c:pt idx="38">
                  <c:v>30855.145769920447</c:v>
                </c:pt>
                <c:pt idx="39">
                  <c:v>32813.618941838598</c:v>
                </c:pt>
                <c:pt idx="40">
                  <c:v>34829.137084278154</c:v>
                </c:pt>
                <c:pt idx="41">
                  <c:v>36901.663381846025</c:v>
                </c:pt>
                <c:pt idx="42">
                  <c:v>39031.015986023151</c:v>
                </c:pt>
                <c:pt idx="43">
                  <c:v>41216.860601031651</c:v>
                </c:pt>
                <c:pt idx="44">
                  <c:v>43458.703586257718</c:v>
                </c:pt>
                <c:pt idx="45">
                  <c:v>45755.885679343373</c:v>
                </c:pt>
                <c:pt idx="46">
                  <c:v>48107.576445208608</c:v>
                </c:pt>
                <c:pt idx="47">
                  <c:v>50512.769555802355</c:v>
                </c:pt>
                <c:pt idx="48">
                  <c:v>52970.279003145995</c:v>
                </c:pt>
                <c:pt idx="49">
                  <c:v>55478.736344095603</c:v>
                </c:pt>
                <c:pt idx="50">
                  <c:v>58036.589069107889</c:v>
                </c:pt>
                <c:pt idx="51">
                  <c:v>60642.100179094807</c:v>
                </c:pt>
                <c:pt idx="52">
                  <c:v>63293.349044181807</c:v>
                </c:pt>
                <c:pt idx="53">
                  <c:v>65988.233605889051</c:v>
                </c:pt>
                <c:pt idx="54">
                  <c:v>68724.47397003349</c:v>
                </c:pt>
                <c:pt idx="55">
                  <c:v>71499.617421664065</c:v>
                </c:pt>
                <c:pt idx="56">
                  <c:v>74311.044875810316</c:v>
                </c:pt>
                <c:pt idx="57">
                  <c:v>77155.978759027974</c:v>
                </c:pt>
                <c:pt idx="58">
                  <c:v>80031.492296992452</c:v>
                </c:pt>
                <c:pt idx="59">
                  <c:v>82934.520163104055</c:v>
                </c:pt>
                <c:pt idx="60">
                  <c:v>85861.870422645647</c:v>
                </c:pt>
                <c:pt idx="61">
                  <c:v>88810.237686916284</c:v>
                </c:pt>
                <c:pt idx="62">
                  <c:v>91776.217372416228</c:v>
                </c:pt>
                <c:pt idx="63">
                  <c:v>94756.320942036313</c:v>
                </c:pt>
                <c:pt idx="64">
                  <c:v>97746.991988753813</c:v>
                </c:pt>
                <c:pt idx="65">
                  <c:v>100744.62300797222</c:v>
                </c:pt>
                <c:pt idx="66">
                  <c:v>103745.57269273401</c:v>
                </c:pt>
                <c:pt idx="67">
                  <c:v>106746.18357689501</c:v>
                </c:pt>
                <c:pt idx="68">
                  <c:v>109742.79984522074</c:v>
                </c:pt>
                <c:pt idx="69">
                  <c:v>112731.78512641216</c:v>
                </c:pt>
                <c:pt idx="70">
                  <c:v>115709.54008536975</c:v>
                </c:pt>
                <c:pt idx="71">
                  <c:v>118672.51963455633</c:v>
                </c:pt>
                <c:pt idx="72">
                  <c:v>121617.24959101743</c:v>
                </c:pt>
                <c:pt idx="73">
                  <c:v>124540.34261529395</c:v>
                </c:pt>
                <c:pt idx="74">
                  <c:v>127438.51328084791</c:v>
                </c:pt>
                <c:pt idx="75">
                  <c:v>130308.59213740559</c:v>
                </c:pt>
                <c:pt idx="76">
                  <c:v>133147.5386484114</c:v>
                </c:pt>
                <c:pt idx="77">
                  <c:v>135952.45290117257</c:v>
                </c:pt>
                <c:pt idx="78">
                  <c:v>138720.58600779896</c:v>
                </c:pt>
                <c:pt idx="79">
                  <c:v>141449.34913524927</c:v>
                </c:pt>
                <c:pt idx="80">
                  <c:v>144136.32112322818</c:v>
                </c:pt>
                <c:pt idx="81">
                  <c:v>146779.25466889204</c:v>
                </c:pt>
                <c:pt idx="82">
                  <c:v>149376.08107690827</c:v>
                </c:pt>
                <c:pt idx="83">
                  <c:v>151924.91359199889</c:v>
                </c:pt>
                <c:pt idx="84">
                  <c:v>154424.04934836543</c:v>
                </c:pt>
                <c:pt idx="85">
                  <c:v>156871.96998606343</c:v>
                </c:pt>
                <c:pt idx="86">
                  <c:v>159267.3409982727</c:v>
                </c:pt>
                <c:pt idx="87">
                  <c:v>161609.00988533389</c:v>
                </c:pt>
                <c:pt idx="88">
                  <c:v>163896.00320131209</c:v>
                </c:pt>
                <c:pt idx="89">
                  <c:v>166127.52258666258</c:v>
                </c:pt>
                <c:pt idx="90">
                  <c:v>168302.93988634052</c:v>
                </c:pt>
                <c:pt idx="91">
                  <c:v>170421.79145647187</c:v>
                </c:pt>
                <c:pt idx="92">
                  <c:v>172483.7717645987</c:v>
                </c:pt>
                <c:pt idx="93">
                  <c:v>174488.72638866471</c:v>
                </c:pt>
                <c:pt idx="94">
                  <c:v>176436.64451847816</c:v>
                </c:pt>
                <c:pt idx="95">
                  <c:v>178327.65106056517</c:v>
                </c:pt>
                <c:pt idx="96">
                  <c:v>180161.99844329598</c:v>
                </c:pt>
                <c:pt idx="97">
                  <c:v>181940.05821412909</c:v>
                </c:pt>
                <c:pt idx="98">
                  <c:v>183662.31251497279</c:v>
                </c:pt>
                <c:pt idx="99">
                  <c:v>185329.34551519627</c:v>
                </c:pt>
                <c:pt idx="100">
                  <c:v>186941.83487491793</c:v>
                </c:pt>
                <c:pt idx="101">
                  <c:v>188500.54330402554</c:v>
                </c:pt>
                <c:pt idx="102">
                  <c:v>190006.31027508716</c:v>
                </c:pt>
                <c:pt idx="103">
                  <c:v>191460.04394103767</c:v>
                </c:pt>
                <c:pt idx="104">
                  <c:v>192862.71330138325</c:v>
                </c:pt>
                <c:pt idx="105">
                  <c:v>194215.34065375486</c:v>
                </c:pt>
                <c:pt idx="106">
                  <c:v>195518.99436104883</c:v>
                </c:pt>
                <c:pt idx="107">
                  <c:v>196774.78195817431</c:v>
                </c:pt>
                <c:pt idx="108">
                  <c:v>197983.84361663528</c:v>
                </c:pt>
                <c:pt idx="109">
                  <c:v>199147.34597984416</c:v>
                </c:pt>
                <c:pt idx="110">
                  <c:v>200266.47637721029</c:v>
                </c:pt>
                <c:pt idx="111">
                  <c:v>201342.43742068313</c:v>
                </c:pt>
                <c:pt idx="112">
                  <c:v>202376.44198355189</c:v>
                </c:pt>
                <c:pt idx="113">
                  <c:v>203369.70855790231</c:v>
                </c:pt>
                <c:pt idx="114">
                  <c:v>204323.4569841928</c:v>
                </c:pt>
                <c:pt idx="115">
                  <c:v>205238.90454390828</c:v>
                </c:pt>
                <c:pt idx="116">
                  <c:v>206117.26240416378</c:v>
                </c:pt>
                <c:pt idx="117">
                  <c:v>206959.73240142319</c:v>
                </c:pt>
                <c:pt idx="118">
                  <c:v>207767.50415014703</c:v>
                </c:pt>
                <c:pt idx="119">
                  <c:v>208541.7524611523</c:v>
                </c:pt>
                <c:pt idx="120">
                  <c:v>209283.63505372521</c:v>
                </c:pt>
                <c:pt idx="121">
                  <c:v>209994.29054504537</c:v>
                </c:pt>
                <c:pt idx="122">
                  <c:v>210674.83670022123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C29-4763-8D31-F39940B2BA58}"/>
            </c:ext>
          </c:extLst>
        </c:ser>
        <c:ser>
          <c:idx val="2"/>
          <c:order val="2"/>
          <c:tx>
            <c:strRef>
              <c:f>Cumul_removed_bSIR!$F$7</c:f>
              <c:strCache>
                <c:ptCount val="1"/>
                <c:pt idx="0">
                  <c:v>Italy sum of regions</c:v>
                </c:pt>
              </c:strCache>
            </c:strRef>
          </c:tx>
          <c:spPr>
            <a:ln w="19050" cap="rnd">
              <a:solidFill>
                <a:schemeClr val="accent3"/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Cumul_removed_bSIR!$C$62:$C$184</c:f>
              <c:numCache>
                <c:formatCode>General</c:formatCode>
                <c:ptCount val="123"/>
                <c:pt idx="0">
                  <c:v>55</c:v>
                </c:pt>
                <c:pt idx="1">
                  <c:v>56</c:v>
                </c:pt>
                <c:pt idx="2">
                  <c:v>57</c:v>
                </c:pt>
                <c:pt idx="3">
                  <c:v>58</c:v>
                </c:pt>
                <c:pt idx="4">
                  <c:v>59</c:v>
                </c:pt>
                <c:pt idx="5">
                  <c:v>60</c:v>
                </c:pt>
                <c:pt idx="6">
                  <c:v>61</c:v>
                </c:pt>
                <c:pt idx="7">
                  <c:v>62</c:v>
                </c:pt>
                <c:pt idx="8">
                  <c:v>63</c:v>
                </c:pt>
                <c:pt idx="9">
                  <c:v>64</c:v>
                </c:pt>
                <c:pt idx="10">
                  <c:v>65</c:v>
                </c:pt>
                <c:pt idx="11">
                  <c:v>66</c:v>
                </c:pt>
                <c:pt idx="12">
                  <c:v>67</c:v>
                </c:pt>
                <c:pt idx="13">
                  <c:v>68</c:v>
                </c:pt>
                <c:pt idx="14">
                  <c:v>69</c:v>
                </c:pt>
                <c:pt idx="15">
                  <c:v>70</c:v>
                </c:pt>
                <c:pt idx="16">
                  <c:v>71</c:v>
                </c:pt>
                <c:pt idx="17">
                  <c:v>72</c:v>
                </c:pt>
                <c:pt idx="18">
                  <c:v>73</c:v>
                </c:pt>
                <c:pt idx="19">
                  <c:v>74</c:v>
                </c:pt>
                <c:pt idx="20">
                  <c:v>75</c:v>
                </c:pt>
                <c:pt idx="21">
                  <c:v>76</c:v>
                </c:pt>
                <c:pt idx="22">
                  <c:v>77</c:v>
                </c:pt>
                <c:pt idx="23">
                  <c:v>78</c:v>
                </c:pt>
                <c:pt idx="24">
                  <c:v>79</c:v>
                </c:pt>
                <c:pt idx="25">
                  <c:v>80</c:v>
                </c:pt>
                <c:pt idx="26">
                  <c:v>81</c:v>
                </c:pt>
                <c:pt idx="27">
                  <c:v>82</c:v>
                </c:pt>
                <c:pt idx="28">
                  <c:v>83</c:v>
                </c:pt>
                <c:pt idx="29">
                  <c:v>84</c:v>
                </c:pt>
                <c:pt idx="30">
                  <c:v>85</c:v>
                </c:pt>
                <c:pt idx="31">
                  <c:v>86</c:v>
                </c:pt>
                <c:pt idx="32">
                  <c:v>87</c:v>
                </c:pt>
                <c:pt idx="33">
                  <c:v>88</c:v>
                </c:pt>
                <c:pt idx="34">
                  <c:v>89</c:v>
                </c:pt>
                <c:pt idx="35">
                  <c:v>90</c:v>
                </c:pt>
                <c:pt idx="36">
                  <c:v>91</c:v>
                </c:pt>
                <c:pt idx="37">
                  <c:v>92</c:v>
                </c:pt>
                <c:pt idx="38">
                  <c:v>93</c:v>
                </c:pt>
                <c:pt idx="39">
                  <c:v>94</c:v>
                </c:pt>
                <c:pt idx="40">
                  <c:v>95</c:v>
                </c:pt>
                <c:pt idx="41">
                  <c:v>96</c:v>
                </c:pt>
                <c:pt idx="42">
                  <c:v>97</c:v>
                </c:pt>
                <c:pt idx="43">
                  <c:v>98</c:v>
                </c:pt>
                <c:pt idx="44">
                  <c:v>99</c:v>
                </c:pt>
                <c:pt idx="45">
                  <c:v>100</c:v>
                </c:pt>
                <c:pt idx="46">
                  <c:v>101</c:v>
                </c:pt>
                <c:pt idx="47">
                  <c:v>102</c:v>
                </c:pt>
                <c:pt idx="48">
                  <c:v>103</c:v>
                </c:pt>
                <c:pt idx="49">
                  <c:v>104</c:v>
                </c:pt>
                <c:pt idx="50">
                  <c:v>105</c:v>
                </c:pt>
                <c:pt idx="51">
                  <c:v>106</c:v>
                </c:pt>
                <c:pt idx="52">
                  <c:v>107</c:v>
                </c:pt>
                <c:pt idx="53">
                  <c:v>108</c:v>
                </c:pt>
                <c:pt idx="54">
                  <c:v>109</c:v>
                </c:pt>
                <c:pt idx="55">
                  <c:v>110</c:v>
                </c:pt>
                <c:pt idx="56">
                  <c:v>111</c:v>
                </c:pt>
                <c:pt idx="57">
                  <c:v>112</c:v>
                </c:pt>
                <c:pt idx="58">
                  <c:v>113</c:v>
                </c:pt>
                <c:pt idx="59">
                  <c:v>114</c:v>
                </c:pt>
                <c:pt idx="60">
                  <c:v>115</c:v>
                </c:pt>
                <c:pt idx="61">
                  <c:v>116</c:v>
                </c:pt>
                <c:pt idx="62">
                  <c:v>117</c:v>
                </c:pt>
                <c:pt idx="63">
                  <c:v>118</c:v>
                </c:pt>
                <c:pt idx="64">
                  <c:v>119</c:v>
                </c:pt>
                <c:pt idx="65">
                  <c:v>120</c:v>
                </c:pt>
                <c:pt idx="66">
                  <c:v>121</c:v>
                </c:pt>
                <c:pt idx="67">
                  <c:v>122</c:v>
                </c:pt>
                <c:pt idx="68">
                  <c:v>123</c:v>
                </c:pt>
                <c:pt idx="69">
                  <c:v>124</c:v>
                </c:pt>
                <c:pt idx="70">
                  <c:v>125</c:v>
                </c:pt>
                <c:pt idx="71">
                  <c:v>126</c:v>
                </c:pt>
                <c:pt idx="72">
                  <c:v>127</c:v>
                </c:pt>
                <c:pt idx="73">
                  <c:v>128</c:v>
                </c:pt>
                <c:pt idx="74">
                  <c:v>129</c:v>
                </c:pt>
                <c:pt idx="75">
                  <c:v>130</c:v>
                </c:pt>
                <c:pt idx="76">
                  <c:v>131</c:v>
                </c:pt>
                <c:pt idx="77">
                  <c:v>132</c:v>
                </c:pt>
                <c:pt idx="78">
                  <c:v>133</c:v>
                </c:pt>
                <c:pt idx="79">
                  <c:v>134</c:v>
                </c:pt>
                <c:pt idx="80">
                  <c:v>135</c:v>
                </c:pt>
                <c:pt idx="81">
                  <c:v>136</c:v>
                </c:pt>
                <c:pt idx="82">
                  <c:v>137</c:v>
                </c:pt>
                <c:pt idx="83">
                  <c:v>138</c:v>
                </c:pt>
                <c:pt idx="84">
                  <c:v>139</c:v>
                </c:pt>
                <c:pt idx="85">
                  <c:v>140</c:v>
                </c:pt>
                <c:pt idx="86">
                  <c:v>141</c:v>
                </c:pt>
                <c:pt idx="87">
                  <c:v>142</c:v>
                </c:pt>
                <c:pt idx="88">
                  <c:v>143</c:v>
                </c:pt>
                <c:pt idx="89">
                  <c:v>144</c:v>
                </c:pt>
                <c:pt idx="90">
                  <c:v>145</c:v>
                </c:pt>
                <c:pt idx="91">
                  <c:v>146</c:v>
                </c:pt>
                <c:pt idx="92">
                  <c:v>147</c:v>
                </c:pt>
                <c:pt idx="93">
                  <c:v>148</c:v>
                </c:pt>
                <c:pt idx="94">
                  <c:v>149</c:v>
                </c:pt>
                <c:pt idx="95">
                  <c:v>150</c:v>
                </c:pt>
                <c:pt idx="96">
                  <c:v>151</c:v>
                </c:pt>
                <c:pt idx="97">
                  <c:v>152</c:v>
                </c:pt>
                <c:pt idx="98">
                  <c:v>153</c:v>
                </c:pt>
                <c:pt idx="99">
                  <c:v>154</c:v>
                </c:pt>
                <c:pt idx="100">
                  <c:v>155</c:v>
                </c:pt>
                <c:pt idx="101">
                  <c:v>156</c:v>
                </c:pt>
                <c:pt idx="102">
                  <c:v>157</c:v>
                </c:pt>
                <c:pt idx="103">
                  <c:v>158</c:v>
                </c:pt>
                <c:pt idx="104">
                  <c:v>159</c:v>
                </c:pt>
                <c:pt idx="105">
                  <c:v>160</c:v>
                </c:pt>
                <c:pt idx="106">
                  <c:v>161</c:v>
                </c:pt>
                <c:pt idx="107">
                  <c:v>162</c:v>
                </c:pt>
                <c:pt idx="108">
                  <c:v>163</c:v>
                </c:pt>
                <c:pt idx="109">
                  <c:v>164</c:v>
                </c:pt>
                <c:pt idx="110">
                  <c:v>165</c:v>
                </c:pt>
                <c:pt idx="111">
                  <c:v>166</c:v>
                </c:pt>
                <c:pt idx="112">
                  <c:v>167</c:v>
                </c:pt>
                <c:pt idx="113">
                  <c:v>168</c:v>
                </c:pt>
                <c:pt idx="114">
                  <c:v>169</c:v>
                </c:pt>
                <c:pt idx="115">
                  <c:v>170</c:v>
                </c:pt>
                <c:pt idx="116">
                  <c:v>171</c:v>
                </c:pt>
                <c:pt idx="117">
                  <c:v>172</c:v>
                </c:pt>
                <c:pt idx="118">
                  <c:v>173</c:v>
                </c:pt>
                <c:pt idx="119">
                  <c:v>174</c:v>
                </c:pt>
                <c:pt idx="120">
                  <c:v>175</c:v>
                </c:pt>
                <c:pt idx="121">
                  <c:v>176</c:v>
                </c:pt>
                <c:pt idx="122">
                  <c:v>177</c:v>
                </c:pt>
              </c:numCache>
            </c:numRef>
          </c:xVal>
          <c:yVal>
            <c:numRef>
              <c:f>Cumul_removed_bSIR!$F$62:$F$184</c:f>
              <c:numCache>
                <c:formatCode>0</c:formatCode>
                <c:ptCount val="1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242.70089901987399</c:v>
                </c:pt>
                <c:pt idx="16">
                  <c:v>1061.5303582923698</c:v>
                </c:pt>
                <c:pt idx="17">
                  <c:v>1914.841051772273</c:v>
                </c:pt>
                <c:pt idx="18">
                  <c:v>2803.7663210252686</c:v>
                </c:pt>
                <c:pt idx="19">
                  <c:v>3729.4469052643476</c:v>
                </c:pt>
                <c:pt idx="20">
                  <c:v>4693.0278268014363</c:v>
                </c:pt>
                <c:pt idx="21">
                  <c:v>5727.7557840954441</c:v>
                </c:pt>
                <c:pt idx="22">
                  <c:v>6814.6042940609495</c:v>
                </c:pt>
                <c:pt idx="23">
                  <c:v>7944.8632197976785</c:v>
                </c:pt>
                <c:pt idx="24">
                  <c:v>9119.7301135061807</c:v>
                </c:pt>
                <c:pt idx="25">
                  <c:v>10340.386097652477</c:v>
                </c:pt>
                <c:pt idx="26">
                  <c:v>11607.990376530008</c:v>
                </c:pt>
                <c:pt idx="27">
                  <c:v>12923.674363842643</c:v>
                </c:pt>
                <c:pt idx="28">
                  <c:v>14288.535430668328</c:v>
                </c:pt>
                <c:pt idx="29">
                  <c:v>15703.630282663242</c:v>
                </c:pt>
                <c:pt idx="30">
                  <c:v>17169.96798036234</c:v>
                </c:pt>
                <c:pt idx="31">
                  <c:v>18688.502621920961</c:v>
                </c:pt>
                <c:pt idx="32">
                  <c:v>20260.125713596368</c:v>
                </c:pt>
                <c:pt idx="33">
                  <c:v>21885.658259656062</c:v>
                </c:pt>
                <c:pt idx="34">
                  <c:v>23565.842610167681</c:v>
                </c:pt>
                <c:pt idx="35">
                  <c:v>25301.334112205797</c:v>
                </c:pt>
                <c:pt idx="36">
                  <c:v>27092.69261731868</c:v>
                </c:pt>
                <c:pt idx="37">
                  <c:v>28940.373905526001</c:v>
                </c:pt>
                <c:pt idx="38">
                  <c:v>30844.721093544871</c:v>
                </c:pt>
                <c:pt idx="39">
                  <c:v>32805.956102221615</c:v>
                </c:pt>
                <c:pt idx="40">
                  <c:v>34824.171265119934</c:v>
                </c:pt>
                <c:pt idx="41">
                  <c:v>36899.321166705638</c:v>
                </c:pt>
                <c:pt idx="42">
                  <c:v>39031.214804384661</c:v>
                </c:pt>
                <c:pt idx="43">
                  <c:v>41219.508173590635</c:v>
                </c:pt>
                <c:pt idx="44">
                  <c:v>43463.69737897961</c:v>
                </c:pt>
                <c:pt idx="45">
                  <c:v>45763.11237736421</c:v>
                </c:pt>
                <c:pt idx="46">
                  <c:v>48116.911459106981</c:v>
                </c:pt>
                <c:pt idx="47">
                  <c:v>50524.076574111758</c:v>
                </c:pt>
                <c:pt idx="48">
                  <c:v>52983.409606131157</c:v>
                </c:pt>
                <c:pt idx="49">
                  <c:v>55493.529694717567</c:v>
                </c:pt>
                <c:pt idx="50">
                  <c:v>58052.871697681709</c:v>
                </c:pt>
                <c:pt idx="51">
                  <c:v>60659.685878332682</c:v>
                </c:pt>
                <c:pt idx="52">
                  <c:v>63312.038891053213</c:v>
                </c:pt>
                <c:pt idx="53">
                  <c:v>66007.816125967627</c:v>
                </c:pt>
                <c:pt idx="54">
                  <c:v>68744.725458698871</c:v>
                </c:pt>
                <c:pt idx="55">
                  <c:v>71520.302434666039</c:v>
                </c:pt>
                <c:pt idx="56">
                  <c:v>74331.91689928199</c:v>
                </c:pt>
                <c:pt idx="57">
                  <c:v>77176.781066075317</c:v>
                </c:pt>
                <c:pt idx="58">
                  <c:v>80051.958994536253</c:v>
                </c:pt>
                <c:pt idx="59">
                  <c:v>82954.377428776628</c:v>
                </c:pt>
                <c:pt idx="60">
                  <c:v>85880.837927342232</c:v>
                </c:pt>
                <c:pt idx="61">
                  <c:v>88828.030194183972</c:v>
                </c:pt>
                <c:pt idx="62">
                  <c:v>91792.546501364501</c:v>
                </c:pt>
                <c:pt idx="63">
                  <c:v>94770.897076014429</c:v>
                </c:pt>
                <c:pt idx="64">
                  <c:v>97759.526307815613</c:v>
                </c:pt>
                <c:pt idx="65">
                  <c:v>100754.82961928663</c:v>
                </c:pt>
                <c:pt idx="66">
                  <c:v>103753.17082974405</c:v>
                </c:pt>
                <c:pt idx="67">
                  <c:v>106750.89983531136</c:v>
                </c:pt>
                <c:pt idx="68">
                  <c:v>109744.37042196463</c:v>
                </c:pt>
                <c:pt idx="69">
                  <c:v>112729.95802648344</c:v>
                </c:pt>
                <c:pt idx="70">
                  <c:v>115704.07726136249</c:v>
                </c:pt>
                <c:pt idx="71">
                  <c:v>118663.199024196</c:v>
                </c:pt>
                <c:pt idx="72">
                  <c:v>121603.86701964114</c:v>
                </c:pt>
                <c:pt idx="73">
                  <c:v>124522.71353258782</c:v>
                </c:pt>
                <c:pt idx="74">
                  <c:v>127416.47430432113</c:v>
                </c:pt>
                <c:pt idx="75">
                  <c:v>130282.00237890871</c:v>
                </c:pt>
                <c:pt idx="76">
                  <c:v>133116.28080437798</c:v>
                </c:pt>
                <c:pt idx="77">
                  <c:v>135916.43409202769</c:v>
                </c:pt>
                <c:pt idx="78">
                  <c:v>138679.73835698958</c:v>
                </c:pt>
                <c:pt idx="79">
                  <c:v>141403.63008345186</c:v>
                </c:pt>
                <c:pt idx="80">
                  <c:v>144085.7134783286</c:v>
                </c:pt>
                <c:pt idx="81">
                  <c:v>146723.76639716892</c:v>
                </c:pt>
                <c:pt idx="82">
                  <c:v>149315.74484535865</c:v>
                </c:pt>
                <c:pt idx="83">
                  <c:v>151859.78607581562</c:v>
                </c:pt>
                <c:pt idx="84">
                  <c:v>154354.21032112167</c:v>
                </c:pt>
                <c:pt idx="85">
                  <c:v>156797.52121312136</c:v>
                </c:pt>
                <c:pt idx="86">
                  <c:v>159188.40495626823</c:v>
                </c:pt>
                <c:pt idx="87">
                  <c:v>161525.72833228469</c:v>
                </c:pt>
                <c:pt idx="88">
                  <c:v>163808.53562295283</c:v>
                </c:pt>
                <c:pt idx="89">
                  <c:v>166036.04454506072</c:v>
                </c:pt>
                <c:pt idx="90">
                  <c:v>168207.64129672316</c:v>
                </c:pt>
                <c:pt idx="91">
                  <c:v>170322.87481755513</c:v>
                </c:pt>
                <c:pt idx="92">
                  <c:v>172381.4503666221</c:v>
                </c:pt>
                <c:pt idx="93">
                  <c:v>174383.22252186041</c:v>
                </c:pt>
                <c:pt idx="94">
                  <c:v>176328.18770292497</c:v>
                </c:pt>
                <c:pt idx="95">
                  <c:v>178216.47631636207</c:v>
                </c:pt>
                <c:pt idx="96">
                  <c:v>180048.34461781185</c:v>
                </c:pt>
                <c:pt idx="97">
                  <c:v>181824.16638081215</c:v>
                </c:pt>
                <c:pt idx="98">
                  <c:v>183544.42445589529</c:v>
                </c:pt>
                <c:pt idx="99">
                  <c:v>185209.70229722315</c:v>
                </c:pt>
                <c:pt idx="100">
                  <c:v>186820.6755271696</c:v>
                </c:pt>
                <c:pt idx="101">
                  <c:v>188378.10360219207</c:v>
                </c:pt>
                <c:pt idx="102">
                  <c:v>189882.82163617769</c:v>
                </c:pt>
                <c:pt idx="103">
                  <c:v>191335.73243033627</c:v>
                </c:pt>
                <c:pt idx="104">
                  <c:v>192737.79875174657</c:v>
                </c:pt>
                <c:pt idx="105">
                  <c:v>194090.03589593948</c:v>
                </c:pt>
                <c:pt idx="106">
                  <c:v>195393.50456250063</c:v>
                </c:pt>
                <c:pt idx="107">
                  <c:v>196649.30406664274</c:v>
                </c:pt>
                <c:pt idx="108">
                  <c:v>197858.56590409525</c:v>
                </c:pt>
                <c:pt idx="109">
                  <c:v>199022.4476815009</c:v>
                </c:pt>
                <c:pt idx="110">
                  <c:v>200142.12741982043</c:v>
                </c:pt>
                <c:pt idx="111">
                  <c:v>201218.79823403471</c:v>
                </c:pt>
                <c:pt idx="112">
                  <c:v>202253.66338869333</c:v>
                </c:pt>
                <c:pt idx="113">
                  <c:v>203247.93172557827</c:v>
                </c:pt>
                <c:pt idx="114">
                  <c:v>204202.81345692146</c:v>
                </c:pt>
                <c:pt idx="115">
                  <c:v>205119.51631520217</c:v>
                </c:pt>
                <c:pt idx="116">
                  <c:v>205999.24204854199</c:v>
                </c:pt>
                <c:pt idx="117">
                  <c:v>206843.1832490727</c:v>
                </c:pt>
                <c:pt idx="118">
                  <c:v>207652.52050035133</c:v>
                </c:pt>
                <c:pt idx="119">
                  <c:v>208428.41982890738</c:v>
                </c:pt>
                <c:pt idx="120">
                  <c:v>209172.03044429256</c:v>
                </c:pt>
                <c:pt idx="121">
                  <c:v>209884.48275154183</c:v>
                </c:pt>
                <c:pt idx="122">
                  <c:v>210566.88661970836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489-485B-94E8-12F79C292B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9487760"/>
        <c:axId val="969487440"/>
      </c:scatterChart>
      <c:valAx>
        <c:axId val="9694877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Days</a:t>
                </a:r>
                <a:r>
                  <a:rPr lang="en-US" baseline="0"/>
                  <a:t> from 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69487440"/>
        <c:crosses val="autoZero"/>
        <c:crossBetween val="midCat"/>
      </c:valAx>
      <c:valAx>
        <c:axId val="969487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Accumulative # of people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694877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>
                <a:solidFill>
                  <a:srgbClr val="0070C0"/>
                </a:solidFill>
              </a:rPr>
              <a:t>Italy - removal rate (# of people removed/day)</a:t>
            </a:r>
            <a:r>
              <a:rPr lang="it-IT" baseline="0">
                <a:solidFill>
                  <a:srgbClr val="0070C0"/>
                </a:solidFill>
              </a:rPr>
              <a:t> </a:t>
            </a:r>
            <a:r>
              <a:rPr lang="it-IT">
                <a:solidFill>
                  <a:srgbClr val="0070C0"/>
                </a:solidFill>
              </a:rPr>
              <a:t>- basic SIR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'New_removed - bSIR'!$E$7</c:f>
              <c:strCache>
                <c:ptCount val="1"/>
                <c:pt idx="0">
                  <c:v>Italy remov. rate data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'New_removed - bSIR'!$C$62:$C$281</c:f>
              <c:numCache>
                <c:formatCode>General</c:formatCode>
                <c:ptCount val="220"/>
                <c:pt idx="0">
                  <c:v>55</c:v>
                </c:pt>
                <c:pt idx="1">
                  <c:v>56</c:v>
                </c:pt>
                <c:pt idx="2">
                  <c:v>57</c:v>
                </c:pt>
                <c:pt idx="3">
                  <c:v>58</c:v>
                </c:pt>
                <c:pt idx="4">
                  <c:v>59</c:v>
                </c:pt>
                <c:pt idx="5">
                  <c:v>60</c:v>
                </c:pt>
                <c:pt idx="6">
                  <c:v>61</c:v>
                </c:pt>
                <c:pt idx="7">
                  <c:v>62</c:v>
                </c:pt>
                <c:pt idx="8">
                  <c:v>63</c:v>
                </c:pt>
                <c:pt idx="9">
                  <c:v>64</c:v>
                </c:pt>
                <c:pt idx="10">
                  <c:v>65</c:v>
                </c:pt>
                <c:pt idx="11">
                  <c:v>66</c:v>
                </c:pt>
                <c:pt idx="12">
                  <c:v>67</c:v>
                </c:pt>
                <c:pt idx="13">
                  <c:v>68</c:v>
                </c:pt>
                <c:pt idx="14">
                  <c:v>69</c:v>
                </c:pt>
                <c:pt idx="15">
                  <c:v>70</c:v>
                </c:pt>
                <c:pt idx="16">
                  <c:v>71</c:v>
                </c:pt>
                <c:pt idx="17">
                  <c:v>72</c:v>
                </c:pt>
                <c:pt idx="18">
                  <c:v>73</c:v>
                </c:pt>
                <c:pt idx="19">
                  <c:v>74</c:v>
                </c:pt>
                <c:pt idx="20">
                  <c:v>75</c:v>
                </c:pt>
                <c:pt idx="21">
                  <c:v>76</c:v>
                </c:pt>
                <c:pt idx="22">
                  <c:v>77</c:v>
                </c:pt>
                <c:pt idx="23">
                  <c:v>78</c:v>
                </c:pt>
                <c:pt idx="24">
                  <c:v>79</c:v>
                </c:pt>
                <c:pt idx="25">
                  <c:v>80</c:v>
                </c:pt>
                <c:pt idx="26">
                  <c:v>81</c:v>
                </c:pt>
                <c:pt idx="27">
                  <c:v>82</c:v>
                </c:pt>
                <c:pt idx="28">
                  <c:v>83</c:v>
                </c:pt>
                <c:pt idx="29">
                  <c:v>84</c:v>
                </c:pt>
                <c:pt idx="30">
                  <c:v>85</c:v>
                </c:pt>
                <c:pt idx="31">
                  <c:v>86</c:v>
                </c:pt>
                <c:pt idx="32">
                  <c:v>87</c:v>
                </c:pt>
                <c:pt idx="33">
                  <c:v>88</c:v>
                </c:pt>
                <c:pt idx="34">
                  <c:v>89</c:v>
                </c:pt>
                <c:pt idx="35">
                  <c:v>90</c:v>
                </c:pt>
                <c:pt idx="36">
                  <c:v>91</c:v>
                </c:pt>
                <c:pt idx="37">
                  <c:v>92</c:v>
                </c:pt>
                <c:pt idx="38">
                  <c:v>93</c:v>
                </c:pt>
                <c:pt idx="39">
                  <c:v>94</c:v>
                </c:pt>
                <c:pt idx="40">
                  <c:v>95</c:v>
                </c:pt>
                <c:pt idx="41">
                  <c:v>96</c:v>
                </c:pt>
                <c:pt idx="42">
                  <c:v>97</c:v>
                </c:pt>
                <c:pt idx="43">
                  <c:v>98</c:v>
                </c:pt>
                <c:pt idx="44">
                  <c:v>99</c:v>
                </c:pt>
                <c:pt idx="45">
                  <c:v>100</c:v>
                </c:pt>
                <c:pt idx="46">
                  <c:v>101</c:v>
                </c:pt>
                <c:pt idx="47">
                  <c:v>102</c:v>
                </c:pt>
                <c:pt idx="48">
                  <c:v>103</c:v>
                </c:pt>
                <c:pt idx="49">
                  <c:v>104</c:v>
                </c:pt>
                <c:pt idx="50">
                  <c:v>105</c:v>
                </c:pt>
                <c:pt idx="51">
                  <c:v>106</c:v>
                </c:pt>
                <c:pt idx="52">
                  <c:v>107</c:v>
                </c:pt>
                <c:pt idx="53">
                  <c:v>108</c:v>
                </c:pt>
                <c:pt idx="54">
                  <c:v>109</c:v>
                </c:pt>
                <c:pt idx="55">
                  <c:v>110</c:v>
                </c:pt>
                <c:pt idx="56">
                  <c:v>111</c:v>
                </c:pt>
                <c:pt idx="57">
                  <c:v>112</c:v>
                </c:pt>
                <c:pt idx="58">
                  <c:v>113</c:v>
                </c:pt>
                <c:pt idx="59">
                  <c:v>114</c:v>
                </c:pt>
                <c:pt idx="60">
                  <c:v>115</c:v>
                </c:pt>
                <c:pt idx="61">
                  <c:v>116</c:v>
                </c:pt>
                <c:pt idx="62">
                  <c:v>117</c:v>
                </c:pt>
                <c:pt idx="63">
                  <c:v>118</c:v>
                </c:pt>
                <c:pt idx="64">
                  <c:v>119</c:v>
                </c:pt>
                <c:pt idx="65">
                  <c:v>120</c:v>
                </c:pt>
                <c:pt idx="66">
                  <c:v>121</c:v>
                </c:pt>
                <c:pt idx="67">
                  <c:v>122</c:v>
                </c:pt>
                <c:pt idx="68">
                  <c:v>123</c:v>
                </c:pt>
                <c:pt idx="69">
                  <c:v>124</c:v>
                </c:pt>
                <c:pt idx="70">
                  <c:v>125</c:v>
                </c:pt>
                <c:pt idx="71">
                  <c:v>126</c:v>
                </c:pt>
                <c:pt idx="72">
                  <c:v>127</c:v>
                </c:pt>
                <c:pt idx="73">
                  <c:v>128</c:v>
                </c:pt>
                <c:pt idx="74">
                  <c:v>129</c:v>
                </c:pt>
                <c:pt idx="75">
                  <c:v>130</c:v>
                </c:pt>
                <c:pt idx="76">
                  <c:v>131</c:v>
                </c:pt>
                <c:pt idx="77">
                  <c:v>132</c:v>
                </c:pt>
                <c:pt idx="78">
                  <c:v>133</c:v>
                </c:pt>
                <c:pt idx="79">
                  <c:v>134</c:v>
                </c:pt>
                <c:pt idx="80">
                  <c:v>135</c:v>
                </c:pt>
                <c:pt idx="81">
                  <c:v>136</c:v>
                </c:pt>
                <c:pt idx="82">
                  <c:v>137</c:v>
                </c:pt>
                <c:pt idx="83">
                  <c:v>138</c:v>
                </c:pt>
                <c:pt idx="84">
                  <c:v>139</c:v>
                </c:pt>
                <c:pt idx="85">
                  <c:v>140</c:v>
                </c:pt>
                <c:pt idx="86">
                  <c:v>141</c:v>
                </c:pt>
                <c:pt idx="87">
                  <c:v>142</c:v>
                </c:pt>
                <c:pt idx="88">
                  <c:v>143</c:v>
                </c:pt>
                <c:pt idx="89">
                  <c:v>144</c:v>
                </c:pt>
                <c:pt idx="90">
                  <c:v>145</c:v>
                </c:pt>
                <c:pt idx="91">
                  <c:v>146</c:v>
                </c:pt>
                <c:pt idx="92">
                  <c:v>147</c:v>
                </c:pt>
                <c:pt idx="93">
                  <c:v>148</c:v>
                </c:pt>
                <c:pt idx="94">
                  <c:v>149</c:v>
                </c:pt>
                <c:pt idx="95">
                  <c:v>150</c:v>
                </c:pt>
                <c:pt idx="96">
                  <c:v>151</c:v>
                </c:pt>
                <c:pt idx="97">
                  <c:v>152</c:v>
                </c:pt>
                <c:pt idx="98">
                  <c:v>153</c:v>
                </c:pt>
                <c:pt idx="99">
                  <c:v>154</c:v>
                </c:pt>
                <c:pt idx="100">
                  <c:v>155</c:v>
                </c:pt>
                <c:pt idx="101">
                  <c:v>156</c:v>
                </c:pt>
                <c:pt idx="102">
                  <c:v>157</c:v>
                </c:pt>
                <c:pt idx="103">
                  <c:v>158</c:v>
                </c:pt>
                <c:pt idx="104">
                  <c:v>159</c:v>
                </c:pt>
                <c:pt idx="105">
                  <c:v>160</c:v>
                </c:pt>
                <c:pt idx="106">
                  <c:v>161</c:v>
                </c:pt>
                <c:pt idx="107">
                  <c:v>162</c:v>
                </c:pt>
                <c:pt idx="108">
                  <c:v>163</c:v>
                </c:pt>
                <c:pt idx="109">
                  <c:v>164</c:v>
                </c:pt>
                <c:pt idx="110">
                  <c:v>165</c:v>
                </c:pt>
                <c:pt idx="111">
                  <c:v>166</c:v>
                </c:pt>
                <c:pt idx="112">
                  <c:v>167</c:v>
                </c:pt>
                <c:pt idx="113">
                  <c:v>168</c:v>
                </c:pt>
                <c:pt idx="114">
                  <c:v>169</c:v>
                </c:pt>
                <c:pt idx="115">
                  <c:v>170</c:v>
                </c:pt>
                <c:pt idx="116">
                  <c:v>171</c:v>
                </c:pt>
                <c:pt idx="117">
                  <c:v>172</c:v>
                </c:pt>
                <c:pt idx="118">
                  <c:v>173</c:v>
                </c:pt>
                <c:pt idx="119">
                  <c:v>174</c:v>
                </c:pt>
                <c:pt idx="120">
                  <c:v>175</c:v>
                </c:pt>
                <c:pt idx="121">
                  <c:v>176</c:v>
                </c:pt>
                <c:pt idx="122">
                  <c:v>177</c:v>
                </c:pt>
                <c:pt idx="123">
                  <c:v>178</c:v>
                </c:pt>
                <c:pt idx="124">
                  <c:v>179</c:v>
                </c:pt>
                <c:pt idx="125">
                  <c:v>180</c:v>
                </c:pt>
                <c:pt idx="126">
                  <c:v>181</c:v>
                </c:pt>
                <c:pt idx="127">
                  <c:v>182</c:v>
                </c:pt>
                <c:pt idx="128">
                  <c:v>183</c:v>
                </c:pt>
                <c:pt idx="129">
                  <c:v>184</c:v>
                </c:pt>
                <c:pt idx="130">
                  <c:v>185</c:v>
                </c:pt>
                <c:pt idx="131">
                  <c:v>186</c:v>
                </c:pt>
                <c:pt idx="132">
                  <c:v>187</c:v>
                </c:pt>
                <c:pt idx="133">
                  <c:v>188</c:v>
                </c:pt>
                <c:pt idx="134">
                  <c:v>189</c:v>
                </c:pt>
                <c:pt idx="135">
                  <c:v>190</c:v>
                </c:pt>
                <c:pt idx="136">
                  <c:v>191</c:v>
                </c:pt>
                <c:pt idx="137">
                  <c:v>192</c:v>
                </c:pt>
                <c:pt idx="138">
                  <c:v>193</c:v>
                </c:pt>
                <c:pt idx="139">
                  <c:v>194</c:v>
                </c:pt>
                <c:pt idx="140">
                  <c:v>195</c:v>
                </c:pt>
                <c:pt idx="141">
                  <c:v>196</c:v>
                </c:pt>
                <c:pt idx="142">
                  <c:v>197</c:v>
                </c:pt>
                <c:pt idx="143">
                  <c:v>198</c:v>
                </c:pt>
                <c:pt idx="144">
                  <c:v>199</c:v>
                </c:pt>
                <c:pt idx="145">
                  <c:v>200</c:v>
                </c:pt>
                <c:pt idx="146">
                  <c:v>201</c:v>
                </c:pt>
                <c:pt idx="147">
                  <c:v>202</c:v>
                </c:pt>
                <c:pt idx="148">
                  <c:v>203</c:v>
                </c:pt>
                <c:pt idx="149">
                  <c:v>204</c:v>
                </c:pt>
                <c:pt idx="150">
                  <c:v>205</c:v>
                </c:pt>
                <c:pt idx="151">
                  <c:v>206</c:v>
                </c:pt>
                <c:pt idx="152">
                  <c:v>207</c:v>
                </c:pt>
                <c:pt idx="153">
                  <c:v>208</c:v>
                </c:pt>
                <c:pt idx="154">
                  <c:v>209</c:v>
                </c:pt>
                <c:pt idx="155">
                  <c:v>210</c:v>
                </c:pt>
                <c:pt idx="156">
                  <c:v>211</c:v>
                </c:pt>
                <c:pt idx="157">
                  <c:v>212</c:v>
                </c:pt>
                <c:pt idx="158">
                  <c:v>213</c:v>
                </c:pt>
                <c:pt idx="159">
                  <c:v>214</c:v>
                </c:pt>
                <c:pt idx="160">
                  <c:v>215</c:v>
                </c:pt>
                <c:pt idx="161">
                  <c:v>216</c:v>
                </c:pt>
                <c:pt idx="162">
                  <c:v>217</c:v>
                </c:pt>
                <c:pt idx="163">
                  <c:v>218</c:v>
                </c:pt>
                <c:pt idx="164">
                  <c:v>219</c:v>
                </c:pt>
                <c:pt idx="165">
                  <c:v>220</c:v>
                </c:pt>
                <c:pt idx="166">
                  <c:v>221</c:v>
                </c:pt>
                <c:pt idx="167">
                  <c:v>222</c:v>
                </c:pt>
                <c:pt idx="168">
                  <c:v>223</c:v>
                </c:pt>
                <c:pt idx="169">
                  <c:v>224</c:v>
                </c:pt>
                <c:pt idx="170">
                  <c:v>225</c:v>
                </c:pt>
                <c:pt idx="171">
                  <c:v>226</c:v>
                </c:pt>
                <c:pt idx="172">
                  <c:v>227</c:v>
                </c:pt>
                <c:pt idx="173">
                  <c:v>228</c:v>
                </c:pt>
                <c:pt idx="174">
                  <c:v>229</c:v>
                </c:pt>
                <c:pt idx="175">
                  <c:v>230</c:v>
                </c:pt>
                <c:pt idx="176">
                  <c:v>231</c:v>
                </c:pt>
                <c:pt idx="177">
                  <c:v>232</c:v>
                </c:pt>
                <c:pt idx="178">
                  <c:v>233</c:v>
                </c:pt>
                <c:pt idx="179">
                  <c:v>234</c:v>
                </c:pt>
                <c:pt idx="180">
                  <c:v>235</c:v>
                </c:pt>
                <c:pt idx="181">
                  <c:v>236</c:v>
                </c:pt>
                <c:pt idx="182">
                  <c:v>237</c:v>
                </c:pt>
                <c:pt idx="183">
                  <c:v>238</c:v>
                </c:pt>
                <c:pt idx="184">
                  <c:v>239</c:v>
                </c:pt>
                <c:pt idx="185">
                  <c:v>240</c:v>
                </c:pt>
                <c:pt idx="186">
                  <c:v>241</c:v>
                </c:pt>
                <c:pt idx="187">
                  <c:v>242</c:v>
                </c:pt>
                <c:pt idx="188">
                  <c:v>243</c:v>
                </c:pt>
                <c:pt idx="189">
                  <c:v>244</c:v>
                </c:pt>
                <c:pt idx="190">
                  <c:v>245</c:v>
                </c:pt>
                <c:pt idx="191">
                  <c:v>246</c:v>
                </c:pt>
                <c:pt idx="192">
                  <c:v>247</c:v>
                </c:pt>
                <c:pt idx="193">
                  <c:v>248</c:v>
                </c:pt>
                <c:pt idx="194">
                  <c:v>249</c:v>
                </c:pt>
                <c:pt idx="195">
                  <c:v>250</c:v>
                </c:pt>
                <c:pt idx="196">
                  <c:v>251</c:v>
                </c:pt>
                <c:pt idx="197">
                  <c:v>252</c:v>
                </c:pt>
                <c:pt idx="198">
                  <c:v>253</c:v>
                </c:pt>
                <c:pt idx="199">
                  <c:v>254</c:v>
                </c:pt>
                <c:pt idx="200">
                  <c:v>255</c:v>
                </c:pt>
                <c:pt idx="201">
                  <c:v>256</c:v>
                </c:pt>
                <c:pt idx="202">
                  <c:v>257</c:v>
                </c:pt>
                <c:pt idx="203">
                  <c:v>258</c:v>
                </c:pt>
                <c:pt idx="204">
                  <c:v>259</c:v>
                </c:pt>
                <c:pt idx="205">
                  <c:v>260</c:v>
                </c:pt>
                <c:pt idx="206">
                  <c:v>261</c:v>
                </c:pt>
                <c:pt idx="207">
                  <c:v>262</c:v>
                </c:pt>
                <c:pt idx="208">
                  <c:v>263</c:v>
                </c:pt>
                <c:pt idx="209">
                  <c:v>264</c:v>
                </c:pt>
                <c:pt idx="210">
                  <c:v>265</c:v>
                </c:pt>
                <c:pt idx="211">
                  <c:v>266</c:v>
                </c:pt>
                <c:pt idx="212">
                  <c:v>267</c:v>
                </c:pt>
                <c:pt idx="213">
                  <c:v>268</c:v>
                </c:pt>
                <c:pt idx="214">
                  <c:v>269</c:v>
                </c:pt>
                <c:pt idx="215">
                  <c:v>270</c:v>
                </c:pt>
                <c:pt idx="216">
                  <c:v>271</c:v>
                </c:pt>
                <c:pt idx="217">
                  <c:v>272</c:v>
                </c:pt>
                <c:pt idx="218">
                  <c:v>273</c:v>
                </c:pt>
                <c:pt idx="219">
                  <c:v>274</c:v>
                </c:pt>
              </c:numCache>
            </c:numRef>
          </c:xVal>
          <c:yVal>
            <c:numRef>
              <c:f>'New_removed - bSIR'!$E$62:$E$281</c:f>
              <c:numCache>
                <c:formatCode>General</c:formatCode>
                <c:ptCount val="220"/>
                <c:pt idx="0">
                  <c:v>8</c:v>
                </c:pt>
                <c:pt idx="1">
                  <c:v>3</c:v>
                </c:pt>
                <c:pt idx="2">
                  <c:v>4</c:v>
                </c:pt>
                <c:pt idx="3">
                  <c:v>47</c:v>
                </c:pt>
                <c:pt idx="4">
                  <c:v>5</c:v>
                </c:pt>
                <c:pt idx="5">
                  <c:v>12</c:v>
                </c:pt>
                <c:pt idx="6">
                  <c:v>38</c:v>
                </c:pt>
                <c:pt idx="7">
                  <c:v>84</c:v>
                </c:pt>
                <c:pt idx="8">
                  <c:v>38</c:v>
                </c:pt>
                <c:pt idx="9">
                  <c:v>144</c:v>
                </c:pt>
                <c:pt idx="10">
                  <c:v>179</c:v>
                </c:pt>
                <c:pt idx="11">
                  <c:v>158</c:v>
                </c:pt>
                <c:pt idx="12">
                  <c:v>102</c:v>
                </c:pt>
                <c:pt idx="13">
                  <c:v>166</c:v>
                </c:pt>
                <c:pt idx="14">
                  <c:v>199</c:v>
                </c:pt>
                <c:pt idx="15">
                  <c:v>448</c:v>
                </c:pt>
                <c:pt idx="16">
                  <c:v>237</c:v>
                </c:pt>
                <c:pt idx="17">
                  <c:v>402</c:v>
                </c:pt>
                <c:pt idx="18">
                  <c:v>431</c:v>
                </c:pt>
                <c:pt idx="19">
                  <c:v>702</c:v>
                </c:pt>
                <c:pt idx="20">
                  <c:v>737</c:v>
                </c:pt>
                <c:pt idx="21">
                  <c:v>763</c:v>
                </c:pt>
                <c:pt idx="22">
                  <c:v>537</c:v>
                </c:pt>
                <c:pt idx="23">
                  <c:v>1559</c:v>
                </c:pt>
                <c:pt idx="24">
                  <c:v>842</c:v>
                </c:pt>
                <c:pt idx="25">
                  <c:v>1316</c:v>
                </c:pt>
                <c:pt idx="26">
                  <c:v>1736</c:v>
                </c:pt>
                <c:pt idx="27">
                  <c:v>1603</c:v>
                </c:pt>
                <c:pt idx="28">
                  <c:v>1009</c:v>
                </c:pt>
                <c:pt idx="29">
                  <c:v>1637</c:v>
                </c:pt>
                <c:pt idx="30">
                  <c:v>1719</c:v>
                </c:pt>
                <c:pt idx="31">
                  <c:v>1661</c:v>
                </c:pt>
                <c:pt idx="32">
                  <c:v>1558</c:v>
                </c:pt>
                <c:pt idx="33">
                  <c:v>2323</c:v>
                </c:pt>
                <c:pt idx="34">
                  <c:v>1402</c:v>
                </c:pt>
                <c:pt idx="35">
                  <c:v>2402</c:v>
                </c:pt>
                <c:pt idx="36">
                  <c:v>1946</c:v>
                </c:pt>
                <c:pt idx="37">
                  <c:v>1845</c:v>
                </c:pt>
                <c:pt idx="38">
                  <c:v>2191</c:v>
                </c:pt>
                <c:pt idx="39">
                  <c:v>2246</c:v>
                </c:pt>
                <c:pt idx="40">
                  <c:v>1919</c:v>
                </c:pt>
                <c:pt idx="41">
                  <c:v>1344</c:v>
                </c:pt>
                <c:pt idx="42">
                  <c:v>1658</c:v>
                </c:pt>
                <c:pt idx="43">
                  <c:v>2159</c:v>
                </c:pt>
                <c:pt idx="44">
                  <c:v>2641</c:v>
                </c:pt>
                <c:pt idx="45">
                  <c:v>2589</c:v>
                </c:pt>
                <c:pt idx="46">
                  <c:v>2555</c:v>
                </c:pt>
                <c:pt idx="47">
                  <c:v>2698</c:v>
                </c:pt>
                <c:pt idx="48">
                  <c:v>2108</c:v>
                </c:pt>
                <c:pt idx="49">
                  <c:v>1790</c:v>
                </c:pt>
                <c:pt idx="50">
                  <c:v>2297</c:v>
                </c:pt>
                <c:pt idx="51">
                  <c:v>1540</c:v>
                </c:pt>
                <c:pt idx="52">
                  <c:v>2597</c:v>
                </c:pt>
                <c:pt idx="53">
                  <c:v>3138</c:v>
                </c:pt>
                <c:pt idx="54">
                  <c:v>2682</c:v>
                </c:pt>
                <c:pt idx="55">
                  <c:v>2561</c:v>
                </c:pt>
                <c:pt idx="56">
                  <c:v>2276</c:v>
                </c:pt>
                <c:pt idx="57">
                  <c:v>3257</c:v>
                </c:pt>
                <c:pt idx="58">
                  <c:v>3380</c:v>
                </c:pt>
                <c:pt idx="59">
                  <c:v>3497</c:v>
                </c:pt>
                <c:pt idx="60">
                  <c:v>3342</c:v>
                </c:pt>
                <c:pt idx="61">
                  <c:v>3037</c:v>
                </c:pt>
                <c:pt idx="62">
                  <c:v>2068</c:v>
                </c:pt>
                <c:pt idx="63">
                  <c:v>2029</c:v>
                </c:pt>
                <c:pt idx="64">
                  <c:v>2699</c:v>
                </c:pt>
                <c:pt idx="65">
                  <c:v>2634</c:v>
                </c:pt>
                <c:pt idx="66">
                  <c:v>4978</c:v>
                </c:pt>
                <c:pt idx="67">
                  <c:v>2573</c:v>
                </c:pt>
                <c:pt idx="68">
                  <c:v>2139</c:v>
                </c:pt>
                <c:pt idx="69">
                  <c:v>1914</c:v>
                </c:pt>
                <c:pt idx="70">
                  <c:v>1420</c:v>
                </c:pt>
                <c:pt idx="71">
                  <c:v>2588</c:v>
                </c:pt>
                <c:pt idx="72">
                  <c:v>8383</c:v>
                </c:pt>
                <c:pt idx="73">
                  <c:v>3305</c:v>
                </c:pt>
                <c:pt idx="74">
                  <c:v>2990</c:v>
                </c:pt>
                <c:pt idx="75">
                  <c:v>4202</c:v>
                </c:pt>
                <c:pt idx="76">
                  <c:v>2320</c:v>
                </c:pt>
                <c:pt idx="77">
                  <c:v>1580</c:v>
                </c:pt>
                <c:pt idx="78">
                  <c:v>2624</c:v>
                </c:pt>
                <c:pt idx="79">
                  <c:v>3697</c:v>
                </c:pt>
                <c:pt idx="80">
                  <c:v>3009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351-49D9-8412-5154FB7D0D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9487760"/>
        <c:axId val="969487440"/>
      </c:scatterChart>
      <c:scatterChart>
        <c:scatterStyle val="smoothMarker"/>
        <c:varyColors val="0"/>
        <c:ser>
          <c:idx val="1"/>
          <c:order val="1"/>
          <c:tx>
            <c:strRef>
              <c:f>'New_removed - bSIR'!$K$7</c:f>
              <c:strCache>
                <c:ptCount val="1"/>
                <c:pt idx="0">
                  <c:v>Italy remov. rate fit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'New_removed - bSIR'!$C$62:$C$281</c:f>
              <c:numCache>
                <c:formatCode>General</c:formatCode>
                <c:ptCount val="220"/>
                <c:pt idx="0">
                  <c:v>55</c:v>
                </c:pt>
                <c:pt idx="1">
                  <c:v>56</c:v>
                </c:pt>
                <c:pt idx="2">
                  <c:v>57</c:v>
                </c:pt>
                <c:pt idx="3">
                  <c:v>58</c:v>
                </c:pt>
                <c:pt idx="4">
                  <c:v>59</c:v>
                </c:pt>
                <c:pt idx="5">
                  <c:v>60</c:v>
                </c:pt>
                <c:pt idx="6">
                  <c:v>61</c:v>
                </c:pt>
                <c:pt idx="7">
                  <c:v>62</c:v>
                </c:pt>
                <c:pt idx="8">
                  <c:v>63</c:v>
                </c:pt>
                <c:pt idx="9">
                  <c:v>64</c:v>
                </c:pt>
                <c:pt idx="10">
                  <c:v>65</c:v>
                </c:pt>
                <c:pt idx="11">
                  <c:v>66</c:v>
                </c:pt>
                <c:pt idx="12">
                  <c:v>67</c:v>
                </c:pt>
                <c:pt idx="13">
                  <c:v>68</c:v>
                </c:pt>
                <c:pt idx="14">
                  <c:v>69</c:v>
                </c:pt>
                <c:pt idx="15">
                  <c:v>70</c:v>
                </c:pt>
                <c:pt idx="16">
                  <c:v>71</c:v>
                </c:pt>
                <c:pt idx="17">
                  <c:v>72</c:v>
                </c:pt>
                <c:pt idx="18">
                  <c:v>73</c:v>
                </c:pt>
                <c:pt idx="19">
                  <c:v>74</c:v>
                </c:pt>
                <c:pt idx="20">
                  <c:v>75</c:v>
                </c:pt>
                <c:pt idx="21">
                  <c:v>76</c:v>
                </c:pt>
                <c:pt idx="22">
                  <c:v>77</c:v>
                </c:pt>
                <c:pt idx="23">
                  <c:v>78</c:v>
                </c:pt>
                <c:pt idx="24">
                  <c:v>79</c:v>
                </c:pt>
                <c:pt idx="25">
                  <c:v>80</c:v>
                </c:pt>
                <c:pt idx="26">
                  <c:v>81</c:v>
                </c:pt>
                <c:pt idx="27">
                  <c:v>82</c:v>
                </c:pt>
                <c:pt idx="28">
                  <c:v>83</c:v>
                </c:pt>
                <c:pt idx="29">
                  <c:v>84</c:v>
                </c:pt>
                <c:pt idx="30">
                  <c:v>85</c:v>
                </c:pt>
                <c:pt idx="31">
                  <c:v>86</c:v>
                </c:pt>
                <c:pt idx="32">
                  <c:v>87</c:v>
                </c:pt>
                <c:pt idx="33">
                  <c:v>88</c:v>
                </c:pt>
                <c:pt idx="34">
                  <c:v>89</c:v>
                </c:pt>
                <c:pt idx="35">
                  <c:v>90</c:v>
                </c:pt>
                <c:pt idx="36">
                  <c:v>91</c:v>
                </c:pt>
                <c:pt idx="37">
                  <c:v>92</c:v>
                </c:pt>
                <c:pt idx="38">
                  <c:v>93</c:v>
                </c:pt>
                <c:pt idx="39">
                  <c:v>94</c:v>
                </c:pt>
                <c:pt idx="40">
                  <c:v>95</c:v>
                </c:pt>
                <c:pt idx="41">
                  <c:v>96</c:v>
                </c:pt>
                <c:pt idx="42">
                  <c:v>97</c:v>
                </c:pt>
                <c:pt idx="43">
                  <c:v>98</c:v>
                </c:pt>
                <c:pt idx="44">
                  <c:v>99</c:v>
                </c:pt>
                <c:pt idx="45">
                  <c:v>100</c:v>
                </c:pt>
                <c:pt idx="46">
                  <c:v>101</c:v>
                </c:pt>
                <c:pt idx="47">
                  <c:v>102</c:v>
                </c:pt>
                <c:pt idx="48">
                  <c:v>103</c:v>
                </c:pt>
                <c:pt idx="49">
                  <c:v>104</c:v>
                </c:pt>
                <c:pt idx="50">
                  <c:v>105</c:v>
                </c:pt>
                <c:pt idx="51">
                  <c:v>106</c:v>
                </c:pt>
                <c:pt idx="52">
                  <c:v>107</c:v>
                </c:pt>
                <c:pt idx="53">
                  <c:v>108</c:v>
                </c:pt>
                <c:pt idx="54">
                  <c:v>109</c:v>
                </c:pt>
                <c:pt idx="55">
                  <c:v>110</c:v>
                </c:pt>
                <c:pt idx="56">
                  <c:v>111</c:v>
                </c:pt>
                <c:pt idx="57">
                  <c:v>112</c:v>
                </c:pt>
                <c:pt idx="58">
                  <c:v>113</c:v>
                </c:pt>
                <c:pt idx="59">
                  <c:v>114</c:v>
                </c:pt>
                <c:pt idx="60">
                  <c:v>115</c:v>
                </c:pt>
                <c:pt idx="61">
                  <c:v>116</c:v>
                </c:pt>
                <c:pt idx="62">
                  <c:v>117</c:v>
                </c:pt>
                <c:pt idx="63">
                  <c:v>118</c:v>
                </c:pt>
                <c:pt idx="64">
                  <c:v>119</c:v>
                </c:pt>
                <c:pt idx="65">
                  <c:v>120</c:v>
                </c:pt>
                <c:pt idx="66">
                  <c:v>121</c:v>
                </c:pt>
                <c:pt idx="67">
                  <c:v>122</c:v>
                </c:pt>
                <c:pt idx="68">
                  <c:v>123</c:v>
                </c:pt>
                <c:pt idx="69">
                  <c:v>124</c:v>
                </c:pt>
                <c:pt idx="70">
                  <c:v>125</c:v>
                </c:pt>
                <c:pt idx="71">
                  <c:v>126</c:v>
                </c:pt>
                <c:pt idx="72">
                  <c:v>127</c:v>
                </c:pt>
                <c:pt idx="73">
                  <c:v>128</c:v>
                </c:pt>
                <c:pt idx="74">
                  <c:v>129</c:v>
                </c:pt>
                <c:pt idx="75">
                  <c:v>130</c:v>
                </c:pt>
                <c:pt idx="76">
                  <c:v>131</c:v>
                </c:pt>
                <c:pt idx="77">
                  <c:v>132</c:v>
                </c:pt>
                <c:pt idx="78">
                  <c:v>133</c:v>
                </c:pt>
                <c:pt idx="79">
                  <c:v>134</c:v>
                </c:pt>
                <c:pt idx="80">
                  <c:v>135</c:v>
                </c:pt>
                <c:pt idx="81">
                  <c:v>136</c:v>
                </c:pt>
                <c:pt idx="82">
                  <c:v>137</c:v>
                </c:pt>
                <c:pt idx="83">
                  <c:v>138</c:v>
                </c:pt>
                <c:pt idx="84">
                  <c:v>139</c:v>
                </c:pt>
                <c:pt idx="85">
                  <c:v>140</c:v>
                </c:pt>
                <c:pt idx="86">
                  <c:v>141</c:v>
                </c:pt>
                <c:pt idx="87">
                  <c:v>142</c:v>
                </c:pt>
                <c:pt idx="88">
                  <c:v>143</c:v>
                </c:pt>
                <c:pt idx="89">
                  <c:v>144</c:v>
                </c:pt>
                <c:pt idx="90">
                  <c:v>145</c:v>
                </c:pt>
                <c:pt idx="91">
                  <c:v>146</c:v>
                </c:pt>
                <c:pt idx="92">
                  <c:v>147</c:v>
                </c:pt>
                <c:pt idx="93">
                  <c:v>148</c:v>
                </c:pt>
                <c:pt idx="94">
                  <c:v>149</c:v>
                </c:pt>
                <c:pt idx="95">
                  <c:v>150</c:v>
                </c:pt>
                <c:pt idx="96">
                  <c:v>151</c:v>
                </c:pt>
                <c:pt idx="97">
                  <c:v>152</c:v>
                </c:pt>
                <c:pt idx="98">
                  <c:v>153</c:v>
                </c:pt>
                <c:pt idx="99">
                  <c:v>154</c:v>
                </c:pt>
                <c:pt idx="100">
                  <c:v>155</c:v>
                </c:pt>
                <c:pt idx="101">
                  <c:v>156</c:v>
                </c:pt>
                <c:pt idx="102">
                  <c:v>157</c:v>
                </c:pt>
                <c:pt idx="103">
                  <c:v>158</c:v>
                </c:pt>
                <c:pt idx="104">
                  <c:v>159</c:v>
                </c:pt>
                <c:pt idx="105">
                  <c:v>160</c:v>
                </c:pt>
                <c:pt idx="106">
                  <c:v>161</c:v>
                </c:pt>
                <c:pt idx="107">
                  <c:v>162</c:v>
                </c:pt>
                <c:pt idx="108">
                  <c:v>163</c:v>
                </c:pt>
                <c:pt idx="109">
                  <c:v>164</c:v>
                </c:pt>
                <c:pt idx="110">
                  <c:v>165</c:v>
                </c:pt>
                <c:pt idx="111">
                  <c:v>166</c:v>
                </c:pt>
                <c:pt idx="112">
                  <c:v>167</c:v>
                </c:pt>
                <c:pt idx="113">
                  <c:v>168</c:v>
                </c:pt>
                <c:pt idx="114">
                  <c:v>169</c:v>
                </c:pt>
                <c:pt idx="115">
                  <c:v>170</c:v>
                </c:pt>
                <c:pt idx="116">
                  <c:v>171</c:v>
                </c:pt>
                <c:pt idx="117">
                  <c:v>172</c:v>
                </c:pt>
                <c:pt idx="118">
                  <c:v>173</c:v>
                </c:pt>
                <c:pt idx="119">
                  <c:v>174</c:v>
                </c:pt>
                <c:pt idx="120">
                  <c:v>175</c:v>
                </c:pt>
                <c:pt idx="121">
                  <c:v>176</c:v>
                </c:pt>
                <c:pt idx="122">
                  <c:v>177</c:v>
                </c:pt>
                <c:pt idx="123">
                  <c:v>178</c:v>
                </c:pt>
                <c:pt idx="124">
                  <c:v>179</c:v>
                </c:pt>
                <c:pt idx="125">
                  <c:v>180</c:v>
                </c:pt>
                <c:pt idx="126">
                  <c:v>181</c:v>
                </c:pt>
                <c:pt idx="127">
                  <c:v>182</c:v>
                </c:pt>
                <c:pt idx="128">
                  <c:v>183</c:v>
                </c:pt>
                <c:pt idx="129">
                  <c:v>184</c:v>
                </c:pt>
                <c:pt idx="130">
                  <c:v>185</c:v>
                </c:pt>
                <c:pt idx="131">
                  <c:v>186</c:v>
                </c:pt>
                <c:pt idx="132">
                  <c:v>187</c:v>
                </c:pt>
                <c:pt idx="133">
                  <c:v>188</c:v>
                </c:pt>
                <c:pt idx="134">
                  <c:v>189</c:v>
                </c:pt>
                <c:pt idx="135">
                  <c:v>190</c:v>
                </c:pt>
                <c:pt idx="136">
                  <c:v>191</c:v>
                </c:pt>
                <c:pt idx="137">
                  <c:v>192</c:v>
                </c:pt>
                <c:pt idx="138">
                  <c:v>193</c:v>
                </c:pt>
                <c:pt idx="139">
                  <c:v>194</c:v>
                </c:pt>
                <c:pt idx="140">
                  <c:v>195</c:v>
                </c:pt>
                <c:pt idx="141">
                  <c:v>196</c:v>
                </c:pt>
                <c:pt idx="142">
                  <c:v>197</c:v>
                </c:pt>
                <c:pt idx="143">
                  <c:v>198</c:v>
                </c:pt>
                <c:pt idx="144">
                  <c:v>199</c:v>
                </c:pt>
                <c:pt idx="145">
                  <c:v>200</c:v>
                </c:pt>
                <c:pt idx="146">
                  <c:v>201</c:v>
                </c:pt>
                <c:pt idx="147">
                  <c:v>202</c:v>
                </c:pt>
                <c:pt idx="148">
                  <c:v>203</c:v>
                </c:pt>
                <c:pt idx="149">
                  <c:v>204</c:v>
                </c:pt>
                <c:pt idx="150">
                  <c:v>205</c:v>
                </c:pt>
                <c:pt idx="151">
                  <c:v>206</c:v>
                </c:pt>
                <c:pt idx="152">
                  <c:v>207</c:v>
                </c:pt>
                <c:pt idx="153">
                  <c:v>208</c:v>
                </c:pt>
                <c:pt idx="154">
                  <c:v>209</c:v>
                </c:pt>
                <c:pt idx="155">
                  <c:v>210</c:v>
                </c:pt>
                <c:pt idx="156">
                  <c:v>211</c:v>
                </c:pt>
                <c:pt idx="157">
                  <c:v>212</c:v>
                </c:pt>
                <c:pt idx="158">
                  <c:v>213</c:v>
                </c:pt>
                <c:pt idx="159">
                  <c:v>214</c:v>
                </c:pt>
                <c:pt idx="160">
                  <c:v>215</c:v>
                </c:pt>
                <c:pt idx="161">
                  <c:v>216</c:v>
                </c:pt>
                <c:pt idx="162">
                  <c:v>217</c:v>
                </c:pt>
                <c:pt idx="163">
                  <c:v>218</c:v>
                </c:pt>
                <c:pt idx="164">
                  <c:v>219</c:v>
                </c:pt>
                <c:pt idx="165">
                  <c:v>220</c:v>
                </c:pt>
                <c:pt idx="166">
                  <c:v>221</c:v>
                </c:pt>
                <c:pt idx="167">
                  <c:v>222</c:v>
                </c:pt>
                <c:pt idx="168">
                  <c:v>223</c:v>
                </c:pt>
                <c:pt idx="169">
                  <c:v>224</c:v>
                </c:pt>
                <c:pt idx="170">
                  <c:v>225</c:v>
                </c:pt>
                <c:pt idx="171">
                  <c:v>226</c:v>
                </c:pt>
                <c:pt idx="172">
                  <c:v>227</c:v>
                </c:pt>
                <c:pt idx="173">
                  <c:v>228</c:v>
                </c:pt>
                <c:pt idx="174">
                  <c:v>229</c:v>
                </c:pt>
                <c:pt idx="175">
                  <c:v>230</c:v>
                </c:pt>
                <c:pt idx="176">
                  <c:v>231</c:v>
                </c:pt>
                <c:pt idx="177">
                  <c:v>232</c:v>
                </c:pt>
                <c:pt idx="178">
                  <c:v>233</c:v>
                </c:pt>
                <c:pt idx="179">
                  <c:v>234</c:v>
                </c:pt>
                <c:pt idx="180">
                  <c:v>235</c:v>
                </c:pt>
                <c:pt idx="181">
                  <c:v>236</c:v>
                </c:pt>
                <c:pt idx="182">
                  <c:v>237</c:v>
                </c:pt>
                <c:pt idx="183">
                  <c:v>238</c:v>
                </c:pt>
                <c:pt idx="184">
                  <c:v>239</c:v>
                </c:pt>
                <c:pt idx="185">
                  <c:v>240</c:v>
                </c:pt>
                <c:pt idx="186">
                  <c:v>241</c:v>
                </c:pt>
                <c:pt idx="187">
                  <c:v>242</c:v>
                </c:pt>
                <c:pt idx="188">
                  <c:v>243</c:v>
                </c:pt>
                <c:pt idx="189">
                  <c:v>244</c:v>
                </c:pt>
                <c:pt idx="190">
                  <c:v>245</c:v>
                </c:pt>
                <c:pt idx="191">
                  <c:v>246</c:v>
                </c:pt>
                <c:pt idx="192">
                  <c:v>247</c:v>
                </c:pt>
                <c:pt idx="193">
                  <c:v>248</c:v>
                </c:pt>
                <c:pt idx="194">
                  <c:v>249</c:v>
                </c:pt>
                <c:pt idx="195">
                  <c:v>250</c:v>
                </c:pt>
                <c:pt idx="196">
                  <c:v>251</c:v>
                </c:pt>
                <c:pt idx="197">
                  <c:v>252</c:v>
                </c:pt>
                <c:pt idx="198">
                  <c:v>253</c:v>
                </c:pt>
                <c:pt idx="199">
                  <c:v>254</c:v>
                </c:pt>
                <c:pt idx="200">
                  <c:v>255</c:v>
                </c:pt>
                <c:pt idx="201">
                  <c:v>256</c:v>
                </c:pt>
                <c:pt idx="202">
                  <c:v>257</c:v>
                </c:pt>
                <c:pt idx="203">
                  <c:v>258</c:v>
                </c:pt>
                <c:pt idx="204">
                  <c:v>259</c:v>
                </c:pt>
                <c:pt idx="205">
                  <c:v>260</c:v>
                </c:pt>
                <c:pt idx="206">
                  <c:v>261</c:v>
                </c:pt>
                <c:pt idx="207">
                  <c:v>262</c:v>
                </c:pt>
                <c:pt idx="208">
                  <c:v>263</c:v>
                </c:pt>
                <c:pt idx="209">
                  <c:v>264</c:v>
                </c:pt>
                <c:pt idx="210">
                  <c:v>265</c:v>
                </c:pt>
                <c:pt idx="211">
                  <c:v>266</c:v>
                </c:pt>
                <c:pt idx="212">
                  <c:v>267</c:v>
                </c:pt>
                <c:pt idx="213">
                  <c:v>268</c:v>
                </c:pt>
                <c:pt idx="214">
                  <c:v>269</c:v>
                </c:pt>
                <c:pt idx="215">
                  <c:v>270</c:v>
                </c:pt>
                <c:pt idx="216">
                  <c:v>271</c:v>
                </c:pt>
                <c:pt idx="217">
                  <c:v>272</c:v>
                </c:pt>
                <c:pt idx="218">
                  <c:v>273</c:v>
                </c:pt>
                <c:pt idx="219">
                  <c:v>274</c:v>
                </c:pt>
              </c:numCache>
            </c:numRef>
          </c:xVal>
          <c:yVal>
            <c:numRef>
              <c:f>'New_removed - bSIR'!$K$62:$K$281</c:f>
              <c:numCache>
                <c:formatCode>General</c:formatCode>
                <c:ptCount val="220"/>
                <c:pt idx="0">
                  <c:v>429.27516033430464</c:v>
                </c:pt>
                <c:pt idx="1">
                  <c:v>449.31933719618542</c:v>
                </c:pt>
                <c:pt idx="2">
                  <c:v>470.21355083131419</c:v>
                </c:pt>
                <c:pt idx="3">
                  <c:v>491.98534232424345</c:v>
                </c:pt>
                <c:pt idx="4">
                  <c:v>514.6622763230647</c:v>
                </c:pt>
                <c:pt idx="5">
                  <c:v>538.27183386078821</c:v>
                </c:pt>
                <c:pt idx="6">
                  <c:v>562.84129311232232</c:v>
                </c:pt>
                <c:pt idx="7">
                  <c:v>588.39759736801182</c:v>
                </c:pt>
                <c:pt idx="8">
                  <c:v>614.9672095210517</c:v>
                </c:pt>
                <c:pt idx="9">
                  <c:v>642.5759523940128</c:v>
                </c:pt>
                <c:pt idx="10">
                  <c:v>671.24883427087741</c:v>
                </c:pt>
                <c:pt idx="11">
                  <c:v>701.00985905730374</c:v>
                </c:pt>
                <c:pt idx="12">
                  <c:v>731.88182056520054</c:v>
                </c:pt>
                <c:pt idx="13">
                  <c:v>763.8860805101541</c:v>
                </c:pt>
                <c:pt idx="14">
                  <c:v>797.04232992385505</c:v>
                </c:pt>
                <c:pt idx="15">
                  <c:v>831.36833382041937</c:v>
                </c:pt>
                <c:pt idx="16">
                  <c:v>866.87965911750098</c:v>
                </c:pt>
                <c:pt idx="17">
                  <c:v>903.58938600207614</c:v>
                </c:pt>
                <c:pt idx="18">
                  <c:v>941.50780314862709</c:v>
                </c:pt>
                <c:pt idx="19">
                  <c:v>980.64208744542577</c:v>
                </c:pt>
                <c:pt idx="20">
                  <c:v>1020.9959691639324</c:v>
                </c:pt>
                <c:pt idx="21">
                  <c:v>1062.5693838174845</c:v>
                </c:pt>
                <c:pt idx="22">
                  <c:v>1105.358112298534</c:v>
                </c:pt>
                <c:pt idx="23">
                  <c:v>1149.3534112579468</c:v>
                </c:pt>
                <c:pt idx="24">
                  <c:v>1194.54163609377</c:v>
                </c:pt>
                <c:pt idx="25">
                  <c:v>1240.9038593478522</c:v>
                </c:pt>
                <c:pt idx="26">
                  <c:v>1288.4154877630747</c:v>
                </c:pt>
                <c:pt idx="27">
                  <c:v>1337.0458817267242</c:v>
                </c:pt>
                <c:pt idx="28">
                  <c:v>1386.7579813104051</c:v>
                </c:pt>
                <c:pt idx="29">
                  <c:v>1437.5079436059846</c:v>
                </c:pt>
                <c:pt idx="30">
                  <c:v>1489.2447965408717</c:v>
                </c:pt>
                <c:pt idx="31">
                  <c:v>1541.9101148235152</c:v>
                </c:pt>
                <c:pt idx="32">
                  <c:v>1595.4377241086045</c:v>
                </c:pt>
                <c:pt idx="33">
                  <c:v>1649.753439866882</c:v>
                </c:pt>
                <c:pt idx="34">
                  <c:v>1704.7748477811501</c:v>
                </c:pt>
                <c:pt idx="35">
                  <c:v>1760.411132751115</c:v>
                </c:pt>
                <c:pt idx="36">
                  <c:v>1816.5629637575578</c:v>
                </c:pt>
                <c:pt idx="37">
                  <c:v>1873.1224418926947</c:v>
                </c:pt>
                <c:pt idx="38">
                  <c:v>1929.9731187905627</c:v>
                </c:pt>
                <c:pt idx="39">
                  <c:v>1986.9900924710669</c:v>
                </c:pt>
                <c:pt idx="40">
                  <c:v>2044.0401872281732</c:v>
                </c:pt>
                <c:pt idx="41">
                  <c:v>2100.9822236321697</c:v>
                </c:pt>
                <c:pt idx="42">
                  <c:v>2157.6673839671794</c:v>
                </c:pt>
                <c:pt idx="43">
                  <c:v>2213.9396774805964</c:v>
                </c:pt>
                <c:pt idx="44">
                  <c:v>2269.6365086784022</c:v>
                </c:pt>
                <c:pt idx="45">
                  <c:v>2324.5893505620138</c:v>
                </c:pt>
                <c:pt idx="46">
                  <c:v>2378.6245231777166</c:v>
                </c:pt>
                <c:pt idx="47">
                  <c:v>2431.5640761545164</c:v>
                </c:pt>
                <c:pt idx="48">
                  <c:v>2483.2267720637014</c:v>
                </c:pt>
                <c:pt idx="49">
                  <c:v>2533.4291654739427</c:v>
                </c:pt>
                <c:pt idx="50">
                  <c:v>2581.9867705372199</c:v>
                </c:pt>
                <c:pt idx="51">
                  <c:v>2628.7153078678161</c:v>
                </c:pt>
                <c:pt idx="52">
                  <c:v>2673.4320194196857</c:v>
                </c:pt>
                <c:pt idx="53">
                  <c:v>2715.9570380820237</c:v>
                </c:pt>
                <c:pt idx="54">
                  <c:v>2756.1147968576543</c:v>
                </c:pt>
                <c:pt idx="55">
                  <c:v>2793.7354608239434</c:v>
                </c:pt>
                <c:pt idx="56">
                  <c:v>2828.6563636607611</c:v>
                </c:pt>
                <c:pt idx="57">
                  <c:v>2860.7234294210716</c:v>
                </c:pt>
                <c:pt idx="58">
                  <c:v>2889.7925594679014</c:v>
                </c:pt>
                <c:pt idx="59">
                  <c:v>2915.7309641499155</c:v>
                </c:pt>
                <c:pt idx="60">
                  <c:v>2938.4184188697382</c:v>
                </c:pt>
                <c:pt idx="61">
                  <c:v>2957.7484247354641</c:v>
                </c:pt>
                <c:pt idx="62">
                  <c:v>2973.6292549839927</c:v>
                </c:pt>
                <c:pt idx="63">
                  <c:v>2985.9848698176015</c:v>
                </c:pt>
                <c:pt idx="64">
                  <c:v>2994.7556841800938</c:v>
                </c:pt>
                <c:pt idx="65">
                  <c:v>2999.8991752785728</c:v>
                </c:pt>
                <c:pt idx="66">
                  <c:v>3001.3903192799853</c:v>
                </c:pt>
                <c:pt idx="67">
                  <c:v>2999.2218495138472</c:v>
                </c:pt>
                <c:pt idx="68">
                  <c:v>2993.4043316199136</c:v>
                </c:pt>
                <c:pt idx="69">
                  <c:v>2983.9660543094578</c:v>
                </c:pt>
                <c:pt idx="70">
                  <c:v>2970.9527376748715</c:v>
                </c:pt>
                <c:pt idx="71">
                  <c:v>2954.427064195952</c:v>
                </c:pt>
                <c:pt idx="72">
                  <c:v>2934.4680406666221</c:v>
                </c:pt>
                <c:pt idx="73">
                  <c:v>2911.1702021217552</c:v>
                </c:pt>
                <c:pt idx="74">
                  <c:v>2884.6426714077602</c:v>
                </c:pt>
                <c:pt idx="75">
                  <c:v>2855.0080902506706</c:v>
                </c:pt>
                <c:pt idx="76">
                  <c:v>2822.4014394828178</c:v>
                </c:pt>
                <c:pt idx="77">
                  <c:v>2786.9687674589477</c:v>
                </c:pt>
                <c:pt idx="78">
                  <c:v>2748.8658466054785</c:v>
                </c:pt>
                <c:pt idx="79">
                  <c:v>2708.2567784977473</c:v>
                </c:pt>
                <c:pt idx="80">
                  <c:v>2665.3125678597785</c:v>
                </c:pt>
                <c:pt idx="81">
                  <c:v>2620.2096854526785</c:v>
                </c:pt>
                <c:pt idx="82">
                  <c:v>2573.1286389962479</c:v>
                </c:pt>
                <c:pt idx="83">
                  <c:v>2524.2525700987471</c:v>
                </c:pt>
                <c:pt idx="84">
                  <c:v>2473.7658937039268</c:v>
                </c:pt>
                <c:pt idx="85">
                  <c:v>2421.8529948597934</c:v>
                </c:pt>
                <c:pt idx="86">
                  <c:v>2368.6969957296687</c:v>
                </c:pt>
                <c:pt idx="87">
                  <c:v>2314.4786037631188</c:v>
                </c:pt>
                <c:pt idx="88">
                  <c:v>2259.3750498802692</c:v>
                </c:pt>
                <c:pt idx="89">
                  <c:v>2203.5591234527892</c:v>
                </c:pt>
                <c:pt idx="90">
                  <c:v>2147.198308837706</c:v>
                </c:pt>
                <c:pt idx="91">
                  <c:v>2090.454026279785</c:v>
                </c:pt>
                <c:pt idx="92">
                  <c:v>2033.4809781808679</c:v>
                </c:pt>
                <c:pt idx="93">
                  <c:v>1976.4266000693688</c:v>
                </c:pt>
                <c:pt idx="94">
                  <c:v>1919.4306141121003</c:v>
                </c:pt>
                <c:pt idx="95">
                  <c:v>1862.6246817079493</c:v>
                </c:pt>
                <c:pt idx="96">
                  <c:v>1806.1321505969261</c:v>
                </c:pt>
                <c:pt idx="97">
                  <c:v>1750.0678910101606</c:v>
                </c:pt>
                <c:pt idx="98">
                  <c:v>1694.538214673204</c:v>
                </c:pt>
                <c:pt idx="99">
                  <c:v>1639.640869948252</c:v>
                </c:pt>
                <c:pt idx="100">
                  <c:v>1585.465106048995</c:v>
                </c:pt>
                <c:pt idx="101">
                  <c:v>1532.0917990701901</c:v>
                </c:pt>
                <c:pt idx="102">
                  <c:v>1479.5936325262774</c:v>
                </c:pt>
                <c:pt idx="103">
                  <c:v>1428.035325171767</c:v>
                </c:pt>
                <c:pt idx="104">
                  <c:v>1377.4738990626045</c:v>
                </c:pt>
                <c:pt idx="105">
                  <c:v>1327.9589810940645</c:v>
                </c:pt>
                <c:pt idx="106">
                  <c:v>1279.5331315995413</c:v>
                </c:pt>
                <c:pt idx="107">
                  <c:v>1232.2321939991425</c:v>
                </c:pt>
                <c:pt idx="108">
                  <c:v>1186.0856599319859</c:v>
                </c:pt>
                <c:pt idx="109">
                  <c:v>1141.1170447776087</c:v>
                </c:pt>
                <c:pt idx="110">
                  <c:v>1097.3442689574522</c:v>
                </c:pt>
                <c:pt idx="111">
                  <c:v>1054.7800408963924</c:v>
                </c:pt>
                <c:pt idx="112">
                  <c:v>1013.4322380074087</c:v>
                </c:pt>
                <c:pt idx="113">
                  <c:v>973.304282532348</c:v>
                </c:pt>
                <c:pt idx="114">
                  <c:v>934.39550952207082</c:v>
                </c:pt>
                <c:pt idx="115">
                  <c:v>896.7015246654978</c:v>
                </c:pt>
                <c:pt idx="116">
                  <c:v>860.21455007562406</c:v>
                </c:pt>
                <c:pt idx="117">
                  <c:v>824.92375650915687</c:v>
                </c:pt>
                <c:pt idx="118">
                  <c:v>790.8155808336254</c:v>
                </c:pt>
                <c:pt idx="119">
                  <c:v>757.87402786106782</c:v>
                </c:pt>
                <c:pt idx="120">
                  <c:v>726.08095594082113</c:v>
                </c:pt>
                <c:pt idx="121">
                  <c:v>695.41634594628442</c:v>
                </c:pt>
                <c:pt idx="122">
                  <c:v>665.85855350287102</c:v>
                </c:pt>
                <c:pt idx="123">
                  <c:v>637.38454448825212</c:v>
                </c:pt>
                <c:pt idx="124">
                  <c:v>609.97011399314306</c:v>
                </c:pt>
                <c:pt idx="125">
                  <c:v>583.5900890632131</c:v>
                </c:pt>
                <c:pt idx="126">
                  <c:v>558.21851565223574</c:v>
                </c:pt>
                <c:pt idx="127">
                  <c:v>533.82883030534549</c:v>
                </c:pt>
                <c:pt idx="128">
                  <c:v>510.39401716135717</c:v>
                </c:pt>
                <c:pt idx="129">
                  <c:v>487.88675091643745</c:v>
                </c:pt>
                <c:pt idx="130">
                  <c:v>466.2795264300234</c:v>
                </c:pt>
                <c:pt idx="131">
                  <c:v>445.54477567951307</c:v>
                </c:pt>
                <c:pt idx="132">
                  <c:v>425.65497278466734</c:v>
                </c:pt>
                <c:pt idx="133">
                  <c:v>406.582727827459</c:v>
                </c:pt>
                <c:pt idx="134">
                  <c:v>388.30087018971028</c:v>
                </c:pt>
                <c:pt idx="135">
                  <c:v>370.78252212068071</c:v>
                </c:pt>
                <c:pt idx="136">
                  <c:v>354.00116323092527</c:v>
                </c:pt>
                <c:pt idx="137">
                  <c:v>337.93068658840389</c:v>
                </c:pt>
                <c:pt idx="138">
                  <c:v>322.54544706886622</c:v>
                </c:pt>
                <c:pt idx="139">
                  <c:v>307.8203025858794</c:v>
                </c:pt>
                <c:pt idx="140">
                  <c:v>293.73064879718771</c:v>
                </c:pt>
                <c:pt idx="141">
                  <c:v>280.25244785407506</c:v>
                </c:pt>
                <c:pt idx="142">
                  <c:v>267.3622517295546</c:v>
                </c:pt>
                <c:pt idx="143">
                  <c:v>255.03722063003667</c:v>
                </c:pt>
                <c:pt idx="144">
                  <c:v>243.25513696397755</c:v>
                </c:pt>
                <c:pt idx="145">
                  <c:v>231.9944153102509</c:v>
                </c:pt>
                <c:pt idx="146">
                  <c:v>221.23410879882871</c:v>
                </c:pt>
                <c:pt idx="147">
                  <c:v>210.95391228706976</c:v>
                </c:pt>
                <c:pt idx="148">
                  <c:v>201.1341626866124</c:v>
                </c:pt>
                <c:pt idx="149">
                  <c:v>191.75583676871486</c:v>
                </c:pt>
                <c:pt idx="150">
                  <c:v>182.80054674993622</c:v>
                </c:pt>
                <c:pt idx="151">
                  <c:v>174.25053393541145</c:v>
                </c:pt>
                <c:pt idx="152">
                  <c:v>166.0886606736309</c:v>
                </c:pt>
                <c:pt idx="153">
                  <c:v>158.29840085463564</c:v>
                </c:pt>
                <c:pt idx="154">
                  <c:v>150.86382916288954</c:v>
                </c:pt>
                <c:pt idx="155">
                  <c:v>143.76960927672826</c:v>
                </c:pt>
                <c:pt idx="156">
                  <c:v>137.00098118824474</c:v>
                </c:pt>
                <c:pt idx="157">
                  <c:v>130.5437478006632</c:v>
                </c:pt>
                <c:pt idx="158">
                  <c:v>124.38426094466021</c:v>
                </c:pt>
                <c:pt idx="159">
                  <c:v>118.50940694067103</c:v>
                </c:pt>
                <c:pt idx="160">
                  <c:v>112.90659182088766</c:v>
                </c:pt>
                <c:pt idx="161">
                  <c:v>107.56372631238676</c:v>
                </c:pt>
                <c:pt idx="162">
                  <c:v>102.46921067155877</c:v>
                </c:pt>
                <c:pt idx="163">
                  <c:v>97.61191944966022</c:v>
                </c:pt>
                <c:pt idx="164">
                  <c:v>92.981186259872644</c:v>
                </c:pt>
                <c:pt idx="165">
                  <c:v>88.566788607610107</c:v>
                </c:pt>
                <c:pt idx="166">
                  <c:v>84.35893283796419</c:v>
                </c:pt>
                <c:pt idx="167">
                  <c:v>80.348239247038123</c:v>
                </c:pt>
                <c:pt idx="168">
                  <c:v>76.525727397438303</c:v>
                </c:pt>
                <c:pt idx="169">
                  <c:v>72.882801672343362</c:v>
                </c:pt>
                <c:pt idx="170">
                  <c:v>69.411237097278303</c:v>
                </c:pt>
                <c:pt idx="171">
                  <c:v>66.103165453960813</c:v>
                </c:pt>
                <c:pt idx="172">
                  <c:v>62.951061706314441</c:v>
                </c:pt>
                <c:pt idx="173">
                  <c:v>59.947730754907283</c:v>
                </c:pt>
                <c:pt idx="174">
                  <c:v>57.086294532651529</c:v>
                </c:pt>
                <c:pt idx="175">
                  <c:v>54.360179451552732</c:v>
                </c:pt>
                <c:pt idx="176">
                  <c:v>51.763104207580554</c:v>
                </c:pt>
                <c:pt idx="177">
                  <c:v>49.28906794834127</c:v>
                </c:pt>
                <c:pt idx="178">
                  <c:v>46.932338806110216</c:v>
                </c:pt>
                <c:pt idx="179">
                  <c:v>44.687442796924898</c:v>
                </c:pt>
                <c:pt idx="180">
                  <c:v>42.549153084814684</c:v>
                </c:pt>
                <c:pt idx="181">
                  <c:v>40.512479608824734</c:v>
                </c:pt>
                <c:pt idx="182">
                  <c:v>38.572659069267807</c:v>
                </c:pt>
                <c:pt idx="183">
                  <c:v>36.725145268585827</c:v>
                </c:pt>
                <c:pt idx="184">
                  <c:v>34.965599801302631</c:v>
                </c:pt>
                <c:pt idx="185">
                  <c:v>33.289883086790503</c:v>
                </c:pt>
                <c:pt idx="186">
                  <c:v>31.694045737939337</c:v>
                </c:pt>
                <c:pt idx="187">
                  <c:v>30.174320258291665</c:v>
                </c:pt>
                <c:pt idx="188">
                  <c:v>28.727113059784667</c:v>
                </c:pt>
                <c:pt idx="189">
                  <c:v>27.348996792904011</c:v>
                </c:pt>
                <c:pt idx="190">
                  <c:v>26.036702980796221</c:v>
                </c:pt>
                <c:pt idx="191">
                  <c:v>24.787114948701795</c:v>
                </c:pt>
                <c:pt idx="192">
                  <c:v>23.597261039941738</c:v>
                </c:pt>
                <c:pt idx="193">
                  <c:v>22.464308109621207</c:v>
                </c:pt>
                <c:pt idx="194">
                  <c:v>21.385555287187604</c:v>
                </c:pt>
                <c:pt idx="195">
                  <c:v>20.358427998996856</c:v>
                </c:pt>
                <c:pt idx="196">
                  <c:v>19.380472242095678</c:v>
                </c:pt>
                <c:pt idx="197">
                  <c:v>18.449349100508417</c:v>
                </c:pt>
                <c:pt idx="198">
                  <c:v>17.562829495429341</c:v>
                </c:pt>
                <c:pt idx="199">
                  <c:v>16.718789160851848</c:v>
                </c:pt>
                <c:pt idx="200">
                  <c:v>15.91520383631797</c:v>
                </c:pt>
                <c:pt idx="201">
                  <c:v>15.150144668639415</c:v>
                </c:pt>
                <c:pt idx="202">
                  <c:v>14.421773814621025</c:v>
                </c:pt>
                <c:pt idx="203">
                  <c:v>13.728340237008288</c:v>
                </c:pt>
                <c:pt idx="204">
                  <c:v>13.068175686080934</c:v>
                </c:pt>
                <c:pt idx="205">
                  <c:v>12.439690859518725</c:v>
                </c:pt>
                <c:pt idx="206">
                  <c:v>11.841371733377104</c:v>
                </c:pt>
                <c:pt idx="207">
                  <c:v>11.271776057223054</c:v>
                </c:pt>
                <c:pt idx="208">
                  <c:v>10.729530006696613</c:v>
                </c:pt>
                <c:pt idx="209">
                  <c:v>10.213324986979865</c:v>
                </c:pt>
                <c:pt idx="210">
                  <c:v>9.7219145808696599</c:v>
                </c:pt>
                <c:pt idx="211">
                  <c:v>9.2541116353650796</c:v>
                </c:pt>
                <c:pt idx="212">
                  <c:v>8.8087854808922632</c:v>
                </c:pt>
                <c:pt idx="213">
                  <c:v>8.384859277498256</c:v>
                </c:pt>
                <c:pt idx="214">
                  <c:v>7.9813074825520687</c:v>
                </c:pt>
                <c:pt idx="215">
                  <c:v>7.5971534346928689</c:v>
                </c:pt>
                <c:pt idx="216">
                  <c:v>7.231467048963407</c:v>
                </c:pt>
                <c:pt idx="217">
                  <c:v>6.8833626182608896</c:v>
                </c:pt>
                <c:pt idx="218">
                  <c:v>6.551996716425843</c:v>
                </c:pt>
                <c:pt idx="219">
                  <c:v>6.2365661984742502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351-49D9-8412-5154FB7D0D89}"/>
            </c:ext>
          </c:extLst>
        </c:ser>
        <c:ser>
          <c:idx val="4"/>
          <c:order val="2"/>
          <c:tx>
            <c:strRef>
              <c:f>'New_removed - bSIR'!$I$7</c:f>
              <c:strCache>
                <c:ptCount val="1"/>
                <c:pt idx="0">
                  <c:v>Italy (fit of selected region + fitted sum of the other regions)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'New_removed - bSIR'!$C$62:$C$281</c:f>
              <c:numCache>
                <c:formatCode>General</c:formatCode>
                <c:ptCount val="220"/>
                <c:pt idx="0">
                  <c:v>55</c:v>
                </c:pt>
                <c:pt idx="1">
                  <c:v>56</c:v>
                </c:pt>
                <c:pt idx="2">
                  <c:v>57</c:v>
                </c:pt>
                <c:pt idx="3">
                  <c:v>58</c:v>
                </c:pt>
                <c:pt idx="4">
                  <c:v>59</c:v>
                </c:pt>
                <c:pt idx="5">
                  <c:v>60</c:v>
                </c:pt>
                <c:pt idx="6">
                  <c:v>61</c:v>
                </c:pt>
                <c:pt idx="7">
                  <c:v>62</c:v>
                </c:pt>
                <c:pt idx="8">
                  <c:v>63</c:v>
                </c:pt>
                <c:pt idx="9">
                  <c:v>64</c:v>
                </c:pt>
                <c:pt idx="10">
                  <c:v>65</c:v>
                </c:pt>
                <c:pt idx="11">
                  <c:v>66</c:v>
                </c:pt>
                <c:pt idx="12">
                  <c:v>67</c:v>
                </c:pt>
                <c:pt idx="13">
                  <c:v>68</c:v>
                </c:pt>
                <c:pt idx="14">
                  <c:v>69</c:v>
                </c:pt>
                <c:pt idx="15">
                  <c:v>70</c:v>
                </c:pt>
                <c:pt idx="16">
                  <c:v>71</c:v>
                </c:pt>
                <c:pt idx="17">
                  <c:v>72</c:v>
                </c:pt>
                <c:pt idx="18">
                  <c:v>73</c:v>
                </c:pt>
                <c:pt idx="19">
                  <c:v>74</c:v>
                </c:pt>
                <c:pt idx="20">
                  <c:v>75</c:v>
                </c:pt>
                <c:pt idx="21">
                  <c:v>76</c:v>
                </c:pt>
                <c:pt idx="22">
                  <c:v>77</c:v>
                </c:pt>
                <c:pt idx="23">
                  <c:v>78</c:v>
                </c:pt>
                <c:pt idx="24">
                  <c:v>79</c:v>
                </c:pt>
                <c:pt idx="25">
                  <c:v>80</c:v>
                </c:pt>
                <c:pt idx="26">
                  <c:v>81</c:v>
                </c:pt>
                <c:pt idx="27">
                  <c:v>82</c:v>
                </c:pt>
                <c:pt idx="28">
                  <c:v>83</c:v>
                </c:pt>
                <c:pt idx="29">
                  <c:v>84</c:v>
                </c:pt>
                <c:pt idx="30">
                  <c:v>85</c:v>
                </c:pt>
                <c:pt idx="31">
                  <c:v>86</c:v>
                </c:pt>
                <c:pt idx="32">
                  <c:v>87</c:v>
                </c:pt>
                <c:pt idx="33">
                  <c:v>88</c:v>
                </c:pt>
                <c:pt idx="34">
                  <c:v>89</c:v>
                </c:pt>
                <c:pt idx="35">
                  <c:v>90</c:v>
                </c:pt>
                <c:pt idx="36">
                  <c:v>91</c:v>
                </c:pt>
                <c:pt idx="37">
                  <c:v>92</c:v>
                </c:pt>
                <c:pt idx="38">
                  <c:v>93</c:v>
                </c:pt>
                <c:pt idx="39">
                  <c:v>94</c:v>
                </c:pt>
                <c:pt idx="40">
                  <c:v>95</c:v>
                </c:pt>
                <c:pt idx="41">
                  <c:v>96</c:v>
                </c:pt>
                <c:pt idx="42">
                  <c:v>97</c:v>
                </c:pt>
                <c:pt idx="43">
                  <c:v>98</c:v>
                </c:pt>
                <c:pt idx="44">
                  <c:v>99</c:v>
                </c:pt>
                <c:pt idx="45">
                  <c:v>100</c:v>
                </c:pt>
                <c:pt idx="46">
                  <c:v>101</c:v>
                </c:pt>
                <c:pt idx="47">
                  <c:v>102</c:v>
                </c:pt>
                <c:pt idx="48">
                  <c:v>103</c:v>
                </c:pt>
                <c:pt idx="49">
                  <c:v>104</c:v>
                </c:pt>
                <c:pt idx="50">
                  <c:v>105</c:v>
                </c:pt>
                <c:pt idx="51">
                  <c:v>106</c:v>
                </c:pt>
                <c:pt idx="52">
                  <c:v>107</c:v>
                </c:pt>
                <c:pt idx="53">
                  <c:v>108</c:v>
                </c:pt>
                <c:pt idx="54">
                  <c:v>109</c:v>
                </c:pt>
                <c:pt idx="55">
                  <c:v>110</c:v>
                </c:pt>
                <c:pt idx="56">
                  <c:v>111</c:v>
                </c:pt>
                <c:pt idx="57">
                  <c:v>112</c:v>
                </c:pt>
                <c:pt idx="58">
                  <c:v>113</c:v>
                </c:pt>
                <c:pt idx="59">
                  <c:v>114</c:v>
                </c:pt>
                <c:pt idx="60">
                  <c:v>115</c:v>
                </c:pt>
                <c:pt idx="61">
                  <c:v>116</c:v>
                </c:pt>
                <c:pt idx="62">
                  <c:v>117</c:v>
                </c:pt>
                <c:pt idx="63">
                  <c:v>118</c:v>
                </c:pt>
                <c:pt idx="64">
                  <c:v>119</c:v>
                </c:pt>
                <c:pt idx="65">
                  <c:v>120</c:v>
                </c:pt>
                <c:pt idx="66">
                  <c:v>121</c:v>
                </c:pt>
                <c:pt idx="67">
                  <c:v>122</c:v>
                </c:pt>
                <c:pt idx="68">
                  <c:v>123</c:v>
                </c:pt>
                <c:pt idx="69">
                  <c:v>124</c:v>
                </c:pt>
                <c:pt idx="70">
                  <c:v>125</c:v>
                </c:pt>
                <c:pt idx="71">
                  <c:v>126</c:v>
                </c:pt>
                <c:pt idx="72">
                  <c:v>127</c:v>
                </c:pt>
                <c:pt idx="73">
                  <c:v>128</c:v>
                </c:pt>
                <c:pt idx="74">
                  <c:v>129</c:v>
                </c:pt>
                <c:pt idx="75">
                  <c:v>130</c:v>
                </c:pt>
                <c:pt idx="76">
                  <c:v>131</c:v>
                </c:pt>
                <c:pt idx="77">
                  <c:v>132</c:v>
                </c:pt>
                <c:pt idx="78">
                  <c:v>133</c:v>
                </c:pt>
                <c:pt idx="79">
                  <c:v>134</c:v>
                </c:pt>
                <c:pt idx="80">
                  <c:v>135</c:v>
                </c:pt>
                <c:pt idx="81">
                  <c:v>136</c:v>
                </c:pt>
                <c:pt idx="82">
                  <c:v>137</c:v>
                </c:pt>
                <c:pt idx="83">
                  <c:v>138</c:v>
                </c:pt>
                <c:pt idx="84">
                  <c:v>139</c:v>
                </c:pt>
                <c:pt idx="85">
                  <c:v>140</c:v>
                </c:pt>
                <c:pt idx="86">
                  <c:v>141</c:v>
                </c:pt>
                <c:pt idx="87">
                  <c:v>142</c:v>
                </c:pt>
                <c:pt idx="88">
                  <c:v>143</c:v>
                </c:pt>
                <c:pt idx="89">
                  <c:v>144</c:v>
                </c:pt>
                <c:pt idx="90">
                  <c:v>145</c:v>
                </c:pt>
                <c:pt idx="91">
                  <c:v>146</c:v>
                </c:pt>
                <c:pt idx="92">
                  <c:v>147</c:v>
                </c:pt>
                <c:pt idx="93">
                  <c:v>148</c:v>
                </c:pt>
                <c:pt idx="94">
                  <c:v>149</c:v>
                </c:pt>
                <c:pt idx="95">
                  <c:v>150</c:v>
                </c:pt>
                <c:pt idx="96">
                  <c:v>151</c:v>
                </c:pt>
                <c:pt idx="97">
                  <c:v>152</c:v>
                </c:pt>
                <c:pt idx="98">
                  <c:v>153</c:v>
                </c:pt>
                <c:pt idx="99">
                  <c:v>154</c:v>
                </c:pt>
                <c:pt idx="100">
                  <c:v>155</c:v>
                </c:pt>
                <c:pt idx="101">
                  <c:v>156</c:v>
                </c:pt>
                <c:pt idx="102">
                  <c:v>157</c:v>
                </c:pt>
                <c:pt idx="103">
                  <c:v>158</c:v>
                </c:pt>
                <c:pt idx="104">
                  <c:v>159</c:v>
                </c:pt>
                <c:pt idx="105">
                  <c:v>160</c:v>
                </c:pt>
                <c:pt idx="106">
                  <c:v>161</c:v>
                </c:pt>
                <c:pt idx="107">
                  <c:v>162</c:v>
                </c:pt>
                <c:pt idx="108">
                  <c:v>163</c:v>
                </c:pt>
                <c:pt idx="109">
                  <c:v>164</c:v>
                </c:pt>
                <c:pt idx="110">
                  <c:v>165</c:v>
                </c:pt>
                <c:pt idx="111">
                  <c:v>166</c:v>
                </c:pt>
                <c:pt idx="112">
                  <c:v>167</c:v>
                </c:pt>
                <c:pt idx="113">
                  <c:v>168</c:v>
                </c:pt>
                <c:pt idx="114">
                  <c:v>169</c:v>
                </c:pt>
                <c:pt idx="115">
                  <c:v>170</c:v>
                </c:pt>
                <c:pt idx="116">
                  <c:v>171</c:v>
                </c:pt>
                <c:pt idx="117">
                  <c:v>172</c:v>
                </c:pt>
                <c:pt idx="118">
                  <c:v>173</c:v>
                </c:pt>
                <c:pt idx="119">
                  <c:v>174</c:v>
                </c:pt>
                <c:pt idx="120">
                  <c:v>175</c:v>
                </c:pt>
                <c:pt idx="121">
                  <c:v>176</c:v>
                </c:pt>
                <c:pt idx="122">
                  <c:v>177</c:v>
                </c:pt>
                <c:pt idx="123">
                  <c:v>178</c:v>
                </c:pt>
                <c:pt idx="124">
                  <c:v>179</c:v>
                </c:pt>
                <c:pt idx="125">
                  <c:v>180</c:v>
                </c:pt>
                <c:pt idx="126">
                  <c:v>181</c:v>
                </c:pt>
                <c:pt idx="127">
                  <c:v>182</c:v>
                </c:pt>
                <c:pt idx="128">
                  <c:v>183</c:v>
                </c:pt>
                <c:pt idx="129">
                  <c:v>184</c:v>
                </c:pt>
                <c:pt idx="130">
                  <c:v>185</c:v>
                </c:pt>
                <c:pt idx="131">
                  <c:v>186</c:v>
                </c:pt>
                <c:pt idx="132">
                  <c:v>187</c:v>
                </c:pt>
                <c:pt idx="133">
                  <c:v>188</c:v>
                </c:pt>
                <c:pt idx="134">
                  <c:v>189</c:v>
                </c:pt>
                <c:pt idx="135">
                  <c:v>190</c:v>
                </c:pt>
                <c:pt idx="136">
                  <c:v>191</c:v>
                </c:pt>
                <c:pt idx="137">
                  <c:v>192</c:v>
                </c:pt>
                <c:pt idx="138">
                  <c:v>193</c:v>
                </c:pt>
                <c:pt idx="139">
                  <c:v>194</c:v>
                </c:pt>
                <c:pt idx="140">
                  <c:v>195</c:v>
                </c:pt>
                <c:pt idx="141">
                  <c:v>196</c:v>
                </c:pt>
                <c:pt idx="142">
                  <c:v>197</c:v>
                </c:pt>
                <c:pt idx="143">
                  <c:v>198</c:v>
                </c:pt>
                <c:pt idx="144">
                  <c:v>199</c:v>
                </c:pt>
                <c:pt idx="145">
                  <c:v>200</c:v>
                </c:pt>
                <c:pt idx="146">
                  <c:v>201</c:v>
                </c:pt>
                <c:pt idx="147">
                  <c:v>202</c:v>
                </c:pt>
                <c:pt idx="148">
                  <c:v>203</c:v>
                </c:pt>
                <c:pt idx="149">
                  <c:v>204</c:v>
                </c:pt>
                <c:pt idx="150">
                  <c:v>205</c:v>
                </c:pt>
                <c:pt idx="151">
                  <c:v>206</c:v>
                </c:pt>
                <c:pt idx="152">
                  <c:v>207</c:v>
                </c:pt>
                <c:pt idx="153">
                  <c:v>208</c:v>
                </c:pt>
                <c:pt idx="154">
                  <c:v>209</c:v>
                </c:pt>
                <c:pt idx="155">
                  <c:v>210</c:v>
                </c:pt>
                <c:pt idx="156">
                  <c:v>211</c:v>
                </c:pt>
                <c:pt idx="157">
                  <c:v>212</c:v>
                </c:pt>
                <c:pt idx="158">
                  <c:v>213</c:v>
                </c:pt>
                <c:pt idx="159">
                  <c:v>214</c:v>
                </c:pt>
                <c:pt idx="160">
                  <c:v>215</c:v>
                </c:pt>
                <c:pt idx="161">
                  <c:v>216</c:v>
                </c:pt>
                <c:pt idx="162">
                  <c:v>217</c:v>
                </c:pt>
                <c:pt idx="163">
                  <c:v>218</c:v>
                </c:pt>
                <c:pt idx="164">
                  <c:v>219</c:v>
                </c:pt>
                <c:pt idx="165">
                  <c:v>220</c:v>
                </c:pt>
                <c:pt idx="166">
                  <c:v>221</c:v>
                </c:pt>
                <c:pt idx="167">
                  <c:v>222</c:v>
                </c:pt>
                <c:pt idx="168">
                  <c:v>223</c:v>
                </c:pt>
                <c:pt idx="169">
                  <c:v>224</c:v>
                </c:pt>
                <c:pt idx="170">
                  <c:v>225</c:v>
                </c:pt>
                <c:pt idx="171">
                  <c:v>226</c:v>
                </c:pt>
                <c:pt idx="172">
                  <c:v>227</c:v>
                </c:pt>
                <c:pt idx="173">
                  <c:v>228</c:v>
                </c:pt>
                <c:pt idx="174">
                  <c:v>229</c:v>
                </c:pt>
                <c:pt idx="175">
                  <c:v>230</c:v>
                </c:pt>
                <c:pt idx="176">
                  <c:v>231</c:v>
                </c:pt>
                <c:pt idx="177">
                  <c:v>232</c:v>
                </c:pt>
                <c:pt idx="178">
                  <c:v>233</c:v>
                </c:pt>
                <c:pt idx="179">
                  <c:v>234</c:v>
                </c:pt>
                <c:pt idx="180">
                  <c:v>235</c:v>
                </c:pt>
                <c:pt idx="181">
                  <c:v>236</c:v>
                </c:pt>
                <c:pt idx="182">
                  <c:v>237</c:v>
                </c:pt>
                <c:pt idx="183">
                  <c:v>238</c:v>
                </c:pt>
                <c:pt idx="184">
                  <c:v>239</c:v>
                </c:pt>
                <c:pt idx="185">
                  <c:v>240</c:v>
                </c:pt>
                <c:pt idx="186">
                  <c:v>241</c:v>
                </c:pt>
                <c:pt idx="187">
                  <c:v>242</c:v>
                </c:pt>
                <c:pt idx="188">
                  <c:v>243</c:v>
                </c:pt>
                <c:pt idx="189">
                  <c:v>244</c:v>
                </c:pt>
                <c:pt idx="190">
                  <c:v>245</c:v>
                </c:pt>
                <c:pt idx="191">
                  <c:v>246</c:v>
                </c:pt>
                <c:pt idx="192">
                  <c:v>247</c:v>
                </c:pt>
                <c:pt idx="193">
                  <c:v>248</c:v>
                </c:pt>
                <c:pt idx="194">
                  <c:v>249</c:v>
                </c:pt>
                <c:pt idx="195">
                  <c:v>250</c:v>
                </c:pt>
                <c:pt idx="196">
                  <c:v>251</c:v>
                </c:pt>
                <c:pt idx="197">
                  <c:v>252</c:v>
                </c:pt>
                <c:pt idx="198">
                  <c:v>253</c:v>
                </c:pt>
                <c:pt idx="199">
                  <c:v>254</c:v>
                </c:pt>
                <c:pt idx="200">
                  <c:v>255</c:v>
                </c:pt>
                <c:pt idx="201">
                  <c:v>256</c:v>
                </c:pt>
                <c:pt idx="202">
                  <c:v>257</c:v>
                </c:pt>
                <c:pt idx="203">
                  <c:v>258</c:v>
                </c:pt>
                <c:pt idx="204">
                  <c:v>259</c:v>
                </c:pt>
                <c:pt idx="205">
                  <c:v>260</c:v>
                </c:pt>
                <c:pt idx="206">
                  <c:v>261</c:v>
                </c:pt>
                <c:pt idx="207">
                  <c:v>262</c:v>
                </c:pt>
                <c:pt idx="208">
                  <c:v>263</c:v>
                </c:pt>
                <c:pt idx="209">
                  <c:v>264</c:v>
                </c:pt>
                <c:pt idx="210">
                  <c:v>265</c:v>
                </c:pt>
                <c:pt idx="211">
                  <c:v>266</c:v>
                </c:pt>
                <c:pt idx="212">
                  <c:v>267</c:v>
                </c:pt>
                <c:pt idx="213">
                  <c:v>268</c:v>
                </c:pt>
                <c:pt idx="214">
                  <c:v>269</c:v>
                </c:pt>
                <c:pt idx="215">
                  <c:v>270</c:v>
                </c:pt>
                <c:pt idx="216">
                  <c:v>271</c:v>
                </c:pt>
                <c:pt idx="217">
                  <c:v>272</c:v>
                </c:pt>
                <c:pt idx="218">
                  <c:v>273</c:v>
                </c:pt>
                <c:pt idx="219">
                  <c:v>274</c:v>
                </c:pt>
              </c:numCache>
            </c:numRef>
          </c:xVal>
          <c:yVal>
            <c:numRef>
              <c:f>'New_removed - bSIR'!$I$62:$I$281</c:f>
              <c:numCache>
                <c:formatCode>General</c:formatCode>
                <c:ptCount val="220"/>
                <c:pt idx="0">
                  <c:v>431.49553806279977</c:v>
                </c:pt>
                <c:pt idx="1">
                  <c:v>451.58414785676132</c:v>
                </c:pt>
                <c:pt idx="2">
                  <c:v>472.5225143225336</c:v>
                </c:pt>
                <c:pt idx="3">
                  <c:v>494.33810131272361</c:v>
                </c:pt>
                <c:pt idx="4">
                  <c:v>517.05839346696598</c:v>
                </c:pt>
                <c:pt idx="5">
                  <c:v>540.71078911759764</c:v>
                </c:pt>
                <c:pt idx="6">
                  <c:v>565.32248113000674</c:v>
                </c:pt>
                <c:pt idx="7">
                  <c:v>590.92032495353908</c:v>
                </c:pt>
                <c:pt idx="8">
                  <c:v>617.53069317423717</c:v>
                </c:pt>
                <c:pt idx="9">
                  <c:v>645.17931588750378</c:v>
                </c:pt>
                <c:pt idx="10">
                  <c:v>673.89110624887678</c:v>
                </c:pt>
                <c:pt idx="11">
                  <c:v>703.68997061627863</c:v>
                </c:pt>
                <c:pt idx="12">
                  <c:v>734.59860276937025</c:v>
                </c:pt>
                <c:pt idx="13">
                  <c:v>766.63826178306169</c:v>
                </c:pt>
                <c:pt idx="14">
                  <c:v>799.82853324488144</c:v>
                </c:pt>
                <c:pt idx="15">
                  <c:v>834.18707364193676</c:v>
                </c:pt>
                <c:pt idx="16">
                  <c:v>869.72933790463605</c:v>
                </c:pt>
                <c:pt idx="17">
                  <c:v>906.46829028321815</c:v>
                </c:pt>
                <c:pt idx="18">
                  <c:v>944.41409895119045</c:v>
                </c:pt>
                <c:pt idx="19">
                  <c:v>983.57381497859035</c:v>
                </c:pt>
                <c:pt idx="20">
                  <c:v>1023.9510365987528</c:v>
                </c:pt>
                <c:pt idx="21">
                  <c:v>1065.5455600056646</c:v>
                </c:pt>
                <c:pt idx="22">
                  <c:v>1108.3530182652346</c:v>
                </c:pt>
                <c:pt idx="23">
                  <c:v>1152.3645103022191</c:v>
                </c:pt>
                <c:pt idx="24">
                  <c:v>1197.5662223337836</c:v>
                </c:pt>
                <c:pt idx="25">
                  <c:v>1243.9390445581514</c:v>
                </c:pt>
                <c:pt idx="26">
                  <c:v>1291.458186369058</c:v>
                </c:pt>
                <c:pt idx="27">
                  <c:v>1340.0927938485886</c:v>
                </c:pt>
                <c:pt idx="28">
                  <c:v>1389.8055737863588</c:v>
                </c:pt>
                <c:pt idx="29">
                  <c:v>1440.5524289736604</c:v>
                </c:pt>
                <c:pt idx="30">
                  <c:v>1492.2821100177027</c:v>
                </c:pt>
                <c:pt idx="31">
                  <c:v>1544.9358894020615</c:v>
                </c:pt>
                <c:pt idx="32">
                  <c:v>1598.4472639718369</c:v>
                </c:pt>
                <c:pt idx="33">
                  <c:v>1652.7416924311465</c:v>
                </c:pt>
                <c:pt idx="34">
                  <c:v>1707.7363747902223</c:v>
                </c:pt>
                <c:pt idx="35">
                  <c:v>1763.3400809720029</c:v>
                </c:pt>
                <c:pt idx="36">
                  <c:v>1819.4530359652488</c:v>
                </c:pt>
                <c:pt idx="37">
                  <c:v>1875.9668689736734</c:v>
                </c:pt>
                <c:pt idx="38">
                  <c:v>1932.7646339394898</c:v>
                </c:pt>
                <c:pt idx="39">
                  <c:v>1989.7209085963345</c:v>
                </c:pt>
                <c:pt idx="40">
                  <c:v>2046.7019788138959</c:v>
                </c:pt>
                <c:pt idx="41">
                  <c:v>2103.5661144196006</c:v>
                </c:pt>
                <c:pt idx="42">
                  <c:v>2160.1639419095895</c:v>
                </c:pt>
                <c:pt idx="43">
                  <c:v>2216.3389184842026</c:v>
                </c:pt>
                <c:pt idx="44">
                  <c:v>2271.9279106594058</c:v>
                </c:pt>
                <c:pt idx="45">
                  <c:v>2326.7618793180641</c:v>
                </c:pt>
                <c:pt idx="46">
                  <c:v>2380.6666714836479</c:v>
                </c:pt>
                <c:pt idx="47">
                  <c:v>2433.4639173407995</c:v>
                </c:pt>
                <c:pt idx="48">
                  <c:v>2484.972029117238</c:v>
                </c:pt>
                <c:pt idx="49">
                  <c:v>2535.0072964126421</c:v>
                </c:pt>
                <c:pt idx="50">
                  <c:v>2583.3850704530373</c:v>
                </c:pt>
                <c:pt idx="51">
                  <c:v>2629.9210276117838</c:v>
                </c:pt>
                <c:pt idx="52">
                  <c:v>2674.4325004247889</c:v>
                </c:pt>
                <c:pt idx="53">
                  <c:v>2716.7398622971236</c:v>
                </c:pt>
                <c:pt idx="54">
                  <c:v>2756.6679502133011</c:v>
                </c:pt>
                <c:pt idx="55">
                  <c:v>2794.0475080875103</c:v>
                </c:pt>
                <c:pt idx="56">
                  <c:v>2828.7166319852677</c:v>
                </c:pt>
                <c:pt idx="57">
                  <c:v>2860.5221973727485</c:v>
                </c:pt>
                <c:pt idx="58">
                  <c:v>2889.3212478562637</c:v>
                </c:pt>
                <c:pt idx="59">
                  <c:v>2914.9823246048686</c:v>
                </c:pt>
                <c:pt idx="60">
                  <c:v>2937.3867158354187</c:v>
                </c:pt>
                <c:pt idx="61">
                  <c:v>2956.429606399498</c:v>
                </c:pt>
                <c:pt idx="62">
                  <c:v>2972.0211086487084</c:v>
                </c:pt>
                <c:pt idx="63">
                  <c:v>2984.0871573561863</c:v>
                </c:pt>
                <c:pt idx="64">
                  <c:v>2992.5702535090927</c:v>
                </c:pt>
                <c:pt idx="65">
                  <c:v>2997.4300442151489</c:v>
                </c:pt>
                <c:pt idx="66">
                  <c:v>2998.6437287274002</c:v>
                </c:pt>
                <c:pt idx="67">
                  <c:v>2996.2062836147975</c:v>
                </c:pt>
                <c:pt idx="68">
                  <c:v>2990.130503311233</c:v>
                </c:pt>
                <c:pt idx="69">
                  <c:v>2980.4468555753224</c:v>
                </c:pt>
                <c:pt idx="70">
                  <c:v>2967.203154697143</c:v>
                </c:pt>
                <c:pt idx="71">
                  <c:v>2950.4640585060947</c:v>
                </c:pt>
                <c:pt idx="72">
                  <c:v>2930.310398279596</c:v>
                </c:pt>
                <c:pt idx="73">
                  <c:v>2906.8383534460982</c:v>
                </c:pt>
                <c:pt idx="74">
                  <c:v>2880.1584854483208</c:v>
                </c:pt>
                <c:pt idx="75">
                  <c:v>2850.3946472262592</c:v>
                </c:pt>
                <c:pt idx="76">
                  <c:v>2817.6827864512434</c:v>
                </c:pt>
                <c:pt idx="77">
                  <c:v>2782.1696618636879</c:v>
                </c:pt>
                <c:pt idx="78">
                  <c:v>2744.0114928253556</c:v>
                </c:pt>
                <c:pt idx="79">
                  <c:v>2703.3725624941399</c:v>
                </c:pt>
                <c:pt idx="80">
                  <c:v>2660.4237948818795</c:v>
                </c:pt>
                <c:pt idx="81">
                  <c:v>2615.341325492444</c:v>
                </c:pt>
                <c:pt idx="82">
                  <c:v>2568.3050842980697</c:v>
                </c:pt>
                <c:pt idx="83">
                  <c:v>2519.4974085448412</c:v>
                </c:pt>
                <c:pt idx="84">
                  <c:v>2469.1017013377809</c:v>
                </c:pt>
                <c:pt idx="85">
                  <c:v>2417.3011502003542</c:v>
                </c:pt>
                <c:pt idx="86">
                  <c:v>2364.2775178919796</c:v>
                </c:pt>
                <c:pt idx="87">
                  <c:v>2310.2100157591949</c:v>
                </c:pt>
                <c:pt idx="88">
                  <c:v>2255.2742678477202</c:v>
                </c:pt>
                <c:pt idx="89">
                  <c:v>2199.6413719657612</c:v>
                </c:pt>
                <c:pt idx="90">
                  <c:v>2143.47706190996</c:v>
                </c:pt>
                <c:pt idx="91">
                  <c:v>2086.9409731844848</c:v>
                </c:pt>
                <c:pt idx="92">
                  <c:v>2030.1860127939606</c:v>
                </c:pt>
                <c:pt idx="93">
                  <c:v>1973.3578320981142</c:v>
                </c:pt>
                <c:pt idx="94">
                  <c:v>1916.5944002989063</c:v>
                </c:pt>
                <c:pt idx="95">
                  <c:v>1860.0256749014231</c:v>
                </c:pt>
                <c:pt idx="96">
                  <c:v>1803.7733644535429</c:v>
                </c:pt>
                <c:pt idx="97">
                  <c:v>1747.9507780262418</c:v>
                </c:pt>
                <c:pt idx="98">
                  <c:v>1692.662755241515</c:v>
                </c:pt>
                <c:pt idx="99">
                  <c:v>1638.0056701790982</c:v>
                </c:pt>
                <c:pt idx="100">
                  <c:v>1584.0675021844168</c:v>
                </c:pt>
                <c:pt idx="101">
                  <c:v>1530.9279664436108</c:v>
                </c:pt>
                <c:pt idx="102">
                  <c:v>1478.6586971709269</c:v>
                </c:pt>
                <c:pt idx="103">
                  <c:v>1427.3234763518899</c:v>
                </c:pt>
                <c:pt idx="104">
                  <c:v>1376.9785011848928</c:v>
                </c:pt>
                <c:pt idx="105">
                  <c:v>1327.6726836468206</c:v>
                </c:pt>
                <c:pt idx="106">
                  <c:v>1279.4479759582828</c:v>
                </c:pt>
                <c:pt idx="107">
                  <c:v>1232.339716125181</c:v>
                </c:pt>
                <c:pt idx="108">
                  <c:v>1186.3769881712176</c:v>
                </c:pt>
                <c:pt idx="109">
                  <c:v>1141.582992137284</c:v>
                </c:pt>
                <c:pt idx="110">
                  <c:v>1097.9754193970248</c:v>
                </c:pt>
                <c:pt idx="111">
                  <c:v>1055.566829312964</c:v>
                </c:pt>
                <c:pt idx="112">
                  <c:v>1014.3650237260665</c:v>
                </c:pt>
                <c:pt idx="113">
                  <c:v>974.37341622623921</c:v>
                </c:pt>
                <c:pt idx="114">
                  <c:v>935.59139358658467</c:v>
                </c:pt>
                <c:pt idx="115">
                  <c:v>898.01466715568608</c:v>
                </c:pt>
                <c:pt idx="116">
                  <c:v>861.6356123867331</c:v>
                </c:pt>
                <c:pt idx="117">
                  <c:v>826.44359503771102</c:v>
                </c:pt>
                <c:pt idx="118">
                  <c:v>792.42528290190296</c:v>
                </c:pt>
                <c:pt idx="119">
                  <c:v>759.56494222216986</c:v>
                </c:pt>
                <c:pt idx="120">
                  <c:v>727.84471820604301</c:v>
                </c:pt>
                <c:pt idx="121">
                  <c:v>697.24489929222545</c:v>
                </c:pt>
                <c:pt idx="122">
                  <c:v>667.7441650239241</c:v>
                </c:pt>
                <c:pt idx="123">
                  <c:v>639.31981756180062</c:v>
                </c:pt>
                <c:pt idx="124">
                  <c:v>611.94799702104274</c:v>
                </c:pt>
                <c:pt idx="125">
                  <c:v>585.60388094491043</c:v>
                </c:pt>
                <c:pt idx="126">
                  <c:v>560.26186833299232</c:v>
                </c:pt>
                <c:pt idx="127">
                  <c:v>535.89574872837943</c:v>
                </c:pt>
                <c:pt idx="128">
                  <c:v>512.47885693588023</c:v>
                </c:pt>
                <c:pt idx="129">
                  <c:v>489.9842139952587</c:v>
                </c:pt>
                <c:pt idx="130">
                  <c:v>468.38465507108361</c:v>
                </c:pt>
                <c:pt idx="131">
                  <c:v>447.65294494587931</c:v>
                </c:pt>
                <c:pt idx="132">
                  <c:v>427.76188181756328</c:v>
                </c:pt>
                <c:pt idx="133">
                  <c:v>408.68439010708875</c:v>
                </c:pt>
                <c:pt idx="134">
                  <c:v>390.39360297928113</c:v>
                </c:pt>
                <c:pt idx="135">
                  <c:v>372.8629352702896</c:v>
                </c:pt>
                <c:pt idx="136">
                  <c:v>356.06614750002092</c:v>
                </c:pt>
                <c:pt idx="137">
                  <c:v>339.97740162850005</c:v>
                </c:pt>
                <c:pt idx="138">
                  <c:v>324.57130919211943</c:v>
                </c:pt>
                <c:pt idx="139">
                  <c:v>309.82297243011851</c:v>
                </c:pt>
                <c:pt idx="140">
                  <c:v>295.70801898402306</c:v>
                </c:pt>
                <c:pt idx="141">
                  <c:v>282.20263072380737</c:v>
                </c:pt>
                <c:pt idx="142">
                  <c:v>269.28356722476747</c:v>
                </c:pt>
                <c:pt idx="143">
                  <c:v>256.92818438892618</c:v>
                </c:pt>
                <c:pt idx="144">
                  <c:v>245.11444867465906</c:v>
                </c:pt>
                <c:pt idx="145">
                  <c:v>233.82094736838499</c:v>
                </c:pt>
                <c:pt idx="146">
                  <c:v>223.02689530294828</c:v>
                </c:pt>
                <c:pt idx="147">
                  <c:v>212.71213839884012</c:v>
                </c:pt>
                <c:pt idx="148">
                  <c:v>202.85715437692011</c:v>
                </c:pt>
                <c:pt idx="149">
                  <c:v>193.44305096486966</c:v>
                </c:pt>
                <c:pt idx="150">
                  <c:v>184.45156189434067</c:v>
                </c:pt>
                <c:pt idx="151">
                  <c:v>175.86504096174596</c:v>
                </c:pt>
                <c:pt idx="152">
                  <c:v>167.6664544028651</c:v>
                </c:pt>
                <c:pt idx="153">
                  <c:v>159.83937180996006</c:v>
                </c:pt>
                <c:pt idx="154">
                  <c:v>152.3679557999142</c:v>
                </c:pt>
                <c:pt idx="155">
                  <c:v>145.23695062297247</c:v>
                </c:pt>
                <c:pt idx="156">
                  <c:v>138.43166988399884</c:v>
                </c:pt>
                <c:pt idx="157">
                  <c:v>131.93798353169637</c:v>
                </c:pt>
                <c:pt idx="158">
                  <c:v>125.74230425595793</c:v>
                </c:pt>
                <c:pt idx="159">
                  <c:v>119.83157341934482</c:v>
                </c:pt>
                <c:pt idx="160">
                  <c:v>114.19324663560499</c:v>
                </c:pt>
                <c:pt idx="161">
                  <c:v>108.81527909608735</c:v>
                </c:pt>
                <c:pt idx="162">
                  <c:v>103.68611073380572</c:v>
                </c:pt>
                <c:pt idx="163">
                  <c:v>98.79465130473092</c:v>
                </c:pt>
                <c:pt idx="164">
                  <c:v>94.130265456573156</c:v>
                </c:pt>
                <c:pt idx="165">
                  <c:v>89.682757846798836</c:v>
                </c:pt>
                <c:pt idx="166">
                  <c:v>85.442358363869275</c:v>
                </c:pt>
                <c:pt idx="167">
                  <c:v>81.399707498627834</c:v>
                </c:pt>
                <c:pt idx="168">
                  <c:v>77.545841906360153</c:v>
                </c:pt>
                <c:pt idx="169">
                  <c:v>73.872180194247477</c:v>
                </c:pt>
                <c:pt idx="170">
                  <c:v>70.370508963692828</c:v>
                </c:pt>
                <c:pt idx="171">
                  <c:v>67.032969132277188</c:v>
                </c:pt>
                <c:pt idx="172">
                  <c:v>63.852042555851042</c:v>
                </c:pt>
                <c:pt idx="173">
                  <c:v>60.820538967459179</c:v>
                </c:pt>
                <c:pt idx="174">
                  <c:v>57.931583246381528</c:v>
                </c:pt>
                <c:pt idx="175">
                  <c:v>55.178603027538408</c:v>
                </c:pt>
                <c:pt idx="176">
                  <c:v>52.555316658796386</c:v>
                </c:pt>
                <c:pt idx="177">
                  <c:v>50.055721511314296</c:v>
                </c:pt>
                <c:pt idx="178">
                  <c:v>47.674082645951849</c:v>
                </c:pt>
                <c:pt idx="179">
                  <c:v>45.404921836893372</c:v>
                </c:pt>
                <c:pt idx="180">
                  <c:v>43.243006952009665</c:v>
                </c:pt>
                <c:pt idx="181">
                  <c:v>41.183341688050064</c:v>
                </c:pt>
                <c:pt idx="182">
                  <c:v>39.221155657525586</c:v>
                </c:pt>
                <c:pt idx="183">
                  <c:v>37.351894823073934</c:v>
                </c:pt>
                <c:pt idx="184">
                  <c:v>35.571212274186976</c:v>
                </c:pt>
                <c:pt idx="185">
                  <c:v>33.874959340407386</c:v>
                </c:pt>
                <c:pt idx="186">
                  <c:v>32.259177034451085</c:v>
                </c:pt>
                <c:pt idx="187">
                  <c:v>30.72008781817361</c:v>
                </c:pt>
                <c:pt idx="188">
                  <c:v>29.254087683858909</c:v>
                </c:pt>
                <c:pt idx="189">
                  <c:v>27.857738542959478</c:v>
                </c:pt>
                <c:pt idx="190">
                  <c:v>26.527760914143716</c:v>
                </c:pt>
                <c:pt idx="191">
                  <c:v>25.261026902303605</c:v>
                </c:pt>
                <c:pt idx="192">
                  <c:v>24.054553460037226</c:v>
                </c:pt>
                <c:pt idx="193">
                  <c:v>22.905495923032181</c:v>
                </c:pt>
                <c:pt idx="194">
                  <c:v>21.811141810738892</c:v>
                </c:pt>
                <c:pt idx="195">
                  <c:v>20.768904883724606</c:v>
                </c:pt>
                <c:pt idx="196">
                  <c:v>19.776319449139947</c:v>
                </c:pt>
                <c:pt idx="197">
                  <c:v>18.831034905799036</c:v>
                </c:pt>
                <c:pt idx="198">
                  <c:v>17.930810520472455</c:v>
                </c:pt>
                <c:pt idx="199">
                  <c:v>17.073510427113881</c:v>
                </c:pt>
                <c:pt idx="200">
                  <c:v>16.257098840880676</c:v>
                </c:pt>
                <c:pt idx="201">
                  <c:v>15.479635478965399</c:v>
                </c:pt>
                <c:pt idx="202">
                  <c:v>14.739271180426524</c:v>
                </c:pt>
                <c:pt idx="203">
                  <c:v>14.034243717386815</c:v>
                </c:pt>
                <c:pt idx="204">
                  <c:v>13.362873790158767</c:v>
                </c:pt>
                <c:pt idx="205">
                  <c:v>12.723561199052851</c:v>
                </c:pt>
                <c:pt idx="206">
                  <c:v>12.114781185827072</c:v>
                </c:pt>
                <c:pt idx="207">
                  <c:v>11.535080937941645</c:v>
                </c:pt>
                <c:pt idx="208">
                  <c:v>10.98307624898993</c:v>
                </c:pt>
                <c:pt idx="209">
                  <c:v>10.457448328886674</c:v>
                </c:pt>
                <c:pt idx="210">
                  <c:v>9.9569407576023856</c:v>
                </c:pt>
                <c:pt idx="211">
                  <c:v>9.4803565764408599</c:v>
                </c:pt>
                <c:pt idx="212">
                  <c:v>9.0265555110633411</c:v>
                </c:pt>
                <c:pt idx="213">
                  <c:v>8.5944513206660211</c:v>
                </c:pt>
                <c:pt idx="214">
                  <c:v>8.1830092679188215</c:v>
                </c:pt>
                <c:pt idx="215">
                  <c:v>7.7912437044704914</c:v>
                </c:pt>
                <c:pt idx="216">
                  <c:v>7.4182157670190518</c:v>
                </c:pt>
                <c:pt idx="217">
                  <c:v>7.063031179135594</c:v>
                </c:pt>
                <c:pt idx="218">
                  <c:v>6.7248381542146394</c:v>
                </c:pt>
                <c:pt idx="219">
                  <c:v>6.4028253951048084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F16-4C85-88A1-3BDD4ABBDFBF}"/>
            </c:ext>
          </c:extLst>
        </c:ser>
        <c:ser>
          <c:idx val="3"/>
          <c:order val="3"/>
          <c:tx>
            <c:strRef>
              <c:f>'New_removed - bSIR'!$Q$7</c:f>
              <c:strCache>
                <c:ptCount val="1"/>
                <c:pt idx="0">
                  <c:v>Upper CI</c:v>
                </c:pt>
              </c:strCache>
            </c:strRef>
          </c:tx>
          <c:spPr>
            <a:ln w="19050" cap="rnd">
              <a:solidFill>
                <a:schemeClr val="accent4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'New_removed - bSIR'!$C$62:$C$281</c:f>
              <c:numCache>
                <c:formatCode>General</c:formatCode>
                <c:ptCount val="220"/>
                <c:pt idx="0">
                  <c:v>55</c:v>
                </c:pt>
                <c:pt idx="1">
                  <c:v>56</c:v>
                </c:pt>
                <c:pt idx="2">
                  <c:v>57</c:v>
                </c:pt>
                <c:pt idx="3">
                  <c:v>58</c:v>
                </c:pt>
                <c:pt idx="4">
                  <c:v>59</c:v>
                </c:pt>
                <c:pt idx="5">
                  <c:v>60</c:v>
                </c:pt>
                <c:pt idx="6">
                  <c:v>61</c:v>
                </c:pt>
                <c:pt idx="7">
                  <c:v>62</c:v>
                </c:pt>
                <c:pt idx="8">
                  <c:v>63</c:v>
                </c:pt>
                <c:pt idx="9">
                  <c:v>64</c:v>
                </c:pt>
                <c:pt idx="10">
                  <c:v>65</c:v>
                </c:pt>
                <c:pt idx="11">
                  <c:v>66</c:v>
                </c:pt>
                <c:pt idx="12">
                  <c:v>67</c:v>
                </c:pt>
                <c:pt idx="13">
                  <c:v>68</c:v>
                </c:pt>
                <c:pt idx="14">
                  <c:v>69</c:v>
                </c:pt>
                <c:pt idx="15">
                  <c:v>70</c:v>
                </c:pt>
                <c:pt idx="16">
                  <c:v>71</c:v>
                </c:pt>
                <c:pt idx="17">
                  <c:v>72</c:v>
                </c:pt>
                <c:pt idx="18">
                  <c:v>73</c:v>
                </c:pt>
                <c:pt idx="19">
                  <c:v>74</c:v>
                </c:pt>
                <c:pt idx="20">
                  <c:v>75</c:v>
                </c:pt>
                <c:pt idx="21">
                  <c:v>76</c:v>
                </c:pt>
                <c:pt idx="22">
                  <c:v>77</c:v>
                </c:pt>
                <c:pt idx="23">
                  <c:v>78</c:v>
                </c:pt>
                <c:pt idx="24">
                  <c:v>79</c:v>
                </c:pt>
                <c:pt idx="25">
                  <c:v>80</c:v>
                </c:pt>
                <c:pt idx="26">
                  <c:v>81</c:v>
                </c:pt>
                <c:pt idx="27">
                  <c:v>82</c:v>
                </c:pt>
                <c:pt idx="28">
                  <c:v>83</c:v>
                </c:pt>
                <c:pt idx="29">
                  <c:v>84</c:v>
                </c:pt>
                <c:pt idx="30">
                  <c:v>85</c:v>
                </c:pt>
                <c:pt idx="31">
                  <c:v>86</c:v>
                </c:pt>
                <c:pt idx="32">
                  <c:v>87</c:v>
                </c:pt>
                <c:pt idx="33">
                  <c:v>88</c:v>
                </c:pt>
                <c:pt idx="34">
                  <c:v>89</c:v>
                </c:pt>
                <c:pt idx="35">
                  <c:v>90</c:v>
                </c:pt>
                <c:pt idx="36">
                  <c:v>91</c:v>
                </c:pt>
                <c:pt idx="37">
                  <c:v>92</c:v>
                </c:pt>
                <c:pt idx="38">
                  <c:v>93</c:v>
                </c:pt>
                <c:pt idx="39">
                  <c:v>94</c:v>
                </c:pt>
                <c:pt idx="40">
                  <c:v>95</c:v>
                </c:pt>
                <c:pt idx="41">
                  <c:v>96</c:v>
                </c:pt>
                <c:pt idx="42">
                  <c:v>97</c:v>
                </c:pt>
                <c:pt idx="43">
                  <c:v>98</c:v>
                </c:pt>
                <c:pt idx="44">
                  <c:v>99</c:v>
                </c:pt>
                <c:pt idx="45">
                  <c:v>100</c:v>
                </c:pt>
                <c:pt idx="46">
                  <c:v>101</c:v>
                </c:pt>
                <c:pt idx="47">
                  <c:v>102</c:v>
                </c:pt>
                <c:pt idx="48">
                  <c:v>103</c:v>
                </c:pt>
                <c:pt idx="49">
                  <c:v>104</c:v>
                </c:pt>
                <c:pt idx="50">
                  <c:v>105</c:v>
                </c:pt>
                <c:pt idx="51">
                  <c:v>106</c:v>
                </c:pt>
                <c:pt idx="52">
                  <c:v>107</c:v>
                </c:pt>
                <c:pt idx="53">
                  <c:v>108</c:v>
                </c:pt>
                <c:pt idx="54">
                  <c:v>109</c:v>
                </c:pt>
                <c:pt idx="55">
                  <c:v>110</c:v>
                </c:pt>
                <c:pt idx="56">
                  <c:v>111</c:v>
                </c:pt>
                <c:pt idx="57">
                  <c:v>112</c:v>
                </c:pt>
                <c:pt idx="58">
                  <c:v>113</c:v>
                </c:pt>
                <c:pt idx="59">
                  <c:v>114</c:v>
                </c:pt>
                <c:pt idx="60">
                  <c:v>115</c:v>
                </c:pt>
                <c:pt idx="61">
                  <c:v>116</c:v>
                </c:pt>
                <c:pt idx="62">
                  <c:v>117</c:v>
                </c:pt>
                <c:pt idx="63">
                  <c:v>118</c:v>
                </c:pt>
                <c:pt idx="64">
                  <c:v>119</c:v>
                </c:pt>
                <c:pt idx="65">
                  <c:v>120</c:v>
                </c:pt>
                <c:pt idx="66">
                  <c:v>121</c:v>
                </c:pt>
                <c:pt idx="67">
                  <c:v>122</c:v>
                </c:pt>
                <c:pt idx="68">
                  <c:v>123</c:v>
                </c:pt>
                <c:pt idx="69">
                  <c:v>124</c:v>
                </c:pt>
                <c:pt idx="70">
                  <c:v>125</c:v>
                </c:pt>
                <c:pt idx="71">
                  <c:v>126</c:v>
                </c:pt>
                <c:pt idx="72">
                  <c:v>127</c:v>
                </c:pt>
                <c:pt idx="73">
                  <c:v>128</c:v>
                </c:pt>
                <c:pt idx="74">
                  <c:v>129</c:v>
                </c:pt>
                <c:pt idx="75">
                  <c:v>130</c:v>
                </c:pt>
                <c:pt idx="76">
                  <c:v>131</c:v>
                </c:pt>
                <c:pt idx="77">
                  <c:v>132</c:v>
                </c:pt>
                <c:pt idx="78">
                  <c:v>133</c:v>
                </c:pt>
                <c:pt idx="79">
                  <c:v>134</c:v>
                </c:pt>
                <c:pt idx="80">
                  <c:v>135</c:v>
                </c:pt>
                <c:pt idx="81">
                  <c:v>136</c:v>
                </c:pt>
                <c:pt idx="82">
                  <c:v>137</c:v>
                </c:pt>
                <c:pt idx="83">
                  <c:v>138</c:v>
                </c:pt>
                <c:pt idx="84">
                  <c:v>139</c:v>
                </c:pt>
                <c:pt idx="85">
                  <c:v>140</c:v>
                </c:pt>
                <c:pt idx="86">
                  <c:v>141</c:v>
                </c:pt>
                <c:pt idx="87">
                  <c:v>142</c:v>
                </c:pt>
                <c:pt idx="88">
                  <c:v>143</c:v>
                </c:pt>
                <c:pt idx="89">
                  <c:v>144</c:v>
                </c:pt>
                <c:pt idx="90">
                  <c:v>145</c:v>
                </c:pt>
                <c:pt idx="91">
                  <c:v>146</c:v>
                </c:pt>
                <c:pt idx="92">
                  <c:v>147</c:v>
                </c:pt>
                <c:pt idx="93">
                  <c:v>148</c:v>
                </c:pt>
                <c:pt idx="94">
                  <c:v>149</c:v>
                </c:pt>
                <c:pt idx="95">
                  <c:v>150</c:v>
                </c:pt>
                <c:pt idx="96">
                  <c:v>151</c:v>
                </c:pt>
                <c:pt idx="97">
                  <c:v>152</c:v>
                </c:pt>
                <c:pt idx="98">
                  <c:v>153</c:v>
                </c:pt>
                <c:pt idx="99">
                  <c:v>154</c:v>
                </c:pt>
                <c:pt idx="100">
                  <c:v>155</c:v>
                </c:pt>
                <c:pt idx="101">
                  <c:v>156</c:v>
                </c:pt>
                <c:pt idx="102">
                  <c:v>157</c:v>
                </c:pt>
                <c:pt idx="103">
                  <c:v>158</c:v>
                </c:pt>
                <c:pt idx="104">
                  <c:v>159</c:v>
                </c:pt>
                <c:pt idx="105">
                  <c:v>160</c:v>
                </c:pt>
                <c:pt idx="106">
                  <c:v>161</c:v>
                </c:pt>
                <c:pt idx="107">
                  <c:v>162</c:v>
                </c:pt>
                <c:pt idx="108">
                  <c:v>163</c:v>
                </c:pt>
                <c:pt idx="109">
                  <c:v>164</c:v>
                </c:pt>
                <c:pt idx="110">
                  <c:v>165</c:v>
                </c:pt>
                <c:pt idx="111">
                  <c:v>166</c:v>
                </c:pt>
                <c:pt idx="112">
                  <c:v>167</c:v>
                </c:pt>
                <c:pt idx="113">
                  <c:v>168</c:v>
                </c:pt>
                <c:pt idx="114">
                  <c:v>169</c:v>
                </c:pt>
                <c:pt idx="115">
                  <c:v>170</c:v>
                </c:pt>
                <c:pt idx="116">
                  <c:v>171</c:v>
                </c:pt>
                <c:pt idx="117">
                  <c:v>172</c:v>
                </c:pt>
                <c:pt idx="118">
                  <c:v>173</c:v>
                </c:pt>
                <c:pt idx="119">
                  <c:v>174</c:v>
                </c:pt>
                <c:pt idx="120">
                  <c:v>175</c:v>
                </c:pt>
                <c:pt idx="121">
                  <c:v>176</c:v>
                </c:pt>
                <c:pt idx="122">
                  <c:v>177</c:v>
                </c:pt>
                <c:pt idx="123">
                  <c:v>178</c:v>
                </c:pt>
                <c:pt idx="124">
                  <c:v>179</c:v>
                </c:pt>
                <c:pt idx="125">
                  <c:v>180</c:v>
                </c:pt>
                <c:pt idx="126">
                  <c:v>181</c:v>
                </c:pt>
                <c:pt idx="127">
                  <c:v>182</c:v>
                </c:pt>
                <c:pt idx="128">
                  <c:v>183</c:v>
                </c:pt>
                <c:pt idx="129">
                  <c:v>184</c:v>
                </c:pt>
                <c:pt idx="130">
                  <c:v>185</c:v>
                </c:pt>
                <c:pt idx="131">
                  <c:v>186</c:v>
                </c:pt>
                <c:pt idx="132">
                  <c:v>187</c:v>
                </c:pt>
                <c:pt idx="133">
                  <c:v>188</c:v>
                </c:pt>
                <c:pt idx="134">
                  <c:v>189</c:v>
                </c:pt>
                <c:pt idx="135">
                  <c:v>190</c:v>
                </c:pt>
                <c:pt idx="136">
                  <c:v>191</c:v>
                </c:pt>
                <c:pt idx="137">
                  <c:v>192</c:v>
                </c:pt>
                <c:pt idx="138">
                  <c:v>193</c:v>
                </c:pt>
                <c:pt idx="139">
                  <c:v>194</c:v>
                </c:pt>
                <c:pt idx="140">
                  <c:v>195</c:v>
                </c:pt>
                <c:pt idx="141">
                  <c:v>196</c:v>
                </c:pt>
                <c:pt idx="142">
                  <c:v>197</c:v>
                </c:pt>
                <c:pt idx="143">
                  <c:v>198</c:v>
                </c:pt>
                <c:pt idx="144">
                  <c:v>199</c:v>
                </c:pt>
                <c:pt idx="145">
                  <c:v>200</c:v>
                </c:pt>
                <c:pt idx="146">
                  <c:v>201</c:v>
                </c:pt>
                <c:pt idx="147">
                  <c:v>202</c:v>
                </c:pt>
                <c:pt idx="148">
                  <c:v>203</c:v>
                </c:pt>
                <c:pt idx="149">
                  <c:v>204</c:v>
                </c:pt>
                <c:pt idx="150">
                  <c:v>205</c:v>
                </c:pt>
                <c:pt idx="151">
                  <c:v>206</c:v>
                </c:pt>
                <c:pt idx="152">
                  <c:v>207</c:v>
                </c:pt>
                <c:pt idx="153">
                  <c:v>208</c:v>
                </c:pt>
                <c:pt idx="154">
                  <c:v>209</c:v>
                </c:pt>
                <c:pt idx="155">
                  <c:v>210</c:v>
                </c:pt>
                <c:pt idx="156">
                  <c:v>211</c:v>
                </c:pt>
                <c:pt idx="157">
                  <c:v>212</c:v>
                </c:pt>
                <c:pt idx="158">
                  <c:v>213</c:v>
                </c:pt>
                <c:pt idx="159">
                  <c:v>214</c:v>
                </c:pt>
                <c:pt idx="160">
                  <c:v>215</c:v>
                </c:pt>
                <c:pt idx="161">
                  <c:v>216</c:v>
                </c:pt>
                <c:pt idx="162">
                  <c:v>217</c:v>
                </c:pt>
                <c:pt idx="163">
                  <c:v>218</c:v>
                </c:pt>
                <c:pt idx="164">
                  <c:v>219</c:v>
                </c:pt>
                <c:pt idx="165">
                  <c:v>220</c:v>
                </c:pt>
                <c:pt idx="166">
                  <c:v>221</c:v>
                </c:pt>
                <c:pt idx="167">
                  <c:v>222</c:v>
                </c:pt>
                <c:pt idx="168">
                  <c:v>223</c:v>
                </c:pt>
                <c:pt idx="169">
                  <c:v>224</c:v>
                </c:pt>
                <c:pt idx="170">
                  <c:v>225</c:v>
                </c:pt>
                <c:pt idx="171">
                  <c:v>226</c:v>
                </c:pt>
                <c:pt idx="172">
                  <c:v>227</c:v>
                </c:pt>
                <c:pt idx="173">
                  <c:v>228</c:v>
                </c:pt>
                <c:pt idx="174">
                  <c:v>229</c:v>
                </c:pt>
                <c:pt idx="175">
                  <c:v>230</c:v>
                </c:pt>
                <c:pt idx="176">
                  <c:v>231</c:v>
                </c:pt>
                <c:pt idx="177">
                  <c:v>232</c:v>
                </c:pt>
                <c:pt idx="178">
                  <c:v>233</c:v>
                </c:pt>
                <c:pt idx="179">
                  <c:v>234</c:v>
                </c:pt>
                <c:pt idx="180">
                  <c:v>235</c:v>
                </c:pt>
                <c:pt idx="181">
                  <c:v>236</c:v>
                </c:pt>
                <c:pt idx="182">
                  <c:v>237</c:v>
                </c:pt>
                <c:pt idx="183">
                  <c:v>238</c:v>
                </c:pt>
                <c:pt idx="184">
                  <c:v>239</c:v>
                </c:pt>
                <c:pt idx="185">
                  <c:v>240</c:v>
                </c:pt>
                <c:pt idx="186">
                  <c:v>241</c:v>
                </c:pt>
                <c:pt idx="187">
                  <c:v>242</c:v>
                </c:pt>
                <c:pt idx="188">
                  <c:v>243</c:v>
                </c:pt>
                <c:pt idx="189">
                  <c:v>244</c:v>
                </c:pt>
                <c:pt idx="190">
                  <c:v>245</c:v>
                </c:pt>
                <c:pt idx="191">
                  <c:v>246</c:v>
                </c:pt>
                <c:pt idx="192">
                  <c:v>247</c:v>
                </c:pt>
                <c:pt idx="193">
                  <c:v>248</c:v>
                </c:pt>
                <c:pt idx="194">
                  <c:v>249</c:v>
                </c:pt>
                <c:pt idx="195">
                  <c:v>250</c:v>
                </c:pt>
                <c:pt idx="196">
                  <c:v>251</c:v>
                </c:pt>
                <c:pt idx="197">
                  <c:v>252</c:v>
                </c:pt>
                <c:pt idx="198">
                  <c:v>253</c:v>
                </c:pt>
                <c:pt idx="199">
                  <c:v>254</c:v>
                </c:pt>
                <c:pt idx="200">
                  <c:v>255</c:v>
                </c:pt>
                <c:pt idx="201">
                  <c:v>256</c:v>
                </c:pt>
                <c:pt idx="202">
                  <c:v>257</c:v>
                </c:pt>
                <c:pt idx="203">
                  <c:v>258</c:v>
                </c:pt>
                <c:pt idx="204">
                  <c:v>259</c:v>
                </c:pt>
                <c:pt idx="205">
                  <c:v>260</c:v>
                </c:pt>
                <c:pt idx="206">
                  <c:v>261</c:v>
                </c:pt>
                <c:pt idx="207">
                  <c:v>262</c:v>
                </c:pt>
                <c:pt idx="208">
                  <c:v>263</c:v>
                </c:pt>
                <c:pt idx="209">
                  <c:v>264</c:v>
                </c:pt>
                <c:pt idx="210">
                  <c:v>265</c:v>
                </c:pt>
                <c:pt idx="211">
                  <c:v>266</c:v>
                </c:pt>
                <c:pt idx="212">
                  <c:v>267</c:v>
                </c:pt>
                <c:pt idx="213">
                  <c:v>268</c:v>
                </c:pt>
                <c:pt idx="214">
                  <c:v>269</c:v>
                </c:pt>
                <c:pt idx="215">
                  <c:v>270</c:v>
                </c:pt>
                <c:pt idx="216">
                  <c:v>271</c:v>
                </c:pt>
                <c:pt idx="217">
                  <c:v>272</c:v>
                </c:pt>
                <c:pt idx="218">
                  <c:v>273</c:v>
                </c:pt>
                <c:pt idx="219">
                  <c:v>274</c:v>
                </c:pt>
              </c:numCache>
            </c:numRef>
          </c:xVal>
          <c:yVal>
            <c:numRef>
              <c:f>'New_removed - bSIR'!$Q$62:$Q$281</c:f>
              <c:numCache>
                <c:formatCode>General</c:formatCode>
                <c:ptCount val="220"/>
                <c:pt idx="0">
                  <c:v>2144.890019668856</c:v>
                </c:pt>
                <c:pt idx="1">
                  <c:v>2164.9341965307367</c:v>
                </c:pt>
                <c:pt idx="2">
                  <c:v>2185.8284101658655</c:v>
                </c:pt>
                <c:pt idx="3">
                  <c:v>2207.6002016587945</c:v>
                </c:pt>
                <c:pt idx="4">
                  <c:v>2230.2771356576159</c:v>
                </c:pt>
                <c:pt idx="5">
                  <c:v>2253.8866931953394</c:v>
                </c:pt>
                <c:pt idx="6">
                  <c:v>2278.4561524468736</c:v>
                </c:pt>
                <c:pt idx="7">
                  <c:v>2304.0124567025632</c:v>
                </c:pt>
                <c:pt idx="8">
                  <c:v>2330.5820688556032</c:v>
                </c:pt>
                <c:pt idx="9">
                  <c:v>2358.1908117285639</c:v>
                </c:pt>
                <c:pt idx="10">
                  <c:v>2386.8636936054286</c:v>
                </c:pt>
                <c:pt idx="11">
                  <c:v>2416.6247183918549</c:v>
                </c:pt>
                <c:pt idx="12">
                  <c:v>2447.4966798997521</c:v>
                </c:pt>
                <c:pt idx="13">
                  <c:v>2479.5009398447055</c:v>
                </c:pt>
                <c:pt idx="14">
                  <c:v>2512.6571892584061</c:v>
                </c:pt>
                <c:pt idx="15">
                  <c:v>2546.9831931549706</c:v>
                </c:pt>
                <c:pt idx="16">
                  <c:v>2582.494518452052</c:v>
                </c:pt>
                <c:pt idx="17">
                  <c:v>2619.2042453366275</c:v>
                </c:pt>
                <c:pt idx="18">
                  <c:v>2657.1226624831784</c:v>
                </c:pt>
                <c:pt idx="19">
                  <c:v>2696.2569467799772</c:v>
                </c:pt>
                <c:pt idx="20">
                  <c:v>2736.6108284984839</c:v>
                </c:pt>
                <c:pt idx="21">
                  <c:v>2778.1842431520358</c:v>
                </c:pt>
                <c:pt idx="22">
                  <c:v>2820.9729716330853</c:v>
                </c:pt>
                <c:pt idx="23">
                  <c:v>2864.9682705924979</c:v>
                </c:pt>
                <c:pt idx="24">
                  <c:v>2910.1564954283213</c:v>
                </c:pt>
                <c:pt idx="25">
                  <c:v>2956.5187186824032</c:v>
                </c:pt>
                <c:pt idx="26">
                  <c:v>3004.030347097626</c:v>
                </c:pt>
                <c:pt idx="27">
                  <c:v>3052.6607410612755</c:v>
                </c:pt>
                <c:pt idx="28">
                  <c:v>3102.3728406449563</c:v>
                </c:pt>
                <c:pt idx="29">
                  <c:v>3153.1228029405356</c:v>
                </c:pt>
                <c:pt idx="30">
                  <c:v>3204.859655875423</c:v>
                </c:pt>
                <c:pt idx="31">
                  <c:v>3257.5249741580665</c:v>
                </c:pt>
                <c:pt idx="32">
                  <c:v>3311.0525834431555</c:v>
                </c:pt>
                <c:pt idx="33">
                  <c:v>3365.3682992014333</c:v>
                </c:pt>
                <c:pt idx="34">
                  <c:v>3420.3897071157016</c:v>
                </c:pt>
                <c:pt idx="35">
                  <c:v>3476.0259920856661</c:v>
                </c:pt>
                <c:pt idx="36">
                  <c:v>3532.1778230921091</c:v>
                </c:pt>
                <c:pt idx="37">
                  <c:v>3588.737301227246</c:v>
                </c:pt>
                <c:pt idx="38">
                  <c:v>3645.5879781251142</c:v>
                </c:pt>
                <c:pt idx="39">
                  <c:v>3702.6049518056179</c:v>
                </c:pt>
                <c:pt idx="40">
                  <c:v>3759.6550465627242</c:v>
                </c:pt>
                <c:pt idx="41">
                  <c:v>3816.5970829667212</c:v>
                </c:pt>
                <c:pt idx="42">
                  <c:v>3873.2822433017309</c:v>
                </c:pt>
                <c:pt idx="43">
                  <c:v>3929.5545368151479</c:v>
                </c:pt>
                <c:pt idx="44">
                  <c:v>3985.2513680129532</c:v>
                </c:pt>
                <c:pt idx="45">
                  <c:v>4040.2042098965649</c:v>
                </c:pt>
                <c:pt idx="46">
                  <c:v>4094.2393825122681</c:v>
                </c:pt>
                <c:pt idx="47">
                  <c:v>4147.178935489068</c:v>
                </c:pt>
                <c:pt idx="48">
                  <c:v>4198.8416313982525</c:v>
                </c:pt>
                <c:pt idx="49">
                  <c:v>4249.0440248084942</c:v>
                </c:pt>
                <c:pt idx="50">
                  <c:v>4297.6016298717714</c:v>
                </c:pt>
                <c:pt idx="51">
                  <c:v>4344.3301672023672</c:v>
                </c:pt>
                <c:pt idx="52">
                  <c:v>4389.0468787542368</c:v>
                </c:pt>
                <c:pt idx="53">
                  <c:v>4431.5718974165748</c:v>
                </c:pt>
                <c:pt idx="54">
                  <c:v>4471.7296561922058</c:v>
                </c:pt>
                <c:pt idx="55">
                  <c:v>4509.3503201584945</c:v>
                </c:pt>
                <c:pt idx="56">
                  <c:v>4544.2712229953122</c:v>
                </c:pt>
                <c:pt idx="57">
                  <c:v>4576.3382887556227</c:v>
                </c:pt>
                <c:pt idx="58">
                  <c:v>4605.4074188024524</c:v>
                </c:pt>
                <c:pt idx="59">
                  <c:v>4631.3458234844666</c:v>
                </c:pt>
                <c:pt idx="60">
                  <c:v>4654.0332782042897</c:v>
                </c:pt>
                <c:pt idx="61">
                  <c:v>4673.3632840700157</c:v>
                </c:pt>
                <c:pt idx="62">
                  <c:v>4689.2441143185442</c:v>
                </c:pt>
                <c:pt idx="63">
                  <c:v>4701.5997291521526</c:v>
                </c:pt>
                <c:pt idx="64">
                  <c:v>4710.3705435146449</c:v>
                </c:pt>
                <c:pt idx="65">
                  <c:v>4715.5140346131238</c:v>
                </c:pt>
                <c:pt idx="66">
                  <c:v>4717.0051786145368</c:v>
                </c:pt>
                <c:pt idx="67">
                  <c:v>4714.8367088483983</c:v>
                </c:pt>
                <c:pt idx="68">
                  <c:v>4709.0191909544646</c:v>
                </c:pt>
                <c:pt idx="69">
                  <c:v>4699.5809136440093</c:v>
                </c:pt>
                <c:pt idx="70">
                  <c:v>4686.5675970094226</c:v>
                </c:pt>
                <c:pt idx="71">
                  <c:v>4670.0419235305035</c:v>
                </c:pt>
                <c:pt idx="72">
                  <c:v>4650.0829000011736</c:v>
                </c:pt>
                <c:pt idx="73">
                  <c:v>4626.7850614563067</c:v>
                </c:pt>
                <c:pt idx="74">
                  <c:v>4600.2575307423112</c:v>
                </c:pt>
                <c:pt idx="75">
                  <c:v>4570.6229495852222</c:v>
                </c:pt>
                <c:pt idx="76">
                  <c:v>4538.0162988173688</c:v>
                </c:pt>
                <c:pt idx="77">
                  <c:v>4502.5836267934992</c:v>
                </c:pt>
                <c:pt idx="78">
                  <c:v>4464.48070594003</c:v>
                </c:pt>
                <c:pt idx="79">
                  <c:v>4423.8716378322988</c:v>
                </c:pt>
                <c:pt idx="80">
                  <c:v>4380.9274271943295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0351-49D9-8412-5154FB7D0D89}"/>
            </c:ext>
          </c:extLst>
        </c:ser>
        <c:ser>
          <c:idx val="2"/>
          <c:order val="4"/>
          <c:tx>
            <c:strRef>
              <c:f>'New_removed - bSIR'!$R$7</c:f>
              <c:strCache>
                <c:ptCount val="1"/>
                <c:pt idx="0">
                  <c:v>Lower CI</c:v>
                </c:pt>
              </c:strCache>
            </c:strRef>
          </c:tx>
          <c:spPr>
            <a:ln w="19050" cap="rnd">
              <a:solidFill>
                <a:srgbClr val="00B05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'New_removed - bSIR'!$C$62:$C$281</c:f>
              <c:numCache>
                <c:formatCode>General</c:formatCode>
                <c:ptCount val="220"/>
                <c:pt idx="0">
                  <c:v>55</c:v>
                </c:pt>
                <c:pt idx="1">
                  <c:v>56</c:v>
                </c:pt>
                <c:pt idx="2">
                  <c:v>57</c:v>
                </c:pt>
                <c:pt idx="3">
                  <c:v>58</c:v>
                </c:pt>
                <c:pt idx="4">
                  <c:v>59</c:v>
                </c:pt>
                <c:pt idx="5">
                  <c:v>60</c:v>
                </c:pt>
                <c:pt idx="6">
                  <c:v>61</c:v>
                </c:pt>
                <c:pt idx="7">
                  <c:v>62</c:v>
                </c:pt>
                <c:pt idx="8">
                  <c:v>63</c:v>
                </c:pt>
                <c:pt idx="9">
                  <c:v>64</c:v>
                </c:pt>
                <c:pt idx="10">
                  <c:v>65</c:v>
                </c:pt>
                <c:pt idx="11">
                  <c:v>66</c:v>
                </c:pt>
                <c:pt idx="12">
                  <c:v>67</c:v>
                </c:pt>
                <c:pt idx="13">
                  <c:v>68</c:v>
                </c:pt>
                <c:pt idx="14">
                  <c:v>69</c:v>
                </c:pt>
                <c:pt idx="15">
                  <c:v>70</c:v>
                </c:pt>
                <c:pt idx="16">
                  <c:v>71</c:v>
                </c:pt>
                <c:pt idx="17">
                  <c:v>72</c:v>
                </c:pt>
                <c:pt idx="18">
                  <c:v>73</c:v>
                </c:pt>
                <c:pt idx="19">
                  <c:v>74</c:v>
                </c:pt>
                <c:pt idx="20">
                  <c:v>75</c:v>
                </c:pt>
                <c:pt idx="21">
                  <c:v>76</c:v>
                </c:pt>
                <c:pt idx="22">
                  <c:v>77</c:v>
                </c:pt>
                <c:pt idx="23">
                  <c:v>78</c:v>
                </c:pt>
                <c:pt idx="24">
                  <c:v>79</c:v>
                </c:pt>
                <c:pt idx="25">
                  <c:v>80</c:v>
                </c:pt>
                <c:pt idx="26">
                  <c:v>81</c:v>
                </c:pt>
                <c:pt idx="27">
                  <c:v>82</c:v>
                </c:pt>
                <c:pt idx="28">
                  <c:v>83</c:v>
                </c:pt>
                <c:pt idx="29">
                  <c:v>84</c:v>
                </c:pt>
                <c:pt idx="30">
                  <c:v>85</c:v>
                </c:pt>
                <c:pt idx="31">
                  <c:v>86</c:v>
                </c:pt>
                <c:pt idx="32">
                  <c:v>87</c:v>
                </c:pt>
                <c:pt idx="33">
                  <c:v>88</c:v>
                </c:pt>
                <c:pt idx="34">
                  <c:v>89</c:v>
                </c:pt>
                <c:pt idx="35">
                  <c:v>90</c:v>
                </c:pt>
                <c:pt idx="36">
                  <c:v>91</c:v>
                </c:pt>
                <c:pt idx="37">
                  <c:v>92</c:v>
                </c:pt>
                <c:pt idx="38">
                  <c:v>93</c:v>
                </c:pt>
                <c:pt idx="39">
                  <c:v>94</c:v>
                </c:pt>
                <c:pt idx="40">
                  <c:v>95</c:v>
                </c:pt>
                <c:pt idx="41">
                  <c:v>96</c:v>
                </c:pt>
                <c:pt idx="42">
                  <c:v>97</c:v>
                </c:pt>
                <c:pt idx="43">
                  <c:v>98</c:v>
                </c:pt>
                <c:pt idx="44">
                  <c:v>99</c:v>
                </c:pt>
                <c:pt idx="45">
                  <c:v>100</c:v>
                </c:pt>
                <c:pt idx="46">
                  <c:v>101</c:v>
                </c:pt>
                <c:pt idx="47">
                  <c:v>102</c:v>
                </c:pt>
                <c:pt idx="48">
                  <c:v>103</c:v>
                </c:pt>
                <c:pt idx="49">
                  <c:v>104</c:v>
                </c:pt>
                <c:pt idx="50">
                  <c:v>105</c:v>
                </c:pt>
                <c:pt idx="51">
                  <c:v>106</c:v>
                </c:pt>
                <c:pt idx="52">
                  <c:v>107</c:v>
                </c:pt>
                <c:pt idx="53">
                  <c:v>108</c:v>
                </c:pt>
                <c:pt idx="54">
                  <c:v>109</c:v>
                </c:pt>
                <c:pt idx="55">
                  <c:v>110</c:v>
                </c:pt>
                <c:pt idx="56">
                  <c:v>111</c:v>
                </c:pt>
                <c:pt idx="57">
                  <c:v>112</c:v>
                </c:pt>
                <c:pt idx="58">
                  <c:v>113</c:v>
                </c:pt>
                <c:pt idx="59">
                  <c:v>114</c:v>
                </c:pt>
                <c:pt idx="60">
                  <c:v>115</c:v>
                </c:pt>
                <c:pt idx="61">
                  <c:v>116</c:v>
                </c:pt>
                <c:pt idx="62">
                  <c:v>117</c:v>
                </c:pt>
                <c:pt idx="63">
                  <c:v>118</c:v>
                </c:pt>
                <c:pt idx="64">
                  <c:v>119</c:v>
                </c:pt>
                <c:pt idx="65">
                  <c:v>120</c:v>
                </c:pt>
                <c:pt idx="66">
                  <c:v>121</c:v>
                </c:pt>
                <c:pt idx="67">
                  <c:v>122</c:v>
                </c:pt>
                <c:pt idx="68">
                  <c:v>123</c:v>
                </c:pt>
                <c:pt idx="69">
                  <c:v>124</c:v>
                </c:pt>
                <c:pt idx="70">
                  <c:v>125</c:v>
                </c:pt>
                <c:pt idx="71">
                  <c:v>126</c:v>
                </c:pt>
                <c:pt idx="72">
                  <c:v>127</c:v>
                </c:pt>
                <c:pt idx="73">
                  <c:v>128</c:v>
                </c:pt>
                <c:pt idx="74">
                  <c:v>129</c:v>
                </c:pt>
                <c:pt idx="75">
                  <c:v>130</c:v>
                </c:pt>
                <c:pt idx="76">
                  <c:v>131</c:v>
                </c:pt>
                <c:pt idx="77">
                  <c:v>132</c:v>
                </c:pt>
                <c:pt idx="78">
                  <c:v>133</c:v>
                </c:pt>
                <c:pt idx="79">
                  <c:v>134</c:v>
                </c:pt>
                <c:pt idx="80">
                  <c:v>135</c:v>
                </c:pt>
                <c:pt idx="81">
                  <c:v>136</c:v>
                </c:pt>
                <c:pt idx="82">
                  <c:v>137</c:v>
                </c:pt>
                <c:pt idx="83">
                  <c:v>138</c:v>
                </c:pt>
                <c:pt idx="84">
                  <c:v>139</c:v>
                </c:pt>
                <c:pt idx="85">
                  <c:v>140</c:v>
                </c:pt>
                <c:pt idx="86">
                  <c:v>141</c:v>
                </c:pt>
                <c:pt idx="87">
                  <c:v>142</c:v>
                </c:pt>
                <c:pt idx="88">
                  <c:v>143</c:v>
                </c:pt>
                <c:pt idx="89">
                  <c:v>144</c:v>
                </c:pt>
                <c:pt idx="90">
                  <c:v>145</c:v>
                </c:pt>
                <c:pt idx="91">
                  <c:v>146</c:v>
                </c:pt>
                <c:pt idx="92">
                  <c:v>147</c:v>
                </c:pt>
                <c:pt idx="93">
                  <c:v>148</c:v>
                </c:pt>
                <c:pt idx="94">
                  <c:v>149</c:v>
                </c:pt>
                <c:pt idx="95">
                  <c:v>150</c:v>
                </c:pt>
                <c:pt idx="96">
                  <c:v>151</c:v>
                </c:pt>
                <c:pt idx="97">
                  <c:v>152</c:v>
                </c:pt>
                <c:pt idx="98">
                  <c:v>153</c:v>
                </c:pt>
                <c:pt idx="99">
                  <c:v>154</c:v>
                </c:pt>
                <c:pt idx="100">
                  <c:v>155</c:v>
                </c:pt>
                <c:pt idx="101">
                  <c:v>156</c:v>
                </c:pt>
                <c:pt idx="102">
                  <c:v>157</c:v>
                </c:pt>
                <c:pt idx="103">
                  <c:v>158</c:v>
                </c:pt>
                <c:pt idx="104">
                  <c:v>159</c:v>
                </c:pt>
                <c:pt idx="105">
                  <c:v>160</c:v>
                </c:pt>
                <c:pt idx="106">
                  <c:v>161</c:v>
                </c:pt>
                <c:pt idx="107">
                  <c:v>162</c:v>
                </c:pt>
                <c:pt idx="108">
                  <c:v>163</c:v>
                </c:pt>
                <c:pt idx="109">
                  <c:v>164</c:v>
                </c:pt>
                <c:pt idx="110">
                  <c:v>165</c:v>
                </c:pt>
                <c:pt idx="111">
                  <c:v>166</c:v>
                </c:pt>
                <c:pt idx="112">
                  <c:v>167</c:v>
                </c:pt>
                <c:pt idx="113">
                  <c:v>168</c:v>
                </c:pt>
                <c:pt idx="114">
                  <c:v>169</c:v>
                </c:pt>
                <c:pt idx="115">
                  <c:v>170</c:v>
                </c:pt>
                <c:pt idx="116">
                  <c:v>171</c:v>
                </c:pt>
                <c:pt idx="117">
                  <c:v>172</c:v>
                </c:pt>
                <c:pt idx="118">
                  <c:v>173</c:v>
                </c:pt>
                <c:pt idx="119">
                  <c:v>174</c:v>
                </c:pt>
                <c:pt idx="120">
                  <c:v>175</c:v>
                </c:pt>
                <c:pt idx="121">
                  <c:v>176</c:v>
                </c:pt>
                <c:pt idx="122">
                  <c:v>177</c:v>
                </c:pt>
                <c:pt idx="123">
                  <c:v>178</c:v>
                </c:pt>
                <c:pt idx="124">
                  <c:v>179</c:v>
                </c:pt>
                <c:pt idx="125">
                  <c:v>180</c:v>
                </c:pt>
                <c:pt idx="126">
                  <c:v>181</c:v>
                </c:pt>
                <c:pt idx="127">
                  <c:v>182</c:v>
                </c:pt>
                <c:pt idx="128">
                  <c:v>183</c:v>
                </c:pt>
                <c:pt idx="129">
                  <c:v>184</c:v>
                </c:pt>
                <c:pt idx="130">
                  <c:v>185</c:v>
                </c:pt>
                <c:pt idx="131">
                  <c:v>186</c:v>
                </c:pt>
                <c:pt idx="132">
                  <c:v>187</c:v>
                </c:pt>
                <c:pt idx="133">
                  <c:v>188</c:v>
                </c:pt>
                <c:pt idx="134">
                  <c:v>189</c:v>
                </c:pt>
                <c:pt idx="135">
                  <c:v>190</c:v>
                </c:pt>
                <c:pt idx="136">
                  <c:v>191</c:v>
                </c:pt>
                <c:pt idx="137">
                  <c:v>192</c:v>
                </c:pt>
                <c:pt idx="138">
                  <c:v>193</c:v>
                </c:pt>
                <c:pt idx="139">
                  <c:v>194</c:v>
                </c:pt>
                <c:pt idx="140">
                  <c:v>195</c:v>
                </c:pt>
                <c:pt idx="141">
                  <c:v>196</c:v>
                </c:pt>
                <c:pt idx="142">
                  <c:v>197</c:v>
                </c:pt>
                <c:pt idx="143">
                  <c:v>198</c:v>
                </c:pt>
                <c:pt idx="144">
                  <c:v>199</c:v>
                </c:pt>
                <c:pt idx="145">
                  <c:v>200</c:v>
                </c:pt>
                <c:pt idx="146">
                  <c:v>201</c:v>
                </c:pt>
                <c:pt idx="147">
                  <c:v>202</c:v>
                </c:pt>
                <c:pt idx="148">
                  <c:v>203</c:v>
                </c:pt>
                <c:pt idx="149">
                  <c:v>204</c:v>
                </c:pt>
                <c:pt idx="150">
                  <c:v>205</c:v>
                </c:pt>
                <c:pt idx="151">
                  <c:v>206</c:v>
                </c:pt>
                <c:pt idx="152">
                  <c:v>207</c:v>
                </c:pt>
                <c:pt idx="153">
                  <c:v>208</c:v>
                </c:pt>
                <c:pt idx="154">
                  <c:v>209</c:v>
                </c:pt>
                <c:pt idx="155">
                  <c:v>210</c:v>
                </c:pt>
                <c:pt idx="156">
                  <c:v>211</c:v>
                </c:pt>
                <c:pt idx="157">
                  <c:v>212</c:v>
                </c:pt>
                <c:pt idx="158">
                  <c:v>213</c:v>
                </c:pt>
                <c:pt idx="159">
                  <c:v>214</c:v>
                </c:pt>
                <c:pt idx="160">
                  <c:v>215</c:v>
                </c:pt>
                <c:pt idx="161">
                  <c:v>216</c:v>
                </c:pt>
                <c:pt idx="162">
                  <c:v>217</c:v>
                </c:pt>
                <c:pt idx="163">
                  <c:v>218</c:v>
                </c:pt>
                <c:pt idx="164">
                  <c:v>219</c:v>
                </c:pt>
                <c:pt idx="165">
                  <c:v>220</c:v>
                </c:pt>
                <c:pt idx="166">
                  <c:v>221</c:v>
                </c:pt>
                <c:pt idx="167">
                  <c:v>222</c:v>
                </c:pt>
                <c:pt idx="168">
                  <c:v>223</c:v>
                </c:pt>
                <c:pt idx="169">
                  <c:v>224</c:v>
                </c:pt>
                <c:pt idx="170">
                  <c:v>225</c:v>
                </c:pt>
                <c:pt idx="171">
                  <c:v>226</c:v>
                </c:pt>
                <c:pt idx="172">
                  <c:v>227</c:v>
                </c:pt>
                <c:pt idx="173">
                  <c:v>228</c:v>
                </c:pt>
                <c:pt idx="174">
                  <c:v>229</c:v>
                </c:pt>
                <c:pt idx="175">
                  <c:v>230</c:v>
                </c:pt>
                <c:pt idx="176">
                  <c:v>231</c:v>
                </c:pt>
                <c:pt idx="177">
                  <c:v>232</c:v>
                </c:pt>
                <c:pt idx="178">
                  <c:v>233</c:v>
                </c:pt>
                <c:pt idx="179">
                  <c:v>234</c:v>
                </c:pt>
                <c:pt idx="180">
                  <c:v>235</c:v>
                </c:pt>
                <c:pt idx="181">
                  <c:v>236</c:v>
                </c:pt>
                <c:pt idx="182">
                  <c:v>237</c:v>
                </c:pt>
                <c:pt idx="183">
                  <c:v>238</c:v>
                </c:pt>
                <c:pt idx="184">
                  <c:v>239</c:v>
                </c:pt>
                <c:pt idx="185">
                  <c:v>240</c:v>
                </c:pt>
                <c:pt idx="186">
                  <c:v>241</c:v>
                </c:pt>
                <c:pt idx="187">
                  <c:v>242</c:v>
                </c:pt>
                <c:pt idx="188">
                  <c:v>243</c:v>
                </c:pt>
                <c:pt idx="189">
                  <c:v>244</c:v>
                </c:pt>
                <c:pt idx="190">
                  <c:v>245</c:v>
                </c:pt>
                <c:pt idx="191">
                  <c:v>246</c:v>
                </c:pt>
                <c:pt idx="192">
                  <c:v>247</c:v>
                </c:pt>
                <c:pt idx="193">
                  <c:v>248</c:v>
                </c:pt>
                <c:pt idx="194">
                  <c:v>249</c:v>
                </c:pt>
                <c:pt idx="195">
                  <c:v>250</c:v>
                </c:pt>
                <c:pt idx="196">
                  <c:v>251</c:v>
                </c:pt>
                <c:pt idx="197">
                  <c:v>252</c:v>
                </c:pt>
                <c:pt idx="198">
                  <c:v>253</c:v>
                </c:pt>
                <c:pt idx="199">
                  <c:v>254</c:v>
                </c:pt>
                <c:pt idx="200">
                  <c:v>255</c:v>
                </c:pt>
                <c:pt idx="201">
                  <c:v>256</c:v>
                </c:pt>
                <c:pt idx="202">
                  <c:v>257</c:v>
                </c:pt>
                <c:pt idx="203">
                  <c:v>258</c:v>
                </c:pt>
                <c:pt idx="204">
                  <c:v>259</c:v>
                </c:pt>
                <c:pt idx="205">
                  <c:v>260</c:v>
                </c:pt>
                <c:pt idx="206">
                  <c:v>261</c:v>
                </c:pt>
                <c:pt idx="207">
                  <c:v>262</c:v>
                </c:pt>
                <c:pt idx="208">
                  <c:v>263</c:v>
                </c:pt>
                <c:pt idx="209">
                  <c:v>264</c:v>
                </c:pt>
                <c:pt idx="210">
                  <c:v>265</c:v>
                </c:pt>
                <c:pt idx="211">
                  <c:v>266</c:v>
                </c:pt>
                <c:pt idx="212">
                  <c:v>267</c:v>
                </c:pt>
                <c:pt idx="213">
                  <c:v>268</c:v>
                </c:pt>
                <c:pt idx="214">
                  <c:v>269</c:v>
                </c:pt>
                <c:pt idx="215">
                  <c:v>270</c:v>
                </c:pt>
                <c:pt idx="216">
                  <c:v>271</c:v>
                </c:pt>
                <c:pt idx="217">
                  <c:v>272</c:v>
                </c:pt>
                <c:pt idx="218">
                  <c:v>273</c:v>
                </c:pt>
                <c:pt idx="219">
                  <c:v>274</c:v>
                </c:pt>
              </c:numCache>
            </c:numRef>
          </c:xVal>
          <c:yVal>
            <c:numRef>
              <c:f>'New_removed - bSIR'!$R$62:$R$281</c:f>
              <c:numCache>
                <c:formatCode>General</c:formatCode>
                <c:ptCount val="2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44.796273416563736</c:v>
                </c:pt>
                <c:pt idx="36">
                  <c:v>100.9481044230065</c:v>
                </c:pt>
                <c:pt idx="37">
                  <c:v>157.50758255814344</c:v>
                </c:pt>
                <c:pt idx="38">
                  <c:v>214.35825945601141</c:v>
                </c:pt>
                <c:pt idx="39">
                  <c:v>271.37523313651559</c:v>
                </c:pt>
                <c:pt idx="40">
                  <c:v>328.4253278936219</c:v>
                </c:pt>
                <c:pt idx="41">
                  <c:v>385.36736429761845</c:v>
                </c:pt>
                <c:pt idx="42">
                  <c:v>442.05252463262809</c:v>
                </c:pt>
                <c:pt idx="43">
                  <c:v>498.32481814604512</c:v>
                </c:pt>
                <c:pt idx="44">
                  <c:v>554.02164934385087</c:v>
                </c:pt>
                <c:pt idx="45">
                  <c:v>608.97449122746252</c:v>
                </c:pt>
                <c:pt idx="46">
                  <c:v>663.0096638431653</c:v>
                </c:pt>
                <c:pt idx="47">
                  <c:v>715.94921681996516</c:v>
                </c:pt>
                <c:pt idx="48">
                  <c:v>767.61191272915016</c:v>
                </c:pt>
                <c:pt idx="49">
                  <c:v>817.81430613939142</c:v>
                </c:pt>
                <c:pt idx="50">
                  <c:v>866.37191120266857</c:v>
                </c:pt>
                <c:pt idx="51">
                  <c:v>913.10044853326485</c:v>
                </c:pt>
                <c:pt idx="52">
                  <c:v>957.81716008513445</c:v>
                </c:pt>
                <c:pt idx="53">
                  <c:v>1000.3421787474724</c:v>
                </c:pt>
                <c:pt idx="54">
                  <c:v>1040.499937523103</c:v>
                </c:pt>
                <c:pt idx="55">
                  <c:v>1078.1206014893921</c:v>
                </c:pt>
                <c:pt idx="56">
                  <c:v>1113.0415043262099</c:v>
                </c:pt>
                <c:pt idx="57">
                  <c:v>1145.1085700865203</c:v>
                </c:pt>
                <c:pt idx="58">
                  <c:v>1174.1777001333501</c:v>
                </c:pt>
                <c:pt idx="59">
                  <c:v>1200.1161048153642</c:v>
                </c:pt>
                <c:pt idx="60">
                  <c:v>1222.8035595351869</c:v>
                </c:pt>
                <c:pt idx="61">
                  <c:v>1242.1335654009129</c:v>
                </c:pt>
                <c:pt idx="62">
                  <c:v>1258.0143956494414</c:v>
                </c:pt>
                <c:pt idx="63">
                  <c:v>1270.3700104830502</c:v>
                </c:pt>
                <c:pt idx="64">
                  <c:v>1279.1408248455425</c:v>
                </c:pt>
                <c:pt idx="65">
                  <c:v>1284.2843159440215</c:v>
                </c:pt>
                <c:pt idx="66">
                  <c:v>1285.775459945434</c:v>
                </c:pt>
                <c:pt idx="67">
                  <c:v>1283.606990179296</c:v>
                </c:pt>
                <c:pt idx="68">
                  <c:v>1277.7894722853623</c:v>
                </c:pt>
                <c:pt idx="69">
                  <c:v>1268.3511949749065</c:v>
                </c:pt>
                <c:pt idx="70">
                  <c:v>1255.3378783403202</c:v>
                </c:pt>
                <c:pt idx="71">
                  <c:v>1238.8122048614007</c:v>
                </c:pt>
                <c:pt idx="72">
                  <c:v>1218.8531813320708</c:v>
                </c:pt>
                <c:pt idx="73">
                  <c:v>1195.5553427872039</c:v>
                </c:pt>
                <c:pt idx="74">
                  <c:v>1169.0278120732089</c:v>
                </c:pt>
                <c:pt idx="75">
                  <c:v>1139.3932309161194</c:v>
                </c:pt>
                <c:pt idx="76">
                  <c:v>1106.7865801482665</c:v>
                </c:pt>
                <c:pt idx="77">
                  <c:v>1071.3539081243964</c:v>
                </c:pt>
                <c:pt idx="78">
                  <c:v>1033.2509872709272</c:v>
                </c:pt>
                <c:pt idx="79">
                  <c:v>992.64191916319601</c:v>
                </c:pt>
                <c:pt idx="80">
                  <c:v>949.6977085252272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0351-49D9-8412-5154FB7D0D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9487760"/>
        <c:axId val="969487440"/>
      </c:scatterChart>
      <c:valAx>
        <c:axId val="9694877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Days from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69487440"/>
        <c:crosses val="autoZero"/>
        <c:crossBetween val="midCat"/>
      </c:valAx>
      <c:valAx>
        <c:axId val="969487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removal rate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694877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58779890344030938"/>
          <c:y val="0.20573317041562389"/>
          <c:w val="0.32687529757652334"/>
          <c:h val="0.52513005106372801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>
                <a:solidFill>
                  <a:srgbClr val="00B050"/>
                </a:solidFill>
              </a:rPr>
              <a:t>rest of Italy outside selected region - Accumulative </a:t>
            </a:r>
            <a:r>
              <a:rPr lang="it-IT" sz="1400" b="0" i="0" u="none" strike="noStrike" baseline="0">
                <a:solidFill>
                  <a:srgbClr val="00B050"/>
                </a:solidFill>
                <a:effectLst/>
              </a:rPr>
              <a:t>removals - basic SIR</a:t>
            </a:r>
            <a:endParaRPr lang="it-IT">
              <a:solidFill>
                <a:srgbClr val="00B05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'New_removed - bSIR'!$AG$7</c:f>
              <c:strCache>
                <c:ptCount val="1"/>
                <c:pt idx="0">
                  <c:v>rest of Italy cum. data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noFill/>
              </a:ln>
              <a:effectLst/>
            </c:spPr>
          </c:marker>
          <c:xVal>
            <c:numRef>
              <c:f>'New_removed - bSIR'!$C$62:$C$184</c:f>
              <c:numCache>
                <c:formatCode>General</c:formatCode>
                <c:ptCount val="123"/>
                <c:pt idx="0">
                  <c:v>55</c:v>
                </c:pt>
                <c:pt idx="1">
                  <c:v>56</c:v>
                </c:pt>
                <c:pt idx="2">
                  <c:v>57</c:v>
                </c:pt>
                <c:pt idx="3">
                  <c:v>58</c:v>
                </c:pt>
                <c:pt idx="4">
                  <c:v>59</c:v>
                </c:pt>
                <c:pt idx="5">
                  <c:v>60</c:v>
                </c:pt>
                <c:pt idx="6">
                  <c:v>61</c:v>
                </c:pt>
                <c:pt idx="7">
                  <c:v>62</c:v>
                </c:pt>
                <c:pt idx="8">
                  <c:v>63</c:v>
                </c:pt>
                <c:pt idx="9">
                  <c:v>64</c:v>
                </c:pt>
                <c:pt idx="10">
                  <c:v>65</c:v>
                </c:pt>
                <c:pt idx="11">
                  <c:v>66</c:v>
                </c:pt>
                <c:pt idx="12">
                  <c:v>67</c:v>
                </c:pt>
                <c:pt idx="13">
                  <c:v>68</c:v>
                </c:pt>
                <c:pt idx="14">
                  <c:v>69</c:v>
                </c:pt>
                <c:pt idx="15">
                  <c:v>70</c:v>
                </c:pt>
                <c:pt idx="16">
                  <c:v>71</c:v>
                </c:pt>
                <c:pt idx="17">
                  <c:v>72</c:v>
                </c:pt>
                <c:pt idx="18">
                  <c:v>73</c:v>
                </c:pt>
                <c:pt idx="19">
                  <c:v>74</c:v>
                </c:pt>
                <c:pt idx="20">
                  <c:v>75</c:v>
                </c:pt>
                <c:pt idx="21">
                  <c:v>76</c:v>
                </c:pt>
                <c:pt idx="22">
                  <c:v>77</c:v>
                </c:pt>
                <c:pt idx="23">
                  <c:v>78</c:v>
                </c:pt>
                <c:pt idx="24">
                  <c:v>79</c:v>
                </c:pt>
                <c:pt idx="25">
                  <c:v>80</c:v>
                </c:pt>
                <c:pt idx="26">
                  <c:v>81</c:v>
                </c:pt>
                <c:pt idx="27">
                  <c:v>82</c:v>
                </c:pt>
                <c:pt idx="28">
                  <c:v>83</c:v>
                </c:pt>
                <c:pt idx="29">
                  <c:v>84</c:v>
                </c:pt>
                <c:pt idx="30">
                  <c:v>85</c:v>
                </c:pt>
                <c:pt idx="31">
                  <c:v>86</c:v>
                </c:pt>
                <c:pt idx="32">
                  <c:v>87</c:v>
                </c:pt>
                <c:pt idx="33">
                  <c:v>88</c:v>
                </c:pt>
                <c:pt idx="34">
                  <c:v>89</c:v>
                </c:pt>
                <c:pt idx="35">
                  <c:v>90</c:v>
                </c:pt>
                <c:pt idx="36">
                  <c:v>91</c:v>
                </c:pt>
                <c:pt idx="37">
                  <c:v>92</c:v>
                </c:pt>
                <c:pt idx="38">
                  <c:v>93</c:v>
                </c:pt>
                <c:pt idx="39">
                  <c:v>94</c:v>
                </c:pt>
                <c:pt idx="40">
                  <c:v>95</c:v>
                </c:pt>
                <c:pt idx="41">
                  <c:v>96</c:v>
                </c:pt>
                <c:pt idx="42">
                  <c:v>97</c:v>
                </c:pt>
                <c:pt idx="43">
                  <c:v>98</c:v>
                </c:pt>
                <c:pt idx="44">
                  <c:v>99</c:v>
                </c:pt>
                <c:pt idx="45">
                  <c:v>100</c:v>
                </c:pt>
                <c:pt idx="46">
                  <c:v>101</c:v>
                </c:pt>
                <c:pt idx="47">
                  <c:v>102</c:v>
                </c:pt>
                <c:pt idx="48">
                  <c:v>103</c:v>
                </c:pt>
                <c:pt idx="49">
                  <c:v>104</c:v>
                </c:pt>
                <c:pt idx="50">
                  <c:v>105</c:v>
                </c:pt>
                <c:pt idx="51">
                  <c:v>106</c:v>
                </c:pt>
                <c:pt idx="52">
                  <c:v>107</c:v>
                </c:pt>
                <c:pt idx="53">
                  <c:v>108</c:v>
                </c:pt>
                <c:pt idx="54">
                  <c:v>109</c:v>
                </c:pt>
                <c:pt idx="55">
                  <c:v>110</c:v>
                </c:pt>
                <c:pt idx="56">
                  <c:v>111</c:v>
                </c:pt>
                <c:pt idx="57">
                  <c:v>112</c:v>
                </c:pt>
                <c:pt idx="58">
                  <c:v>113</c:v>
                </c:pt>
                <c:pt idx="59">
                  <c:v>114</c:v>
                </c:pt>
                <c:pt idx="60">
                  <c:v>115</c:v>
                </c:pt>
                <c:pt idx="61">
                  <c:v>116</c:v>
                </c:pt>
                <c:pt idx="62">
                  <c:v>117</c:v>
                </c:pt>
                <c:pt idx="63">
                  <c:v>118</c:v>
                </c:pt>
                <c:pt idx="64">
                  <c:v>119</c:v>
                </c:pt>
                <c:pt idx="65">
                  <c:v>120</c:v>
                </c:pt>
                <c:pt idx="66">
                  <c:v>121</c:v>
                </c:pt>
                <c:pt idx="67">
                  <c:v>122</c:v>
                </c:pt>
                <c:pt idx="68">
                  <c:v>123</c:v>
                </c:pt>
                <c:pt idx="69">
                  <c:v>124</c:v>
                </c:pt>
                <c:pt idx="70">
                  <c:v>125</c:v>
                </c:pt>
                <c:pt idx="71">
                  <c:v>126</c:v>
                </c:pt>
                <c:pt idx="72">
                  <c:v>127</c:v>
                </c:pt>
                <c:pt idx="73">
                  <c:v>128</c:v>
                </c:pt>
                <c:pt idx="74">
                  <c:v>129</c:v>
                </c:pt>
                <c:pt idx="75">
                  <c:v>130</c:v>
                </c:pt>
                <c:pt idx="76">
                  <c:v>131</c:v>
                </c:pt>
                <c:pt idx="77">
                  <c:v>132</c:v>
                </c:pt>
                <c:pt idx="78">
                  <c:v>133</c:v>
                </c:pt>
                <c:pt idx="79">
                  <c:v>134</c:v>
                </c:pt>
                <c:pt idx="80">
                  <c:v>135</c:v>
                </c:pt>
                <c:pt idx="81">
                  <c:v>136</c:v>
                </c:pt>
                <c:pt idx="82">
                  <c:v>137</c:v>
                </c:pt>
                <c:pt idx="83">
                  <c:v>138</c:v>
                </c:pt>
                <c:pt idx="84">
                  <c:v>139</c:v>
                </c:pt>
                <c:pt idx="85">
                  <c:v>140</c:v>
                </c:pt>
                <c:pt idx="86">
                  <c:v>141</c:v>
                </c:pt>
                <c:pt idx="87">
                  <c:v>142</c:v>
                </c:pt>
                <c:pt idx="88">
                  <c:v>143</c:v>
                </c:pt>
                <c:pt idx="89">
                  <c:v>144</c:v>
                </c:pt>
                <c:pt idx="90">
                  <c:v>145</c:v>
                </c:pt>
                <c:pt idx="91">
                  <c:v>146</c:v>
                </c:pt>
                <c:pt idx="92">
                  <c:v>147</c:v>
                </c:pt>
                <c:pt idx="93">
                  <c:v>148</c:v>
                </c:pt>
                <c:pt idx="94">
                  <c:v>149</c:v>
                </c:pt>
                <c:pt idx="95">
                  <c:v>150</c:v>
                </c:pt>
                <c:pt idx="96">
                  <c:v>151</c:v>
                </c:pt>
                <c:pt idx="97">
                  <c:v>152</c:v>
                </c:pt>
                <c:pt idx="98">
                  <c:v>153</c:v>
                </c:pt>
                <c:pt idx="99">
                  <c:v>154</c:v>
                </c:pt>
                <c:pt idx="100">
                  <c:v>155</c:v>
                </c:pt>
                <c:pt idx="101">
                  <c:v>156</c:v>
                </c:pt>
                <c:pt idx="102">
                  <c:v>157</c:v>
                </c:pt>
                <c:pt idx="103">
                  <c:v>158</c:v>
                </c:pt>
                <c:pt idx="104">
                  <c:v>159</c:v>
                </c:pt>
                <c:pt idx="105">
                  <c:v>160</c:v>
                </c:pt>
                <c:pt idx="106">
                  <c:v>161</c:v>
                </c:pt>
                <c:pt idx="107">
                  <c:v>162</c:v>
                </c:pt>
                <c:pt idx="108">
                  <c:v>163</c:v>
                </c:pt>
                <c:pt idx="109">
                  <c:v>164</c:v>
                </c:pt>
                <c:pt idx="110">
                  <c:v>165</c:v>
                </c:pt>
                <c:pt idx="111">
                  <c:v>166</c:v>
                </c:pt>
                <c:pt idx="112">
                  <c:v>167</c:v>
                </c:pt>
                <c:pt idx="113">
                  <c:v>168</c:v>
                </c:pt>
                <c:pt idx="114">
                  <c:v>169</c:v>
                </c:pt>
                <c:pt idx="115">
                  <c:v>170</c:v>
                </c:pt>
                <c:pt idx="116">
                  <c:v>171</c:v>
                </c:pt>
                <c:pt idx="117">
                  <c:v>172</c:v>
                </c:pt>
                <c:pt idx="118">
                  <c:v>173</c:v>
                </c:pt>
                <c:pt idx="119">
                  <c:v>174</c:v>
                </c:pt>
                <c:pt idx="120">
                  <c:v>175</c:v>
                </c:pt>
                <c:pt idx="121">
                  <c:v>176</c:v>
                </c:pt>
                <c:pt idx="122">
                  <c:v>177</c:v>
                </c:pt>
              </c:numCache>
            </c:numRef>
          </c:xVal>
          <c:yVal>
            <c:numRef>
              <c:f>'New_removed - bSIR'!$AG$62:$AG$184</c:f>
              <c:numCache>
                <c:formatCode>0</c:formatCode>
                <c:ptCount val="123"/>
                <c:pt idx="0">
                  <c:v>8</c:v>
                </c:pt>
                <c:pt idx="1">
                  <c:v>11</c:v>
                </c:pt>
                <c:pt idx="2">
                  <c:v>15</c:v>
                </c:pt>
                <c:pt idx="3">
                  <c:v>62</c:v>
                </c:pt>
                <c:pt idx="4">
                  <c:v>67</c:v>
                </c:pt>
                <c:pt idx="5">
                  <c:v>75</c:v>
                </c:pt>
                <c:pt idx="6">
                  <c:v>113</c:v>
                </c:pt>
                <c:pt idx="7">
                  <c:v>197</c:v>
                </c:pt>
                <c:pt idx="8">
                  <c:v>234</c:v>
                </c:pt>
                <c:pt idx="9">
                  <c:v>378</c:v>
                </c:pt>
                <c:pt idx="10">
                  <c:v>555</c:v>
                </c:pt>
                <c:pt idx="11">
                  <c:v>712</c:v>
                </c:pt>
                <c:pt idx="12">
                  <c:v>813</c:v>
                </c:pt>
                <c:pt idx="13">
                  <c:v>977</c:v>
                </c:pt>
                <c:pt idx="14">
                  <c:v>1175</c:v>
                </c:pt>
                <c:pt idx="15">
                  <c:v>1622</c:v>
                </c:pt>
                <c:pt idx="16">
                  <c:v>1859</c:v>
                </c:pt>
                <c:pt idx="17">
                  <c:v>2243</c:v>
                </c:pt>
                <c:pt idx="18">
                  <c:v>2664</c:v>
                </c:pt>
                <c:pt idx="19">
                  <c:v>3328</c:v>
                </c:pt>
                <c:pt idx="20">
                  <c:v>4078</c:v>
                </c:pt>
                <c:pt idx="21">
                  <c:v>4815</c:v>
                </c:pt>
                <c:pt idx="22">
                  <c:v>5327</c:v>
                </c:pt>
                <c:pt idx="23">
                  <c:v>6860</c:v>
                </c:pt>
                <c:pt idx="24">
                  <c:v>7669</c:v>
                </c:pt>
                <c:pt idx="25">
                  <c:v>8941</c:v>
                </c:pt>
                <c:pt idx="26">
                  <c:v>10620</c:v>
                </c:pt>
                <c:pt idx="27">
                  <c:v>12186</c:v>
                </c:pt>
                <c:pt idx="28">
                  <c:v>13138</c:v>
                </c:pt>
                <c:pt idx="29">
                  <c:v>14722</c:v>
                </c:pt>
                <c:pt idx="30">
                  <c:v>16386</c:v>
                </c:pt>
                <c:pt idx="31">
                  <c:v>17986</c:v>
                </c:pt>
                <c:pt idx="32">
                  <c:v>19448</c:v>
                </c:pt>
                <c:pt idx="33">
                  <c:v>21671</c:v>
                </c:pt>
                <c:pt idx="34">
                  <c:v>23012</c:v>
                </c:pt>
                <c:pt idx="35">
                  <c:v>25377</c:v>
                </c:pt>
                <c:pt idx="36">
                  <c:v>27249</c:v>
                </c:pt>
                <c:pt idx="37">
                  <c:v>28987</c:v>
                </c:pt>
                <c:pt idx="38">
                  <c:v>31071</c:v>
                </c:pt>
                <c:pt idx="39">
                  <c:v>33220</c:v>
                </c:pt>
                <c:pt idx="40">
                  <c:v>35049</c:v>
                </c:pt>
                <c:pt idx="41">
                  <c:v>36346</c:v>
                </c:pt>
                <c:pt idx="42">
                  <c:v>37928</c:v>
                </c:pt>
                <c:pt idx="43">
                  <c:v>39974</c:v>
                </c:pt>
                <c:pt idx="44">
                  <c:v>42499</c:v>
                </c:pt>
                <c:pt idx="45">
                  <c:v>44982</c:v>
                </c:pt>
                <c:pt idx="46">
                  <c:v>47414</c:v>
                </c:pt>
                <c:pt idx="47">
                  <c:v>49959</c:v>
                </c:pt>
                <c:pt idx="48">
                  <c:v>51949</c:v>
                </c:pt>
                <c:pt idx="49">
                  <c:v>53669</c:v>
                </c:pt>
                <c:pt idx="50">
                  <c:v>55855</c:v>
                </c:pt>
                <c:pt idx="51">
                  <c:v>57265</c:v>
                </c:pt>
                <c:pt idx="52">
                  <c:v>59732</c:v>
                </c:pt>
                <c:pt idx="53">
                  <c:v>62743</c:v>
                </c:pt>
                <c:pt idx="54">
                  <c:v>65265</c:v>
                </c:pt>
                <c:pt idx="55">
                  <c:v>67677</c:v>
                </c:pt>
                <c:pt idx="56">
                  <c:v>69818</c:v>
                </c:pt>
                <c:pt idx="57">
                  <c:v>72947</c:v>
                </c:pt>
                <c:pt idx="58">
                  <c:v>76186</c:v>
                </c:pt>
                <c:pt idx="59">
                  <c:v>79542</c:v>
                </c:pt>
                <c:pt idx="60">
                  <c:v>82731</c:v>
                </c:pt>
                <c:pt idx="61">
                  <c:v>85636</c:v>
                </c:pt>
                <c:pt idx="62">
                  <c:v>87564</c:v>
                </c:pt>
                <c:pt idx="63">
                  <c:v>89539</c:v>
                </c:pt>
                <c:pt idx="64">
                  <c:v>92099</c:v>
                </c:pt>
                <c:pt idx="65">
                  <c:v>94621</c:v>
                </c:pt>
                <c:pt idx="66">
                  <c:v>99470</c:v>
                </c:pt>
                <c:pt idx="67">
                  <c:v>101877</c:v>
                </c:pt>
                <c:pt idx="68">
                  <c:v>103910</c:v>
                </c:pt>
                <c:pt idx="69">
                  <c:v>105730</c:v>
                </c:pt>
                <c:pt idx="70">
                  <c:v>107054</c:v>
                </c:pt>
                <c:pt idx="71">
                  <c:v>109498</c:v>
                </c:pt>
                <c:pt idx="72">
                  <c:v>117684</c:v>
                </c:pt>
                <c:pt idx="73">
                  <c:v>120837</c:v>
                </c:pt>
                <c:pt idx="74">
                  <c:v>123677</c:v>
                </c:pt>
                <c:pt idx="75">
                  <c:v>127670</c:v>
                </c:pt>
                <c:pt idx="76">
                  <c:v>129858</c:v>
                </c:pt>
                <c:pt idx="77">
                  <c:v>131338</c:v>
                </c:pt>
                <c:pt idx="78">
                  <c:v>133866</c:v>
                </c:pt>
                <c:pt idx="79">
                  <c:v>137435</c:v>
                </c:pt>
                <c:pt idx="80">
                  <c:v>140321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480-476A-920C-762E1C6005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9487760"/>
        <c:axId val="969487440"/>
      </c:scatterChart>
      <c:scatterChart>
        <c:scatterStyle val="smoothMarker"/>
        <c:varyColors val="0"/>
        <c:ser>
          <c:idx val="1"/>
          <c:order val="1"/>
          <c:tx>
            <c:strRef>
              <c:f>'New_removed - bSIR'!$AJ$7</c:f>
              <c:strCache>
                <c:ptCount val="1"/>
                <c:pt idx="0">
                  <c:v>rest of Italy cumul. fit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'New_removed - bSIR'!$C$62:$C$184</c:f>
              <c:numCache>
                <c:formatCode>General</c:formatCode>
                <c:ptCount val="123"/>
                <c:pt idx="0">
                  <c:v>55</c:v>
                </c:pt>
                <c:pt idx="1">
                  <c:v>56</c:v>
                </c:pt>
                <c:pt idx="2">
                  <c:v>57</c:v>
                </c:pt>
                <c:pt idx="3">
                  <c:v>58</c:v>
                </c:pt>
                <c:pt idx="4">
                  <c:v>59</c:v>
                </c:pt>
                <c:pt idx="5">
                  <c:v>60</c:v>
                </c:pt>
                <c:pt idx="6">
                  <c:v>61</c:v>
                </c:pt>
                <c:pt idx="7">
                  <c:v>62</c:v>
                </c:pt>
                <c:pt idx="8">
                  <c:v>63</c:v>
                </c:pt>
                <c:pt idx="9">
                  <c:v>64</c:v>
                </c:pt>
                <c:pt idx="10">
                  <c:v>65</c:v>
                </c:pt>
                <c:pt idx="11">
                  <c:v>66</c:v>
                </c:pt>
                <c:pt idx="12">
                  <c:v>67</c:v>
                </c:pt>
                <c:pt idx="13">
                  <c:v>68</c:v>
                </c:pt>
                <c:pt idx="14">
                  <c:v>69</c:v>
                </c:pt>
                <c:pt idx="15">
                  <c:v>70</c:v>
                </c:pt>
                <c:pt idx="16">
                  <c:v>71</c:v>
                </c:pt>
                <c:pt idx="17">
                  <c:v>72</c:v>
                </c:pt>
                <c:pt idx="18">
                  <c:v>73</c:v>
                </c:pt>
                <c:pt idx="19">
                  <c:v>74</c:v>
                </c:pt>
                <c:pt idx="20">
                  <c:v>75</c:v>
                </c:pt>
                <c:pt idx="21">
                  <c:v>76</c:v>
                </c:pt>
                <c:pt idx="22">
                  <c:v>77</c:v>
                </c:pt>
                <c:pt idx="23">
                  <c:v>78</c:v>
                </c:pt>
                <c:pt idx="24">
                  <c:v>79</c:v>
                </c:pt>
                <c:pt idx="25">
                  <c:v>80</c:v>
                </c:pt>
                <c:pt idx="26">
                  <c:v>81</c:v>
                </c:pt>
                <c:pt idx="27">
                  <c:v>82</c:v>
                </c:pt>
                <c:pt idx="28">
                  <c:v>83</c:v>
                </c:pt>
                <c:pt idx="29">
                  <c:v>84</c:v>
                </c:pt>
                <c:pt idx="30">
                  <c:v>85</c:v>
                </c:pt>
                <c:pt idx="31">
                  <c:v>86</c:v>
                </c:pt>
                <c:pt idx="32">
                  <c:v>87</c:v>
                </c:pt>
                <c:pt idx="33">
                  <c:v>88</c:v>
                </c:pt>
                <c:pt idx="34">
                  <c:v>89</c:v>
                </c:pt>
                <c:pt idx="35">
                  <c:v>90</c:v>
                </c:pt>
                <c:pt idx="36">
                  <c:v>91</c:v>
                </c:pt>
                <c:pt idx="37">
                  <c:v>92</c:v>
                </c:pt>
                <c:pt idx="38">
                  <c:v>93</c:v>
                </c:pt>
                <c:pt idx="39">
                  <c:v>94</c:v>
                </c:pt>
                <c:pt idx="40">
                  <c:v>95</c:v>
                </c:pt>
                <c:pt idx="41">
                  <c:v>96</c:v>
                </c:pt>
                <c:pt idx="42">
                  <c:v>97</c:v>
                </c:pt>
                <c:pt idx="43">
                  <c:v>98</c:v>
                </c:pt>
                <c:pt idx="44">
                  <c:v>99</c:v>
                </c:pt>
                <c:pt idx="45">
                  <c:v>100</c:v>
                </c:pt>
                <c:pt idx="46">
                  <c:v>101</c:v>
                </c:pt>
                <c:pt idx="47">
                  <c:v>102</c:v>
                </c:pt>
                <c:pt idx="48">
                  <c:v>103</c:v>
                </c:pt>
                <c:pt idx="49">
                  <c:v>104</c:v>
                </c:pt>
                <c:pt idx="50">
                  <c:v>105</c:v>
                </c:pt>
                <c:pt idx="51">
                  <c:v>106</c:v>
                </c:pt>
                <c:pt idx="52">
                  <c:v>107</c:v>
                </c:pt>
                <c:pt idx="53">
                  <c:v>108</c:v>
                </c:pt>
                <c:pt idx="54">
                  <c:v>109</c:v>
                </c:pt>
                <c:pt idx="55">
                  <c:v>110</c:v>
                </c:pt>
                <c:pt idx="56">
                  <c:v>111</c:v>
                </c:pt>
                <c:pt idx="57">
                  <c:v>112</c:v>
                </c:pt>
                <c:pt idx="58">
                  <c:v>113</c:v>
                </c:pt>
                <c:pt idx="59">
                  <c:v>114</c:v>
                </c:pt>
                <c:pt idx="60">
                  <c:v>115</c:v>
                </c:pt>
                <c:pt idx="61">
                  <c:v>116</c:v>
                </c:pt>
                <c:pt idx="62">
                  <c:v>117</c:v>
                </c:pt>
                <c:pt idx="63">
                  <c:v>118</c:v>
                </c:pt>
                <c:pt idx="64">
                  <c:v>119</c:v>
                </c:pt>
                <c:pt idx="65">
                  <c:v>120</c:v>
                </c:pt>
                <c:pt idx="66">
                  <c:v>121</c:v>
                </c:pt>
                <c:pt idx="67">
                  <c:v>122</c:v>
                </c:pt>
                <c:pt idx="68">
                  <c:v>123</c:v>
                </c:pt>
                <c:pt idx="69">
                  <c:v>124</c:v>
                </c:pt>
                <c:pt idx="70">
                  <c:v>125</c:v>
                </c:pt>
                <c:pt idx="71">
                  <c:v>126</c:v>
                </c:pt>
                <c:pt idx="72">
                  <c:v>127</c:v>
                </c:pt>
                <c:pt idx="73">
                  <c:v>128</c:v>
                </c:pt>
                <c:pt idx="74">
                  <c:v>129</c:v>
                </c:pt>
                <c:pt idx="75">
                  <c:v>130</c:v>
                </c:pt>
                <c:pt idx="76">
                  <c:v>131</c:v>
                </c:pt>
                <c:pt idx="77">
                  <c:v>132</c:v>
                </c:pt>
                <c:pt idx="78">
                  <c:v>133</c:v>
                </c:pt>
                <c:pt idx="79">
                  <c:v>134</c:v>
                </c:pt>
                <c:pt idx="80">
                  <c:v>135</c:v>
                </c:pt>
                <c:pt idx="81">
                  <c:v>136</c:v>
                </c:pt>
                <c:pt idx="82">
                  <c:v>137</c:v>
                </c:pt>
                <c:pt idx="83">
                  <c:v>138</c:v>
                </c:pt>
                <c:pt idx="84">
                  <c:v>139</c:v>
                </c:pt>
                <c:pt idx="85">
                  <c:v>140</c:v>
                </c:pt>
                <c:pt idx="86">
                  <c:v>141</c:v>
                </c:pt>
                <c:pt idx="87">
                  <c:v>142</c:v>
                </c:pt>
                <c:pt idx="88">
                  <c:v>143</c:v>
                </c:pt>
                <c:pt idx="89">
                  <c:v>144</c:v>
                </c:pt>
                <c:pt idx="90">
                  <c:v>145</c:v>
                </c:pt>
                <c:pt idx="91">
                  <c:v>146</c:v>
                </c:pt>
                <c:pt idx="92">
                  <c:v>147</c:v>
                </c:pt>
                <c:pt idx="93">
                  <c:v>148</c:v>
                </c:pt>
                <c:pt idx="94">
                  <c:v>149</c:v>
                </c:pt>
                <c:pt idx="95">
                  <c:v>150</c:v>
                </c:pt>
                <c:pt idx="96">
                  <c:v>151</c:v>
                </c:pt>
                <c:pt idx="97">
                  <c:v>152</c:v>
                </c:pt>
                <c:pt idx="98">
                  <c:v>153</c:v>
                </c:pt>
                <c:pt idx="99">
                  <c:v>154</c:v>
                </c:pt>
                <c:pt idx="100">
                  <c:v>155</c:v>
                </c:pt>
                <c:pt idx="101">
                  <c:v>156</c:v>
                </c:pt>
                <c:pt idx="102">
                  <c:v>157</c:v>
                </c:pt>
                <c:pt idx="103">
                  <c:v>158</c:v>
                </c:pt>
                <c:pt idx="104">
                  <c:v>159</c:v>
                </c:pt>
                <c:pt idx="105">
                  <c:v>160</c:v>
                </c:pt>
                <c:pt idx="106">
                  <c:v>161</c:v>
                </c:pt>
                <c:pt idx="107">
                  <c:v>162</c:v>
                </c:pt>
                <c:pt idx="108">
                  <c:v>163</c:v>
                </c:pt>
                <c:pt idx="109">
                  <c:v>164</c:v>
                </c:pt>
                <c:pt idx="110">
                  <c:v>165</c:v>
                </c:pt>
                <c:pt idx="111">
                  <c:v>166</c:v>
                </c:pt>
                <c:pt idx="112">
                  <c:v>167</c:v>
                </c:pt>
                <c:pt idx="113">
                  <c:v>168</c:v>
                </c:pt>
                <c:pt idx="114">
                  <c:v>169</c:v>
                </c:pt>
                <c:pt idx="115">
                  <c:v>170</c:v>
                </c:pt>
                <c:pt idx="116">
                  <c:v>171</c:v>
                </c:pt>
                <c:pt idx="117">
                  <c:v>172</c:v>
                </c:pt>
                <c:pt idx="118">
                  <c:v>173</c:v>
                </c:pt>
                <c:pt idx="119">
                  <c:v>174</c:v>
                </c:pt>
                <c:pt idx="120">
                  <c:v>175</c:v>
                </c:pt>
                <c:pt idx="121">
                  <c:v>176</c:v>
                </c:pt>
                <c:pt idx="122">
                  <c:v>177</c:v>
                </c:pt>
              </c:numCache>
            </c:numRef>
          </c:xVal>
          <c:yVal>
            <c:numRef>
              <c:f>'New_removed - bSIR'!$AJ$62:$AJ$184</c:f>
              <c:numCache>
                <c:formatCode>General</c:formatCode>
                <c:ptCount val="1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242.70089901987399</c:v>
                </c:pt>
                <c:pt idx="16">
                  <c:v>1061.5303582923698</c:v>
                </c:pt>
                <c:pt idx="17">
                  <c:v>1914.841051772273</c:v>
                </c:pt>
                <c:pt idx="18">
                  <c:v>2803.7663210252686</c:v>
                </c:pt>
                <c:pt idx="19">
                  <c:v>3729.4469052643476</c:v>
                </c:pt>
                <c:pt idx="20">
                  <c:v>4693.0278268014363</c:v>
                </c:pt>
                <c:pt idx="21">
                  <c:v>5695.6549595855777</c:v>
                </c:pt>
                <c:pt idx="22">
                  <c:v>6738.4712697600517</c:v>
                </c:pt>
                <c:pt idx="23">
                  <c:v>7822.6127188605087</c:v>
                </c:pt>
                <c:pt idx="24">
                  <c:v>8949.2038223229501</c:v>
                </c:pt>
                <c:pt idx="25">
                  <c:v>10119.352858397595</c:v>
                </c:pt>
                <c:pt idx="26">
                  <c:v>11334.146725393943</c:v>
                </c:pt>
                <c:pt idx="27">
                  <c:v>12594.645448434665</c:v>
                </c:pt>
                <c:pt idx="28">
                  <c:v>13901.876340577151</c:v>
                </c:pt>
                <c:pt idx="29">
                  <c:v>15256.827827286077</c:v>
                </c:pt>
                <c:pt idx="30">
                  <c:v>16660.442947797565</c:v>
                </c:pt>
                <c:pt idx="31">
                  <c:v>18113.612551901493</c:v>
                </c:pt>
                <c:pt idx="32">
                  <c:v>19617.16821605487</c:v>
                </c:pt>
                <c:pt idx="33">
                  <c:v>21171.874908496229</c:v>
                </c:pt>
                <c:pt idx="34">
                  <c:v>22778.423439108195</c:v>
                </c:pt>
                <c:pt idx="35">
                  <c:v>24437.422736111159</c:v>
                </c:pt>
                <c:pt idx="36">
                  <c:v>26149.391998188425</c:v>
                </c:pt>
                <c:pt idx="37">
                  <c:v>27914.752777246871</c:v>
                </c:pt>
                <c:pt idx="38">
                  <c:v>29733.821053599138</c:v>
                </c:pt>
                <c:pt idx="39">
                  <c:v>31606.799371787129</c:v>
                </c:pt>
                <c:pt idx="40">
                  <c:v>33533.769111411661</c:v>
                </c:pt>
                <c:pt idx="41">
                  <c:v>35514.682973036492</c:v>
                </c:pt>
                <c:pt idx="42">
                  <c:v>37549.357764333334</c:v>
                </c:pt>
                <c:pt idx="43">
                  <c:v>39637.467575952011</c:v>
                </c:pt>
                <c:pt idx="44">
                  <c:v>41778.537439965126</c:v>
                </c:pt>
                <c:pt idx="45">
                  <c:v>43971.937565970635</c:v>
                </c:pt>
                <c:pt idx="46">
                  <c:v>46216.878250867601</c:v>
                </c:pt>
                <c:pt idx="47">
                  <c:v>48512.405557796192</c:v>
                </c:pt>
                <c:pt idx="48">
                  <c:v>50857.397857605189</c:v>
                </c:pt>
                <c:pt idx="49">
                  <c:v>53250.563322368253</c:v>
                </c:pt>
                <c:pt idx="50">
                  <c:v>55690.438454824405</c:v>
                </c:pt>
                <c:pt idx="51">
                  <c:v>58175.387730119633</c:v>
                </c:pt>
                <c:pt idx="52">
                  <c:v>60703.604416869603</c:v>
                </c:pt>
                <c:pt idx="53">
                  <c:v>63273.11263338838</c:v>
                </c:pt>
                <c:pt idx="54">
                  <c:v>65881.770682023955</c:v>
                </c:pt>
                <c:pt idx="55">
                  <c:v>68527.27569005503</c:v>
                </c:pt>
                <c:pt idx="56">
                  <c:v>71207.169569729391</c:v>
                </c:pt>
                <c:pt idx="57">
                  <c:v>73918.846293012437</c:v>
                </c:pt>
                <c:pt idx="58">
                  <c:v>76659.560458759966</c:v>
                </c:pt>
                <c:pt idx="59">
                  <c:v>79426.437111670166</c:v>
                </c:pt>
                <c:pt idx="60">
                  <c:v>82216.482753880366</c:v>
                </c:pt>
                <c:pt idx="61">
                  <c:v>85026.597471845656</c:v>
                </c:pt>
                <c:pt idx="62">
                  <c:v>87853.588083586059</c:v>
                </c:pt>
                <c:pt idx="63">
                  <c:v>90694.18219491771</c:v>
                </c:pt>
                <c:pt idx="64">
                  <c:v>93545.043038297808</c:v>
                </c:pt>
                <c:pt idx="65">
                  <c:v>96402.784954778152</c:v>
                </c:pt>
                <c:pt idx="66">
                  <c:v>99263.989368613577</c:v>
                </c:pt>
                <c:pt idx="67">
                  <c:v>102125.22109559356</c:v>
                </c:pt>
                <c:pt idx="68">
                  <c:v>104983.04482037554</c:v>
                </c:pt>
                <c:pt idx="69">
                  <c:v>107834.04157515442</c:v>
                </c:pt>
                <c:pt idx="70">
                  <c:v>110674.82505197858</c:v>
                </c:pt>
                <c:pt idx="71">
                  <c:v>113502.05758392267</c:v>
                </c:pt>
                <c:pt idx="72">
                  <c:v>116312.46563607077</c:v>
                </c:pt>
                <c:pt idx="73">
                  <c:v>119102.85465570248</c:v>
                </c:pt>
                <c:pt idx="74">
                  <c:v>121870.12314198462</c:v>
                </c:pt>
                <c:pt idx="75">
                  <c:v>124611.27580857338</c:v>
                </c:pt>
                <c:pt idx="76">
                  <c:v>127323.43572749342</c:v>
                </c:pt>
                <c:pt idx="77">
                  <c:v>130003.85535910711</c:v>
                </c:pt>
                <c:pt idx="78">
                  <c:v>132649.92639052818</c:v>
                </c:pt>
                <c:pt idx="79">
                  <c:v>135259.18832305024</c:v>
                </c:pt>
                <c:pt idx="80">
                  <c:v>137829.33576765319</c:v>
                </c:pt>
                <c:pt idx="81">
                  <c:v>140358.2244260119</c:v>
                </c:pt>
                <c:pt idx="82">
                  <c:v>142843.87575229816</c:v>
                </c:pt>
                <c:pt idx="83">
                  <c:v>145284.48030809383</c:v>
                </c:pt>
                <c:pt idx="84">
                  <c:v>147678.39983862825</c:v>
                </c:pt>
                <c:pt idx="85">
                  <c:v>150024.16811306158</c:v>
                </c:pt>
                <c:pt idx="86">
                  <c:v>152320.49058446789</c:v>
                </c:pt>
                <c:pt idx="87">
                  <c:v>154566.24293637427</c:v>
                </c:pt>
                <c:pt idx="88">
                  <c:v>156760.46859209842</c:v>
                </c:pt>
                <c:pt idx="89">
                  <c:v>158902.37527065579</c:v>
                </c:pt>
                <c:pt idx="90">
                  <c:v>160991.33067868234</c:v>
                </c:pt>
                <c:pt idx="91">
                  <c:v>163026.85743168838</c:v>
                </c:pt>
                <c:pt idx="92">
                  <c:v>165008.62730011364</c:v>
                </c:pt>
                <c:pt idx="93">
                  <c:v>166936.45487620286</c:v>
                </c:pt>
                <c:pt idx="94">
                  <c:v>168810.29075681017</c:v>
                </c:pt>
                <c:pt idx="95">
                  <c:v>170630.21433502639</c:v>
                </c:pt>
                <c:pt idx="96">
                  <c:v>172396.42629017538</c:v>
                </c:pt>
                <c:pt idx="97">
                  <c:v>174109.24086142046</c:v>
                </c:pt>
                <c:pt idx="98">
                  <c:v>175769.07798513584</c:v>
                </c:pt>
                <c:pt idx="99">
                  <c:v>177376.45537050249</c:v>
                </c:pt>
                <c:pt idx="100">
                  <c:v>178931.98058164772</c:v>
                </c:pt>
                <c:pt idx="101">
                  <c:v>180436.34318821935</c:v>
                </c:pt>
                <c:pt idx="102">
                  <c:v>181890.30703970249</c:v>
                </c:pt>
                <c:pt idx="103">
                  <c:v>183294.7027121846</c:v>
                </c:pt>
                <c:pt idx="104">
                  <c:v>184650.42016975416</c:v>
                </c:pt>
                <c:pt idx="105">
                  <c:v>185958.40167637766</c:v>
                </c:pt>
                <c:pt idx="106">
                  <c:v>187219.63498802108</c:v>
                </c:pt>
                <c:pt idx="107">
                  <c:v>188435.14684901596</c:v>
                </c:pt>
                <c:pt idx="108">
                  <c:v>189605.99681127915</c:v>
                </c:pt>
                <c:pt idx="109">
                  <c:v>190733.27139000435</c:v>
                </c:pt>
                <c:pt idx="110">
                  <c:v>191818.07856487526</c:v>
                </c:pt>
                <c:pt idx="111">
                  <c:v>192861.54263172366</c:v>
                </c:pt>
                <c:pt idx="112">
                  <c:v>193864.79940586383</c:v>
                </c:pt>
                <c:pt idx="113">
                  <c:v>194828.99177507692</c:v>
                </c:pt>
                <c:pt idx="114">
                  <c:v>195755.26559738416</c:v>
                </c:pt>
                <c:pt idx="115">
                  <c:v>196644.76593631165</c:v>
                </c:pt>
                <c:pt idx="116">
                  <c:v>197498.6336243001</c:v>
                </c:pt>
                <c:pt idx="117">
                  <c:v>198318.00214321486</c:v>
                </c:pt>
                <c:pt idx="118">
                  <c:v>199103.99480954735</c:v>
                </c:pt>
                <c:pt idx="119">
                  <c:v>199857.72225083434</c:v>
                </c:pt>
                <c:pt idx="120">
                  <c:v>200580.28015903072</c:v>
                </c:pt>
                <c:pt idx="121">
                  <c:v>201272.74730602623</c:v>
                </c:pt>
                <c:pt idx="122">
                  <c:v>201936.18380616666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480-476A-920C-762E1C6005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9487760"/>
        <c:axId val="969487440"/>
      </c:scatterChart>
      <c:valAx>
        <c:axId val="9694877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Days</a:t>
                </a:r>
                <a:r>
                  <a:rPr lang="en-US" baseline="0"/>
                  <a:t> from 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69487440"/>
        <c:crosses val="autoZero"/>
        <c:crossBetween val="midCat"/>
      </c:valAx>
      <c:valAx>
        <c:axId val="969487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kern="1200" baseline="0">
                    <a:solidFill>
                      <a:srgbClr val="595959"/>
                    </a:solidFill>
                    <a:effectLst/>
                  </a:rPr>
                  <a:t>Accumulative # of people</a:t>
                </a:r>
                <a:endParaRPr lang="it-IT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694877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>
                <a:solidFill>
                  <a:srgbClr val="FF0000"/>
                </a:solidFill>
              </a:rPr>
              <a:t>Italy selected region - </a:t>
            </a:r>
            <a:r>
              <a:rPr lang="it-IT" sz="1400" b="0" i="0" u="none" strike="noStrike" baseline="0">
                <a:solidFill>
                  <a:srgbClr val="FF0000"/>
                </a:solidFill>
                <a:effectLst/>
              </a:rPr>
              <a:t>Accumulative removals - basic SIR</a:t>
            </a:r>
            <a:endParaRPr lang="it-IT">
              <a:solidFill>
                <a:srgbClr val="FF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'New_removed - bSIR'!$S$7</c:f>
              <c:strCache>
                <c:ptCount val="1"/>
                <c:pt idx="0">
                  <c:v>region cumul. data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xVal>
            <c:numRef>
              <c:f>'New_removed - bSIR'!$C$62:$C$184</c:f>
              <c:numCache>
                <c:formatCode>General</c:formatCode>
                <c:ptCount val="123"/>
                <c:pt idx="0">
                  <c:v>55</c:v>
                </c:pt>
                <c:pt idx="1">
                  <c:v>56</c:v>
                </c:pt>
                <c:pt idx="2">
                  <c:v>57</c:v>
                </c:pt>
                <c:pt idx="3">
                  <c:v>58</c:v>
                </c:pt>
                <c:pt idx="4">
                  <c:v>59</c:v>
                </c:pt>
                <c:pt idx="5">
                  <c:v>60</c:v>
                </c:pt>
                <c:pt idx="6">
                  <c:v>61</c:v>
                </c:pt>
                <c:pt idx="7">
                  <c:v>62</c:v>
                </c:pt>
                <c:pt idx="8">
                  <c:v>63</c:v>
                </c:pt>
                <c:pt idx="9">
                  <c:v>64</c:v>
                </c:pt>
                <c:pt idx="10">
                  <c:v>65</c:v>
                </c:pt>
                <c:pt idx="11">
                  <c:v>66</c:v>
                </c:pt>
                <c:pt idx="12">
                  <c:v>67</c:v>
                </c:pt>
                <c:pt idx="13">
                  <c:v>68</c:v>
                </c:pt>
                <c:pt idx="14">
                  <c:v>69</c:v>
                </c:pt>
                <c:pt idx="15">
                  <c:v>70</c:v>
                </c:pt>
                <c:pt idx="16">
                  <c:v>71</c:v>
                </c:pt>
                <c:pt idx="17">
                  <c:v>72</c:v>
                </c:pt>
                <c:pt idx="18">
                  <c:v>73</c:v>
                </c:pt>
                <c:pt idx="19">
                  <c:v>74</c:v>
                </c:pt>
                <c:pt idx="20">
                  <c:v>75</c:v>
                </c:pt>
                <c:pt idx="21">
                  <c:v>76</c:v>
                </c:pt>
                <c:pt idx="22">
                  <c:v>77</c:v>
                </c:pt>
                <c:pt idx="23">
                  <c:v>78</c:v>
                </c:pt>
                <c:pt idx="24">
                  <c:v>79</c:v>
                </c:pt>
                <c:pt idx="25">
                  <c:v>80</c:v>
                </c:pt>
                <c:pt idx="26">
                  <c:v>81</c:v>
                </c:pt>
                <c:pt idx="27">
                  <c:v>82</c:v>
                </c:pt>
                <c:pt idx="28">
                  <c:v>83</c:v>
                </c:pt>
                <c:pt idx="29">
                  <c:v>84</c:v>
                </c:pt>
                <c:pt idx="30">
                  <c:v>85</c:v>
                </c:pt>
                <c:pt idx="31">
                  <c:v>86</c:v>
                </c:pt>
                <c:pt idx="32">
                  <c:v>87</c:v>
                </c:pt>
                <c:pt idx="33">
                  <c:v>88</c:v>
                </c:pt>
                <c:pt idx="34">
                  <c:v>89</c:v>
                </c:pt>
                <c:pt idx="35">
                  <c:v>90</c:v>
                </c:pt>
                <c:pt idx="36">
                  <c:v>91</c:v>
                </c:pt>
                <c:pt idx="37">
                  <c:v>92</c:v>
                </c:pt>
                <c:pt idx="38">
                  <c:v>93</c:v>
                </c:pt>
                <c:pt idx="39">
                  <c:v>94</c:v>
                </c:pt>
                <c:pt idx="40">
                  <c:v>95</c:v>
                </c:pt>
                <c:pt idx="41">
                  <c:v>96</c:v>
                </c:pt>
                <c:pt idx="42">
                  <c:v>97</c:v>
                </c:pt>
                <c:pt idx="43">
                  <c:v>98</c:v>
                </c:pt>
                <c:pt idx="44">
                  <c:v>99</c:v>
                </c:pt>
                <c:pt idx="45">
                  <c:v>100</c:v>
                </c:pt>
                <c:pt idx="46">
                  <c:v>101</c:v>
                </c:pt>
                <c:pt idx="47">
                  <c:v>102</c:v>
                </c:pt>
                <c:pt idx="48">
                  <c:v>103</c:v>
                </c:pt>
                <c:pt idx="49">
                  <c:v>104</c:v>
                </c:pt>
                <c:pt idx="50">
                  <c:v>105</c:v>
                </c:pt>
                <c:pt idx="51">
                  <c:v>106</c:v>
                </c:pt>
                <c:pt idx="52">
                  <c:v>107</c:v>
                </c:pt>
                <c:pt idx="53">
                  <c:v>108</c:v>
                </c:pt>
                <c:pt idx="54">
                  <c:v>109</c:v>
                </c:pt>
                <c:pt idx="55">
                  <c:v>110</c:v>
                </c:pt>
                <c:pt idx="56">
                  <c:v>111</c:v>
                </c:pt>
                <c:pt idx="57">
                  <c:v>112</c:v>
                </c:pt>
                <c:pt idx="58">
                  <c:v>113</c:v>
                </c:pt>
                <c:pt idx="59">
                  <c:v>114</c:v>
                </c:pt>
                <c:pt idx="60">
                  <c:v>115</c:v>
                </c:pt>
                <c:pt idx="61">
                  <c:v>116</c:v>
                </c:pt>
                <c:pt idx="62">
                  <c:v>117</c:v>
                </c:pt>
                <c:pt idx="63">
                  <c:v>118</c:v>
                </c:pt>
                <c:pt idx="64">
                  <c:v>119</c:v>
                </c:pt>
                <c:pt idx="65">
                  <c:v>120</c:v>
                </c:pt>
                <c:pt idx="66">
                  <c:v>121</c:v>
                </c:pt>
                <c:pt idx="67">
                  <c:v>122</c:v>
                </c:pt>
                <c:pt idx="68">
                  <c:v>123</c:v>
                </c:pt>
                <c:pt idx="69">
                  <c:v>124</c:v>
                </c:pt>
                <c:pt idx="70">
                  <c:v>125</c:v>
                </c:pt>
                <c:pt idx="71">
                  <c:v>126</c:v>
                </c:pt>
                <c:pt idx="72">
                  <c:v>127</c:v>
                </c:pt>
                <c:pt idx="73">
                  <c:v>128</c:v>
                </c:pt>
                <c:pt idx="74">
                  <c:v>129</c:v>
                </c:pt>
                <c:pt idx="75">
                  <c:v>130</c:v>
                </c:pt>
                <c:pt idx="76">
                  <c:v>131</c:v>
                </c:pt>
                <c:pt idx="77">
                  <c:v>132</c:v>
                </c:pt>
                <c:pt idx="78">
                  <c:v>133</c:v>
                </c:pt>
                <c:pt idx="79">
                  <c:v>134</c:v>
                </c:pt>
                <c:pt idx="80">
                  <c:v>135</c:v>
                </c:pt>
                <c:pt idx="81">
                  <c:v>136</c:v>
                </c:pt>
                <c:pt idx="82">
                  <c:v>137</c:v>
                </c:pt>
                <c:pt idx="83">
                  <c:v>138</c:v>
                </c:pt>
                <c:pt idx="84">
                  <c:v>139</c:v>
                </c:pt>
                <c:pt idx="85">
                  <c:v>140</c:v>
                </c:pt>
                <c:pt idx="86">
                  <c:v>141</c:v>
                </c:pt>
                <c:pt idx="87">
                  <c:v>142</c:v>
                </c:pt>
                <c:pt idx="88">
                  <c:v>143</c:v>
                </c:pt>
                <c:pt idx="89">
                  <c:v>144</c:v>
                </c:pt>
                <c:pt idx="90">
                  <c:v>145</c:v>
                </c:pt>
                <c:pt idx="91">
                  <c:v>146</c:v>
                </c:pt>
                <c:pt idx="92">
                  <c:v>147</c:v>
                </c:pt>
                <c:pt idx="93">
                  <c:v>148</c:v>
                </c:pt>
                <c:pt idx="94">
                  <c:v>149</c:v>
                </c:pt>
                <c:pt idx="95">
                  <c:v>150</c:v>
                </c:pt>
                <c:pt idx="96">
                  <c:v>151</c:v>
                </c:pt>
                <c:pt idx="97">
                  <c:v>152</c:v>
                </c:pt>
                <c:pt idx="98">
                  <c:v>153</c:v>
                </c:pt>
                <c:pt idx="99">
                  <c:v>154</c:v>
                </c:pt>
                <c:pt idx="100">
                  <c:v>155</c:v>
                </c:pt>
                <c:pt idx="101">
                  <c:v>156</c:v>
                </c:pt>
                <c:pt idx="102">
                  <c:v>157</c:v>
                </c:pt>
                <c:pt idx="103">
                  <c:v>158</c:v>
                </c:pt>
                <c:pt idx="104">
                  <c:v>159</c:v>
                </c:pt>
                <c:pt idx="105">
                  <c:v>160</c:v>
                </c:pt>
                <c:pt idx="106">
                  <c:v>161</c:v>
                </c:pt>
                <c:pt idx="107">
                  <c:v>162</c:v>
                </c:pt>
                <c:pt idx="108">
                  <c:v>163</c:v>
                </c:pt>
                <c:pt idx="109">
                  <c:v>164</c:v>
                </c:pt>
                <c:pt idx="110">
                  <c:v>165</c:v>
                </c:pt>
                <c:pt idx="111">
                  <c:v>166</c:v>
                </c:pt>
                <c:pt idx="112">
                  <c:v>167</c:v>
                </c:pt>
                <c:pt idx="113">
                  <c:v>168</c:v>
                </c:pt>
                <c:pt idx="114">
                  <c:v>169</c:v>
                </c:pt>
                <c:pt idx="115">
                  <c:v>170</c:v>
                </c:pt>
                <c:pt idx="116">
                  <c:v>171</c:v>
                </c:pt>
                <c:pt idx="117">
                  <c:v>172</c:v>
                </c:pt>
                <c:pt idx="118">
                  <c:v>173</c:v>
                </c:pt>
                <c:pt idx="119">
                  <c:v>174</c:v>
                </c:pt>
                <c:pt idx="120">
                  <c:v>175</c:v>
                </c:pt>
                <c:pt idx="121">
                  <c:v>176</c:v>
                </c:pt>
                <c:pt idx="122">
                  <c:v>177</c:v>
                </c:pt>
              </c:numCache>
            </c:numRef>
          </c:xVal>
          <c:yVal>
            <c:numRef>
              <c:f>'New_removed - bSIR'!$S$62:$S$184</c:f>
              <c:numCache>
                <c:formatCode>General</c:formatCode>
                <c:ptCount val="1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5</c:v>
                </c:pt>
                <c:pt idx="9">
                  <c:v>5</c:v>
                </c:pt>
                <c:pt idx="10">
                  <c:v>7</c:v>
                </c:pt>
                <c:pt idx="11">
                  <c:v>8</c:v>
                </c:pt>
                <c:pt idx="12">
                  <c:v>9</c:v>
                </c:pt>
                <c:pt idx="13">
                  <c:v>11</c:v>
                </c:pt>
                <c:pt idx="14">
                  <c:v>12</c:v>
                </c:pt>
                <c:pt idx="15">
                  <c:v>13</c:v>
                </c:pt>
                <c:pt idx="16">
                  <c:v>13</c:v>
                </c:pt>
                <c:pt idx="17">
                  <c:v>31</c:v>
                </c:pt>
                <c:pt idx="18">
                  <c:v>41</c:v>
                </c:pt>
                <c:pt idx="19">
                  <c:v>79</c:v>
                </c:pt>
                <c:pt idx="20">
                  <c:v>66</c:v>
                </c:pt>
                <c:pt idx="21">
                  <c:v>92</c:v>
                </c:pt>
                <c:pt idx="22">
                  <c:v>117</c:v>
                </c:pt>
                <c:pt idx="23">
                  <c:v>143</c:v>
                </c:pt>
                <c:pt idx="24">
                  <c:v>176</c:v>
                </c:pt>
                <c:pt idx="25">
                  <c:v>220</c:v>
                </c:pt>
                <c:pt idx="26">
                  <c:v>277</c:v>
                </c:pt>
                <c:pt idx="27">
                  <c:v>314</c:v>
                </c:pt>
                <c:pt idx="28">
                  <c:v>371</c:v>
                </c:pt>
                <c:pt idx="29">
                  <c:v>424</c:v>
                </c:pt>
                <c:pt idx="30">
                  <c:v>479</c:v>
                </c:pt>
                <c:pt idx="31">
                  <c:v>540</c:v>
                </c:pt>
                <c:pt idx="32">
                  <c:v>636</c:v>
                </c:pt>
                <c:pt idx="33">
                  <c:v>736</c:v>
                </c:pt>
                <c:pt idx="34">
                  <c:v>797</c:v>
                </c:pt>
                <c:pt idx="35">
                  <c:v>834</c:v>
                </c:pt>
                <c:pt idx="36">
                  <c:v>908</c:v>
                </c:pt>
                <c:pt idx="37">
                  <c:v>1015</c:v>
                </c:pt>
                <c:pt idx="38">
                  <c:v>1122</c:v>
                </c:pt>
                <c:pt idx="39">
                  <c:v>1219</c:v>
                </c:pt>
                <c:pt idx="40">
                  <c:v>1309</c:v>
                </c:pt>
                <c:pt idx="41">
                  <c:v>1356</c:v>
                </c:pt>
                <c:pt idx="42">
                  <c:v>1432</c:v>
                </c:pt>
                <c:pt idx="43">
                  <c:v>1545</c:v>
                </c:pt>
                <c:pt idx="44">
                  <c:v>1661</c:v>
                </c:pt>
                <c:pt idx="45">
                  <c:v>1767</c:v>
                </c:pt>
                <c:pt idx="46">
                  <c:v>1890</c:v>
                </c:pt>
                <c:pt idx="47">
                  <c:v>2043</c:v>
                </c:pt>
                <c:pt idx="48">
                  <c:v>2161</c:v>
                </c:pt>
                <c:pt idx="49">
                  <c:v>2231</c:v>
                </c:pt>
                <c:pt idx="50">
                  <c:v>2342</c:v>
                </c:pt>
                <c:pt idx="51">
                  <c:v>2472</c:v>
                </c:pt>
                <c:pt idx="52">
                  <c:v>2602</c:v>
                </c:pt>
                <c:pt idx="53">
                  <c:v>2729</c:v>
                </c:pt>
                <c:pt idx="54">
                  <c:v>2889</c:v>
                </c:pt>
                <c:pt idx="55">
                  <c:v>3038</c:v>
                </c:pt>
                <c:pt idx="56">
                  <c:v>3173</c:v>
                </c:pt>
                <c:pt idx="57">
                  <c:v>3301</c:v>
                </c:pt>
                <c:pt idx="58">
                  <c:v>3442</c:v>
                </c:pt>
                <c:pt idx="59">
                  <c:v>3583</c:v>
                </c:pt>
                <c:pt idx="60">
                  <c:v>3736</c:v>
                </c:pt>
                <c:pt idx="61">
                  <c:v>3868</c:v>
                </c:pt>
                <c:pt idx="62">
                  <c:v>4008</c:v>
                </c:pt>
                <c:pt idx="63">
                  <c:v>4062</c:v>
                </c:pt>
                <c:pt idx="64">
                  <c:v>4201</c:v>
                </c:pt>
                <c:pt idx="65">
                  <c:v>4313</c:v>
                </c:pt>
                <c:pt idx="66">
                  <c:v>4442</c:v>
                </c:pt>
                <c:pt idx="67">
                  <c:v>4608</c:v>
                </c:pt>
                <c:pt idx="68">
                  <c:v>4714</c:v>
                </c:pt>
                <c:pt idx="69">
                  <c:v>4808</c:v>
                </c:pt>
                <c:pt idx="70">
                  <c:v>4904</c:v>
                </c:pt>
                <c:pt idx="71">
                  <c:v>5048</c:v>
                </c:pt>
                <c:pt idx="72">
                  <c:v>5245</c:v>
                </c:pt>
                <c:pt idx="73">
                  <c:v>5397</c:v>
                </c:pt>
                <c:pt idx="74">
                  <c:v>5547</c:v>
                </c:pt>
                <c:pt idx="75">
                  <c:v>5756</c:v>
                </c:pt>
                <c:pt idx="76">
                  <c:v>5888</c:v>
                </c:pt>
                <c:pt idx="77">
                  <c:v>5988</c:v>
                </c:pt>
                <c:pt idx="78">
                  <c:v>6084</c:v>
                </c:pt>
                <c:pt idx="79">
                  <c:v>6212</c:v>
                </c:pt>
                <c:pt idx="80">
                  <c:v>6335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9BA-4D14-A7E2-A9B0B7DCB6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9487760"/>
        <c:axId val="969487440"/>
      </c:scatterChart>
      <c:scatterChart>
        <c:scatterStyle val="smoothMarker"/>
        <c:varyColors val="0"/>
        <c:ser>
          <c:idx val="1"/>
          <c:order val="1"/>
          <c:tx>
            <c:strRef>
              <c:f>'New_removed - bSIR'!$X$7</c:f>
              <c:strCache>
                <c:ptCount val="1"/>
                <c:pt idx="0">
                  <c:v>region cumul. fit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'New_removed - bSIR'!$C$62:$C$184</c:f>
              <c:numCache>
                <c:formatCode>General</c:formatCode>
                <c:ptCount val="123"/>
                <c:pt idx="0">
                  <c:v>55</c:v>
                </c:pt>
                <c:pt idx="1">
                  <c:v>56</c:v>
                </c:pt>
                <c:pt idx="2">
                  <c:v>57</c:v>
                </c:pt>
                <c:pt idx="3">
                  <c:v>58</c:v>
                </c:pt>
                <c:pt idx="4">
                  <c:v>59</c:v>
                </c:pt>
                <c:pt idx="5">
                  <c:v>60</c:v>
                </c:pt>
                <c:pt idx="6">
                  <c:v>61</c:v>
                </c:pt>
                <c:pt idx="7">
                  <c:v>62</c:v>
                </c:pt>
                <c:pt idx="8">
                  <c:v>63</c:v>
                </c:pt>
                <c:pt idx="9">
                  <c:v>64</c:v>
                </c:pt>
                <c:pt idx="10">
                  <c:v>65</c:v>
                </c:pt>
                <c:pt idx="11">
                  <c:v>66</c:v>
                </c:pt>
                <c:pt idx="12">
                  <c:v>67</c:v>
                </c:pt>
                <c:pt idx="13">
                  <c:v>68</c:v>
                </c:pt>
                <c:pt idx="14">
                  <c:v>69</c:v>
                </c:pt>
                <c:pt idx="15">
                  <c:v>70</c:v>
                </c:pt>
                <c:pt idx="16">
                  <c:v>71</c:v>
                </c:pt>
                <c:pt idx="17">
                  <c:v>72</c:v>
                </c:pt>
                <c:pt idx="18">
                  <c:v>73</c:v>
                </c:pt>
                <c:pt idx="19">
                  <c:v>74</c:v>
                </c:pt>
                <c:pt idx="20">
                  <c:v>75</c:v>
                </c:pt>
                <c:pt idx="21">
                  <c:v>76</c:v>
                </c:pt>
                <c:pt idx="22">
                  <c:v>77</c:v>
                </c:pt>
                <c:pt idx="23">
                  <c:v>78</c:v>
                </c:pt>
                <c:pt idx="24">
                  <c:v>79</c:v>
                </c:pt>
                <c:pt idx="25">
                  <c:v>80</c:v>
                </c:pt>
                <c:pt idx="26">
                  <c:v>81</c:v>
                </c:pt>
                <c:pt idx="27">
                  <c:v>82</c:v>
                </c:pt>
                <c:pt idx="28">
                  <c:v>83</c:v>
                </c:pt>
                <c:pt idx="29">
                  <c:v>84</c:v>
                </c:pt>
                <c:pt idx="30">
                  <c:v>85</c:v>
                </c:pt>
                <c:pt idx="31">
                  <c:v>86</c:v>
                </c:pt>
                <c:pt idx="32">
                  <c:v>87</c:v>
                </c:pt>
                <c:pt idx="33">
                  <c:v>88</c:v>
                </c:pt>
                <c:pt idx="34">
                  <c:v>89</c:v>
                </c:pt>
                <c:pt idx="35">
                  <c:v>90</c:v>
                </c:pt>
                <c:pt idx="36">
                  <c:v>91</c:v>
                </c:pt>
                <c:pt idx="37">
                  <c:v>92</c:v>
                </c:pt>
                <c:pt idx="38">
                  <c:v>93</c:v>
                </c:pt>
                <c:pt idx="39">
                  <c:v>94</c:v>
                </c:pt>
                <c:pt idx="40">
                  <c:v>95</c:v>
                </c:pt>
                <c:pt idx="41">
                  <c:v>96</c:v>
                </c:pt>
                <c:pt idx="42">
                  <c:v>97</c:v>
                </c:pt>
                <c:pt idx="43">
                  <c:v>98</c:v>
                </c:pt>
                <c:pt idx="44">
                  <c:v>99</c:v>
                </c:pt>
                <c:pt idx="45">
                  <c:v>100</c:v>
                </c:pt>
                <c:pt idx="46">
                  <c:v>101</c:v>
                </c:pt>
                <c:pt idx="47">
                  <c:v>102</c:v>
                </c:pt>
                <c:pt idx="48">
                  <c:v>103</c:v>
                </c:pt>
                <c:pt idx="49">
                  <c:v>104</c:v>
                </c:pt>
                <c:pt idx="50">
                  <c:v>105</c:v>
                </c:pt>
                <c:pt idx="51">
                  <c:v>106</c:v>
                </c:pt>
                <c:pt idx="52">
                  <c:v>107</c:v>
                </c:pt>
                <c:pt idx="53">
                  <c:v>108</c:v>
                </c:pt>
                <c:pt idx="54">
                  <c:v>109</c:v>
                </c:pt>
                <c:pt idx="55">
                  <c:v>110</c:v>
                </c:pt>
                <c:pt idx="56">
                  <c:v>111</c:v>
                </c:pt>
                <c:pt idx="57">
                  <c:v>112</c:v>
                </c:pt>
                <c:pt idx="58">
                  <c:v>113</c:v>
                </c:pt>
                <c:pt idx="59">
                  <c:v>114</c:v>
                </c:pt>
                <c:pt idx="60">
                  <c:v>115</c:v>
                </c:pt>
                <c:pt idx="61">
                  <c:v>116</c:v>
                </c:pt>
                <c:pt idx="62">
                  <c:v>117</c:v>
                </c:pt>
                <c:pt idx="63">
                  <c:v>118</c:v>
                </c:pt>
                <c:pt idx="64">
                  <c:v>119</c:v>
                </c:pt>
                <c:pt idx="65">
                  <c:v>120</c:v>
                </c:pt>
                <c:pt idx="66">
                  <c:v>121</c:v>
                </c:pt>
                <c:pt idx="67">
                  <c:v>122</c:v>
                </c:pt>
                <c:pt idx="68">
                  <c:v>123</c:v>
                </c:pt>
                <c:pt idx="69">
                  <c:v>124</c:v>
                </c:pt>
                <c:pt idx="70">
                  <c:v>125</c:v>
                </c:pt>
                <c:pt idx="71">
                  <c:v>126</c:v>
                </c:pt>
                <c:pt idx="72">
                  <c:v>127</c:v>
                </c:pt>
                <c:pt idx="73">
                  <c:v>128</c:v>
                </c:pt>
                <c:pt idx="74">
                  <c:v>129</c:v>
                </c:pt>
                <c:pt idx="75">
                  <c:v>130</c:v>
                </c:pt>
                <c:pt idx="76">
                  <c:v>131</c:v>
                </c:pt>
                <c:pt idx="77">
                  <c:v>132</c:v>
                </c:pt>
                <c:pt idx="78">
                  <c:v>133</c:v>
                </c:pt>
                <c:pt idx="79">
                  <c:v>134</c:v>
                </c:pt>
                <c:pt idx="80">
                  <c:v>135</c:v>
                </c:pt>
                <c:pt idx="81">
                  <c:v>136</c:v>
                </c:pt>
                <c:pt idx="82">
                  <c:v>137</c:v>
                </c:pt>
                <c:pt idx="83">
                  <c:v>138</c:v>
                </c:pt>
                <c:pt idx="84">
                  <c:v>139</c:v>
                </c:pt>
                <c:pt idx="85">
                  <c:v>140</c:v>
                </c:pt>
                <c:pt idx="86">
                  <c:v>141</c:v>
                </c:pt>
                <c:pt idx="87">
                  <c:v>142</c:v>
                </c:pt>
                <c:pt idx="88">
                  <c:v>143</c:v>
                </c:pt>
                <c:pt idx="89">
                  <c:v>144</c:v>
                </c:pt>
                <c:pt idx="90">
                  <c:v>145</c:v>
                </c:pt>
                <c:pt idx="91">
                  <c:v>146</c:v>
                </c:pt>
                <c:pt idx="92">
                  <c:v>147</c:v>
                </c:pt>
                <c:pt idx="93">
                  <c:v>148</c:v>
                </c:pt>
                <c:pt idx="94">
                  <c:v>149</c:v>
                </c:pt>
                <c:pt idx="95">
                  <c:v>150</c:v>
                </c:pt>
                <c:pt idx="96">
                  <c:v>151</c:v>
                </c:pt>
                <c:pt idx="97">
                  <c:v>152</c:v>
                </c:pt>
                <c:pt idx="98">
                  <c:v>153</c:v>
                </c:pt>
                <c:pt idx="99">
                  <c:v>154</c:v>
                </c:pt>
                <c:pt idx="100">
                  <c:v>155</c:v>
                </c:pt>
                <c:pt idx="101">
                  <c:v>156</c:v>
                </c:pt>
                <c:pt idx="102">
                  <c:v>157</c:v>
                </c:pt>
                <c:pt idx="103">
                  <c:v>158</c:v>
                </c:pt>
                <c:pt idx="104">
                  <c:v>159</c:v>
                </c:pt>
                <c:pt idx="105">
                  <c:v>160</c:v>
                </c:pt>
                <c:pt idx="106">
                  <c:v>161</c:v>
                </c:pt>
                <c:pt idx="107">
                  <c:v>162</c:v>
                </c:pt>
                <c:pt idx="108">
                  <c:v>163</c:v>
                </c:pt>
                <c:pt idx="109">
                  <c:v>164</c:v>
                </c:pt>
                <c:pt idx="110">
                  <c:v>165</c:v>
                </c:pt>
                <c:pt idx="111">
                  <c:v>166</c:v>
                </c:pt>
                <c:pt idx="112">
                  <c:v>167</c:v>
                </c:pt>
                <c:pt idx="113">
                  <c:v>168</c:v>
                </c:pt>
                <c:pt idx="114">
                  <c:v>169</c:v>
                </c:pt>
                <c:pt idx="115">
                  <c:v>170</c:v>
                </c:pt>
                <c:pt idx="116">
                  <c:v>171</c:v>
                </c:pt>
                <c:pt idx="117">
                  <c:v>172</c:v>
                </c:pt>
                <c:pt idx="118">
                  <c:v>173</c:v>
                </c:pt>
                <c:pt idx="119">
                  <c:v>174</c:v>
                </c:pt>
                <c:pt idx="120">
                  <c:v>175</c:v>
                </c:pt>
                <c:pt idx="121">
                  <c:v>176</c:v>
                </c:pt>
                <c:pt idx="122">
                  <c:v>177</c:v>
                </c:pt>
              </c:numCache>
            </c:numRef>
          </c:xVal>
          <c:yVal>
            <c:numRef>
              <c:f>'New_removed - bSIR'!$X$62:$X$184</c:f>
              <c:numCache>
                <c:formatCode>General</c:formatCode>
                <c:ptCount val="1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32.100824509866122</c:v>
                </c:pt>
                <c:pt idx="22">
                  <c:v>76.133024300898043</c:v>
                </c:pt>
                <c:pt idx="23">
                  <c:v>122.25050093716941</c:v>
                </c:pt>
                <c:pt idx="24">
                  <c:v>170.52629118323117</c:v>
                </c:pt>
                <c:pt idx="25">
                  <c:v>221.03323925488343</c:v>
                </c:pt>
                <c:pt idx="26">
                  <c:v>273.84365113606447</c:v>
                </c:pt>
                <c:pt idx="27">
                  <c:v>329.02891540797884</c:v>
                </c:pt>
                <c:pt idx="28">
                  <c:v>386.65909009117553</c:v>
                </c:pt>
                <c:pt idx="29">
                  <c:v>446.80245537716399</c:v>
                </c:pt>
                <c:pt idx="30">
                  <c:v>509.5250325647749</c:v>
                </c:pt>
                <c:pt idx="31">
                  <c:v>574.89007001946868</c:v>
                </c:pt>
                <c:pt idx="32">
                  <c:v>642.95749754149949</c:v>
                </c:pt>
                <c:pt idx="33">
                  <c:v>713.7833511598343</c:v>
                </c:pt>
                <c:pt idx="34">
                  <c:v>787.41917105948437</c:v>
                </c:pt>
                <c:pt idx="35">
                  <c:v>863.9113760946401</c:v>
                </c:pt>
                <c:pt idx="36">
                  <c:v>943.30061913025622</c:v>
                </c:pt>
                <c:pt idx="37">
                  <c:v>1025.6211282791292</c:v>
                </c:pt>
                <c:pt idx="38">
                  <c:v>1110.9000399457316</c:v>
                </c:pt>
                <c:pt idx="39">
                  <c:v>1199.1567304344867</c:v>
                </c:pt>
                <c:pt idx="40">
                  <c:v>1290.4021537082767</c:v>
                </c:pt>
                <c:pt idx="41">
                  <c:v>1384.6381936691487</c:v>
                </c:pt>
                <c:pt idx="42">
                  <c:v>1481.8570400513306</c:v>
                </c:pt>
                <c:pt idx="43">
                  <c:v>1582.0405976386276</c:v>
                </c:pt>
                <c:pt idx="44">
                  <c:v>1685.1599390144866</c:v>
                </c:pt>
                <c:pt idx="45">
                  <c:v>1791.1748113935785</c:v>
                </c:pt>
                <c:pt idx="46">
                  <c:v>1900.0332082393834</c:v>
                </c:pt>
                <c:pt idx="47">
                  <c:v>2011.6710163155669</c:v>
                </c:pt>
                <c:pt idx="48">
                  <c:v>2126.0117485259707</c:v>
                </c:pt>
                <c:pt idx="49">
                  <c:v>2242.9663723493127</c:v>
                </c:pt>
                <c:pt idx="50">
                  <c:v>2362.4332428573034</c:v>
                </c:pt>
                <c:pt idx="51">
                  <c:v>2484.2981482130458</c:v>
                </c:pt>
                <c:pt idx="52">
                  <c:v>2608.4344741836117</c:v>
                </c:pt>
                <c:pt idx="53">
                  <c:v>2734.70349257925</c:v>
                </c:pt>
                <c:pt idx="54">
                  <c:v>2862.954776674921</c:v>
                </c:pt>
                <c:pt idx="55">
                  <c:v>2993.0267446110092</c:v>
                </c:pt>
                <c:pt idx="56">
                  <c:v>3124.7473295525961</c:v>
                </c:pt>
                <c:pt idx="57">
                  <c:v>3257.9347730628738</c:v>
                </c:pt>
                <c:pt idx="58">
                  <c:v>3392.3985357762895</c:v>
                </c:pt>
                <c:pt idx="59">
                  <c:v>3527.9403171064591</c:v>
                </c:pt>
                <c:pt idx="60">
                  <c:v>3664.3551734618636</c:v>
                </c:pt>
                <c:pt idx="61">
                  <c:v>3801.4327223383148</c:v>
                </c:pt>
                <c:pt idx="62">
                  <c:v>3938.9584177784354</c:v>
                </c:pt>
                <c:pt idx="63">
                  <c:v>4076.7148810967178</c:v>
                </c:pt>
                <c:pt idx="64">
                  <c:v>4214.483269517802</c:v>
                </c:pt>
                <c:pt idx="65">
                  <c:v>4352.0446645084685</c:v>
                </c:pt>
                <c:pt idx="66">
                  <c:v>4489.181461130469</c:v>
                </c:pt>
                <c:pt idx="67">
                  <c:v>4625.6787397178032</c:v>
                </c:pt>
                <c:pt idx="68">
                  <c:v>4761.3256015890902</c:v>
                </c:pt>
                <c:pt idx="69">
                  <c:v>4895.9164513290225</c:v>
                </c:pt>
                <c:pt idx="70">
                  <c:v>5029.2522093839034</c:v>
                </c:pt>
                <c:pt idx="71">
                  <c:v>5161.1414402733317</c:v>
                </c:pt>
                <c:pt idx="72">
                  <c:v>5291.4013835703663</c:v>
                </c:pt>
                <c:pt idx="73">
                  <c:v>5419.858876885336</c:v>
                </c:pt>
                <c:pt idx="74">
                  <c:v>5546.3511623365266</c:v>
                </c:pt>
                <c:pt idx="75">
                  <c:v>5670.726570335326</c:v>
                </c:pt>
                <c:pt idx="76">
                  <c:v>5792.8450768845623</c:v>
                </c:pt>
                <c:pt idx="77">
                  <c:v>5912.5787329205805</c:v>
                </c:pt>
                <c:pt idx="78">
                  <c:v>6029.8119664614005</c:v>
                </c:pt>
                <c:pt idx="79">
                  <c:v>6144.4417604016344</c:v>
                </c:pt>
                <c:pt idx="80">
                  <c:v>6256.3777106754269</c:v>
                </c:pt>
                <c:pt idx="81">
                  <c:v>6365.5419711570212</c:v>
                </c:pt>
                <c:pt idx="82">
                  <c:v>6471.8690930604926</c:v>
                </c:pt>
                <c:pt idx="83">
                  <c:v>6575.3057677217812</c:v>
                </c:pt>
                <c:pt idx="84">
                  <c:v>6675.8104824934389</c:v>
                </c:pt>
                <c:pt idx="85">
                  <c:v>6773.3531000597977</c:v>
                </c:pt>
                <c:pt idx="86">
                  <c:v>6867.9143718003515</c:v>
                </c:pt>
                <c:pt idx="87">
                  <c:v>6959.4853959104294</c:v>
                </c:pt>
                <c:pt idx="88">
                  <c:v>7048.0670308544068</c:v>
                </c:pt>
                <c:pt idx="89">
                  <c:v>7133.6692744049269</c:v>
                </c:pt>
                <c:pt idx="90">
                  <c:v>7216.3106180408222</c:v>
                </c:pt>
                <c:pt idx="91">
                  <c:v>7296.0173858667531</c:v>
                </c:pt>
                <c:pt idx="92">
                  <c:v>7372.8230665084684</c:v>
                </c:pt>
                <c:pt idx="93">
                  <c:v>7446.7676456575609</c:v>
                </c:pt>
                <c:pt idx="94">
                  <c:v>7517.8969461147954</c:v>
                </c:pt>
                <c:pt idx="95">
                  <c:v>7586.2619813356705</c:v>
                </c:pt>
                <c:pt idx="96">
                  <c:v>7651.9183276364647</c:v>
                </c:pt>
                <c:pt idx="97">
                  <c:v>7714.9255193917006</c:v>
                </c:pt>
                <c:pt idx="98">
                  <c:v>7775.3464707594485</c:v>
                </c:pt>
                <c:pt idx="99">
                  <c:v>7833.2469267206725</c:v>
                </c:pt>
                <c:pt idx="100">
                  <c:v>7888.694945521891</c:v>
                </c:pt>
                <c:pt idx="101">
                  <c:v>7941.7604139727264</c:v>
                </c:pt>
                <c:pt idx="102">
                  <c:v>7992.5145964752137</c:v>
                </c:pt>
                <c:pt idx="103">
                  <c:v>8041.0297181516726</c:v>
                </c:pt>
                <c:pt idx="104">
                  <c:v>8087.3785819923987</c:v>
                </c:pt>
                <c:pt idx="105">
                  <c:v>8131.6342195618317</c:v>
                </c:pt>
                <c:pt idx="106">
                  <c:v>8173.8695744795514</c:v>
                </c:pt>
                <c:pt idx="107">
                  <c:v>8214.157217626791</c:v>
                </c:pt>
                <c:pt idx="108">
                  <c:v>8252.569092816093</c:v>
                </c:pt>
                <c:pt idx="109">
                  <c:v>8289.1762914965584</c:v>
                </c:pt>
                <c:pt idx="110">
                  <c:v>8324.0488549451693</c:v>
                </c:pt>
                <c:pt idx="111">
                  <c:v>8357.2556023110574</c:v>
                </c:pt>
                <c:pt idx="112">
                  <c:v>8388.8639828294927</c:v>
                </c:pt>
                <c:pt idx="113">
                  <c:v>8418.9399505013425</c:v>
                </c:pt>
                <c:pt idx="114">
                  <c:v>8447.5478595373115</c:v>
                </c:pt>
                <c:pt idx="115">
                  <c:v>8474.7503788905124</c:v>
                </c:pt>
                <c:pt idx="116">
                  <c:v>8500.6084242419001</c:v>
                </c:pt>
                <c:pt idx="117">
                  <c:v>8525.1811058578242</c:v>
                </c:pt>
                <c:pt idx="118">
                  <c:v>8548.5256908039828</c:v>
                </c:pt>
                <c:pt idx="119">
                  <c:v>8570.6975780730554</c:v>
                </c:pt>
                <c:pt idx="120">
                  <c:v>8591.7502852618236</c:v>
                </c:pt>
                <c:pt idx="121">
                  <c:v>8611.735445515611</c:v>
                </c:pt>
                <c:pt idx="122">
                  <c:v>8630.702813541684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9BA-4D14-A7E2-A9B0B7DCB6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9487760"/>
        <c:axId val="969487440"/>
      </c:scatterChart>
      <c:valAx>
        <c:axId val="9694877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Days</a:t>
                </a:r>
                <a:r>
                  <a:rPr lang="en-US" baseline="0"/>
                  <a:t> from 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69487440"/>
        <c:crosses val="autoZero"/>
        <c:crossBetween val="midCat"/>
      </c:valAx>
      <c:valAx>
        <c:axId val="969487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kern="1200" baseline="0">
                    <a:solidFill>
                      <a:srgbClr val="595959"/>
                    </a:solidFill>
                    <a:effectLst/>
                  </a:rPr>
                  <a:t>Accumulative # of people</a:t>
                </a:r>
                <a:endParaRPr lang="it-IT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694877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>
                <a:solidFill>
                  <a:srgbClr val="00B050"/>
                </a:solidFill>
              </a:rPr>
              <a:t>rest of Italy outside selected region - removal rate (# of people remived per day) - basic SIR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'New_removed - bSIR'!$AH$7</c:f>
              <c:strCache>
                <c:ptCount val="1"/>
                <c:pt idx="0">
                  <c:v>rest of Italy data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noFill/>
              </a:ln>
              <a:effectLst/>
            </c:spPr>
          </c:marker>
          <c:xVal>
            <c:numRef>
              <c:f>'New_removed - bSIR'!$C$62:$C$281</c:f>
              <c:numCache>
                <c:formatCode>General</c:formatCode>
                <c:ptCount val="220"/>
                <c:pt idx="0">
                  <c:v>55</c:v>
                </c:pt>
                <c:pt idx="1">
                  <c:v>56</c:v>
                </c:pt>
                <c:pt idx="2">
                  <c:v>57</c:v>
                </c:pt>
                <c:pt idx="3">
                  <c:v>58</c:v>
                </c:pt>
                <c:pt idx="4">
                  <c:v>59</c:v>
                </c:pt>
                <c:pt idx="5">
                  <c:v>60</c:v>
                </c:pt>
                <c:pt idx="6">
                  <c:v>61</c:v>
                </c:pt>
                <c:pt idx="7">
                  <c:v>62</c:v>
                </c:pt>
                <c:pt idx="8">
                  <c:v>63</c:v>
                </c:pt>
                <c:pt idx="9">
                  <c:v>64</c:v>
                </c:pt>
                <c:pt idx="10">
                  <c:v>65</c:v>
                </c:pt>
                <c:pt idx="11">
                  <c:v>66</c:v>
                </c:pt>
                <c:pt idx="12">
                  <c:v>67</c:v>
                </c:pt>
                <c:pt idx="13">
                  <c:v>68</c:v>
                </c:pt>
                <c:pt idx="14">
                  <c:v>69</c:v>
                </c:pt>
                <c:pt idx="15">
                  <c:v>70</c:v>
                </c:pt>
                <c:pt idx="16">
                  <c:v>71</c:v>
                </c:pt>
                <c:pt idx="17">
                  <c:v>72</c:v>
                </c:pt>
                <c:pt idx="18">
                  <c:v>73</c:v>
                </c:pt>
                <c:pt idx="19">
                  <c:v>74</c:v>
                </c:pt>
                <c:pt idx="20">
                  <c:v>75</c:v>
                </c:pt>
                <c:pt idx="21">
                  <c:v>76</c:v>
                </c:pt>
                <c:pt idx="22">
                  <c:v>77</c:v>
                </c:pt>
                <c:pt idx="23">
                  <c:v>78</c:v>
                </c:pt>
                <c:pt idx="24">
                  <c:v>79</c:v>
                </c:pt>
                <c:pt idx="25">
                  <c:v>80</c:v>
                </c:pt>
                <c:pt idx="26">
                  <c:v>81</c:v>
                </c:pt>
                <c:pt idx="27">
                  <c:v>82</c:v>
                </c:pt>
                <c:pt idx="28">
                  <c:v>83</c:v>
                </c:pt>
                <c:pt idx="29">
                  <c:v>84</c:v>
                </c:pt>
                <c:pt idx="30">
                  <c:v>85</c:v>
                </c:pt>
                <c:pt idx="31">
                  <c:v>86</c:v>
                </c:pt>
                <c:pt idx="32">
                  <c:v>87</c:v>
                </c:pt>
                <c:pt idx="33">
                  <c:v>88</c:v>
                </c:pt>
                <c:pt idx="34">
                  <c:v>89</c:v>
                </c:pt>
                <c:pt idx="35">
                  <c:v>90</c:v>
                </c:pt>
                <c:pt idx="36">
                  <c:v>91</c:v>
                </c:pt>
                <c:pt idx="37">
                  <c:v>92</c:v>
                </c:pt>
                <c:pt idx="38">
                  <c:v>93</c:v>
                </c:pt>
                <c:pt idx="39">
                  <c:v>94</c:v>
                </c:pt>
                <c:pt idx="40">
                  <c:v>95</c:v>
                </c:pt>
                <c:pt idx="41">
                  <c:v>96</c:v>
                </c:pt>
                <c:pt idx="42">
                  <c:v>97</c:v>
                </c:pt>
                <c:pt idx="43">
                  <c:v>98</c:v>
                </c:pt>
                <c:pt idx="44">
                  <c:v>99</c:v>
                </c:pt>
                <c:pt idx="45">
                  <c:v>100</c:v>
                </c:pt>
                <c:pt idx="46">
                  <c:v>101</c:v>
                </c:pt>
                <c:pt idx="47">
                  <c:v>102</c:v>
                </c:pt>
                <c:pt idx="48">
                  <c:v>103</c:v>
                </c:pt>
                <c:pt idx="49">
                  <c:v>104</c:v>
                </c:pt>
                <c:pt idx="50">
                  <c:v>105</c:v>
                </c:pt>
                <c:pt idx="51">
                  <c:v>106</c:v>
                </c:pt>
                <c:pt idx="52">
                  <c:v>107</c:v>
                </c:pt>
                <c:pt idx="53">
                  <c:v>108</c:v>
                </c:pt>
                <c:pt idx="54">
                  <c:v>109</c:v>
                </c:pt>
                <c:pt idx="55">
                  <c:v>110</c:v>
                </c:pt>
                <c:pt idx="56">
                  <c:v>111</c:v>
                </c:pt>
                <c:pt idx="57">
                  <c:v>112</c:v>
                </c:pt>
                <c:pt idx="58">
                  <c:v>113</c:v>
                </c:pt>
                <c:pt idx="59">
                  <c:v>114</c:v>
                </c:pt>
                <c:pt idx="60">
                  <c:v>115</c:v>
                </c:pt>
                <c:pt idx="61">
                  <c:v>116</c:v>
                </c:pt>
                <c:pt idx="62">
                  <c:v>117</c:v>
                </c:pt>
                <c:pt idx="63">
                  <c:v>118</c:v>
                </c:pt>
                <c:pt idx="64">
                  <c:v>119</c:v>
                </c:pt>
                <c:pt idx="65">
                  <c:v>120</c:v>
                </c:pt>
                <c:pt idx="66">
                  <c:v>121</c:v>
                </c:pt>
                <c:pt idx="67">
                  <c:v>122</c:v>
                </c:pt>
                <c:pt idx="68">
                  <c:v>123</c:v>
                </c:pt>
                <c:pt idx="69">
                  <c:v>124</c:v>
                </c:pt>
                <c:pt idx="70">
                  <c:v>125</c:v>
                </c:pt>
                <c:pt idx="71">
                  <c:v>126</c:v>
                </c:pt>
                <c:pt idx="72">
                  <c:v>127</c:v>
                </c:pt>
                <c:pt idx="73">
                  <c:v>128</c:v>
                </c:pt>
                <c:pt idx="74">
                  <c:v>129</c:v>
                </c:pt>
                <c:pt idx="75">
                  <c:v>130</c:v>
                </c:pt>
                <c:pt idx="76">
                  <c:v>131</c:v>
                </c:pt>
                <c:pt idx="77">
                  <c:v>132</c:v>
                </c:pt>
                <c:pt idx="78">
                  <c:v>133</c:v>
                </c:pt>
                <c:pt idx="79">
                  <c:v>134</c:v>
                </c:pt>
                <c:pt idx="80">
                  <c:v>135</c:v>
                </c:pt>
                <c:pt idx="81">
                  <c:v>136</c:v>
                </c:pt>
                <c:pt idx="82">
                  <c:v>137</c:v>
                </c:pt>
                <c:pt idx="83">
                  <c:v>138</c:v>
                </c:pt>
                <c:pt idx="84">
                  <c:v>139</c:v>
                </c:pt>
                <c:pt idx="85">
                  <c:v>140</c:v>
                </c:pt>
                <c:pt idx="86">
                  <c:v>141</c:v>
                </c:pt>
                <c:pt idx="87">
                  <c:v>142</c:v>
                </c:pt>
                <c:pt idx="88">
                  <c:v>143</c:v>
                </c:pt>
                <c:pt idx="89">
                  <c:v>144</c:v>
                </c:pt>
                <c:pt idx="90">
                  <c:v>145</c:v>
                </c:pt>
                <c:pt idx="91">
                  <c:v>146</c:v>
                </c:pt>
                <c:pt idx="92">
                  <c:v>147</c:v>
                </c:pt>
                <c:pt idx="93">
                  <c:v>148</c:v>
                </c:pt>
                <c:pt idx="94">
                  <c:v>149</c:v>
                </c:pt>
                <c:pt idx="95">
                  <c:v>150</c:v>
                </c:pt>
                <c:pt idx="96">
                  <c:v>151</c:v>
                </c:pt>
                <c:pt idx="97">
                  <c:v>152</c:v>
                </c:pt>
                <c:pt idx="98">
                  <c:v>153</c:v>
                </c:pt>
                <c:pt idx="99">
                  <c:v>154</c:v>
                </c:pt>
                <c:pt idx="100">
                  <c:v>155</c:v>
                </c:pt>
                <c:pt idx="101">
                  <c:v>156</c:v>
                </c:pt>
                <c:pt idx="102">
                  <c:v>157</c:v>
                </c:pt>
                <c:pt idx="103">
                  <c:v>158</c:v>
                </c:pt>
                <c:pt idx="104">
                  <c:v>159</c:v>
                </c:pt>
                <c:pt idx="105">
                  <c:v>160</c:v>
                </c:pt>
                <c:pt idx="106">
                  <c:v>161</c:v>
                </c:pt>
                <c:pt idx="107">
                  <c:v>162</c:v>
                </c:pt>
                <c:pt idx="108">
                  <c:v>163</c:v>
                </c:pt>
                <c:pt idx="109">
                  <c:v>164</c:v>
                </c:pt>
                <c:pt idx="110">
                  <c:v>165</c:v>
                </c:pt>
                <c:pt idx="111">
                  <c:v>166</c:v>
                </c:pt>
                <c:pt idx="112">
                  <c:v>167</c:v>
                </c:pt>
                <c:pt idx="113">
                  <c:v>168</c:v>
                </c:pt>
                <c:pt idx="114">
                  <c:v>169</c:v>
                </c:pt>
                <c:pt idx="115">
                  <c:v>170</c:v>
                </c:pt>
                <c:pt idx="116">
                  <c:v>171</c:v>
                </c:pt>
                <c:pt idx="117">
                  <c:v>172</c:v>
                </c:pt>
                <c:pt idx="118">
                  <c:v>173</c:v>
                </c:pt>
                <c:pt idx="119">
                  <c:v>174</c:v>
                </c:pt>
                <c:pt idx="120">
                  <c:v>175</c:v>
                </c:pt>
                <c:pt idx="121">
                  <c:v>176</c:v>
                </c:pt>
                <c:pt idx="122">
                  <c:v>177</c:v>
                </c:pt>
                <c:pt idx="123">
                  <c:v>178</c:v>
                </c:pt>
                <c:pt idx="124">
                  <c:v>179</c:v>
                </c:pt>
                <c:pt idx="125">
                  <c:v>180</c:v>
                </c:pt>
                <c:pt idx="126">
                  <c:v>181</c:v>
                </c:pt>
                <c:pt idx="127">
                  <c:v>182</c:v>
                </c:pt>
                <c:pt idx="128">
                  <c:v>183</c:v>
                </c:pt>
                <c:pt idx="129">
                  <c:v>184</c:v>
                </c:pt>
                <c:pt idx="130">
                  <c:v>185</c:v>
                </c:pt>
                <c:pt idx="131">
                  <c:v>186</c:v>
                </c:pt>
                <c:pt idx="132">
                  <c:v>187</c:v>
                </c:pt>
                <c:pt idx="133">
                  <c:v>188</c:v>
                </c:pt>
                <c:pt idx="134">
                  <c:v>189</c:v>
                </c:pt>
                <c:pt idx="135">
                  <c:v>190</c:v>
                </c:pt>
                <c:pt idx="136">
                  <c:v>191</c:v>
                </c:pt>
                <c:pt idx="137">
                  <c:v>192</c:v>
                </c:pt>
                <c:pt idx="138">
                  <c:v>193</c:v>
                </c:pt>
                <c:pt idx="139">
                  <c:v>194</c:v>
                </c:pt>
                <c:pt idx="140">
                  <c:v>195</c:v>
                </c:pt>
                <c:pt idx="141">
                  <c:v>196</c:v>
                </c:pt>
                <c:pt idx="142">
                  <c:v>197</c:v>
                </c:pt>
                <c:pt idx="143">
                  <c:v>198</c:v>
                </c:pt>
                <c:pt idx="144">
                  <c:v>199</c:v>
                </c:pt>
                <c:pt idx="145">
                  <c:v>200</c:v>
                </c:pt>
                <c:pt idx="146">
                  <c:v>201</c:v>
                </c:pt>
                <c:pt idx="147">
                  <c:v>202</c:v>
                </c:pt>
                <c:pt idx="148">
                  <c:v>203</c:v>
                </c:pt>
                <c:pt idx="149">
                  <c:v>204</c:v>
                </c:pt>
                <c:pt idx="150">
                  <c:v>205</c:v>
                </c:pt>
                <c:pt idx="151">
                  <c:v>206</c:v>
                </c:pt>
                <c:pt idx="152">
                  <c:v>207</c:v>
                </c:pt>
                <c:pt idx="153">
                  <c:v>208</c:v>
                </c:pt>
                <c:pt idx="154">
                  <c:v>209</c:v>
                </c:pt>
                <c:pt idx="155">
                  <c:v>210</c:v>
                </c:pt>
                <c:pt idx="156">
                  <c:v>211</c:v>
                </c:pt>
                <c:pt idx="157">
                  <c:v>212</c:v>
                </c:pt>
                <c:pt idx="158">
                  <c:v>213</c:v>
                </c:pt>
                <c:pt idx="159">
                  <c:v>214</c:v>
                </c:pt>
                <c:pt idx="160">
                  <c:v>215</c:v>
                </c:pt>
                <c:pt idx="161">
                  <c:v>216</c:v>
                </c:pt>
                <c:pt idx="162">
                  <c:v>217</c:v>
                </c:pt>
                <c:pt idx="163">
                  <c:v>218</c:v>
                </c:pt>
                <c:pt idx="164">
                  <c:v>219</c:v>
                </c:pt>
                <c:pt idx="165">
                  <c:v>220</c:v>
                </c:pt>
                <c:pt idx="166">
                  <c:v>221</c:v>
                </c:pt>
                <c:pt idx="167">
                  <c:v>222</c:v>
                </c:pt>
                <c:pt idx="168">
                  <c:v>223</c:v>
                </c:pt>
                <c:pt idx="169">
                  <c:v>224</c:v>
                </c:pt>
                <c:pt idx="170">
                  <c:v>225</c:v>
                </c:pt>
                <c:pt idx="171">
                  <c:v>226</c:v>
                </c:pt>
                <c:pt idx="172">
                  <c:v>227</c:v>
                </c:pt>
                <c:pt idx="173">
                  <c:v>228</c:v>
                </c:pt>
                <c:pt idx="174">
                  <c:v>229</c:v>
                </c:pt>
                <c:pt idx="175">
                  <c:v>230</c:v>
                </c:pt>
                <c:pt idx="176">
                  <c:v>231</c:v>
                </c:pt>
                <c:pt idx="177">
                  <c:v>232</c:v>
                </c:pt>
                <c:pt idx="178">
                  <c:v>233</c:v>
                </c:pt>
                <c:pt idx="179">
                  <c:v>234</c:v>
                </c:pt>
                <c:pt idx="180">
                  <c:v>235</c:v>
                </c:pt>
                <c:pt idx="181">
                  <c:v>236</c:v>
                </c:pt>
                <c:pt idx="182">
                  <c:v>237</c:v>
                </c:pt>
                <c:pt idx="183">
                  <c:v>238</c:v>
                </c:pt>
                <c:pt idx="184">
                  <c:v>239</c:v>
                </c:pt>
                <c:pt idx="185">
                  <c:v>240</c:v>
                </c:pt>
                <c:pt idx="186">
                  <c:v>241</c:v>
                </c:pt>
                <c:pt idx="187">
                  <c:v>242</c:v>
                </c:pt>
                <c:pt idx="188">
                  <c:v>243</c:v>
                </c:pt>
                <c:pt idx="189">
                  <c:v>244</c:v>
                </c:pt>
                <c:pt idx="190">
                  <c:v>245</c:v>
                </c:pt>
                <c:pt idx="191">
                  <c:v>246</c:v>
                </c:pt>
                <c:pt idx="192">
                  <c:v>247</c:v>
                </c:pt>
                <c:pt idx="193">
                  <c:v>248</c:v>
                </c:pt>
                <c:pt idx="194">
                  <c:v>249</c:v>
                </c:pt>
                <c:pt idx="195">
                  <c:v>250</c:v>
                </c:pt>
                <c:pt idx="196">
                  <c:v>251</c:v>
                </c:pt>
                <c:pt idx="197">
                  <c:v>252</c:v>
                </c:pt>
                <c:pt idx="198">
                  <c:v>253</c:v>
                </c:pt>
                <c:pt idx="199">
                  <c:v>254</c:v>
                </c:pt>
                <c:pt idx="200">
                  <c:v>255</c:v>
                </c:pt>
                <c:pt idx="201">
                  <c:v>256</c:v>
                </c:pt>
                <c:pt idx="202">
                  <c:v>257</c:v>
                </c:pt>
                <c:pt idx="203">
                  <c:v>258</c:v>
                </c:pt>
                <c:pt idx="204">
                  <c:v>259</c:v>
                </c:pt>
                <c:pt idx="205">
                  <c:v>260</c:v>
                </c:pt>
                <c:pt idx="206">
                  <c:v>261</c:v>
                </c:pt>
                <c:pt idx="207">
                  <c:v>262</c:v>
                </c:pt>
                <c:pt idx="208">
                  <c:v>263</c:v>
                </c:pt>
                <c:pt idx="209">
                  <c:v>264</c:v>
                </c:pt>
                <c:pt idx="210">
                  <c:v>265</c:v>
                </c:pt>
                <c:pt idx="211">
                  <c:v>266</c:v>
                </c:pt>
                <c:pt idx="212">
                  <c:v>267</c:v>
                </c:pt>
                <c:pt idx="213">
                  <c:v>268</c:v>
                </c:pt>
                <c:pt idx="214">
                  <c:v>269</c:v>
                </c:pt>
                <c:pt idx="215">
                  <c:v>270</c:v>
                </c:pt>
                <c:pt idx="216">
                  <c:v>271</c:v>
                </c:pt>
                <c:pt idx="217">
                  <c:v>272</c:v>
                </c:pt>
                <c:pt idx="218">
                  <c:v>273</c:v>
                </c:pt>
                <c:pt idx="219">
                  <c:v>274</c:v>
                </c:pt>
              </c:numCache>
            </c:numRef>
          </c:xVal>
          <c:yVal>
            <c:numRef>
              <c:f>'New_removed - bSIR'!$AH$62:$AH$281</c:f>
              <c:numCache>
                <c:formatCode>0</c:formatCode>
                <c:ptCount val="220"/>
                <c:pt idx="1">
                  <c:v>3</c:v>
                </c:pt>
                <c:pt idx="2">
                  <c:v>4</c:v>
                </c:pt>
                <c:pt idx="3">
                  <c:v>47</c:v>
                </c:pt>
                <c:pt idx="4">
                  <c:v>5</c:v>
                </c:pt>
                <c:pt idx="5">
                  <c:v>8</c:v>
                </c:pt>
                <c:pt idx="6">
                  <c:v>38</c:v>
                </c:pt>
                <c:pt idx="7">
                  <c:v>84</c:v>
                </c:pt>
                <c:pt idx="8">
                  <c:v>37</c:v>
                </c:pt>
                <c:pt idx="9">
                  <c:v>144</c:v>
                </c:pt>
                <c:pt idx="10">
                  <c:v>177</c:v>
                </c:pt>
                <c:pt idx="11">
                  <c:v>157</c:v>
                </c:pt>
                <c:pt idx="12">
                  <c:v>101</c:v>
                </c:pt>
                <c:pt idx="13">
                  <c:v>164</c:v>
                </c:pt>
                <c:pt idx="14">
                  <c:v>198</c:v>
                </c:pt>
                <c:pt idx="15">
                  <c:v>447</c:v>
                </c:pt>
                <c:pt idx="16">
                  <c:v>237</c:v>
                </c:pt>
                <c:pt idx="17">
                  <c:v>384</c:v>
                </c:pt>
                <c:pt idx="18">
                  <c:v>421</c:v>
                </c:pt>
                <c:pt idx="19">
                  <c:v>664</c:v>
                </c:pt>
                <c:pt idx="20">
                  <c:v>750</c:v>
                </c:pt>
                <c:pt idx="21">
                  <c:v>737</c:v>
                </c:pt>
                <c:pt idx="22">
                  <c:v>512</c:v>
                </c:pt>
                <c:pt idx="23">
                  <c:v>1533</c:v>
                </c:pt>
                <c:pt idx="24">
                  <c:v>809</c:v>
                </c:pt>
                <c:pt idx="25">
                  <c:v>1272</c:v>
                </c:pt>
                <c:pt idx="26">
                  <c:v>1679</c:v>
                </c:pt>
                <c:pt idx="27">
                  <c:v>1566</c:v>
                </c:pt>
                <c:pt idx="28">
                  <c:v>952</c:v>
                </c:pt>
                <c:pt idx="29">
                  <c:v>1584</c:v>
                </c:pt>
                <c:pt idx="30">
                  <c:v>1664</c:v>
                </c:pt>
                <c:pt idx="31">
                  <c:v>1600</c:v>
                </c:pt>
                <c:pt idx="32">
                  <c:v>1462</c:v>
                </c:pt>
                <c:pt idx="33">
                  <c:v>2223</c:v>
                </c:pt>
                <c:pt idx="34">
                  <c:v>1341</c:v>
                </c:pt>
                <c:pt idx="35">
                  <c:v>2365</c:v>
                </c:pt>
                <c:pt idx="36">
                  <c:v>1872</c:v>
                </c:pt>
                <c:pt idx="37">
                  <c:v>1738</c:v>
                </c:pt>
                <c:pt idx="38">
                  <c:v>2084</c:v>
                </c:pt>
                <c:pt idx="39">
                  <c:v>2149</c:v>
                </c:pt>
                <c:pt idx="40">
                  <c:v>1829</c:v>
                </c:pt>
                <c:pt idx="41">
                  <c:v>1297</c:v>
                </c:pt>
                <c:pt idx="42">
                  <c:v>1582</c:v>
                </c:pt>
                <c:pt idx="43">
                  <c:v>2046</c:v>
                </c:pt>
                <c:pt idx="44">
                  <c:v>2525</c:v>
                </c:pt>
                <c:pt idx="45">
                  <c:v>2483</c:v>
                </c:pt>
                <c:pt idx="46">
                  <c:v>2432</c:v>
                </c:pt>
                <c:pt idx="47">
                  <c:v>2545</c:v>
                </c:pt>
                <c:pt idx="48">
                  <c:v>1990</c:v>
                </c:pt>
                <c:pt idx="49">
                  <c:v>1720</c:v>
                </c:pt>
                <c:pt idx="50">
                  <c:v>2186</c:v>
                </c:pt>
                <c:pt idx="51">
                  <c:v>1410</c:v>
                </c:pt>
                <c:pt idx="52">
                  <c:v>2467</c:v>
                </c:pt>
                <c:pt idx="53">
                  <c:v>3011</c:v>
                </c:pt>
                <c:pt idx="54">
                  <c:v>2522</c:v>
                </c:pt>
                <c:pt idx="55">
                  <c:v>2412</c:v>
                </c:pt>
                <c:pt idx="56">
                  <c:v>2141</c:v>
                </c:pt>
                <c:pt idx="57">
                  <c:v>3129</c:v>
                </c:pt>
                <c:pt idx="58">
                  <c:v>3239</c:v>
                </c:pt>
                <c:pt idx="59">
                  <c:v>3356</c:v>
                </c:pt>
                <c:pt idx="60">
                  <c:v>3189</c:v>
                </c:pt>
                <c:pt idx="61">
                  <c:v>2905</c:v>
                </c:pt>
                <c:pt idx="62">
                  <c:v>1928</c:v>
                </c:pt>
                <c:pt idx="63">
                  <c:v>1975</c:v>
                </c:pt>
                <c:pt idx="64">
                  <c:v>2560</c:v>
                </c:pt>
                <c:pt idx="65">
                  <c:v>2522</c:v>
                </c:pt>
                <c:pt idx="66">
                  <c:v>4849</c:v>
                </c:pt>
                <c:pt idx="67">
                  <c:v>2407</c:v>
                </c:pt>
                <c:pt idx="68">
                  <c:v>2033</c:v>
                </c:pt>
                <c:pt idx="69">
                  <c:v>1820</c:v>
                </c:pt>
                <c:pt idx="70">
                  <c:v>1324</c:v>
                </c:pt>
                <c:pt idx="71">
                  <c:v>2444</c:v>
                </c:pt>
                <c:pt idx="72">
                  <c:v>8186</c:v>
                </c:pt>
                <c:pt idx="73">
                  <c:v>3153</c:v>
                </c:pt>
                <c:pt idx="74">
                  <c:v>2840</c:v>
                </c:pt>
                <c:pt idx="75">
                  <c:v>3993</c:v>
                </c:pt>
                <c:pt idx="76">
                  <c:v>2188</c:v>
                </c:pt>
                <c:pt idx="77">
                  <c:v>1480</c:v>
                </c:pt>
                <c:pt idx="78">
                  <c:v>2528</c:v>
                </c:pt>
                <c:pt idx="79">
                  <c:v>3569</c:v>
                </c:pt>
                <c:pt idx="80">
                  <c:v>2886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A8F-43A6-8F85-1987D75DEE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9487760"/>
        <c:axId val="969487440"/>
      </c:scatterChart>
      <c:scatterChart>
        <c:scatterStyle val="smoothMarker"/>
        <c:varyColors val="0"/>
        <c:ser>
          <c:idx val="1"/>
          <c:order val="1"/>
          <c:tx>
            <c:strRef>
              <c:f>'New_removed - bSIR'!$AL$7</c:f>
              <c:strCache>
                <c:ptCount val="1"/>
                <c:pt idx="0">
                  <c:v>rest of Italy fit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'New_removed - bSIR'!$C$62:$C$281</c:f>
              <c:numCache>
                <c:formatCode>General</c:formatCode>
                <c:ptCount val="220"/>
                <c:pt idx="0">
                  <c:v>55</c:v>
                </c:pt>
                <c:pt idx="1">
                  <c:v>56</c:v>
                </c:pt>
                <c:pt idx="2">
                  <c:v>57</c:v>
                </c:pt>
                <c:pt idx="3">
                  <c:v>58</c:v>
                </c:pt>
                <c:pt idx="4">
                  <c:v>59</c:v>
                </c:pt>
                <c:pt idx="5">
                  <c:v>60</c:v>
                </c:pt>
                <c:pt idx="6">
                  <c:v>61</c:v>
                </c:pt>
                <c:pt idx="7">
                  <c:v>62</c:v>
                </c:pt>
                <c:pt idx="8">
                  <c:v>63</c:v>
                </c:pt>
                <c:pt idx="9">
                  <c:v>64</c:v>
                </c:pt>
                <c:pt idx="10">
                  <c:v>65</c:v>
                </c:pt>
                <c:pt idx="11">
                  <c:v>66</c:v>
                </c:pt>
                <c:pt idx="12">
                  <c:v>67</c:v>
                </c:pt>
                <c:pt idx="13">
                  <c:v>68</c:v>
                </c:pt>
                <c:pt idx="14">
                  <c:v>69</c:v>
                </c:pt>
                <c:pt idx="15">
                  <c:v>70</c:v>
                </c:pt>
                <c:pt idx="16">
                  <c:v>71</c:v>
                </c:pt>
                <c:pt idx="17">
                  <c:v>72</c:v>
                </c:pt>
                <c:pt idx="18">
                  <c:v>73</c:v>
                </c:pt>
                <c:pt idx="19">
                  <c:v>74</c:v>
                </c:pt>
                <c:pt idx="20">
                  <c:v>75</c:v>
                </c:pt>
                <c:pt idx="21">
                  <c:v>76</c:v>
                </c:pt>
                <c:pt idx="22">
                  <c:v>77</c:v>
                </c:pt>
                <c:pt idx="23">
                  <c:v>78</c:v>
                </c:pt>
                <c:pt idx="24">
                  <c:v>79</c:v>
                </c:pt>
                <c:pt idx="25">
                  <c:v>80</c:v>
                </c:pt>
                <c:pt idx="26">
                  <c:v>81</c:v>
                </c:pt>
                <c:pt idx="27">
                  <c:v>82</c:v>
                </c:pt>
                <c:pt idx="28">
                  <c:v>83</c:v>
                </c:pt>
                <c:pt idx="29">
                  <c:v>84</c:v>
                </c:pt>
                <c:pt idx="30">
                  <c:v>85</c:v>
                </c:pt>
                <c:pt idx="31">
                  <c:v>86</c:v>
                </c:pt>
                <c:pt idx="32">
                  <c:v>87</c:v>
                </c:pt>
                <c:pt idx="33">
                  <c:v>88</c:v>
                </c:pt>
                <c:pt idx="34">
                  <c:v>89</c:v>
                </c:pt>
                <c:pt idx="35">
                  <c:v>90</c:v>
                </c:pt>
                <c:pt idx="36">
                  <c:v>91</c:v>
                </c:pt>
                <c:pt idx="37">
                  <c:v>92</c:v>
                </c:pt>
                <c:pt idx="38">
                  <c:v>93</c:v>
                </c:pt>
                <c:pt idx="39">
                  <c:v>94</c:v>
                </c:pt>
                <c:pt idx="40">
                  <c:v>95</c:v>
                </c:pt>
                <c:pt idx="41">
                  <c:v>96</c:v>
                </c:pt>
                <c:pt idx="42">
                  <c:v>97</c:v>
                </c:pt>
                <c:pt idx="43">
                  <c:v>98</c:v>
                </c:pt>
                <c:pt idx="44">
                  <c:v>99</c:v>
                </c:pt>
                <c:pt idx="45">
                  <c:v>100</c:v>
                </c:pt>
                <c:pt idx="46">
                  <c:v>101</c:v>
                </c:pt>
                <c:pt idx="47">
                  <c:v>102</c:v>
                </c:pt>
                <c:pt idx="48">
                  <c:v>103</c:v>
                </c:pt>
                <c:pt idx="49">
                  <c:v>104</c:v>
                </c:pt>
                <c:pt idx="50">
                  <c:v>105</c:v>
                </c:pt>
                <c:pt idx="51">
                  <c:v>106</c:v>
                </c:pt>
                <c:pt idx="52">
                  <c:v>107</c:v>
                </c:pt>
                <c:pt idx="53">
                  <c:v>108</c:v>
                </c:pt>
                <c:pt idx="54">
                  <c:v>109</c:v>
                </c:pt>
                <c:pt idx="55">
                  <c:v>110</c:v>
                </c:pt>
                <c:pt idx="56">
                  <c:v>111</c:v>
                </c:pt>
                <c:pt idx="57">
                  <c:v>112</c:v>
                </c:pt>
                <c:pt idx="58">
                  <c:v>113</c:v>
                </c:pt>
                <c:pt idx="59">
                  <c:v>114</c:v>
                </c:pt>
                <c:pt idx="60">
                  <c:v>115</c:v>
                </c:pt>
                <c:pt idx="61">
                  <c:v>116</c:v>
                </c:pt>
                <c:pt idx="62">
                  <c:v>117</c:v>
                </c:pt>
                <c:pt idx="63">
                  <c:v>118</c:v>
                </c:pt>
                <c:pt idx="64">
                  <c:v>119</c:v>
                </c:pt>
                <c:pt idx="65">
                  <c:v>120</c:v>
                </c:pt>
                <c:pt idx="66">
                  <c:v>121</c:v>
                </c:pt>
                <c:pt idx="67">
                  <c:v>122</c:v>
                </c:pt>
                <c:pt idx="68">
                  <c:v>123</c:v>
                </c:pt>
                <c:pt idx="69">
                  <c:v>124</c:v>
                </c:pt>
                <c:pt idx="70">
                  <c:v>125</c:v>
                </c:pt>
                <c:pt idx="71">
                  <c:v>126</c:v>
                </c:pt>
                <c:pt idx="72">
                  <c:v>127</c:v>
                </c:pt>
                <c:pt idx="73">
                  <c:v>128</c:v>
                </c:pt>
                <c:pt idx="74">
                  <c:v>129</c:v>
                </c:pt>
                <c:pt idx="75">
                  <c:v>130</c:v>
                </c:pt>
                <c:pt idx="76">
                  <c:v>131</c:v>
                </c:pt>
                <c:pt idx="77">
                  <c:v>132</c:v>
                </c:pt>
                <c:pt idx="78">
                  <c:v>133</c:v>
                </c:pt>
                <c:pt idx="79">
                  <c:v>134</c:v>
                </c:pt>
                <c:pt idx="80">
                  <c:v>135</c:v>
                </c:pt>
                <c:pt idx="81">
                  <c:v>136</c:v>
                </c:pt>
                <c:pt idx="82">
                  <c:v>137</c:v>
                </c:pt>
                <c:pt idx="83">
                  <c:v>138</c:v>
                </c:pt>
                <c:pt idx="84">
                  <c:v>139</c:v>
                </c:pt>
                <c:pt idx="85">
                  <c:v>140</c:v>
                </c:pt>
                <c:pt idx="86">
                  <c:v>141</c:v>
                </c:pt>
                <c:pt idx="87">
                  <c:v>142</c:v>
                </c:pt>
                <c:pt idx="88">
                  <c:v>143</c:v>
                </c:pt>
                <c:pt idx="89">
                  <c:v>144</c:v>
                </c:pt>
                <c:pt idx="90">
                  <c:v>145</c:v>
                </c:pt>
                <c:pt idx="91">
                  <c:v>146</c:v>
                </c:pt>
                <c:pt idx="92">
                  <c:v>147</c:v>
                </c:pt>
                <c:pt idx="93">
                  <c:v>148</c:v>
                </c:pt>
                <c:pt idx="94">
                  <c:v>149</c:v>
                </c:pt>
                <c:pt idx="95">
                  <c:v>150</c:v>
                </c:pt>
                <c:pt idx="96">
                  <c:v>151</c:v>
                </c:pt>
                <c:pt idx="97">
                  <c:v>152</c:v>
                </c:pt>
                <c:pt idx="98">
                  <c:v>153</c:v>
                </c:pt>
                <c:pt idx="99">
                  <c:v>154</c:v>
                </c:pt>
                <c:pt idx="100">
                  <c:v>155</c:v>
                </c:pt>
                <c:pt idx="101">
                  <c:v>156</c:v>
                </c:pt>
                <c:pt idx="102">
                  <c:v>157</c:v>
                </c:pt>
                <c:pt idx="103">
                  <c:v>158</c:v>
                </c:pt>
                <c:pt idx="104">
                  <c:v>159</c:v>
                </c:pt>
                <c:pt idx="105">
                  <c:v>160</c:v>
                </c:pt>
                <c:pt idx="106">
                  <c:v>161</c:v>
                </c:pt>
                <c:pt idx="107">
                  <c:v>162</c:v>
                </c:pt>
                <c:pt idx="108">
                  <c:v>163</c:v>
                </c:pt>
                <c:pt idx="109">
                  <c:v>164</c:v>
                </c:pt>
                <c:pt idx="110">
                  <c:v>165</c:v>
                </c:pt>
                <c:pt idx="111">
                  <c:v>166</c:v>
                </c:pt>
                <c:pt idx="112">
                  <c:v>167</c:v>
                </c:pt>
                <c:pt idx="113">
                  <c:v>168</c:v>
                </c:pt>
                <c:pt idx="114">
                  <c:v>169</c:v>
                </c:pt>
                <c:pt idx="115">
                  <c:v>170</c:v>
                </c:pt>
                <c:pt idx="116">
                  <c:v>171</c:v>
                </c:pt>
                <c:pt idx="117">
                  <c:v>172</c:v>
                </c:pt>
                <c:pt idx="118">
                  <c:v>173</c:v>
                </c:pt>
                <c:pt idx="119">
                  <c:v>174</c:v>
                </c:pt>
                <c:pt idx="120">
                  <c:v>175</c:v>
                </c:pt>
                <c:pt idx="121">
                  <c:v>176</c:v>
                </c:pt>
                <c:pt idx="122">
                  <c:v>177</c:v>
                </c:pt>
                <c:pt idx="123">
                  <c:v>178</c:v>
                </c:pt>
                <c:pt idx="124">
                  <c:v>179</c:v>
                </c:pt>
                <c:pt idx="125">
                  <c:v>180</c:v>
                </c:pt>
                <c:pt idx="126">
                  <c:v>181</c:v>
                </c:pt>
                <c:pt idx="127">
                  <c:v>182</c:v>
                </c:pt>
                <c:pt idx="128">
                  <c:v>183</c:v>
                </c:pt>
                <c:pt idx="129">
                  <c:v>184</c:v>
                </c:pt>
                <c:pt idx="130">
                  <c:v>185</c:v>
                </c:pt>
                <c:pt idx="131">
                  <c:v>186</c:v>
                </c:pt>
                <c:pt idx="132">
                  <c:v>187</c:v>
                </c:pt>
                <c:pt idx="133">
                  <c:v>188</c:v>
                </c:pt>
                <c:pt idx="134">
                  <c:v>189</c:v>
                </c:pt>
                <c:pt idx="135">
                  <c:v>190</c:v>
                </c:pt>
                <c:pt idx="136">
                  <c:v>191</c:v>
                </c:pt>
                <c:pt idx="137">
                  <c:v>192</c:v>
                </c:pt>
                <c:pt idx="138">
                  <c:v>193</c:v>
                </c:pt>
                <c:pt idx="139">
                  <c:v>194</c:v>
                </c:pt>
                <c:pt idx="140">
                  <c:v>195</c:v>
                </c:pt>
                <c:pt idx="141">
                  <c:v>196</c:v>
                </c:pt>
                <c:pt idx="142">
                  <c:v>197</c:v>
                </c:pt>
                <c:pt idx="143">
                  <c:v>198</c:v>
                </c:pt>
                <c:pt idx="144">
                  <c:v>199</c:v>
                </c:pt>
                <c:pt idx="145">
                  <c:v>200</c:v>
                </c:pt>
                <c:pt idx="146">
                  <c:v>201</c:v>
                </c:pt>
                <c:pt idx="147">
                  <c:v>202</c:v>
                </c:pt>
                <c:pt idx="148">
                  <c:v>203</c:v>
                </c:pt>
                <c:pt idx="149">
                  <c:v>204</c:v>
                </c:pt>
                <c:pt idx="150">
                  <c:v>205</c:v>
                </c:pt>
                <c:pt idx="151">
                  <c:v>206</c:v>
                </c:pt>
                <c:pt idx="152">
                  <c:v>207</c:v>
                </c:pt>
                <c:pt idx="153">
                  <c:v>208</c:v>
                </c:pt>
                <c:pt idx="154">
                  <c:v>209</c:v>
                </c:pt>
                <c:pt idx="155">
                  <c:v>210</c:v>
                </c:pt>
                <c:pt idx="156">
                  <c:v>211</c:v>
                </c:pt>
                <c:pt idx="157">
                  <c:v>212</c:v>
                </c:pt>
                <c:pt idx="158">
                  <c:v>213</c:v>
                </c:pt>
                <c:pt idx="159">
                  <c:v>214</c:v>
                </c:pt>
                <c:pt idx="160">
                  <c:v>215</c:v>
                </c:pt>
                <c:pt idx="161">
                  <c:v>216</c:v>
                </c:pt>
                <c:pt idx="162">
                  <c:v>217</c:v>
                </c:pt>
                <c:pt idx="163">
                  <c:v>218</c:v>
                </c:pt>
                <c:pt idx="164">
                  <c:v>219</c:v>
                </c:pt>
                <c:pt idx="165">
                  <c:v>220</c:v>
                </c:pt>
                <c:pt idx="166">
                  <c:v>221</c:v>
                </c:pt>
                <c:pt idx="167">
                  <c:v>222</c:v>
                </c:pt>
                <c:pt idx="168">
                  <c:v>223</c:v>
                </c:pt>
                <c:pt idx="169">
                  <c:v>224</c:v>
                </c:pt>
                <c:pt idx="170">
                  <c:v>225</c:v>
                </c:pt>
                <c:pt idx="171">
                  <c:v>226</c:v>
                </c:pt>
                <c:pt idx="172">
                  <c:v>227</c:v>
                </c:pt>
                <c:pt idx="173">
                  <c:v>228</c:v>
                </c:pt>
                <c:pt idx="174">
                  <c:v>229</c:v>
                </c:pt>
                <c:pt idx="175">
                  <c:v>230</c:v>
                </c:pt>
                <c:pt idx="176">
                  <c:v>231</c:v>
                </c:pt>
                <c:pt idx="177">
                  <c:v>232</c:v>
                </c:pt>
                <c:pt idx="178">
                  <c:v>233</c:v>
                </c:pt>
                <c:pt idx="179">
                  <c:v>234</c:v>
                </c:pt>
                <c:pt idx="180">
                  <c:v>235</c:v>
                </c:pt>
                <c:pt idx="181">
                  <c:v>236</c:v>
                </c:pt>
                <c:pt idx="182">
                  <c:v>237</c:v>
                </c:pt>
                <c:pt idx="183">
                  <c:v>238</c:v>
                </c:pt>
                <c:pt idx="184">
                  <c:v>239</c:v>
                </c:pt>
                <c:pt idx="185">
                  <c:v>240</c:v>
                </c:pt>
                <c:pt idx="186">
                  <c:v>241</c:v>
                </c:pt>
                <c:pt idx="187">
                  <c:v>242</c:v>
                </c:pt>
                <c:pt idx="188">
                  <c:v>243</c:v>
                </c:pt>
                <c:pt idx="189">
                  <c:v>244</c:v>
                </c:pt>
                <c:pt idx="190">
                  <c:v>245</c:v>
                </c:pt>
                <c:pt idx="191">
                  <c:v>246</c:v>
                </c:pt>
                <c:pt idx="192">
                  <c:v>247</c:v>
                </c:pt>
                <c:pt idx="193">
                  <c:v>248</c:v>
                </c:pt>
                <c:pt idx="194">
                  <c:v>249</c:v>
                </c:pt>
                <c:pt idx="195">
                  <c:v>250</c:v>
                </c:pt>
                <c:pt idx="196">
                  <c:v>251</c:v>
                </c:pt>
                <c:pt idx="197">
                  <c:v>252</c:v>
                </c:pt>
                <c:pt idx="198">
                  <c:v>253</c:v>
                </c:pt>
                <c:pt idx="199">
                  <c:v>254</c:v>
                </c:pt>
                <c:pt idx="200">
                  <c:v>255</c:v>
                </c:pt>
                <c:pt idx="201">
                  <c:v>256</c:v>
                </c:pt>
                <c:pt idx="202">
                  <c:v>257</c:v>
                </c:pt>
                <c:pt idx="203">
                  <c:v>258</c:v>
                </c:pt>
                <c:pt idx="204">
                  <c:v>259</c:v>
                </c:pt>
                <c:pt idx="205">
                  <c:v>260</c:v>
                </c:pt>
                <c:pt idx="206">
                  <c:v>261</c:v>
                </c:pt>
                <c:pt idx="207">
                  <c:v>262</c:v>
                </c:pt>
                <c:pt idx="208">
                  <c:v>263</c:v>
                </c:pt>
                <c:pt idx="209">
                  <c:v>264</c:v>
                </c:pt>
                <c:pt idx="210">
                  <c:v>265</c:v>
                </c:pt>
                <c:pt idx="211">
                  <c:v>266</c:v>
                </c:pt>
                <c:pt idx="212">
                  <c:v>267</c:v>
                </c:pt>
                <c:pt idx="213">
                  <c:v>268</c:v>
                </c:pt>
                <c:pt idx="214">
                  <c:v>269</c:v>
                </c:pt>
                <c:pt idx="215">
                  <c:v>270</c:v>
                </c:pt>
                <c:pt idx="216">
                  <c:v>271</c:v>
                </c:pt>
                <c:pt idx="217">
                  <c:v>272</c:v>
                </c:pt>
                <c:pt idx="218">
                  <c:v>273</c:v>
                </c:pt>
                <c:pt idx="219">
                  <c:v>274</c:v>
                </c:pt>
              </c:numCache>
            </c:numRef>
          </c:xVal>
          <c:yVal>
            <c:numRef>
              <c:f>'New_removed - bSIR'!$AL$62:$AL$281</c:f>
              <c:numCache>
                <c:formatCode>General</c:formatCode>
                <c:ptCount val="220"/>
                <c:pt idx="0">
                  <c:v>416.63005840073617</c:v>
                </c:pt>
                <c:pt idx="1">
                  <c:v>435.90654379101215</c:v>
                </c:pt>
                <c:pt idx="2">
                  <c:v>455.99141134913026</c:v>
                </c:pt>
                <c:pt idx="3">
                  <c:v>476.91036166032649</c:v>
                </c:pt>
                <c:pt idx="4">
                  <c:v>498.68908137569247</c:v>
                </c:pt>
                <c:pt idx="5">
                  <c:v>521.35314072895551</c:v>
                </c:pt>
                <c:pt idx="6">
                  <c:v>544.92787981053641</c:v>
                </c:pt>
                <c:pt idx="7">
                  <c:v>569.43828295224262</c:v>
                </c:pt>
                <c:pt idx="8">
                  <c:v>594.90884059421614</c:v>
                </c:pt>
                <c:pt idx="9">
                  <c:v>621.36339803480007</c:v>
                </c:pt>
                <c:pt idx="10">
                  <c:v>648.82499050547119</c:v>
                </c:pt>
                <c:pt idx="11">
                  <c:v>677.31566406851903</c:v>
                </c:pt>
                <c:pt idx="12">
                  <c:v>706.85628190650073</c:v>
                </c:pt>
                <c:pt idx="13">
                  <c:v>737.46631566147164</c:v>
                </c:pt>
                <c:pt idx="14">
                  <c:v>769.16362159037783</c:v>
                </c:pt>
                <c:pt idx="15">
                  <c:v>801.96420143263879</c:v>
                </c:pt>
                <c:pt idx="16">
                  <c:v>835.88194803854844</c:v>
                </c:pt>
                <c:pt idx="17">
                  <c:v>870.92837598436176</c:v>
                </c:pt>
                <c:pt idx="18">
                  <c:v>907.11233760320704</c:v>
                </c:pt>
                <c:pt idx="19">
                  <c:v>944.43972509149307</c:v>
                </c:pt>
                <c:pt idx="20">
                  <c:v>982.91315960910981</c:v>
                </c:pt>
                <c:pt idx="21">
                  <c:v>1022.5316685788226</c:v>
                </c:pt>
                <c:pt idx="22">
                  <c:v>1063.2903527057497</c:v>
                </c:pt>
                <c:pt idx="23">
                  <c:v>1105.1800445808067</c:v>
                </c:pt>
                <c:pt idx="24">
                  <c:v>1148.186961101017</c:v>
                </c:pt>
                <c:pt idx="25">
                  <c:v>1192.2923523319887</c:v>
                </c:pt>
                <c:pt idx="26">
                  <c:v>1237.4721498503447</c:v>
                </c:pt>
                <c:pt idx="27">
                  <c:v>1283.6966180315158</c:v>
                </c:pt>
                <c:pt idx="28">
                  <c:v>1330.9300121854699</c:v>
                </c:pt>
                <c:pt idx="29">
                  <c:v>1379.1302478821483</c:v>
                </c:pt>
                <c:pt idx="30">
                  <c:v>1428.2485862411072</c:v>
                </c:pt>
                <c:pt idx="31">
                  <c:v>1478.2293403760341</c:v>
                </c:pt>
                <c:pt idx="32">
                  <c:v>1529.0096085728962</c:v>
                </c:pt>
                <c:pt idx="33">
                  <c:v>1580.5190401277139</c:v>
                </c:pt>
                <c:pt idx="34">
                  <c:v>1632.6796400622929</c:v>
                </c:pt>
                <c:pt idx="35">
                  <c:v>1685.4056191586722</c:v>
                </c:pt>
                <c:pt idx="36">
                  <c:v>1738.6032958898488</c:v>
                </c:pt>
                <c:pt idx="37">
                  <c:v>1792.1710568593091</c:v>
                </c:pt>
                <c:pt idx="38">
                  <c:v>1845.9993822792608</c:v>
                </c:pt>
                <c:pt idx="39">
                  <c:v>1899.9709428015701</c:v>
                </c:pt>
                <c:pt idx="40">
                  <c:v>1953.9607736524481</c:v>
                </c:pt>
                <c:pt idx="41">
                  <c:v>2007.8365314995226</c:v>
                </c:pt>
                <c:pt idx="42">
                  <c:v>2061.4588387886483</c:v>
                </c:pt>
                <c:pt idx="43">
                  <c:v>2114.6817194215978</c:v>
                </c:pt>
                <c:pt idx="44">
                  <c:v>2167.3531286026951</c:v>
                </c:pt>
                <c:pt idx="45">
                  <c:v>2219.3155784654437</c:v>
                </c:pt>
                <c:pt idx="46">
                  <c:v>2270.4068597079263</c:v>
                </c:pt>
                <c:pt idx="47">
                  <c:v>2320.4608579325804</c:v>
                </c:pt>
                <c:pt idx="48">
                  <c:v>2369.308461722921</c:v>
                </c:pt>
                <c:pt idx="49">
                  <c:v>2416.778557724303</c:v>
                </c:pt>
                <c:pt idx="50">
                  <c:v>2462.6991061616313</c:v>
                </c:pt>
                <c:pt idx="51">
                  <c:v>2506.8982883638237</c:v>
                </c:pt>
                <c:pt idx="52">
                  <c:v>2549.2057160178306</c:v>
                </c:pt>
                <c:pt idx="53">
                  <c:v>2589.4536900931867</c:v>
                </c:pt>
                <c:pt idx="54">
                  <c:v>2627.4784957135739</c:v>
                </c:pt>
                <c:pt idx="55">
                  <c:v>2663.121717757861</c:v>
                </c:pt>
                <c:pt idx="56">
                  <c:v>2696.2315607021442</c:v>
                </c:pt>
                <c:pt idx="57">
                  <c:v>2726.6641552165006</c:v>
                </c:pt>
                <c:pt idx="58">
                  <c:v>2754.2848333505026</c:v>
                </c:pt>
                <c:pt idx="59">
                  <c:v>2778.9693538184129</c:v>
                </c:pt>
                <c:pt idx="60">
                  <c:v>2800.6050589578949</c:v>
                </c:pt>
                <c:pt idx="61">
                  <c:v>2819.0919454039017</c:v>
                </c:pt>
                <c:pt idx="62">
                  <c:v>2834.3436313991633</c:v>
                </c:pt>
                <c:pt idx="63">
                  <c:v>2846.2882049485584</c:v>
                </c:pt>
                <c:pt idx="64">
                  <c:v>2854.8689386973233</c:v>
                </c:pt>
                <c:pt idx="65">
                  <c:v>2860.0448594402933</c:v>
                </c:pt>
                <c:pt idx="66">
                  <c:v>2861.7911625062025</c:v>
                </c:pt>
                <c:pt idx="67">
                  <c:v>2860.099463851755</c:v>
                </c:pt>
                <c:pt idx="68">
                  <c:v>2854.9778854792903</c:v>
                </c:pt>
                <c:pt idx="69">
                  <c:v>2846.4509726872284</c:v>
                </c:pt>
                <c:pt idx="70">
                  <c:v>2834.5594445975712</c:v>
                </c:pt>
                <c:pt idx="71">
                  <c:v>2819.359782301347</c:v>
                </c:pt>
                <c:pt idx="72">
                  <c:v>2800.9236617444394</c:v>
                </c:pt>
                <c:pt idx="73">
                  <c:v>2779.3372410703887</c:v>
                </c:pt>
                <c:pt idx="74">
                  <c:v>2754.700314478182</c:v>
                </c:pt>
                <c:pt idx="75">
                  <c:v>2727.1253466854846</c:v>
                </c:pt>
                <c:pt idx="76">
                  <c:v>2696.7364037664474</c:v>
                </c:pt>
                <c:pt idx="77">
                  <c:v>2663.6679974253593</c:v>
                </c:pt>
                <c:pt idx="78">
                  <c:v>2628.0638606537232</c:v>
                </c:pt>
                <c:pt idx="79">
                  <c:v>2590.0756731927027</c:v>
                </c:pt>
                <c:pt idx="80">
                  <c:v>2549.8617552920941</c:v>
                </c:pt>
                <c:pt idx="81">
                  <c:v>2507.5857479397855</c:v>
                </c:pt>
                <c:pt idx="82">
                  <c:v>2463.4152970613991</c:v>
                </c:pt>
                <c:pt idx="83">
                  <c:v>2417.5207581966961</c:v>
                </c:pt>
                <c:pt idx="84">
                  <c:v>2370.0739368923601</c:v>
                </c:pt>
                <c:pt idx="85">
                  <c:v>2321.246878559899</c:v>
                </c:pt>
                <c:pt idx="86">
                  <c:v>2271.2107198851827</c:v>
                </c:pt>
                <c:pt idx="87">
                  <c:v>2220.1346120957755</c:v>
                </c:pt>
                <c:pt idx="88">
                  <c:v>2168.1847245458539</c:v>
                </c:pt>
                <c:pt idx="89">
                  <c:v>2115.5233352152854</c:v>
                </c:pt>
                <c:pt idx="90">
                  <c:v>2062.3080128844995</c:v>
                </c:pt>
                <c:pt idx="91">
                  <c:v>2008.69089397989</c:v>
                </c:pt>
                <c:pt idx="92">
                  <c:v>1954.8180554196199</c:v>
                </c:pt>
                <c:pt idx="93">
                  <c:v>1900.828983254296</c:v>
                </c:pt>
                <c:pt idx="94">
                  <c:v>1846.8561355121424</c:v>
                </c:pt>
                <c:pt idx="95">
                  <c:v>1793.0245964386106</c:v>
                </c:pt>
                <c:pt idx="96">
                  <c:v>1739.4518182744894</c:v>
                </c:pt>
                <c:pt idx="97">
                  <c:v>1686.2474458475172</c:v>
                </c:pt>
                <c:pt idx="98">
                  <c:v>1633.5132185585294</c:v>
                </c:pt>
                <c:pt idx="99">
                  <c:v>1581.3429438181131</c:v>
                </c:pt>
                <c:pt idx="100">
                  <c:v>1529.8225356243356</c:v>
                </c:pt>
                <c:pt idx="101">
                  <c:v>1479.0301117540259</c:v>
                </c:pt>
                <c:pt idx="102">
                  <c:v>1429.0361429554005</c:v>
                </c:pt>
                <c:pt idx="103">
                  <c:v>1379.9036475631058</c:v>
                </c:pt>
                <c:pt idx="104">
                  <c:v>1331.6884250920205</c:v>
                </c:pt>
                <c:pt idx="105">
                  <c:v>1284.4393225873632</c:v>
                </c:pt>
                <c:pt idx="106">
                  <c:v>1238.1985278000059</c:v>
                </c:pt>
                <c:pt idx="107">
                  <c:v>1193.0018836023471</c:v>
                </c:pt>
                <c:pt idx="108">
                  <c:v>1148.8792184476879</c:v>
                </c:pt>
                <c:pt idx="109">
                  <c:v>1105.8546880918113</c:v>
                </c:pt>
                <c:pt idx="110">
                  <c:v>1063.9471242280545</c:v>
                </c:pt>
                <c:pt idx="111">
                  <c:v>1023.1703861263269</c:v>
                </c:pt>
                <c:pt idx="112">
                  <c:v>983.53371180375711</c:v>
                </c:pt>
                <c:pt idx="113">
                  <c:v>945.04206568250993</c:v>
                </c:pt>
                <c:pt idx="114">
                  <c:v>907.69648010304866</c:v>
                </c:pt>
                <c:pt idx="115">
                  <c:v>871.49438845389989</c:v>
                </c:pt>
                <c:pt idx="116">
                  <c:v>836.42994804835473</c:v>
                </c:pt>
                <c:pt idx="117">
                  <c:v>802.49435122199816</c:v>
                </c:pt>
                <c:pt idx="118">
                  <c:v>769.67612344085728</c:v>
                </c:pt>
                <c:pt idx="119">
                  <c:v>737.96140749753636</c:v>
                </c:pt>
                <c:pt idx="120">
                  <c:v>707.33423313179389</c:v>
                </c:pt>
                <c:pt idx="121">
                  <c:v>677.77677164294937</c:v>
                </c:pt>
                <c:pt idx="122">
                  <c:v>649.26957526525678</c:v>
                </c:pt>
                <c:pt idx="123">
                  <c:v>621.79180125497817</c:v>
                </c:pt>
                <c:pt idx="124">
                  <c:v>595.32142079089454</c:v>
                </c:pt>
                <c:pt idx="125">
                  <c:v>569.83541291998392</c:v>
                </c:pt>
                <c:pt idx="126">
                  <c:v>545.30994388869215</c:v>
                </c:pt>
                <c:pt idx="127">
                  <c:v>521.72053228950324</c:v>
                </c:pt>
                <c:pt idx="128">
                  <c:v>499.04220052411802</c:v>
                </c:pt>
                <c:pt idx="129">
                  <c:v>477.24961314033152</c:v>
                </c:pt>
                <c:pt idx="130">
                  <c:v>456.31720264138278</c:v>
                </c:pt>
                <c:pt idx="131">
                  <c:v>436.21928339578392</c:v>
                </c:pt>
                <c:pt idx="132">
                  <c:v>416.93015429406626</c:v>
                </c:pt>
                <c:pt idx="133">
                  <c:v>398.4241908078784</c:v>
                </c:pt>
                <c:pt idx="134">
                  <c:v>380.67592710790939</c:v>
                </c:pt>
                <c:pt idx="135">
                  <c:v>363.66012889136488</c:v>
                </c:pt>
                <c:pt idx="136">
                  <c:v>347.35185755833567</c:v>
                </c:pt>
                <c:pt idx="137">
                  <c:v>331.72652636045217</c:v>
                </c:pt>
                <c:pt idx="138">
                  <c:v>316.75994912552488</c:v>
                </c:pt>
                <c:pt idx="139">
                  <c:v>302.42838213933646</c:v>
                </c:pt>
                <c:pt idx="140">
                  <c:v>288.70855974102409</c:v>
                </c:pt>
                <c:pt idx="141">
                  <c:v>275.57772416220649</c:v>
                </c:pt>
                <c:pt idx="142">
                  <c:v>263.01365011271929</c:v>
                </c:pt>
                <c:pt idx="143">
                  <c:v>250.99466458794774</c:v>
                </c:pt>
                <c:pt idx="144">
                  <c:v>239.49966234471987</c:v>
                </c:pt>
                <c:pt idx="145">
                  <c:v>228.50811746480665</c:v>
                </c:pt>
                <c:pt idx="146">
                  <c:v>218.00009139762147</c:v>
                </c:pt>
                <c:pt idx="147">
                  <c:v>207.95623784683303</c:v>
                </c:pt>
                <c:pt idx="148">
                  <c:v>198.35780483957382</c:v>
                </c:pt>
                <c:pt idx="149">
                  <c:v>189.18663429181285</c:v>
                </c:pt>
                <c:pt idx="150">
                  <c:v>180.42515935937823</c:v>
                </c:pt>
                <c:pt idx="151">
                  <c:v>172.05639984116607</c:v>
                </c:pt>
                <c:pt idx="152">
                  <c:v>164.0639558792561</c:v>
                </c:pt>
                <c:pt idx="153">
                  <c:v>156.43200018003049</c:v>
                </c:pt>
                <c:pt idx="154">
                  <c:v>149.14526896097468</c:v>
                </c:pt>
                <c:pt idx="155">
                  <c:v>142.18905180958154</c:v>
                </c:pt>
                <c:pt idx="156">
                  <c:v>135.54918062371934</c:v>
                </c:pt>
                <c:pt idx="157">
                  <c:v>129.21201778688456</c:v>
                </c:pt>
                <c:pt idx="158">
                  <c:v>123.16444371694988</c:v>
                </c:pt>
                <c:pt idx="159">
                  <c:v>117.39384391325746</c:v>
                </c:pt>
                <c:pt idx="160">
                  <c:v>111.88809561418012</c:v>
                </c:pt>
                <c:pt idx="161">
                  <c:v>106.63555416552848</c:v>
                </c:pt>
                <c:pt idx="162">
                  <c:v>101.62503918934982</c:v>
                </c:pt>
                <c:pt idx="163">
                  <c:v>96.845820632720617</c:v>
                </c:pt>
                <c:pt idx="164">
                  <c:v>92.287604767017243</c:v>
                </c:pt>
                <c:pt idx="165">
                  <c:v>87.940520199800261</c:v>
                </c:pt>
                <c:pt idx="166">
                  <c:v>83.795103953832637</c:v>
                </c:pt>
                <c:pt idx="167">
                  <c:v>79.842287660810612</c:v>
                </c:pt>
                <c:pt idx="168">
                  <c:v>76.073383911081265</c:v>
                </c:pt>
                <c:pt idx="169">
                  <c:v>72.480072794895918</c:v>
                </c:pt>
                <c:pt idx="170">
                  <c:v>69.054388665571423</c:v>
                </c:pt>
                <c:pt idx="171">
                  <c:v>65.788707150257792</c:v>
                </c:pt>
                <c:pt idx="172">
                  <c:v>62.675732429795517</c:v>
                </c:pt>
                <c:pt idx="173">
                  <c:v>59.708484805364293</c:v>
                </c:pt>
                <c:pt idx="174">
                  <c:v>56.880288566226476</c:v>
                </c:pt>
                <c:pt idx="175">
                  <c:v>54.1847601698422</c:v>
                </c:pt>
                <c:pt idx="176">
                  <c:v>51.615796742922868</c:v>
                </c:pt>
                <c:pt idx="177">
                  <c:v>49.167564909588229</c:v>
                </c:pt>
                <c:pt idx="178">
                  <c:v>46.834489950665933</c:v>
                </c:pt>
                <c:pt idx="179">
                  <c:v>44.611245296288764</c:v>
                </c:pt>
                <c:pt idx="180">
                  <c:v>42.492742352297867</c:v>
                </c:pt>
                <c:pt idx="181">
                  <c:v>40.474120659509303</c:v>
                </c:pt>
                <c:pt idx="182">
                  <c:v>38.55073838364769</c:v>
                </c:pt>
                <c:pt idx="183">
                  <c:v>36.718163132655775</c:v>
                </c:pt>
                <c:pt idx="184">
                  <c:v>34.97216309715315</c:v>
                </c:pt>
                <c:pt idx="185">
                  <c:v>33.308698509016267</c:v>
                </c:pt>
                <c:pt idx="186">
                  <c:v>31.723913412373847</c:v>
                </c:pt>
                <c:pt idx="187">
                  <c:v>30.214127740745479</c:v>
                </c:pt>
                <c:pt idx="188">
                  <c:v>28.77582969358247</c:v>
                </c:pt>
                <c:pt idx="189">
                  <c:v>27.405668405092129</c:v>
                </c:pt>
                <c:pt idx="190">
                  <c:v>26.100446897924986</c:v>
                </c:pt>
                <c:pt idx="191">
                  <c:v>24.857115314073283</c:v>
                </c:pt>
                <c:pt idx="192">
                  <c:v>23.672764415162696</c:v>
                </c:pt>
                <c:pt idx="193">
                  <c:v>22.544619344203127</c:v>
                </c:pt>
                <c:pt idx="194">
                  <c:v>21.470033640800658</c:v>
                </c:pt>
                <c:pt idx="195">
                  <c:v>20.446483501807975</c:v>
                </c:pt>
                <c:pt idx="196">
                  <c:v>19.471562279406299</c:v>
                </c:pt>
                <c:pt idx="197">
                  <c:v>18.542975208655886</c:v>
                </c:pt>
                <c:pt idx="198">
                  <c:v>17.658534356626355</c:v>
                </c:pt>
                <c:pt idx="199">
                  <c:v>16.816153785316299</c:v>
                </c:pt>
                <c:pt idx="200">
                  <c:v>16.013844920688395</c:v>
                </c:pt>
                <c:pt idx="201">
                  <c:v>15.249712120281236</c:v>
                </c:pt>
                <c:pt idx="202">
                  <c:v>14.521948432009335</c:v>
                </c:pt>
                <c:pt idx="203">
                  <c:v>13.828831536922738</c:v>
                </c:pt>
                <c:pt idx="204">
                  <c:v>13.168719868869273</c:v>
                </c:pt>
                <c:pt idx="205">
                  <c:v>12.540048904180088</c:v>
                </c:pt>
                <c:pt idx="206">
                  <c:v>11.941327614684107</c:v>
                </c:pt>
                <c:pt idx="207">
                  <c:v>11.371135077545174</c:v>
                </c:pt>
                <c:pt idx="208">
                  <c:v>10.828117235606628</c:v>
                </c:pt>
                <c:pt idx="209">
                  <c:v>10.310983802122305</c:v>
                </c:pt>
                <c:pt idx="210">
                  <c:v>9.818505303945777</c:v>
                </c:pt>
                <c:pt idx="211">
                  <c:v>9.3495102574435265</c:v>
                </c:pt>
                <c:pt idx="212">
                  <c:v>8.9028824715905834</c:v>
                </c:pt>
                <c:pt idx="213">
                  <c:v>8.4775584728974192</c:v>
                </c:pt>
                <c:pt idx="214">
                  <c:v>8.0725250470056338</c:v>
                </c:pt>
                <c:pt idx="215">
                  <c:v>7.6868168919753765</c:v>
                </c:pt>
                <c:pt idx="216">
                  <c:v>7.3195143784700676</c:v>
                </c:pt>
                <c:pt idx="217">
                  <c:v>6.969741412222386</c:v>
                </c:pt>
                <c:pt idx="218">
                  <c:v>6.6366633943403901</c:v>
                </c:pt>
                <c:pt idx="219">
                  <c:v>6.3194852751835882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A8F-43A6-8F85-1987D75DEE3E}"/>
            </c:ext>
          </c:extLst>
        </c:ser>
        <c:ser>
          <c:idx val="2"/>
          <c:order val="2"/>
          <c:tx>
            <c:strRef>
              <c:f>'New_removed - bSIR'!$AO$7</c:f>
              <c:strCache>
                <c:ptCount val="1"/>
                <c:pt idx="0">
                  <c:v>Upper CI__</c:v>
                </c:pt>
              </c:strCache>
            </c:strRef>
          </c:tx>
          <c:spPr>
            <a:ln w="19050" cap="rnd">
              <a:solidFill>
                <a:schemeClr val="accent3"/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'New_removed - bSIR'!$C$62:$C$281</c:f>
              <c:numCache>
                <c:formatCode>General</c:formatCode>
                <c:ptCount val="220"/>
                <c:pt idx="0">
                  <c:v>55</c:v>
                </c:pt>
                <c:pt idx="1">
                  <c:v>56</c:v>
                </c:pt>
                <c:pt idx="2">
                  <c:v>57</c:v>
                </c:pt>
                <c:pt idx="3">
                  <c:v>58</c:v>
                </c:pt>
                <c:pt idx="4">
                  <c:v>59</c:v>
                </c:pt>
                <c:pt idx="5">
                  <c:v>60</c:v>
                </c:pt>
                <c:pt idx="6">
                  <c:v>61</c:v>
                </c:pt>
                <c:pt idx="7">
                  <c:v>62</c:v>
                </c:pt>
                <c:pt idx="8">
                  <c:v>63</c:v>
                </c:pt>
                <c:pt idx="9">
                  <c:v>64</c:v>
                </c:pt>
                <c:pt idx="10">
                  <c:v>65</c:v>
                </c:pt>
                <c:pt idx="11">
                  <c:v>66</c:v>
                </c:pt>
                <c:pt idx="12">
                  <c:v>67</c:v>
                </c:pt>
                <c:pt idx="13">
                  <c:v>68</c:v>
                </c:pt>
                <c:pt idx="14">
                  <c:v>69</c:v>
                </c:pt>
                <c:pt idx="15">
                  <c:v>70</c:v>
                </c:pt>
                <c:pt idx="16">
                  <c:v>71</c:v>
                </c:pt>
                <c:pt idx="17">
                  <c:v>72</c:v>
                </c:pt>
                <c:pt idx="18">
                  <c:v>73</c:v>
                </c:pt>
                <c:pt idx="19">
                  <c:v>74</c:v>
                </c:pt>
                <c:pt idx="20">
                  <c:v>75</c:v>
                </c:pt>
                <c:pt idx="21">
                  <c:v>76</c:v>
                </c:pt>
                <c:pt idx="22">
                  <c:v>77</c:v>
                </c:pt>
                <c:pt idx="23">
                  <c:v>78</c:v>
                </c:pt>
                <c:pt idx="24">
                  <c:v>79</c:v>
                </c:pt>
                <c:pt idx="25">
                  <c:v>80</c:v>
                </c:pt>
                <c:pt idx="26">
                  <c:v>81</c:v>
                </c:pt>
                <c:pt idx="27">
                  <c:v>82</c:v>
                </c:pt>
                <c:pt idx="28">
                  <c:v>83</c:v>
                </c:pt>
                <c:pt idx="29">
                  <c:v>84</c:v>
                </c:pt>
                <c:pt idx="30">
                  <c:v>85</c:v>
                </c:pt>
                <c:pt idx="31">
                  <c:v>86</c:v>
                </c:pt>
                <c:pt idx="32">
                  <c:v>87</c:v>
                </c:pt>
                <c:pt idx="33">
                  <c:v>88</c:v>
                </c:pt>
                <c:pt idx="34">
                  <c:v>89</c:v>
                </c:pt>
                <c:pt idx="35">
                  <c:v>90</c:v>
                </c:pt>
                <c:pt idx="36">
                  <c:v>91</c:v>
                </c:pt>
                <c:pt idx="37">
                  <c:v>92</c:v>
                </c:pt>
                <c:pt idx="38">
                  <c:v>93</c:v>
                </c:pt>
                <c:pt idx="39">
                  <c:v>94</c:v>
                </c:pt>
                <c:pt idx="40">
                  <c:v>95</c:v>
                </c:pt>
                <c:pt idx="41">
                  <c:v>96</c:v>
                </c:pt>
                <c:pt idx="42">
                  <c:v>97</c:v>
                </c:pt>
                <c:pt idx="43">
                  <c:v>98</c:v>
                </c:pt>
                <c:pt idx="44">
                  <c:v>99</c:v>
                </c:pt>
                <c:pt idx="45">
                  <c:v>100</c:v>
                </c:pt>
                <c:pt idx="46">
                  <c:v>101</c:v>
                </c:pt>
                <c:pt idx="47">
                  <c:v>102</c:v>
                </c:pt>
                <c:pt idx="48">
                  <c:v>103</c:v>
                </c:pt>
                <c:pt idx="49">
                  <c:v>104</c:v>
                </c:pt>
                <c:pt idx="50">
                  <c:v>105</c:v>
                </c:pt>
                <c:pt idx="51">
                  <c:v>106</c:v>
                </c:pt>
                <c:pt idx="52">
                  <c:v>107</c:v>
                </c:pt>
                <c:pt idx="53">
                  <c:v>108</c:v>
                </c:pt>
                <c:pt idx="54">
                  <c:v>109</c:v>
                </c:pt>
                <c:pt idx="55">
                  <c:v>110</c:v>
                </c:pt>
                <c:pt idx="56">
                  <c:v>111</c:v>
                </c:pt>
                <c:pt idx="57">
                  <c:v>112</c:v>
                </c:pt>
                <c:pt idx="58">
                  <c:v>113</c:v>
                </c:pt>
                <c:pt idx="59">
                  <c:v>114</c:v>
                </c:pt>
                <c:pt idx="60">
                  <c:v>115</c:v>
                </c:pt>
                <c:pt idx="61">
                  <c:v>116</c:v>
                </c:pt>
                <c:pt idx="62">
                  <c:v>117</c:v>
                </c:pt>
                <c:pt idx="63">
                  <c:v>118</c:v>
                </c:pt>
                <c:pt idx="64">
                  <c:v>119</c:v>
                </c:pt>
                <c:pt idx="65">
                  <c:v>120</c:v>
                </c:pt>
                <c:pt idx="66">
                  <c:v>121</c:v>
                </c:pt>
                <c:pt idx="67">
                  <c:v>122</c:v>
                </c:pt>
                <c:pt idx="68">
                  <c:v>123</c:v>
                </c:pt>
                <c:pt idx="69">
                  <c:v>124</c:v>
                </c:pt>
                <c:pt idx="70">
                  <c:v>125</c:v>
                </c:pt>
                <c:pt idx="71">
                  <c:v>126</c:v>
                </c:pt>
                <c:pt idx="72">
                  <c:v>127</c:v>
                </c:pt>
                <c:pt idx="73">
                  <c:v>128</c:v>
                </c:pt>
                <c:pt idx="74">
                  <c:v>129</c:v>
                </c:pt>
                <c:pt idx="75">
                  <c:v>130</c:v>
                </c:pt>
                <c:pt idx="76">
                  <c:v>131</c:v>
                </c:pt>
                <c:pt idx="77">
                  <c:v>132</c:v>
                </c:pt>
                <c:pt idx="78">
                  <c:v>133</c:v>
                </c:pt>
                <c:pt idx="79">
                  <c:v>134</c:v>
                </c:pt>
                <c:pt idx="80">
                  <c:v>135</c:v>
                </c:pt>
                <c:pt idx="81">
                  <c:v>136</c:v>
                </c:pt>
                <c:pt idx="82">
                  <c:v>137</c:v>
                </c:pt>
                <c:pt idx="83">
                  <c:v>138</c:v>
                </c:pt>
                <c:pt idx="84">
                  <c:v>139</c:v>
                </c:pt>
                <c:pt idx="85">
                  <c:v>140</c:v>
                </c:pt>
                <c:pt idx="86">
                  <c:v>141</c:v>
                </c:pt>
                <c:pt idx="87">
                  <c:v>142</c:v>
                </c:pt>
                <c:pt idx="88">
                  <c:v>143</c:v>
                </c:pt>
                <c:pt idx="89">
                  <c:v>144</c:v>
                </c:pt>
                <c:pt idx="90">
                  <c:v>145</c:v>
                </c:pt>
                <c:pt idx="91">
                  <c:v>146</c:v>
                </c:pt>
                <c:pt idx="92">
                  <c:v>147</c:v>
                </c:pt>
                <c:pt idx="93">
                  <c:v>148</c:v>
                </c:pt>
                <c:pt idx="94">
                  <c:v>149</c:v>
                </c:pt>
                <c:pt idx="95">
                  <c:v>150</c:v>
                </c:pt>
                <c:pt idx="96">
                  <c:v>151</c:v>
                </c:pt>
                <c:pt idx="97">
                  <c:v>152</c:v>
                </c:pt>
                <c:pt idx="98">
                  <c:v>153</c:v>
                </c:pt>
                <c:pt idx="99">
                  <c:v>154</c:v>
                </c:pt>
                <c:pt idx="100">
                  <c:v>155</c:v>
                </c:pt>
                <c:pt idx="101">
                  <c:v>156</c:v>
                </c:pt>
                <c:pt idx="102">
                  <c:v>157</c:v>
                </c:pt>
                <c:pt idx="103">
                  <c:v>158</c:v>
                </c:pt>
                <c:pt idx="104">
                  <c:v>159</c:v>
                </c:pt>
                <c:pt idx="105">
                  <c:v>160</c:v>
                </c:pt>
                <c:pt idx="106">
                  <c:v>161</c:v>
                </c:pt>
                <c:pt idx="107">
                  <c:v>162</c:v>
                </c:pt>
                <c:pt idx="108">
                  <c:v>163</c:v>
                </c:pt>
                <c:pt idx="109">
                  <c:v>164</c:v>
                </c:pt>
                <c:pt idx="110">
                  <c:v>165</c:v>
                </c:pt>
                <c:pt idx="111">
                  <c:v>166</c:v>
                </c:pt>
                <c:pt idx="112">
                  <c:v>167</c:v>
                </c:pt>
                <c:pt idx="113">
                  <c:v>168</c:v>
                </c:pt>
                <c:pt idx="114">
                  <c:v>169</c:v>
                </c:pt>
                <c:pt idx="115">
                  <c:v>170</c:v>
                </c:pt>
                <c:pt idx="116">
                  <c:v>171</c:v>
                </c:pt>
                <c:pt idx="117">
                  <c:v>172</c:v>
                </c:pt>
                <c:pt idx="118">
                  <c:v>173</c:v>
                </c:pt>
                <c:pt idx="119">
                  <c:v>174</c:v>
                </c:pt>
                <c:pt idx="120">
                  <c:v>175</c:v>
                </c:pt>
                <c:pt idx="121">
                  <c:v>176</c:v>
                </c:pt>
                <c:pt idx="122">
                  <c:v>177</c:v>
                </c:pt>
                <c:pt idx="123">
                  <c:v>178</c:v>
                </c:pt>
                <c:pt idx="124">
                  <c:v>179</c:v>
                </c:pt>
                <c:pt idx="125">
                  <c:v>180</c:v>
                </c:pt>
                <c:pt idx="126">
                  <c:v>181</c:v>
                </c:pt>
                <c:pt idx="127">
                  <c:v>182</c:v>
                </c:pt>
                <c:pt idx="128">
                  <c:v>183</c:v>
                </c:pt>
                <c:pt idx="129">
                  <c:v>184</c:v>
                </c:pt>
                <c:pt idx="130">
                  <c:v>185</c:v>
                </c:pt>
                <c:pt idx="131">
                  <c:v>186</c:v>
                </c:pt>
                <c:pt idx="132">
                  <c:v>187</c:v>
                </c:pt>
                <c:pt idx="133">
                  <c:v>188</c:v>
                </c:pt>
                <c:pt idx="134">
                  <c:v>189</c:v>
                </c:pt>
                <c:pt idx="135">
                  <c:v>190</c:v>
                </c:pt>
                <c:pt idx="136">
                  <c:v>191</c:v>
                </c:pt>
                <c:pt idx="137">
                  <c:v>192</c:v>
                </c:pt>
                <c:pt idx="138">
                  <c:v>193</c:v>
                </c:pt>
                <c:pt idx="139">
                  <c:v>194</c:v>
                </c:pt>
                <c:pt idx="140">
                  <c:v>195</c:v>
                </c:pt>
                <c:pt idx="141">
                  <c:v>196</c:v>
                </c:pt>
                <c:pt idx="142">
                  <c:v>197</c:v>
                </c:pt>
                <c:pt idx="143">
                  <c:v>198</c:v>
                </c:pt>
                <c:pt idx="144">
                  <c:v>199</c:v>
                </c:pt>
                <c:pt idx="145">
                  <c:v>200</c:v>
                </c:pt>
                <c:pt idx="146">
                  <c:v>201</c:v>
                </c:pt>
                <c:pt idx="147">
                  <c:v>202</c:v>
                </c:pt>
                <c:pt idx="148">
                  <c:v>203</c:v>
                </c:pt>
                <c:pt idx="149">
                  <c:v>204</c:v>
                </c:pt>
                <c:pt idx="150">
                  <c:v>205</c:v>
                </c:pt>
                <c:pt idx="151">
                  <c:v>206</c:v>
                </c:pt>
                <c:pt idx="152">
                  <c:v>207</c:v>
                </c:pt>
                <c:pt idx="153">
                  <c:v>208</c:v>
                </c:pt>
                <c:pt idx="154">
                  <c:v>209</c:v>
                </c:pt>
                <c:pt idx="155">
                  <c:v>210</c:v>
                </c:pt>
                <c:pt idx="156">
                  <c:v>211</c:v>
                </c:pt>
                <c:pt idx="157">
                  <c:v>212</c:v>
                </c:pt>
                <c:pt idx="158">
                  <c:v>213</c:v>
                </c:pt>
                <c:pt idx="159">
                  <c:v>214</c:v>
                </c:pt>
                <c:pt idx="160">
                  <c:v>215</c:v>
                </c:pt>
                <c:pt idx="161">
                  <c:v>216</c:v>
                </c:pt>
                <c:pt idx="162">
                  <c:v>217</c:v>
                </c:pt>
                <c:pt idx="163">
                  <c:v>218</c:v>
                </c:pt>
                <c:pt idx="164">
                  <c:v>219</c:v>
                </c:pt>
                <c:pt idx="165">
                  <c:v>220</c:v>
                </c:pt>
                <c:pt idx="166">
                  <c:v>221</c:v>
                </c:pt>
                <c:pt idx="167">
                  <c:v>222</c:v>
                </c:pt>
                <c:pt idx="168">
                  <c:v>223</c:v>
                </c:pt>
                <c:pt idx="169">
                  <c:v>224</c:v>
                </c:pt>
                <c:pt idx="170">
                  <c:v>225</c:v>
                </c:pt>
                <c:pt idx="171">
                  <c:v>226</c:v>
                </c:pt>
                <c:pt idx="172">
                  <c:v>227</c:v>
                </c:pt>
                <c:pt idx="173">
                  <c:v>228</c:v>
                </c:pt>
                <c:pt idx="174">
                  <c:v>229</c:v>
                </c:pt>
                <c:pt idx="175">
                  <c:v>230</c:v>
                </c:pt>
                <c:pt idx="176">
                  <c:v>231</c:v>
                </c:pt>
                <c:pt idx="177">
                  <c:v>232</c:v>
                </c:pt>
                <c:pt idx="178">
                  <c:v>233</c:v>
                </c:pt>
                <c:pt idx="179">
                  <c:v>234</c:v>
                </c:pt>
                <c:pt idx="180">
                  <c:v>235</c:v>
                </c:pt>
                <c:pt idx="181">
                  <c:v>236</c:v>
                </c:pt>
                <c:pt idx="182">
                  <c:v>237</c:v>
                </c:pt>
                <c:pt idx="183">
                  <c:v>238</c:v>
                </c:pt>
                <c:pt idx="184">
                  <c:v>239</c:v>
                </c:pt>
                <c:pt idx="185">
                  <c:v>240</c:v>
                </c:pt>
                <c:pt idx="186">
                  <c:v>241</c:v>
                </c:pt>
                <c:pt idx="187">
                  <c:v>242</c:v>
                </c:pt>
                <c:pt idx="188">
                  <c:v>243</c:v>
                </c:pt>
                <c:pt idx="189">
                  <c:v>244</c:v>
                </c:pt>
                <c:pt idx="190">
                  <c:v>245</c:v>
                </c:pt>
                <c:pt idx="191">
                  <c:v>246</c:v>
                </c:pt>
                <c:pt idx="192">
                  <c:v>247</c:v>
                </c:pt>
                <c:pt idx="193">
                  <c:v>248</c:v>
                </c:pt>
                <c:pt idx="194">
                  <c:v>249</c:v>
                </c:pt>
                <c:pt idx="195">
                  <c:v>250</c:v>
                </c:pt>
                <c:pt idx="196">
                  <c:v>251</c:v>
                </c:pt>
                <c:pt idx="197">
                  <c:v>252</c:v>
                </c:pt>
                <c:pt idx="198">
                  <c:v>253</c:v>
                </c:pt>
                <c:pt idx="199">
                  <c:v>254</c:v>
                </c:pt>
                <c:pt idx="200">
                  <c:v>255</c:v>
                </c:pt>
                <c:pt idx="201">
                  <c:v>256</c:v>
                </c:pt>
                <c:pt idx="202">
                  <c:v>257</c:v>
                </c:pt>
                <c:pt idx="203">
                  <c:v>258</c:v>
                </c:pt>
                <c:pt idx="204">
                  <c:v>259</c:v>
                </c:pt>
                <c:pt idx="205">
                  <c:v>260</c:v>
                </c:pt>
                <c:pt idx="206">
                  <c:v>261</c:v>
                </c:pt>
                <c:pt idx="207">
                  <c:v>262</c:v>
                </c:pt>
                <c:pt idx="208">
                  <c:v>263</c:v>
                </c:pt>
                <c:pt idx="209">
                  <c:v>264</c:v>
                </c:pt>
                <c:pt idx="210">
                  <c:v>265</c:v>
                </c:pt>
                <c:pt idx="211">
                  <c:v>266</c:v>
                </c:pt>
                <c:pt idx="212">
                  <c:v>267</c:v>
                </c:pt>
                <c:pt idx="213">
                  <c:v>268</c:v>
                </c:pt>
                <c:pt idx="214">
                  <c:v>269</c:v>
                </c:pt>
                <c:pt idx="215">
                  <c:v>270</c:v>
                </c:pt>
                <c:pt idx="216">
                  <c:v>271</c:v>
                </c:pt>
                <c:pt idx="217">
                  <c:v>272</c:v>
                </c:pt>
                <c:pt idx="218">
                  <c:v>273</c:v>
                </c:pt>
                <c:pt idx="219">
                  <c:v>274</c:v>
                </c:pt>
              </c:numCache>
            </c:numRef>
          </c:xVal>
          <c:yVal>
            <c:numRef>
              <c:f>'New_removed - bSIR'!$AO$62:$AO$281</c:f>
              <c:numCache>
                <c:formatCode>General</c:formatCode>
                <c:ptCount val="220"/>
                <c:pt idx="0">
                  <c:v>2111.204253310319</c:v>
                </c:pt>
                <c:pt idx="1">
                  <c:v>2130.4807387005949</c:v>
                </c:pt>
                <c:pt idx="2">
                  <c:v>2150.5656062587132</c:v>
                </c:pt>
                <c:pt idx="3">
                  <c:v>2171.4845565699093</c:v>
                </c:pt>
                <c:pt idx="4">
                  <c:v>2193.2632762852754</c:v>
                </c:pt>
                <c:pt idx="5">
                  <c:v>2215.9273356385384</c:v>
                </c:pt>
                <c:pt idx="6">
                  <c:v>2239.5020747201193</c:v>
                </c:pt>
                <c:pt idx="7">
                  <c:v>2264.0124778618256</c:v>
                </c:pt>
                <c:pt idx="8">
                  <c:v>2289.4830355037989</c:v>
                </c:pt>
                <c:pt idx="9">
                  <c:v>2315.9375929443827</c:v>
                </c:pt>
                <c:pt idx="10">
                  <c:v>2343.399185415054</c:v>
                </c:pt>
                <c:pt idx="11">
                  <c:v>2371.889858978102</c:v>
                </c:pt>
                <c:pt idx="12">
                  <c:v>2401.4304768160837</c:v>
                </c:pt>
                <c:pt idx="13">
                  <c:v>2432.0405105710543</c:v>
                </c:pt>
                <c:pt idx="14">
                  <c:v>2463.7378164999604</c:v>
                </c:pt>
                <c:pt idx="15">
                  <c:v>2496.5383963422214</c:v>
                </c:pt>
                <c:pt idx="16">
                  <c:v>2530.4561429481309</c:v>
                </c:pt>
                <c:pt idx="17">
                  <c:v>2565.5025708939447</c:v>
                </c:pt>
                <c:pt idx="18">
                  <c:v>2601.6865325127897</c:v>
                </c:pt>
                <c:pt idx="19">
                  <c:v>2639.0139200010758</c:v>
                </c:pt>
                <c:pt idx="20">
                  <c:v>2677.4873545186924</c:v>
                </c:pt>
                <c:pt idx="21">
                  <c:v>2717.1058634884052</c:v>
                </c:pt>
                <c:pt idx="22">
                  <c:v>2757.8645476153324</c:v>
                </c:pt>
                <c:pt idx="23">
                  <c:v>2799.7542394903894</c:v>
                </c:pt>
                <c:pt idx="24">
                  <c:v>2842.7611560105997</c:v>
                </c:pt>
                <c:pt idx="25">
                  <c:v>2886.8665472415714</c:v>
                </c:pt>
                <c:pt idx="26">
                  <c:v>2932.0463447599277</c:v>
                </c:pt>
                <c:pt idx="27">
                  <c:v>2978.2708129410985</c:v>
                </c:pt>
                <c:pt idx="28">
                  <c:v>3025.5042070950526</c:v>
                </c:pt>
                <c:pt idx="29">
                  <c:v>3073.7044427917308</c:v>
                </c:pt>
                <c:pt idx="30">
                  <c:v>3122.8227811506899</c:v>
                </c:pt>
                <c:pt idx="31">
                  <c:v>3172.8035352856168</c:v>
                </c:pt>
                <c:pt idx="32">
                  <c:v>3223.5838034824792</c:v>
                </c:pt>
                <c:pt idx="33">
                  <c:v>3275.0932350372968</c:v>
                </c:pt>
                <c:pt idx="34">
                  <c:v>3327.2538349718757</c:v>
                </c:pt>
                <c:pt idx="35">
                  <c:v>3379.9798140682551</c:v>
                </c:pt>
                <c:pt idx="36">
                  <c:v>3433.1774907994313</c:v>
                </c:pt>
                <c:pt idx="37">
                  <c:v>3486.7452517688916</c:v>
                </c:pt>
                <c:pt idx="38">
                  <c:v>3540.5735771888435</c:v>
                </c:pt>
                <c:pt idx="39">
                  <c:v>3594.5451377111531</c:v>
                </c:pt>
                <c:pt idx="40">
                  <c:v>3648.5349685620308</c:v>
                </c:pt>
                <c:pt idx="41">
                  <c:v>3702.4107264091053</c:v>
                </c:pt>
                <c:pt idx="42">
                  <c:v>3756.0330336982311</c:v>
                </c:pt>
                <c:pt idx="43">
                  <c:v>3809.2559143311805</c:v>
                </c:pt>
                <c:pt idx="44">
                  <c:v>3861.9273235122778</c:v>
                </c:pt>
                <c:pt idx="45">
                  <c:v>3913.8897733750264</c:v>
                </c:pt>
                <c:pt idx="46">
                  <c:v>3964.981054617509</c:v>
                </c:pt>
                <c:pt idx="47">
                  <c:v>4015.0350528421632</c:v>
                </c:pt>
                <c:pt idx="48">
                  <c:v>4063.8826566325038</c:v>
                </c:pt>
                <c:pt idx="49">
                  <c:v>4111.3527526338858</c:v>
                </c:pt>
                <c:pt idx="50">
                  <c:v>4157.2733010712145</c:v>
                </c:pt>
                <c:pt idx="51">
                  <c:v>4201.4724832734064</c:v>
                </c:pt>
                <c:pt idx="52">
                  <c:v>4243.7799109274129</c:v>
                </c:pt>
                <c:pt idx="53">
                  <c:v>4284.0278850027698</c:v>
                </c:pt>
                <c:pt idx="54">
                  <c:v>4322.0526906231571</c:v>
                </c:pt>
                <c:pt idx="55">
                  <c:v>4357.6959126674437</c:v>
                </c:pt>
                <c:pt idx="56">
                  <c:v>4390.8057556117274</c:v>
                </c:pt>
                <c:pt idx="57">
                  <c:v>4421.2383501260829</c:v>
                </c:pt>
                <c:pt idx="58">
                  <c:v>4448.8590282600853</c:v>
                </c:pt>
                <c:pt idx="59">
                  <c:v>4473.5435487279956</c:v>
                </c:pt>
                <c:pt idx="60">
                  <c:v>4495.1792538674781</c:v>
                </c:pt>
                <c:pt idx="61">
                  <c:v>4513.666140313484</c:v>
                </c:pt>
                <c:pt idx="62">
                  <c:v>4528.917826308746</c:v>
                </c:pt>
                <c:pt idx="63">
                  <c:v>4540.8623998581406</c:v>
                </c:pt>
                <c:pt idx="64">
                  <c:v>4549.4431336069065</c:v>
                </c:pt>
                <c:pt idx="65">
                  <c:v>4554.619054349876</c:v>
                </c:pt>
                <c:pt idx="66">
                  <c:v>4556.3653574157852</c:v>
                </c:pt>
                <c:pt idx="67">
                  <c:v>4554.6736587613377</c:v>
                </c:pt>
                <c:pt idx="68">
                  <c:v>4549.552080388873</c:v>
                </c:pt>
                <c:pt idx="69">
                  <c:v>4541.0251675968111</c:v>
                </c:pt>
                <c:pt idx="70">
                  <c:v>4529.1336395071539</c:v>
                </c:pt>
                <c:pt idx="71">
                  <c:v>4513.9339772109297</c:v>
                </c:pt>
                <c:pt idx="72">
                  <c:v>4495.4978566540221</c:v>
                </c:pt>
                <c:pt idx="73">
                  <c:v>4473.9114359799714</c:v>
                </c:pt>
                <c:pt idx="74">
                  <c:v>4449.2745093877647</c:v>
                </c:pt>
                <c:pt idx="75">
                  <c:v>4421.6995415950678</c:v>
                </c:pt>
                <c:pt idx="76">
                  <c:v>4391.3105986760302</c:v>
                </c:pt>
                <c:pt idx="77">
                  <c:v>4358.242192334942</c:v>
                </c:pt>
                <c:pt idx="78">
                  <c:v>4322.6380555633059</c:v>
                </c:pt>
                <c:pt idx="79">
                  <c:v>4284.6498681022858</c:v>
                </c:pt>
                <c:pt idx="80">
                  <c:v>4244.4359502016769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A8F-43A6-8F85-1987D75DEE3E}"/>
            </c:ext>
          </c:extLst>
        </c:ser>
        <c:ser>
          <c:idx val="3"/>
          <c:order val="3"/>
          <c:tx>
            <c:strRef>
              <c:f>'New_removed - bSIR'!$AP$7</c:f>
              <c:strCache>
                <c:ptCount val="1"/>
                <c:pt idx="0">
                  <c:v>Lower CI__</c:v>
                </c:pt>
              </c:strCache>
            </c:strRef>
          </c:tx>
          <c:spPr>
            <a:ln w="19050" cap="rnd">
              <a:solidFill>
                <a:schemeClr val="accent4"/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'New_removed - bSIR'!$C$62:$C$281</c:f>
              <c:numCache>
                <c:formatCode>General</c:formatCode>
                <c:ptCount val="220"/>
                <c:pt idx="0">
                  <c:v>55</c:v>
                </c:pt>
                <c:pt idx="1">
                  <c:v>56</c:v>
                </c:pt>
                <c:pt idx="2">
                  <c:v>57</c:v>
                </c:pt>
                <c:pt idx="3">
                  <c:v>58</c:v>
                </c:pt>
                <c:pt idx="4">
                  <c:v>59</c:v>
                </c:pt>
                <c:pt idx="5">
                  <c:v>60</c:v>
                </c:pt>
                <c:pt idx="6">
                  <c:v>61</c:v>
                </c:pt>
                <c:pt idx="7">
                  <c:v>62</c:v>
                </c:pt>
                <c:pt idx="8">
                  <c:v>63</c:v>
                </c:pt>
                <c:pt idx="9">
                  <c:v>64</c:v>
                </c:pt>
                <c:pt idx="10">
                  <c:v>65</c:v>
                </c:pt>
                <c:pt idx="11">
                  <c:v>66</c:v>
                </c:pt>
                <c:pt idx="12">
                  <c:v>67</c:v>
                </c:pt>
                <c:pt idx="13">
                  <c:v>68</c:v>
                </c:pt>
                <c:pt idx="14">
                  <c:v>69</c:v>
                </c:pt>
                <c:pt idx="15">
                  <c:v>70</c:v>
                </c:pt>
                <c:pt idx="16">
                  <c:v>71</c:v>
                </c:pt>
                <c:pt idx="17">
                  <c:v>72</c:v>
                </c:pt>
                <c:pt idx="18">
                  <c:v>73</c:v>
                </c:pt>
                <c:pt idx="19">
                  <c:v>74</c:v>
                </c:pt>
                <c:pt idx="20">
                  <c:v>75</c:v>
                </c:pt>
                <c:pt idx="21">
                  <c:v>76</c:v>
                </c:pt>
                <c:pt idx="22">
                  <c:v>77</c:v>
                </c:pt>
                <c:pt idx="23">
                  <c:v>78</c:v>
                </c:pt>
                <c:pt idx="24">
                  <c:v>79</c:v>
                </c:pt>
                <c:pt idx="25">
                  <c:v>80</c:v>
                </c:pt>
                <c:pt idx="26">
                  <c:v>81</c:v>
                </c:pt>
                <c:pt idx="27">
                  <c:v>82</c:v>
                </c:pt>
                <c:pt idx="28">
                  <c:v>83</c:v>
                </c:pt>
                <c:pt idx="29">
                  <c:v>84</c:v>
                </c:pt>
                <c:pt idx="30">
                  <c:v>85</c:v>
                </c:pt>
                <c:pt idx="31">
                  <c:v>86</c:v>
                </c:pt>
                <c:pt idx="32">
                  <c:v>87</c:v>
                </c:pt>
                <c:pt idx="33">
                  <c:v>88</c:v>
                </c:pt>
                <c:pt idx="34">
                  <c:v>89</c:v>
                </c:pt>
                <c:pt idx="35">
                  <c:v>90</c:v>
                </c:pt>
                <c:pt idx="36">
                  <c:v>91</c:v>
                </c:pt>
                <c:pt idx="37">
                  <c:v>92</c:v>
                </c:pt>
                <c:pt idx="38">
                  <c:v>93</c:v>
                </c:pt>
                <c:pt idx="39">
                  <c:v>94</c:v>
                </c:pt>
                <c:pt idx="40">
                  <c:v>95</c:v>
                </c:pt>
                <c:pt idx="41">
                  <c:v>96</c:v>
                </c:pt>
                <c:pt idx="42">
                  <c:v>97</c:v>
                </c:pt>
                <c:pt idx="43">
                  <c:v>98</c:v>
                </c:pt>
                <c:pt idx="44">
                  <c:v>99</c:v>
                </c:pt>
                <c:pt idx="45">
                  <c:v>100</c:v>
                </c:pt>
                <c:pt idx="46">
                  <c:v>101</c:v>
                </c:pt>
                <c:pt idx="47">
                  <c:v>102</c:v>
                </c:pt>
                <c:pt idx="48">
                  <c:v>103</c:v>
                </c:pt>
                <c:pt idx="49">
                  <c:v>104</c:v>
                </c:pt>
                <c:pt idx="50">
                  <c:v>105</c:v>
                </c:pt>
                <c:pt idx="51">
                  <c:v>106</c:v>
                </c:pt>
                <c:pt idx="52">
                  <c:v>107</c:v>
                </c:pt>
                <c:pt idx="53">
                  <c:v>108</c:v>
                </c:pt>
                <c:pt idx="54">
                  <c:v>109</c:v>
                </c:pt>
                <c:pt idx="55">
                  <c:v>110</c:v>
                </c:pt>
                <c:pt idx="56">
                  <c:v>111</c:v>
                </c:pt>
                <c:pt idx="57">
                  <c:v>112</c:v>
                </c:pt>
                <c:pt idx="58">
                  <c:v>113</c:v>
                </c:pt>
                <c:pt idx="59">
                  <c:v>114</c:v>
                </c:pt>
                <c:pt idx="60">
                  <c:v>115</c:v>
                </c:pt>
                <c:pt idx="61">
                  <c:v>116</c:v>
                </c:pt>
                <c:pt idx="62">
                  <c:v>117</c:v>
                </c:pt>
                <c:pt idx="63">
                  <c:v>118</c:v>
                </c:pt>
                <c:pt idx="64">
                  <c:v>119</c:v>
                </c:pt>
                <c:pt idx="65">
                  <c:v>120</c:v>
                </c:pt>
                <c:pt idx="66">
                  <c:v>121</c:v>
                </c:pt>
                <c:pt idx="67">
                  <c:v>122</c:v>
                </c:pt>
                <c:pt idx="68">
                  <c:v>123</c:v>
                </c:pt>
                <c:pt idx="69">
                  <c:v>124</c:v>
                </c:pt>
                <c:pt idx="70">
                  <c:v>125</c:v>
                </c:pt>
                <c:pt idx="71">
                  <c:v>126</c:v>
                </c:pt>
                <c:pt idx="72">
                  <c:v>127</c:v>
                </c:pt>
                <c:pt idx="73">
                  <c:v>128</c:v>
                </c:pt>
                <c:pt idx="74">
                  <c:v>129</c:v>
                </c:pt>
                <c:pt idx="75">
                  <c:v>130</c:v>
                </c:pt>
                <c:pt idx="76">
                  <c:v>131</c:v>
                </c:pt>
                <c:pt idx="77">
                  <c:v>132</c:v>
                </c:pt>
                <c:pt idx="78">
                  <c:v>133</c:v>
                </c:pt>
                <c:pt idx="79">
                  <c:v>134</c:v>
                </c:pt>
                <c:pt idx="80">
                  <c:v>135</c:v>
                </c:pt>
                <c:pt idx="81">
                  <c:v>136</c:v>
                </c:pt>
                <c:pt idx="82">
                  <c:v>137</c:v>
                </c:pt>
                <c:pt idx="83">
                  <c:v>138</c:v>
                </c:pt>
                <c:pt idx="84">
                  <c:v>139</c:v>
                </c:pt>
                <c:pt idx="85">
                  <c:v>140</c:v>
                </c:pt>
                <c:pt idx="86">
                  <c:v>141</c:v>
                </c:pt>
                <c:pt idx="87">
                  <c:v>142</c:v>
                </c:pt>
                <c:pt idx="88">
                  <c:v>143</c:v>
                </c:pt>
                <c:pt idx="89">
                  <c:v>144</c:v>
                </c:pt>
                <c:pt idx="90">
                  <c:v>145</c:v>
                </c:pt>
                <c:pt idx="91">
                  <c:v>146</c:v>
                </c:pt>
                <c:pt idx="92">
                  <c:v>147</c:v>
                </c:pt>
                <c:pt idx="93">
                  <c:v>148</c:v>
                </c:pt>
                <c:pt idx="94">
                  <c:v>149</c:v>
                </c:pt>
                <c:pt idx="95">
                  <c:v>150</c:v>
                </c:pt>
                <c:pt idx="96">
                  <c:v>151</c:v>
                </c:pt>
                <c:pt idx="97">
                  <c:v>152</c:v>
                </c:pt>
                <c:pt idx="98">
                  <c:v>153</c:v>
                </c:pt>
                <c:pt idx="99">
                  <c:v>154</c:v>
                </c:pt>
                <c:pt idx="100">
                  <c:v>155</c:v>
                </c:pt>
                <c:pt idx="101">
                  <c:v>156</c:v>
                </c:pt>
                <c:pt idx="102">
                  <c:v>157</c:v>
                </c:pt>
                <c:pt idx="103">
                  <c:v>158</c:v>
                </c:pt>
                <c:pt idx="104">
                  <c:v>159</c:v>
                </c:pt>
                <c:pt idx="105">
                  <c:v>160</c:v>
                </c:pt>
                <c:pt idx="106">
                  <c:v>161</c:v>
                </c:pt>
                <c:pt idx="107">
                  <c:v>162</c:v>
                </c:pt>
                <c:pt idx="108">
                  <c:v>163</c:v>
                </c:pt>
                <c:pt idx="109">
                  <c:v>164</c:v>
                </c:pt>
                <c:pt idx="110">
                  <c:v>165</c:v>
                </c:pt>
                <c:pt idx="111">
                  <c:v>166</c:v>
                </c:pt>
                <c:pt idx="112">
                  <c:v>167</c:v>
                </c:pt>
                <c:pt idx="113">
                  <c:v>168</c:v>
                </c:pt>
                <c:pt idx="114">
                  <c:v>169</c:v>
                </c:pt>
                <c:pt idx="115">
                  <c:v>170</c:v>
                </c:pt>
                <c:pt idx="116">
                  <c:v>171</c:v>
                </c:pt>
                <c:pt idx="117">
                  <c:v>172</c:v>
                </c:pt>
                <c:pt idx="118">
                  <c:v>173</c:v>
                </c:pt>
                <c:pt idx="119">
                  <c:v>174</c:v>
                </c:pt>
                <c:pt idx="120">
                  <c:v>175</c:v>
                </c:pt>
                <c:pt idx="121">
                  <c:v>176</c:v>
                </c:pt>
                <c:pt idx="122">
                  <c:v>177</c:v>
                </c:pt>
                <c:pt idx="123">
                  <c:v>178</c:v>
                </c:pt>
                <c:pt idx="124">
                  <c:v>179</c:v>
                </c:pt>
                <c:pt idx="125">
                  <c:v>180</c:v>
                </c:pt>
                <c:pt idx="126">
                  <c:v>181</c:v>
                </c:pt>
                <c:pt idx="127">
                  <c:v>182</c:v>
                </c:pt>
                <c:pt idx="128">
                  <c:v>183</c:v>
                </c:pt>
                <c:pt idx="129">
                  <c:v>184</c:v>
                </c:pt>
                <c:pt idx="130">
                  <c:v>185</c:v>
                </c:pt>
                <c:pt idx="131">
                  <c:v>186</c:v>
                </c:pt>
                <c:pt idx="132">
                  <c:v>187</c:v>
                </c:pt>
                <c:pt idx="133">
                  <c:v>188</c:v>
                </c:pt>
                <c:pt idx="134">
                  <c:v>189</c:v>
                </c:pt>
                <c:pt idx="135">
                  <c:v>190</c:v>
                </c:pt>
                <c:pt idx="136">
                  <c:v>191</c:v>
                </c:pt>
                <c:pt idx="137">
                  <c:v>192</c:v>
                </c:pt>
                <c:pt idx="138">
                  <c:v>193</c:v>
                </c:pt>
                <c:pt idx="139">
                  <c:v>194</c:v>
                </c:pt>
                <c:pt idx="140">
                  <c:v>195</c:v>
                </c:pt>
                <c:pt idx="141">
                  <c:v>196</c:v>
                </c:pt>
                <c:pt idx="142">
                  <c:v>197</c:v>
                </c:pt>
                <c:pt idx="143">
                  <c:v>198</c:v>
                </c:pt>
                <c:pt idx="144">
                  <c:v>199</c:v>
                </c:pt>
                <c:pt idx="145">
                  <c:v>200</c:v>
                </c:pt>
                <c:pt idx="146">
                  <c:v>201</c:v>
                </c:pt>
                <c:pt idx="147">
                  <c:v>202</c:v>
                </c:pt>
                <c:pt idx="148">
                  <c:v>203</c:v>
                </c:pt>
                <c:pt idx="149">
                  <c:v>204</c:v>
                </c:pt>
                <c:pt idx="150">
                  <c:v>205</c:v>
                </c:pt>
                <c:pt idx="151">
                  <c:v>206</c:v>
                </c:pt>
                <c:pt idx="152">
                  <c:v>207</c:v>
                </c:pt>
                <c:pt idx="153">
                  <c:v>208</c:v>
                </c:pt>
                <c:pt idx="154">
                  <c:v>209</c:v>
                </c:pt>
                <c:pt idx="155">
                  <c:v>210</c:v>
                </c:pt>
                <c:pt idx="156">
                  <c:v>211</c:v>
                </c:pt>
                <c:pt idx="157">
                  <c:v>212</c:v>
                </c:pt>
                <c:pt idx="158">
                  <c:v>213</c:v>
                </c:pt>
                <c:pt idx="159">
                  <c:v>214</c:v>
                </c:pt>
                <c:pt idx="160">
                  <c:v>215</c:v>
                </c:pt>
                <c:pt idx="161">
                  <c:v>216</c:v>
                </c:pt>
                <c:pt idx="162">
                  <c:v>217</c:v>
                </c:pt>
                <c:pt idx="163">
                  <c:v>218</c:v>
                </c:pt>
                <c:pt idx="164">
                  <c:v>219</c:v>
                </c:pt>
                <c:pt idx="165">
                  <c:v>220</c:v>
                </c:pt>
                <c:pt idx="166">
                  <c:v>221</c:v>
                </c:pt>
                <c:pt idx="167">
                  <c:v>222</c:v>
                </c:pt>
                <c:pt idx="168">
                  <c:v>223</c:v>
                </c:pt>
                <c:pt idx="169">
                  <c:v>224</c:v>
                </c:pt>
                <c:pt idx="170">
                  <c:v>225</c:v>
                </c:pt>
                <c:pt idx="171">
                  <c:v>226</c:v>
                </c:pt>
                <c:pt idx="172">
                  <c:v>227</c:v>
                </c:pt>
                <c:pt idx="173">
                  <c:v>228</c:v>
                </c:pt>
                <c:pt idx="174">
                  <c:v>229</c:v>
                </c:pt>
                <c:pt idx="175">
                  <c:v>230</c:v>
                </c:pt>
                <c:pt idx="176">
                  <c:v>231</c:v>
                </c:pt>
                <c:pt idx="177">
                  <c:v>232</c:v>
                </c:pt>
                <c:pt idx="178">
                  <c:v>233</c:v>
                </c:pt>
                <c:pt idx="179">
                  <c:v>234</c:v>
                </c:pt>
                <c:pt idx="180">
                  <c:v>235</c:v>
                </c:pt>
                <c:pt idx="181">
                  <c:v>236</c:v>
                </c:pt>
                <c:pt idx="182">
                  <c:v>237</c:v>
                </c:pt>
                <c:pt idx="183">
                  <c:v>238</c:v>
                </c:pt>
                <c:pt idx="184">
                  <c:v>239</c:v>
                </c:pt>
                <c:pt idx="185">
                  <c:v>240</c:v>
                </c:pt>
                <c:pt idx="186">
                  <c:v>241</c:v>
                </c:pt>
                <c:pt idx="187">
                  <c:v>242</c:v>
                </c:pt>
                <c:pt idx="188">
                  <c:v>243</c:v>
                </c:pt>
                <c:pt idx="189">
                  <c:v>244</c:v>
                </c:pt>
                <c:pt idx="190">
                  <c:v>245</c:v>
                </c:pt>
                <c:pt idx="191">
                  <c:v>246</c:v>
                </c:pt>
                <c:pt idx="192">
                  <c:v>247</c:v>
                </c:pt>
                <c:pt idx="193">
                  <c:v>248</c:v>
                </c:pt>
                <c:pt idx="194">
                  <c:v>249</c:v>
                </c:pt>
                <c:pt idx="195">
                  <c:v>250</c:v>
                </c:pt>
                <c:pt idx="196">
                  <c:v>251</c:v>
                </c:pt>
                <c:pt idx="197">
                  <c:v>252</c:v>
                </c:pt>
                <c:pt idx="198">
                  <c:v>253</c:v>
                </c:pt>
                <c:pt idx="199">
                  <c:v>254</c:v>
                </c:pt>
                <c:pt idx="200">
                  <c:v>255</c:v>
                </c:pt>
                <c:pt idx="201">
                  <c:v>256</c:v>
                </c:pt>
                <c:pt idx="202">
                  <c:v>257</c:v>
                </c:pt>
                <c:pt idx="203">
                  <c:v>258</c:v>
                </c:pt>
                <c:pt idx="204">
                  <c:v>259</c:v>
                </c:pt>
                <c:pt idx="205">
                  <c:v>260</c:v>
                </c:pt>
                <c:pt idx="206">
                  <c:v>261</c:v>
                </c:pt>
                <c:pt idx="207">
                  <c:v>262</c:v>
                </c:pt>
                <c:pt idx="208">
                  <c:v>263</c:v>
                </c:pt>
                <c:pt idx="209">
                  <c:v>264</c:v>
                </c:pt>
                <c:pt idx="210">
                  <c:v>265</c:v>
                </c:pt>
                <c:pt idx="211">
                  <c:v>266</c:v>
                </c:pt>
                <c:pt idx="212">
                  <c:v>267</c:v>
                </c:pt>
                <c:pt idx="213">
                  <c:v>268</c:v>
                </c:pt>
                <c:pt idx="214">
                  <c:v>269</c:v>
                </c:pt>
                <c:pt idx="215">
                  <c:v>270</c:v>
                </c:pt>
                <c:pt idx="216">
                  <c:v>271</c:v>
                </c:pt>
                <c:pt idx="217">
                  <c:v>272</c:v>
                </c:pt>
                <c:pt idx="218">
                  <c:v>273</c:v>
                </c:pt>
                <c:pt idx="219">
                  <c:v>274</c:v>
                </c:pt>
              </c:numCache>
            </c:numRef>
          </c:xVal>
          <c:yVal>
            <c:numRef>
              <c:f>'New_removed - bSIR'!$AP$62:$AP$281</c:f>
              <c:numCache>
                <c:formatCode>General</c:formatCode>
                <c:ptCount val="2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44.029100980266094</c:v>
                </c:pt>
                <c:pt idx="37">
                  <c:v>97.596861949726417</c:v>
                </c:pt>
                <c:pt idx="38">
                  <c:v>151.42518736967804</c:v>
                </c:pt>
                <c:pt idx="39">
                  <c:v>205.39674789198739</c:v>
                </c:pt>
                <c:pt idx="40">
                  <c:v>259.38657874286537</c:v>
                </c:pt>
                <c:pt idx="41">
                  <c:v>313.26233658993988</c:v>
                </c:pt>
                <c:pt idx="42">
                  <c:v>366.88464387906561</c:v>
                </c:pt>
                <c:pt idx="43">
                  <c:v>420.10752451201506</c:v>
                </c:pt>
                <c:pt idx="44">
                  <c:v>472.77893369311232</c:v>
                </c:pt>
                <c:pt idx="45">
                  <c:v>524.74138355586092</c:v>
                </c:pt>
                <c:pt idx="46">
                  <c:v>575.83266479834356</c:v>
                </c:pt>
                <c:pt idx="47">
                  <c:v>625.88666302299771</c:v>
                </c:pt>
                <c:pt idx="48">
                  <c:v>674.73426681333831</c:v>
                </c:pt>
                <c:pt idx="49">
                  <c:v>722.2043628147203</c:v>
                </c:pt>
                <c:pt idx="50">
                  <c:v>768.12491125204861</c:v>
                </c:pt>
                <c:pt idx="51">
                  <c:v>812.32409345424094</c:v>
                </c:pt>
                <c:pt idx="52">
                  <c:v>854.63152110824785</c:v>
                </c:pt>
                <c:pt idx="53">
                  <c:v>894.87949518360392</c:v>
                </c:pt>
                <c:pt idx="54">
                  <c:v>932.90430080399119</c:v>
                </c:pt>
                <c:pt idx="55">
                  <c:v>968.54752284827828</c:v>
                </c:pt>
                <c:pt idx="56">
                  <c:v>1001.6573657925614</c:v>
                </c:pt>
                <c:pt idx="57">
                  <c:v>1032.0899603069179</c:v>
                </c:pt>
                <c:pt idx="58">
                  <c:v>1059.7106384409199</c:v>
                </c:pt>
                <c:pt idx="59">
                  <c:v>1084.3951589088301</c:v>
                </c:pt>
                <c:pt idx="60">
                  <c:v>1106.0308640483122</c:v>
                </c:pt>
                <c:pt idx="61">
                  <c:v>1124.517750494319</c:v>
                </c:pt>
                <c:pt idx="62">
                  <c:v>1139.7694364895806</c:v>
                </c:pt>
                <c:pt idx="63">
                  <c:v>1151.7140100389756</c:v>
                </c:pt>
                <c:pt idx="64">
                  <c:v>1160.2947437877406</c:v>
                </c:pt>
                <c:pt idx="65">
                  <c:v>1165.4706645307106</c:v>
                </c:pt>
                <c:pt idx="66">
                  <c:v>1167.2169675966197</c:v>
                </c:pt>
                <c:pt idx="67">
                  <c:v>1165.5252689421723</c:v>
                </c:pt>
                <c:pt idx="68">
                  <c:v>1160.4036905697076</c:v>
                </c:pt>
                <c:pt idx="69">
                  <c:v>1151.8767777776457</c:v>
                </c:pt>
                <c:pt idx="70">
                  <c:v>1139.9852496879885</c:v>
                </c:pt>
                <c:pt idx="71">
                  <c:v>1124.7855873917642</c:v>
                </c:pt>
                <c:pt idx="72">
                  <c:v>1106.3494668348567</c:v>
                </c:pt>
                <c:pt idx="73">
                  <c:v>1084.763046160806</c:v>
                </c:pt>
                <c:pt idx="74">
                  <c:v>1060.1261195685993</c:v>
                </c:pt>
                <c:pt idx="75">
                  <c:v>1032.5511517759019</c:v>
                </c:pt>
                <c:pt idx="76">
                  <c:v>1002.1622088568647</c:v>
                </c:pt>
                <c:pt idx="77">
                  <c:v>969.09380251577659</c:v>
                </c:pt>
                <c:pt idx="78">
                  <c:v>933.48966574414044</c:v>
                </c:pt>
                <c:pt idx="79">
                  <c:v>895.50147828311992</c:v>
                </c:pt>
                <c:pt idx="80">
                  <c:v>855.2875603825114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8A8F-43A6-8F85-1987D75DEE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9487760"/>
        <c:axId val="969487440"/>
      </c:scatterChart>
      <c:valAx>
        <c:axId val="9694877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kern="1200" baseline="0">
                    <a:solidFill>
                      <a:srgbClr val="595959"/>
                    </a:solidFill>
                    <a:effectLst/>
                  </a:rPr>
                  <a:t>Days from </a:t>
                </a:r>
                <a:endParaRPr lang="it-IT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69487440"/>
        <c:crosses val="autoZero"/>
        <c:crossBetween val="midCat"/>
      </c:valAx>
      <c:valAx>
        <c:axId val="969487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removal rate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694877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>
                <a:solidFill>
                  <a:srgbClr val="0070C0"/>
                </a:solidFill>
              </a:rPr>
              <a:t>Italy - </a:t>
            </a:r>
            <a:r>
              <a:rPr lang="it-IT">
                <a:solidFill>
                  <a:srgbClr val="FF0000"/>
                </a:solidFill>
              </a:rPr>
              <a:t>selected region</a:t>
            </a:r>
            <a:r>
              <a:rPr lang="it-IT">
                <a:solidFill>
                  <a:srgbClr val="0070C0"/>
                </a:solidFill>
              </a:rPr>
              <a:t> - </a:t>
            </a:r>
            <a:r>
              <a:rPr lang="it-IT">
                <a:solidFill>
                  <a:srgbClr val="00B050"/>
                </a:solidFill>
              </a:rPr>
              <a:t>rest of Italy outside selected region - </a:t>
            </a:r>
            <a:r>
              <a:rPr lang="it-IT">
                <a:solidFill>
                  <a:sysClr val="windowText" lastClr="000000"/>
                </a:solidFill>
              </a:rPr>
              <a:t>Accumulative removals - basic SIR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0"/>
          <c:tx>
            <c:strRef>
              <c:f>'New_removed - bSIR'!$G$7</c:f>
              <c:strCache>
                <c:ptCount val="1"/>
                <c:pt idx="0">
                  <c:v>Italy cumul. fit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'New_removed - bSIR'!$C$62:$C$184</c:f>
              <c:numCache>
                <c:formatCode>General</c:formatCode>
                <c:ptCount val="123"/>
                <c:pt idx="0">
                  <c:v>55</c:v>
                </c:pt>
                <c:pt idx="1">
                  <c:v>56</c:v>
                </c:pt>
                <c:pt idx="2">
                  <c:v>57</c:v>
                </c:pt>
                <c:pt idx="3">
                  <c:v>58</c:v>
                </c:pt>
                <c:pt idx="4">
                  <c:v>59</c:v>
                </c:pt>
                <c:pt idx="5">
                  <c:v>60</c:v>
                </c:pt>
                <c:pt idx="6">
                  <c:v>61</c:v>
                </c:pt>
                <c:pt idx="7">
                  <c:v>62</c:v>
                </c:pt>
                <c:pt idx="8">
                  <c:v>63</c:v>
                </c:pt>
                <c:pt idx="9">
                  <c:v>64</c:v>
                </c:pt>
                <c:pt idx="10">
                  <c:v>65</c:v>
                </c:pt>
                <c:pt idx="11">
                  <c:v>66</c:v>
                </c:pt>
                <c:pt idx="12">
                  <c:v>67</c:v>
                </c:pt>
                <c:pt idx="13">
                  <c:v>68</c:v>
                </c:pt>
                <c:pt idx="14">
                  <c:v>69</c:v>
                </c:pt>
                <c:pt idx="15">
                  <c:v>70</c:v>
                </c:pt>
                <c:pt idx="16">
                  <c:v>71</c:v>
                </c:pt>
                <c:pt idx="17">
                  <c:v>72</c:v>
                </c:pt>
                <c:pt idx="18">
                  <c:v>73</c:v>
                </c:pt>
                <c:pt idx="19">
                  <c:v>74</c:v>
                </c:pt>
                <c:pt idx="20">
                  <c:v>75</c:v>
                </c:pt>
                <c:pt idx="21">
                  <c:v>76</c:v>
                </c:pt>
                <c:pt idx="22">
                  <c:v>77</c:v>
                </c:pt>
                <c:pt idx="23">
                  <c:v>78</c:v>
                </c:pt>
                <c:pt idx="24">
                  <c:v>79</c:v>
                </c:pt>
                <c:pt idx="25">
                  <c:v>80</c:v>
                </c:pt>
                <c:pt idx="26">
                  <c:v>81</c:v>
                </c:pt>
                <c:pt idx="27">
                  <c:v>82</c:v>
                </c:pt>
                <c:pt idx="28">
                  <c:v>83</c:v>
                </c:pt>
                <c:pt idx="29">
                  <c:v>84</c:v>
                </c:pt>
                <c:pt idx="30">
                  <c:v>85</c:v>
                </c:pt>
                <c:pt idx="31">
                  <c:v>86</c:v>
                </c:pt>
                <c:pt idx="32">
                  <c:v>87</c:v>
                </c:pt>
                <c:pt idx="33">
                  <c:v>88</c:v>
                </c:pt>
                <c:pt idx="34">
                  <c:v>89</c:v>
                </c:pt>
                <c:pt idx="35">
                  <c:v>90</c:v>
                </c:pt>
                <c:pt idx="36">
                  <c:v>91</c:v>
                </c:pt>
                <c:pt idx="37">
                  <c:v>92</c:v>
                </c:pt>
                <c:pt idx="38">
                  <c:v>93</c:v>
                </c:pt>
                <c:pt idx="39">
                  <c:v>94</c:v>
                </c:pt>
                <c:pt idx="40">
                  <c:v>95</c:v>
                </c:pt>
                <c:pt idx="41">
                  <c:v>96</c:v>
                </c:pt>
                <c:pt idx="42">
                  <c:v>97</c:v>
                </c:pt>
                <c:pt idx="43">
                  <c:v>98</c:v>
                </c:pt>
                <c:pt idx="44">
                  <c:v>99</c:v>
                </c:pt>
                <c:pt idx="45">
                  <c:v>100</c:v>
                </c:pt>
                <c:pt idx="46">
                  <c:v>101</c:v>
                </c:pt>
                <c:pt idx="47">
                  <c:v>102</c:v>
                </c:pt>
                <c:pt idx="48">
                  <c:v>103</c:v>
                </c:pt>
                <c:pt idx="49">
                  <c:v>104</c:v>
                </c:pt>
                <c:pt idx="50">
                  <c:v>105</c:v>
                </c:pt>
                <c:pt idx="51">
                  <c:v>106</c:v>
                </c:pt>
                <c:pt idx="52">
                  <c:v>107</c:v>
                </c:pt>
                <c:pt idx="53">
                  <c:v>108</c:v>
                </c:pt>
                <c:pt idx="54">
                  <c:v>109</c:v>
                </c:pt>
                <c:pt idx="55">
                  <c:v>110</c:v>
                </c:pt>
                <c:pt idx="56">
                  <c:v>111</c:v>
                </c:pt>
                <c:pt idx="57">
                  <c:v>112</c:v>
                </c:pt>
                <c:pt idx="58">
                  <c:v>113</c:v>
                </c:pt>
                <c:pt idx="59">
                  <c:v>114</c:v>
                </c:pt>
                <c:pt idx="60">
                  <c:v>115</c:v>
                </c:pt>
                <c:pt idx="61">
                  <c:v>116</c:v>
                </c:pt>
                <c:pt idx="62">
                  <c:v>117</c:v>
                </c:pt>
                <c:pt idx="63">
                  <c:v>118</c:v>
                </c:pt>
                <c:pt idx="64">
                  <c:v>119</c:v>
                </c:pt>
                <c:pt idx="65">
                  <c:v>120</c:v>
                </c:pt>
                <c:pt idx="66">
                  <c:v>121</c:v>
                </c:pt>
                <c:pt idx="67">
                  <c:v>122</c:v>
                </c:pt>
                <c:pt idx="68">
                  <c:v>123</c:v>
                </c:pt>
                <c:pt idx="69">
                  <c:v>124</c:v>
                </c:pt>
                <c:pt idx="70">
                  <c:v>125</c:v>
                </c:pt>
                <c:pt idx="71">
                  <c:v>126</c:v>
                </c:pt>
                <c:pt idx="72">
                  <c:v>127</c:v>
                </c:pt>
                <c:pt idx="73">
                  <c:v>128</c:v>
                </c:pt>
                <c:pt idx="74">
                  <c:v>129</c:v>
                </c:pt>
                <c:pt idx="75">
                  <c:v>130</c:v>
                </c:pt>
                <c:pt idx="76">
                  <c:v>131</c:v>
                </c:pt>
                <c:pt idx="77">
                  <c:v>132</c:v>
                </c:pt>
                <c:pt idx="78">
                  <c:v>133</c:v>
                </c:pt>
                <c:pt idx="79">
                  <c:v>134</c:v>
                </c:pt>
                <c:pt idx="80">
                  <c:v>135</c:v>
                </c:pt>
                <c:pt idx="81">
                  <c:v>136</c:v>
                </c:pt>
                <c:pt idx="82">
                  <c:v>137</c:v>
                </c:pt>
                <c:pt idx="83">
                  <c:v>138</c:v>
                </c:pt>
                <c:pt idx="84">
                  <c:v>139</c:v>
                </c:pt>
                <c:pt idx="85">
                  <c:v>140</c:v>
                </c:pt>
                <c:pt idx="86">
                  <c:v>141</c:v>
                </c:pt>
                <c:pt idx="87">
                  <c:v>142</c:v>
                </c:pt>
                <c:pt idx="88">
                  <c:v>143</c:v>
                </c:pt>
                <c:pt idx="89">
                  <c:v>144</c:v>
                </c:pt>
                <c:pt idx="90">
                  <c:v>145</c:v>
                </c:pt>
                <c:pt idx="91">
                  <c:v>146</c:v>
                </c:pt>
                <c:pt idx="92">
                  <c:v>147</c:v>
                </c:pt>
                <c:pt idx="93">
                  <c:v>148</c:v>
                </c:pt>
                <c:pt idx="94">
                  <c:v>149</c:v>
                </c:pt>
                <c:pt idx="95">
                  <c:v>150</c:v>
                </c:pt>
                <c:pt idx="96">
                  <c:v>151</c:v>
                </c:pt>
                <c:pt idx="97">
                  <c:v>152</c:v>
                </c:pt>
                <c:pt idx="98">
                  <c:v>153</c:v>
                </c:pt>
                <c:pt idx="99">
                  <c:v>154</c:v>
                </c:pt>
                <c:pt idx="100">
                  <c:v>155</c:v>
                </c:pt>
                <c:pt idx="101">
                  <c:v>156</c:v>
                </c:pt>
                <c:pt idx="102">
                  <c:v>157</c:v>
                </c:pt>
                <c:pt idx="103">
                  <c:v>158</c:v>
                </c:pt>
                <c:pt idx="104">
                  <c:v>159</c:v>
                </c:pt>
                <c:pt idx="105">
                  <c:v>160</c:v>
                </c:pt>
                <c:pt idx="106">
                  <c:v>161</c:v>
                </c:pt>
                <c:pt idx="107">
                  <c:v>162</c:v>
                </c:pt>
                <c:pt idx="108">
                  <c:v>163</c:v>
                </c:pt>
                <c:pt idx="109">
                  <c:v>164</c:v>
                </c:pt>
                <c:pt idx="110">
                  <c:v>165</c:v>
                </c:pt>
                <c:pt idx="111">
                  <c:v>166</c:v>
                </c:pt>
                <c:pt idx="112">
                  <c:v>167</c:v>
                </c:pt>
                <c:pt idx="113">
                  <c:v>168</c:v>
                </c:pt>
                <c:pt idx="114">
                  <c:v>169</c:v>
                </c:pt>
                <c:pt idx="115">
                  <c:v>170</c:v>
                </c:pt>
                <c:pt idx="116">
                  <c:v>171</c:v>
                </c:pt>
                <c:pt idx="117">
                  <c:v>172</c:v>
                </c:pt>
                <c:pt idx="118">
                  <c:v>173</c:v>
                </c:pt>
                <c:pt idx="119">
                  <c:v>174</c:v>
                </c:pt>
                <c:pt idx="120">
                  <c:v>175</c:v>
                </c:pt>
                <c:pt idx="121">
                  <c:v>176</c:v>
                </c:pt>
                <c:pt idx="122">
                  <c:v>177</c:v>
                </c:pt>
              </c:numCache>
            </c:numRef>
          </c:xVal>
          <c:yVal>
            <c:numRef>
              <c:f>'New_removed - bSIR'!$G$62:$G$184</c:f>
              <c:numCache>
                <c:formatCode>General</c:formatCode>
                <c:ptCount val="1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129.02576862024938</c:v>
                </c:pt>
                <c:pt idx="16">
                  <c:v>978.05040302826933</c:v>
                </c:pt>
                <c:pt idx="17">
                  <c:v>1863.1845850473394</c:v>
                </c:pt>
                <c:pt idx="18">
                  <c:v>2785.6321063424789</c:v>
                </c:pt>
                <c:pt idx="19">
                  <c:v>3746.6055186727481</c:v>
                </c:pt>
                <c:pt idx="20">
                  <c:v>4747.3228558556657</c:v>
                </c:pt>
                <c:pt idx="21">
                  <c:v>5789.0040141284207</c:v>
                </c:pt>
                <c:pt idx="22">
                  <c:v>6872.8667783592682</c:v>
                </c:pt>
                <c:pt idx="23">
                  <c:v>8000.1224833371307</c:v>
                </c:pt>
                <c:pt idx="24">
                  <c:v>9171.971301530506</c:v>
                </c:pt>
                <c:pt idx="25">
                  <c:v>10389.597151287138</c:v>
                </c:pt>
                <c:pt idx="26">
                  <c:v>11654.162222470273</c:v>
                </c:pt>
                <c:pt idx="27">
                  <c:v>12966.801120014454</c:v>
                </c:pt>
                <c:pt idx="28">
                  <c:v>14328.614629851865</c:v>
                </c:pt>
                <c:pt idx="29">
                  <c:v>15740.663116114691</c:v>
                </c:pt>
                <c:pt idx="30">
                  <c:v>17203.95956346106</c:v>
                </c:pt>
                <c:pt idx="31">
                  <c:v>18719.462283792105</c:v>
                </c:pt>
                <c:pt idx="32">
                  <c:v>20288.067312499181</c:v>
                </c:pt>
                <c:pt idx="33">
                  <c:v>21910.600525673406</c:v>
                </c:pt>
                <c:pt idx="34">
                  <c:v>23587.809516367521</c:v>
                </c:pt>
                <c:pt idx="35">
                  <c:v>25320.355274959162</c:v>
                </c:pt>
                <c:pt idx="36">
                  <c:v>27108.803725840477</c:v>
                </c:pt>
                <c:pt idx="37">
                  <c:v>28953.617179946959</c:v>
                </c:pt>
                <c:pt idx="38">
                  <c:v>30855.145769920447</c:v>
                </c:pt>
                <c:pt idx="39">
                  <c:v>32813.618941838598</c:v>
                </c:pt>
                <c:pt idx="40">
                  <c:v>34829.137084278154</c:v>
                </c:pt>
                <c:pt idx="41">
                  <c:v>36901.663381846025</c:v>
                </c:pt>
                <c:pt idx="42">
                  <c:v>39031.015986023151</c:v>
                </c:pt>
                <c:pt idx="43">
                  <c:v>41216.860601031651</c:v>
                </c:pt>
                <c:pt idx="44">
                  <c:v>43458.703586257718</c:v>
                </c:pt>
                <c:pt idx="45">
                  <c:v>45755.885679343373</c:v>
                </c:pt>
                <c:pt idx="46">
                  <c:v>48107.576445208608</c:v>
                </c:pt>
                <c:pt idx="47">
                  <c:v>50512.769555802355</c:v>
                </c:pt>
                <c:pt idx="48">
                  <c:v>52970.279003145995</c:v>
                </c:pt>
                <c:pt idx="49">
                  <c:v>55478.736344095603</c:v>
                </c:pt>
                <c:pt idx="50">
                  <c:v>58036.589069107889</c:v>
                </c:pt>
                <c:pt idx="51">
                  <c:v>60642.100179094807</c:v>
                </c:pt>
                <c:pt idx="52">
                  <c:v>63293.349044181807</c:v>
                </c:pt>
                <c:pt idx="53">
                  <c:v>65988.233605889051</c:v>
                </c:pt>
                <c:pt idx="54">
                  <c:v>68724.47397003349</c:v>
                </c:pt>
                <c:pt idx="55">
                  <c:v>71499.617421664065</c:v>
                </c:pt>
                <c:pt idx="56">
                  <c:v>74311.044875810316</c:v>
                </c:pt>
                <c:pt idx="57">
                  <c:v>77155.978759027974</c:v>
                </c:pt>
                <c:pt idx="58">
                  <c:v>80031.492296992452</c:v>
                </c:pt>
                <c:pt idx="59">
                  <c:v>82934.520163104055</c:v>
                </c:pt>
                <c:pt idx="60">
                  <c:v>85861.870422645647</c:v>
                </c:pt>
                <c:pt idx="61">
                  <c:v>88810.237686916284</c:v>
                </c:pt>
                <c:pt idx="62">
                  <c:v>91776.217372416228</c:v>
                </c:pt>
                <c:pt idx="63">
                  <c:v>94756.320942036313</c:v>
                </c:pt>
                <c:pt idx="64">
                  <c:v>97746.991988753813</c:v>
                </c:pt>
                <c:pt idx="65">
                  <c:v>100744.62300797222</c:v>
                </c:pt>
                <c:pt idx="66">
                  <c:v>103745.57269273401</c:v>
                </c:pt>
                <c:pt idx="67">
                  <c:v>106746.18357689501</c:v>
                </c:pt>
                <c:pt idx="68">
                  <c:v>109742.79984522074</c:v>
                </c:pt>
                <c:pt idx="69">
                  <c:v>112731.78512641216</c:v>
                </c:pt>
                <c:pt idx="70">
                  <c:v>115709.54008536975</c:v>
                </c:pt>
                <c:pt idx="71">
                  <c:v>118672.51963455633</c:v>
                </c:pt>
                <c:pt idx="72">
                  <c:v>121617.24959101743</c:v>
                </c:pt>
                <c:pt idx="73">
                  <c:v>124540.34261529395</c:v>
                </c:pt>
                <c:pt idx="74">
                  <c:v>127438.51328084791</c:v>
                </c:pt>
                <c:pt idx="75">
                  <c:v>130308.59213740559</c:v>
                </c:pt>
                <c:pt idx="76">
                  <c:v>133147.5386484114</c:v>
                </c:pt>
                <c:pt idx="77">
                  <c:v>135952.45290117257</c:v>
                </c:pt>
                <c:pt idx="78">
                  <c:v>138720.58600779896</c:v>
                </c:pt>
                <c:pt idx="79">
                  <c:v>141449.34913524927</c:v>
                </c:pt>
                <c:pt idx="80">
                  <c:v>144136.32112322818</c:v>
                </c:pt>
                <c:pt idx="81">
                  <c:v>146779.25466889204</c:v>
                </c:pt>
                <c:pt idx="82">
                  <c:v>149376.08107690827</c:v>
                </c:pt>
                <c:pt idx="83">
                  <c:v>151924.91359199889</c:v>
                </c:pt>
                <c:pt idx="84">
                  <c:v>154424.04934836543</c:v>
                </c:pt>
                <c:pt idx="85">
                  <c:v>156871.96998606343</c:v>
                </c:pt>
                <c:pt idx="86">
                  <c:v>159267.3409982727</c:v>
                </c:pt>
                <c:pt idx="87">
                  <c:v>161609.00988533389</c:v>
                </c:pt>
                <c:pt idx="88">
                  <c:v>163896.00320131209</c:v>
                </c:pt>
                <c:pt idx="89">
                  <c:v>166127.52258666258</c:v>
                </c:pt>
                <c:pt idx="90">
                  <c:v>168302.93988634052</c:v>
                </c:pt>
                <c:pt idx="91">
                  <c:v>170421.79145647187</c:v>
                </c:pt>
                <c:pt idx="92">
                  <c:v>172483.7717645987</c:v>
                </c:pt>
                <c:pt idx="93">
                  <c:v>174488.72638866471</c:v>
                </c:pt>
                <c:pt idx="94">
                  <c:v>176436.64451847816</c:v>
                </c:pt>
                <c:pt idx="95">
                  <c:v>178327.65106056517</c:v>
                </c:pt>
                <c:pt idx="96">
                  <c:v>180161.99844329598</c:v>
                </c:pt>
                <c:pt idx="97">
                  <c:v>181940.05821412909</c:v>
                </c:pt>
                <c:pt idx="98">
                  <c:v>183662.31251497279</c:v>
                </c:pt>
                <c:pt idx="99">
                  <c:v>185329.34551519627</c:v>
                </c:pt>
                <c:pt idx="100">
                  <c:v>186941.83487491793</c:v>
                </c:pt>
                <c:pt idx="101">
                  <c:v>188500.54330402554</c:v>
                </c:pt>
                <c:pt idx="102">
                  <c:v>190006.31027508716</c:v>
                </c:pt>
                <c:pt idx="103">
                  <c:v>191460.04394103767</c:v>
                </c:pt>
                <c:pt idx="104">
                  <c:v>192862.71330138325</c:v>
                </c:pt>
                <c:pt idx="105">
                  <c:v>194215.34065375486</c:v>
                </c:pt>
                <c:pt idx="106">
                  <c:v>195518.99436104883</c:v>
                </c:pt>
                <c:pt idx="107">
                  <c:v>196774.78195817431</c:v>
                </c:pt>
                <c:pt idx="108">
                  <c:v>197983.84361663528</c:v>
                </c:pt>
                <c:pt idx="109">
                  <c:v>199147.34597984416</c:v>
                </c:pt>
                <c:pt idx="110">
                  <c:v>200266.47637721029</c:v>
                </c:pt>
                <c:pt idx="111">
                  <c:v>201342.43742068313</c:v>
                </c:pt>
                <c:pt idx="112">
                  <c:v>202376.44198355189</c:v>
                </c:pt>
                <c:pt idx="113">
                  <c:v>203369.70855790231</c:v>
                </c:pt>
                <c:pt idx="114">
                  <c:v>204323.4569841928</c:v>
                </c:pt>
                <c:pt idx="115">
                  <c:v>205238.90454390828</c:v>
                </c:pt>
                <c:pt idx="116">
                  <c:v>206117.26240416378</c:v>
                </c:pt>
                <c:pt idx="117">
                  <c:v>206959.73240142319</c:v>
                </c:pt>
                <c:pt idx="118">
                  <c:v>207767.50415014703</c:v>
                </c:pt>
                <c:pt idx="119">
                  <c:v>208541.7524611523</c:v>
                </c:pt>
                <c:pt idx="120">
                  <c:v>209283.63505372521</c:v>
                </c:pt>
                <c:pt idx="121">
                  <c:v>209994.29054504537</c:v>
                </c:pt>
                <c:pt idx="122">
                  <c:v>210674.83670022123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563-405D-9D59-DBE97AB07DBF}"/>
            </c:ext>
          </c:extLst>
        </c:ser>
        <c:ser>
          <c:idx val="2"/>
          <c:order val="1"/>
          <c:tx>
            <c:strRef>
              <c:f>'New_removed - bSIR'!$X$7</c:f>
              <c:strCache>
                <c:ptCount val="1"/>
                <c:pt idx="0">
                  <c:v>region cumul. fit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'New_removed - bSIR'!$C$62:$C$184</c:f>
              <c:numCache>
                <c:formatCode>General</c:formatCode>
                <c:ptCount val="123"/>
                <c:pt idx="0">
                  <c:v>55</c:v>
                </c:pt>
                <c:pt idx="1">
                  <c:v>56</c:v>
                </c:pt>
                <c:pt idx="2">
                  <c:v>57</c:v>
                </c:pt>
                <c:pt idx="3">
                  <c:v>58</c:v>
                </c:pt>
                <c:pt idx="4">
                  <c:v>59</c:v>
                </c:pt>
                <c:pt idx="5">
                  <c:v>60</c:v>
                </c:pt>
                <c:pt idx="6">
                  <c:v>61</c:v>
                </c:pt>
                <c:pt idx="7">
                  <c:v>62</c:v>
                </c:pt>
                <c:pt idx="8">
                  <c:v>63</c:v>
                </c:pt>
                <c:pt idx="9">
                  <c:v>64</c:v>
                </c:pt>
                <c:pt idx="10">
                  <c:v>65</c:v>
                </c:pt>
                <c:pt idx="11">
                  <c:v>66</c:v>
                </c:pt>
                <c:pt idx="12">
                  <c:v>67</c:v>
                </c:pt>
                <c:pt idx="13">
                  <c:v>68</c:v>
                </c:pt>
                <c:pt idx="14">
                  <c:v>69</c:v>
                </c:pt>
                <c:pt idx="15">
                  <c:v>70</c:v>
                </c:pt>
                <c:pt idx="16">
                  <c:v>71</c:v>
                </c:pt>
                <c:pt idx="17">
                  <c:v>72</c:v>
                </c:pt>
                <c:pt idx="18">
                  <c:v>73</c:v>
                </c:pt>
                <c:pt idx="19">
                  <c:v>74</c:v>
                </c:pt>
                <c:pt idx="20">
                  <c:v>75</c:v>
                </c:pt>
                <c:pt idx="21">
                  <c:v>76</c:v>
                </c:pt>
                <c:pt idx="22">
                  <c:v>77</c:v>
                </c:pt>
                <c:pt idx="23">
                  <c:v>78</c:v>
                </c:pt>
                <c:pt idx="24">
                  <c:v>79</c:v>
                </c:pt>
                <c:pt idx="25">
                  <c:v>80</c:v>
                </c:pt>
                <c:pt idx="26">
                  <c:v>81</c:v>
                </c:pt>
                <c:pt idx="27">
                  <c:v>82</c:v>
                </c:pt>
                <c:pt idx="28">
                  <c:v>83</c:v>
                </c:pt>
                <c:pt idx="29">
                  <c:v>84</c:v>
                </c:pt>
                <c:pt idx="30">
                  <c:v>85</c:v>
                </c:pt>
                <c:pt idx="31">
                  <c:v>86</c:v>
                </c:pt>
                <c:pt idx="32">
                  <c:v>87</c:v>
                </c:pt>
                <c:pt idx="33">
                  <c:v>88</c:v>
                </c:pt>
                <c:pt idx="34">
                  <c:v>89</c:v>
                </c:pt>
                <c:pt idx="35">
                  <c:v>90</c:v>
                </c:pt>
                <c:pt idx="36">
                  <c:v>91</c:v>
                </c:pt>
                <c:pt idx="37">
                  <c:v>92</c:v>
                </c:pt>
                <c:pt idx="38">
                  <c:v>93</c:v>
                </c:pt>
                <c:pt idx="39">
                  <c:v>94</c:v>
                </c:pt>
                <c:pt idx="40">
                  <c:v>95</c:v>
                </c:pt>
                <c:pt idx="41">
                  <c:v>96</c:v>
                </c:pt>
                <c:pt idx="42">
                  <c:v>97</c:v>
                </c:pt>
                <c:pt idx="43">
                  <c:v>98</c:v>
                </c:pt>
                <c:pt idx="44">
                  <c:v>99</c:v>
                </c:pt>
                <c:pt idx="45">
                  <c:v>100</c:v>
                </c:pt>
                <c:pt idx="46">
                  <c:v>101</c:v>
                </c:pt>
                <c:pt idx="47">
                  <c:v>102</c:v>
                </c:pt>
                <c:pt idx="48">
                  <c:v>103</c:v>
                </c:pt>
                <c:pt idx="49">
                  <c:v>104</c:v>
                </c:pt>
                <c:pt idx="50">
                  <c:v>105</c:v>
                </c:pt>
                <c:pt idx="51">
                  <c:v>106</c:v>
                </c:pt>
                <c:pt idx="52">
                  <c:v>107</c:v>
                </c:pt>
                <c:pt idx="53">
                  <c:v>108</c:v>
                </c:pt>
                <c:pt idx="54">
                  <c:v>109</c:v>
                </c:pt>
                <c:pt idx="55">
                  <c:v>110</c:v>
                </c:pt>
                <c:pt idx="56">
                  <c:v>111</c:v>
                </c:pt>
                <c:pt idx="57">
                  <c:v>112</c:v>
                </c:pt>
                <c:pt idx="58">
                  <c:v>113</c:v>
                </c:pt>
                <c:pt idx="59">
                  <c:v>114</c:v>
                </c:pt>
                <c:pt idx="60">
                  <c:v>115</c:v>
                </c:pt>
                <c:pt idx="61">
                  <c:v>116</c:v>
                </c:pt>
                <c:pt idx="62">
                  <c:v>117</c:v>
                </c:pt>
                <c:pt idx="63">
                  <c:v>118</c:v>
                </c:pt>
                <c:pt idx="64">
                  <c:v>119</c:v>
                </c:pt>
                <c:pt idx="65">
                  <c:v>120</c:v>
                </c:pt>
                <c:pt idx="66">
                  <c:v>121</c:v>
                </c:pt>
                <c:pt idx="67">
                  <c:v>122</c:v>
                </c:pt>
                <c:pt idx="68">
                  <c:v>123</c:v>
                </c:pt>
                <c:pt idx="69">
                  <c:v>124</c:v>
                </c:pt>
                <c:pt idx="70">
                  <c:v>125</c:v>
                </c:pt>
                <c:pt idx="71">
                  <c:v>126</c:v>
                </c:pt>
                <c:pt idx="72">
                  <c:v>127</c:v>
                </c:pt>
                <c:pt idx="73">
                  <c:v>128</c:v>
                </c:pt>
                <c:pt idx="74">
                  <c:v>129</c:v>
                </c:pt>
                <c:pt idx="75">
                  <c:v>130</c:v>
                </c:pt>
                <c:pt idx="76">
                  <c:v>131</c:v>
                </c:pt>
                <c:pt idx="77">
                  <c:v>132</c:v>
                </c:pt>
                <c:pt idx="78">
                  <c:v>133</c:v>
                </c:pt>
                <c:pt idx="79">
                  <c:v>134</c:v>
                </c:pt>
                <c:pt idx="80">
                  <c:v>135</c:v>
                </c:pt>
                <c:pt idx="81">
                  <c:v>136</c:v>
                </c:pt>
                <c:pt idx="82">
                  <c:v>137</c:v>
                </c:pt>
                <c:pt idx="83">
                  <c:v>138</c:v>
                </c:pt>
                <c:pt idx="84">
                  <c:v>139</c:v>
                </c:pt>
                <c:pt idx="85">
                  <c:v>140</c:v>
                </c:pt>
                <c:pt idx="86">
                  <c:v>141</c:v>
                </c:pt>
                <c:pt idx="87">
                  <c:v>142</c:v>
                </c:pt>
                <c:pt idx="88">
                  <c:v>143</c:v>
                </c:pt>
                <c:pt idx="89">
                  <c:v>144</c:v>
                </c:pt>
                <c:pt idx="90">
                  <c:v>145</c:v>
                </c:pt>
                <c:pt idx="91">
                  <c:v>146</c:v>
                </c:pt>
                <c:pt idx="92">
                  <c:v>147</c:v>
                </c:pt>
                <c:pt idx="93">
                  <c:v>148</c:v>
                </c:pt>
                <c:pt idx="94">
                  <c:v>149</c:v>
                </c:pt>
                <c:pt idx="95">
                  <c:v>150</c:v>
                </c:pt>
                <c:pt idx="96">
                  <c:v>151</c:v>
                </c:pt>
                <c:pt idx="97">
                  <c:v>152</c:v>
                </c:pt>
                <c:pt idx="98">
                  <c:v>153</c:v>
                </c:pt>
                <c:pt idx="99">
                  <c:v>154</c:v>
                </c:pt>
                <c:pt idx="100">
                  <c:v>155</c:v>
                </c:pt>
                <c:pt idx="101">
                  <c:v>156</c:v>
                </c:pt>
                <c:pt idx="102">
                  <c:v>157</c:v>
                </c:pt>
                <c:pt idx="103">
                  <c:v>158</c:v>
                </c:pt>
                <c:pt idx="104">
                  <c:v>159</c:v>
                </c:pt>
                <c:pt idx="105">
                  <c:v>160</c:v>
                </c:pt>
                <c:pt idx="106">
                  <c:v>161</c:v>
                </c:pt>
                <c:pt idx="107">
                  <c:v>162</c:v>
                </c:pt>
                <c:pt idx="108">
                  <c:v>163</c:v>
                </c:pt>
                <c:pt idx="109">
                  <c:v>164</c:v>
                </c:pt>
                <c:pt idx="110">
                  <c:v>165</c:v>
                </c:pt>
                <c:pt idx="111">
                  <c:v>166</c:v>
                </c:pt>
                <c:pt idx="112">
                  <c:v>167</c:v>
                </c:pt>
                <c:pt idx="113">
                  <c:v>168</c:v>
                </c:pt>
                <c:pt idx="114">
                  <c:v>169</c:v>
                </c:pt>
                <c:pt idx="115">
                  <c:v>170</c:v>
                </c:pt>
                <c:pt idx="116">
                  <c:v>171</c:v>
                </c:pt>
                <c:pt idx="117">
                  <c:v>172</c:v>
                </c:pt>
                <c:pt idx="118">
                  <c:v>173</c:v>
                </c:pt>
                <c:pt idx="119">
                  <c:v>174</c:v>
                </c:pt>
                <c:pt idx="120">
                  <c:v>175</c:v>
                </c:pt>
                <c:pt idx="121">
                  <c:v>176</c:v>
                </c:pt>
                <c:pt idx="122">
                  <c:v>177</c:v>
                </c:pt>
              </c:numCache>
            </c:numRef>
          </c:xVal>
          <c:yVal>
            <c:numRef>
              <c:f>'New_removed - bSIR'!$X$62:$X$184</c:f>
              <c:numCache>
                <c:formatCode>General</c:formatCode>
                <c:ptCount val="1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32.100824509866122</c:v>
                </c:pt>
                <c:pt idx="22">
                  <c:v>76.133024300898043</c:v>
                </c:pt>
                <c:pt idx="23">
                  <c:v>122.25050093716941</c:v>
                </c:pt>
                <c:pt idx="24">
                  <c:v>170.52629118323117</c:v>
                </c:pt>
                <c:pt idx="25">
                  <c:v>221.03323925488343</c:v>
                </c:pt>
                <c:pt idx="26">
                  <c:v>273.84365113606447</c:v>
                </c:pt>
                <c:pt idx="27">
                  <c:v>329.02891540797884</c:v>
                </c:pt>
                <c:pt idx="28">
                  <c:v>386.65909009117553</c:v>
                </c:pt>
                <c:pt idx="29">
                  <c:v>446.80245537716399</c:v>
                </c:pt>
                <c:pt idx="30">
                  <c:v>509.5250325647749</c:v>
                </c:pt>
                <c:pt idx="31">
                  <c:v>574.89007001946868</c:v>
                </c:pt>
                <c:pt idx="32">
                  <c:v>642.95749754149949</c:v>
                </c:pt>
                <c:pt idx="33">
                  <c:v>713.7833511598343</c:v>
                </c:pt>
                <c:pt idx="34">
                  <c:v>787.41917105948437</c:v>
                </c:pt>
                <c:pt idx="35">
                  <c:v>863.9113760946401</c:v>
                </c:pt>
                <c:pt idx="36">
                  <c:v>943.30061913025622</c:v>
                </c:pt>
                <c:pt idx="37">
                  <c:v>1025.6211282791292</c:v>
                </c:pt>
                <c:pt idx="38">
                  <c:v>1110.9000399457316</c:v>
                </c:pt>
                <c:pt idx="39">
                  <c:v>1199.1567304344867</c:v>
                </c:pt>
                <c:pt idx="40">
                  <c:v>1290.4021537082767</c:v>
                </c:pt>
                <c:pt idx="41">
                  <c:v>1384.6381936691487</c:v>
                </c:pt>
                <c:pt idx="42">
                  <c:v>1481.8570400513306</c:v>
                </c:pt>
                <c:pt idx="43">
                  <c:v>1582.0405976386276</c:v>
                </c:pt>
                <c:pt idx="44">
                  <c:v>1685.1599390144866</c:v>
                </c:pt>
                <c:pt idx="45">
                  <c:v>1791.1748113935785</c:v>
                </c:pt>
                <c:pt idx="46">
                  <c:v>1900.0332082393834</c:v>
                </c:pt>
                <c:pt idx="47">
                  <c:v>2011.6710163155669</c:v>
                </c:pt>
                <c:pt idx="48">
                  <c:v>2126.0117485259707</c:v>
                </c:pt>
                <c:pt idx="49">
                  <c:v>2242.9663723493127</c:v>
                </c:pt>
                <c:pt idx="50">
                  <c:v>2362.4332428573034</c:v>
                </c:pt>
                <c:pt idx="51">
                  <c:v>2484.2981482130458</c:v>
                </c:pt>
                <c:pt idx="52">
                  <c:v>2608.4344741836117</c:v>
                </c:pt>
                <c:pt idx="53">
                  <c:v>2734.70349257925</c:v>
                </c:pt>
                <c:pt idx="54">
                  <c:v>2862.954776674921</c:v>
                </c:pt>
                <c:pt idx="55">
                  <c:v>2993.0267446110092</c:v>
                </c:pt>
                <c:pt idx="56">
                  <c:v>3124.7473295525961</c:v>
                </c:pt>
                <c:pt idx="57">
                  <c:v>3257.9347730628738</c:v>
                </c:pt>
                <c:pt idx="58">
                  <c:v>3392.3985357762895</c:v>
                </c:pt>
                <c:pt idx="59">
                  <c:v>3527.9403171064591</c:v>
                </c:pt>
                <c:pt idx="60">
                  <c:v>3664.3551734618636</c:v>
                </c:pt>
                <c:pt idx="61">
                  <c:v>3801.4327223383148</c:v>
                </c:pt>
                <c:pt idx="62">
                  <c:v>3938.9584177784354</c:v>
                </c:pt>
                <c:pt idx="63">
                  <c:v>4076.7148810967178</c:v>
                </c:pt>
                <c:pt idx="64">
                  <c:v>4214.483269517802</c:v>
                </c:pt>
                <c:pt idx="65">
                  <c:v>4352.0446645084685</c:v>
                </c:pt>
                <c:pt idx="66">
                  <c:v>4489.181461130469</c:v>
                </c:pt>
                <c:pt idx="67">
                  <c:v>4625.6787397178032</c:v>
                </c:pt>
                <c:pt idx="68">
                  <c:v>4761.3256015890902</c:v>
                </c:pt>
                <c:pt idx="69">
                  <c:v>4895.9164513290225</c:v>
                </c:pt>
                <c:pt idx="70">
                  <c:v>5029.2522093839034</c:v>
                </c:pt>
                <c:pt idx="71">
                  <c:v>5161.1414402733317</c:v>
                </c:pt>
                <c:pt idx="72">
                  <c:v>5291.4013835703663</c:v>
                </c:pt>
                <c:pt idx="73">
                  <c:v>5419.858876885336</c:v>
                </c:pt>
                <c:pt idx="74">
                  <c:v>5546.3511623365266</c:v>
                </c:pt>
                <c:pt idx="75">
                  <c:v>5670.726570335326</c:v>
                </c:pt>
                <c:pt idx="76">
                  <c:v>5792.8450768845623</c:v>
                </c:pt>
                <c:pt idx="77">
                  <c:v>5912.5787329205805</c:v>
                </c:pt>
                <c:pt idx="78">
                  <c:v>6029.8119664614005</c:v>
                </c:pt>
                <c:pt idx="79">
                  <c:v>6144.4417604016344</c:v>
                </c:pt>
                <c:pt idx="80">
                  <c:v>6256.3777106754269</c:v>
                </c:pt>
                <c:pt idx="81">
                  <c:v>6365.5419711570212</c:v>
                </c:pt>
                <c:pt idx="82">
                  <c:v>6471.8690930604926</c:v>
                </c:pt>
                <c:pt idx="83">
                  <c:v>6575.3057677217812</c:v>
                </c:pt>
                <c:pt idx="84">
                  <c:v>6675.8104824934389</c:v>
                </c:pt>
                <c:pt idx="85">
                  <c:v>6773.3531000597977</c:v>
                </c:pt>
                <c:pt idx="86">
                  <c:v>6867.9143718003515</c:v>
                </c:pt>
                <c:pt idx="87">
                  <c:v>6959.4853959104294</c:v>
                </c:pt>
                <c:pt idx="88">
                  <c:v>7048.0670308544068</c:v>
                </c:pt>
                <c:pt idx="89">
                  <c:v>7133.6692744049269</c:v>
                </c:pt>
                <c:pt idx="90">
                  <c:v>7216.3106180408222</c:v>
                </c:pt>
                <c:pt idx="91">
                  <c:v>7296.0173858667531</c:v>
                </c:pt>
                <c:pt idx="92">
                  <c:v>7372.8230665084684</c:v>
                </c:pt>
                <c:pt idx="93">
                  <c:v>7446.7676456575609</c:v>
                </c:pt>
                <c:pt idx="94">
                  <c:v>7517.8969461147954</c:v>
                </c:pt>
                <c:pt idx="95">
                  <c:v>7586.2619813356705</c:v>
                </c:pt>
                <c:pt idx="96">
                  <c:v>7651.9183276364647</c:v>
                </c:pt>
                <c:pt idx="97">
                  <c:v>7714.9255193917006</c:v>
                </c:pt>
                <c:pt idx="98">
                  <c:v>7775.3464707594485</c:v>
                </c:pt>
                <c:pt idx="99">
                  <c:v>7833.2469267206725</c:v>
                </c:pt>
                <c:pt idx="100">
                  <c:v>7888.694945521891</c:v>
                </c:pt>
                <c:pt idx="101">
                  <c:v>7941.7604139727264</c:v>
                </c:pt>
                <c:pt idx="102">
                  <c:v>7992.5145964752137</c:v>
                </c:pt>
                <c:pt idx="103">
                  <c:v>8041.0297181516726</c:v>
                </c:pt>
                <c:pt idx="104">
                  <c:v>8087.3785819923987</c:v>
                </c:pt>
                <c:pt idx="105">
                  <c:v>8131.6342195618317</c:v>
                </c:pt>
                <c:pt idx="106">
                  <c:v>8173.8695744795514</c:v>
                </c:pt>
                <c:pt idx="107">
                  <c:v>8214.157217626791</c:v>
                </c:pt>
                <c:pt idx="108">
                  <c:v>8252.569092816093</c:v>
                </c:pt>
                <c:pt idx="109">
                  <c:v>8289.1762914965584</c:v>
                </c:pt>
                <c:pt idx="110">
                  <c:v>8324.0488549451693</c:v>
                </c:pt>
                <c:pt idx="111">
                  <c:v>8357.2556023110574</c:v>
                </c:pt>
                <c:pt idx="112">
                  <c:v>8388.8639828294927</c:v>
                </c:pt>
                <c:pt idx="113">
                  <c:v>8418.9399505013425</c:v>
                </c:pt>
                <c:pt idx="114">
                  <c:v>8447.5478595373115</c:v>
                </c:pt>
                <c:pt idx="115">
                  <c:v>8474.7503788905124</c:v>
                </c:pt>
                <c:pt idx="116">
                  <c:v>8500.6084242419001</c:v>
                </c:pt>
                <c:pt idx="117">
                  <c:v>8525.1811058578242</c:v>
                </c:pt>
                <c:pt idx="118">
                  <c:v>8548.5256908039828</c:v>
                </c:pt>
                <c:pt idx="119">
                  <c:v>8570.6975780730554</c:v>
                </c:pt>
                <c:pt idx="120">
                  <c:v>8591.7502852618236</c:v>
                </c:pt>
                <c:pt idx="121">
                  <c:v>8611.735445515611</c:v>
                </c:pt>
                <c:pt idx="122">
                  <c:v>8630.702813541684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563-405D-9D59-DBE97AB07DBF}"/>
            </c:ext>
          </c:extLst>
        </c:ser>
        <c:ser>
          <c:idx val="3"/>
          <c:order val="2"/>
          <c:tx>
            <c:strRef>
              <c:f>'New_removed - bSIR'!$AJ$7</c:f>
              <c:strCache>
                <c:ptCount val="1"/>
                <c:pt idx="0">
                  <c:v>rest of Italy cumul. fit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'New_removed - bSIR'!$C$62:$C$184</c:f>
              <c:numCache>
                <c:formatCode>General</c:formatCode>
                <c:ptCount val="123"/>
                <c:pt idx="0">
                  <c:v>55</c:v>
                </c:pt>
                <c:pt idx="1">
                  <c:v>56</c:v>
                </c:pt>
                <c:pt idx="2">
                  <c:v>57</c:v>
                </c:pt>
                <c:pt idx="3">
                  <c:v>58</c:v>
                </c:pt>
                <c:pt idx="4">
                  <c:v>59</c:v>
                </c:pt>
                <c:pt idx="5">
                  <c:v>60</c:v>
                </c:pt>
                <c:pt idx="6">
                  <c:v>61</c:v>
                </c:pt>
                <c:pt idx="7">
                  <c:v>62</c:v>
                </c:pt>
                <c:pt idx="8">
                  <c:v>63</c:v>
                </c:pt>
                <c:pt idx="9">
                  <c:v>64</c:v>
                </c:pt>
                <c:pt idx="10">
                  <c:v>65</c:v>
                </c:pt>
                <c:pt idx="11">
                  <c:v>66</c:v>
                </c:pt>
                <c:pt idx="12">
                  <c:v>67</c:v>
                </c:pt>
                <c:pt idx="13">
                  <c:v>68</c:v>
                </c:pt>
                <c:pt idx="14">
                  <c:v>69</c:v>
                </c:pt>
                <c:pt idx="15">
                  <c:v>70</c:v>
                </c:pt>
                <c:pt idx="16">
                  <c:v>71</c:v>
                </c:pt>
                <c:pt idx="17">
                  <c:v>72</c:v>
                </c:pt>
                <c:pt idx="18">
                  <c:v>73</c:v>
                </c:pt>
                <c:pt idx="19">
                  <c:v>74</c:v>
                </c:pt>
                <c:pt idx="20">
                  <c:v>75</c:v>
                </c:pt>
                <c:pt idx="21">
                  <c:v>76</c:v>
                </c:pt>
                <c:pt idx="22">
                  <c:v>77</c:v>
                </c:pt>
                <c:pt idx="23">
                  <c:v>78</c:v>
                </c:pt>
                <c:pt idx="24">
                  <c:v>79</c:v>
                </c:pt>
                <c:pt idx="25">
                  <c:v>80</c:v>
                </c:pt>
                <c:pt idx="26">
                  <c:v>81</c:v>
                </c:pt>
                <c:pt idx="27">
                  <c:v>82</c:v>
                </c:pt>
                <c:pt idx="28">
                  <c:v>83</c:v>
                </c:pt>
                <c:pt idx="29">
                  <c:v>84</c:v>
                </c:pt>
                <c:pt idx="30">
                  <c:v>85</c:v>
                </c:pt>
                <c:pt idx="31">
                  <c:v>86</c:v>
                </c:pt>
                <c:pt idx="32">
                  <c:v>87</c:v>
                </c:pt>
                <c:pt idx="33">
                  <c:v>88</c:v>
                </c:pt>
                <c:pt idx="34">
                  <c:v>89</c:v>
                </c:pt>
                <c:pt idx="35">
                  <c:v>90</c:v>
                </c:pt>
                <c:pt idx="36">
                  <c:v>91</c:v>
                </c:pt>
                <c:pt idx="37">
                  <c:v>92</c:v>
                </c:pt>
                <c:pt idx="38">
                  <c:v>93</c:v>
                </c:pt>
                <c:pt idx="39">
                  <c:v>94</c:v>
                </c:pt>
                <c:pt idx="40">
                  <c:v>95</c:v>
                </c:pt>
                <c:pt idx="41">
                  <c:v>96</c:v>
                </c:pt>
                <c:pt idx="42">
                  <c:v>97</c:v>
                </c:pt>
                <c:pt idx="43">
                  <c:v>98</c:v>
                </c:pt>
                <c:pt idx="44">
                  <c:v>99</c:v>
                </c:pt>
                <c:pt idx="45">
                  <c:v>100</c:v>
                </c:pt>
                <c:pt idx="46">
                  <c:v>101</c:v>
                </c:pt>
                <c:pt idx="47">
                  <c:v>102</c:v>
                </c:pt>
                <c:pt idx="48">
                  <c:v>103</c:v>
                </c:pt>
                <c:pt idx="49">
                  <c:v>104</c:v>
                </c:pt>
                <c:pt idx="50">
                  <c:v>105</c:v>
                </c:pt>
                <c:pt idx="51">
                  <c:v>106</c:v>
                </c:pt>
                <c:pt idx="52">
                  <c:v>107</c:v>
                </c:pt>
                <c:pt idx="53">
                  <c:v>108</c:v>
                </c:pt>
                <c:pt idx="54">
                  <c:v>109</c:v>
                </c:pt>
                <c:pt idx="55">
                  <c:v>110</c:v>
                </c:pt>
                <c:pt idx="56">
                  <c:v>111</c:v>
                </c:pt>
                <c:pt idx="57">
                  <c:v>112</c:v>
                </c:pt>
                <c:pt idx="58">
                  <c:v>113</c:v>
                </c:pt>
                <c:pt idx="59">
                  <c:v>114</c:v>
                </c:pt>
                <c:pt idx="60">
                  <c:v>115</c:v>
                </c:pt>
                <c:pt idx="61">
                  <c:v>116</c:v>
                </c:pt>
                <c:pt idx="62">
                  <c:v>117</c:v>
                </c:pt>
                <c:pt idx="63">
                  <c:v>118</c:v>
                </c:pt>
                <c:pt idx="64">
                  <c:v>119</c:v>
                </c:pt>
                <c:pt idx="65">
                  <c:v>120</c:v>
                </c:pt>
                <c:pt idx="66">
                  <c:v>121</c:v>
                </c:pt>
                <c:pt idx="67">
                  <c:v>122</c:v>
                </c:pt>
                <c:pt idx="68">
                  <c:v>123</c:v>
                </c:pt>
                <c:pt idx="69">
                  <c:v>124</c:v>
                </c:pt>
                <c:pt idx="70">
                  <c:v>125</c:v>
                </c:pt>
                <c:pt idx="71">
                  <c:v>126</c:v>
                </c:pt>
                <c:pt idx="72">
                  <c:v>127</c:v>
                </c:pt>
                <c:pt idx="73">
                  <c:v>128</c:v>
                </c:pt>
                <c:pt idx="74">
                  <c:v>129</c:v>
                </c:pt>
                <c:pt idx="75">
                  <c:v>130</c:v>
                </c:pt>
                <c:pt idx="76">
                  <c:v>131</c:v>
                </c:pt>
                <c:pt idx="77">
                  <c:v>132</c:v>
                </c:pt>
                <c:pt idx="78">
                  <c:v>133</c:v>
                </c:pt>
                <c:pt idx="79">
                  <c:v>134</c:v>
                </c:pt>
                <c:pt idx="80">
                  <c:v>135</c:v>
                </c:pt>
                <c:pt idx="81">
                  <c:v>136</c:v>
                </c:pt>
                <c:pt idx="82">
                  <c:v>137</c:v>
                </c:pt>
                <c:pt idx="83">
                  <c:v>138</c:v>
                </c:pt>
                <c:pt idx="84">
                  <c:v>139</c:v>
                </c:pt>
                <c:pt idx="85">
                  <c:v>140</c:v>
                </c:pt>
                <c:pt idx="86">
                  <c:v>141</c:v>
                </c:pt>
                <c:pt idx="87">
                  <c:v>142</c:v>
                </c:pt>
                <c:pt idx="88">
                  <c:v>143</c:v>
                </c:pt>
                <c:pt idx="89">
                  <c:v>144</c:v>
                </c:pt>
                <c:pt idx="90">
                  <c:v>145</c:v>
                </c:pt>
                <c:pt idx="91">
                  <c:v>146</c:v>
                </c:pt>
                <c:pt idx="92">
                  <c:v>147</c:v>
                </c:pt>
                <c:pt idx="93">
                  <c:v>148</c:v>
                </c:pt>
                <c:pt idx="94">
                  <c:v>149</c:v>
                </c:pt>
                <c:pt idx="95">
                  <c:v>150</c:v>
                </c:pt>
                <c:pt idx="96">
                  <c:v>151</c:v>
                </c:pt>
                <c:pt idx="97">
                  <c:v>152</c:v>
                </c:pt>
                <c:pt idx="98">
                  <c:v>153</c:v>
                </c:pt>
                <c:pt idx="99">
                  <c:v>154</c:v>
                </c:pt>
                <c:pt idx="100">
                  <c:v>155</c:v>
                </c:pt>
                <c:pt idx="101">
                  <c:v>156</c:v>
                </c:pt>
                <c:pt idx="102">
                  <c:v>157</c:v>
                </c:pt>
                <c:pt idx="103">
                  <c:v>158</c:v>
                </c:pt>
                <c:pt idx="104">
                  <c:v>159</c:v>
                </c:pt>
                <c:pt idx="105">
                  <c:v>160</c:v>
                </c:pt>
                <c:pt idx="106">
                  <c:v>161</c:v>
                </c:pt>
                <c:pt idx="107">
                  <c:v>162</c:v>
                </c:pt>
                <c:pt idx="108">
                  <c:v>163</c:v>
                </c:pt>
                <c:pt idx="109">
                  <c:v>164</c:v>
                </c:pt>
                <c:pt idx="110">
                  <c:v>165</c:v>
                </c:pt>
                <c:pt idx="111">
                  <c:v>166</c:v>
                </c:pt>
                <c:pt idx="112">
                  <c:v>167</c:v>
                </c:pt>
                <c:pt idx="113">
                  <c:v>168</c:v>
                </c:pt>
                <c:pt idx="114">
                  <c:v>169</c:v>
                </c:pt>
                <c:pt idx="115">
                  <c:v>170</c:v>
                </c:pt>
                <c:pt idx="116">
                  <c:v>171</c:v>
                </c:pt>
                <c:pt idx="117">
                  <c:v>172</c:v>
                </c:pt>
                <c:pt idx="118">
                  <c:v>173</c:v>
                </c:pt>
                <c:pt idx="119">
                  <c:v>174</c:v>
                </c:pt>
                <c:pt idx="120">
                  <c:v>175</c:v>
                </c:pt>
                <c:pt idx="121">
                  <c:v>176</c:v>
                </c:pt>
                <c:pt idx="122">
                  <c:v>177</c:v>
                </c:pt>
              </c:numCache>
            </c:numRef>
          </c:xVal>
          <c:yVal>
            <c:numRef>
              <c:f>'New_removed - bSIR'!$AJ$62:$AJ$184</c:f>
              <c:numCache>
                <c:formatCode>General</c:formatCode>
                <c:ptCount val="1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242.70089901987399</c:v>
                </c:pt>
                <c:pt idx="16">
                  <c:v>1061.5303582923698</c:v>
                </c:pt>
                <c:pt idx="17">
                  <c:v>1914.841051772273</c:v>
                </c:pt>
                <c:pt idx="18">
                  <c:v>2803.7663210252686</c:v>
                </c:pt>
                <c:pt idx="19">
                  <c:v>3729.4469052643476</c:v>
                </c:pt>
                <c:pt idx="20">
                  <c:v>4693.0278268014363</c:v>
                </c:pt>
                <c:pt idx="21">
                  <c:v>5695.6549595855777</c:v>
                </c:pt>
                <c:pt idx="22">
                  <c:v>6738.4712697600517</c:v>
                </c:pt>
                <c:pt idx="23">
                  <c:v>7822.6127188605087</c:v>
                </c:pt>
                <c:pt idx="24">
                  <c:v>8949.2038223229501</c:v>
                </c:pt>
                <c:pt idx="25">
                  <c:v>10119.352858397595</c:v>
                </c:pt>
                <c:pt idx="26">
                  <c:v>11334.146725393943</c:v>
                </c:pt>
                <c:pt idx="27">
                  <c:v>12594.645448434665</c:v>
                </c:pt>
                <c:pt idx="28">
                  <c:v>13901.876340577151</c:v>
                </c:pt>
                <c:pt idx="29">
                  <c:v>15256.827827286077</c:v>
                </c:pt>
                <c:pt idx="30">
                  <c:v>16660.442947797565</c:v>
                </c:pt>
                <c:pt idx="31">
                  <c:v>18113.612551901493</c:v>
                </c:pt>
                <c:pt idx="32">
                  <c:v>19617.16821605487</c:v>
                </c:pt>
                <c:pt idx="33">
                  <c:v>21171.874908496229</c:v>
                </c:pt>
                <c:pt idx="34">
                  <c:v>22778.423439108195</c:v>
                </c:pt>
                <c:pt idx="35">
                  <c:v>24437.422736111159</c:v>
                </c:pt>
                <c:pt idx="36">
                  <c:v>26149.391998188425</c:v>
                </c:pt>
                <c:pt idx="37">
                  <c:v>27914.752777246871</c:v>
                </c:pt>
                <c:pt idx="38">
                  <c:v>29733.821053599138</c:v>
                </c:pt>
                <c:pt idx="39">
                  <c:v>31606.799371787129</c:v>
                </c:pt>
                <c:pt idx="40">
                  <c:v>33533.769111411661</c:v>
                </c:pt>
                <c:pt idx="41">
                  <c:v>35514.682973036492</c:v>
                </c:pt>
                <c:pt idx="42">
                  <c:v>37549.357764333334</c:v>
                </c:pt>
                <c:pt idx="43">
                  <c:v>39637.467575952011</c:v>
                </c:pt>
                <c:pt idx="44">
                  <c:v>41778.537439965126</c:v>
                </c:pt>
                <c:pt idx="45">
                  <c:v>43971.937565970635</c:v>
                </c:pt>
                <c:pt idx="46">
                  <c:v>46216.878250867601</c:v>
                </c:pt>
                <c:pt idx="47">
                  <c:v>48512.405557796192</c:v>
                </c:pt>
                <c:pt idx="48">
                  <c:v>50857.397857605189</c:v>
                </c:pt>
                <c:pt idx="49">
                  <c:v>53250.563322368253</c:v>
                </c:pt>
                <c:pt idx="50">
                  <c:v>55690.438454824405</c:v>
                </c:pt>
                <c:pt idx="51">
                  <c:v>58175.387730119633</c:v>
                </c:pt>
                <c:pt idx="52">
                  <c:v>60703.604416869603</c:v>
                </c:pt>
                <c:pt idx="53">
                  <c:v>63273.11263338838</c:v>
                </c:pt>
                <c:pt idx="54">
                  <c:v>65881.770682023955</c:v>
                </c:pt>
                <c:pt idx="55">
                  <c:v>68527.27569005503</c:v>
                </c:pt>
                <c:pt idx="56">
                  <c:v>71207.169569729391</c:v>
                </c:pt>
                <c:pt idx="57">
                  <c:v>73918.846293012437</c:v>
                </c:pt>
                <c:pt idx="58">
                  <c:v>76659.560458759966</c:v>
                </c:pt>
                <c:pt idx="59">
                  <c:v>79426.437111670166</c:v>
                </c:pt>
                <c:pt idx="60">
                  <c:v>82216.482753880366</c:v>
                </c:pt>
                <c:pt idx="61">
                  <c:v>85026.597471845656</c:v>
                </c:pt>
                <c:pt idx="62">
                  <c:v>87853.588083586059</c:v>
                </c:pt>
                <c:pt idx="63">
                  <c:v>90694.18219491771</c:v>
                </c:pt>
                <c:pt idx="64">
                  <c:v>93545.043038297808</c:v>
                </c:pt>
                <c:pt idx="65">
                  <c:v>96402.784954778152</c:v>
                </c:pt>
                <c:pt idx="66">
                  <c:v>99263.989368613577</c:v>
                </c:pt>
                <c:pt idx="67">
                  <c:v>102125.22109559356</c:v>
                </c:pt>
                <c:pt idx="68">
                  <c:v>104983.04482037554</c:v>
                </c:pt>
                <c:pt idx="69">
                  <c:v>107834.04157515442</c:v>
                </c:pt>
                <c:pt idx="70">
                  <c:v>110674.82505197858</c:v>
                </c:pt>
                <c:pt idx="71">
                  <c:v>113502.05758392267</c:v>
                </c:pt>
                <c:pt idx="72">
                  <c:v>116312.46563607077</c:v>
                </c:pt>
                <c:pt idx="73">
                  <c:v>119102.85465570248</c:v>
                </c:pt>
                <c:pt idx="74">
                  <c:v>121870.12314198462</c:v>
                </c:pt>
                <c:pt idx="75">
                  <c:v>124611.27580857338</c:v>
                </c:pt>
                <c:pt idx="76">
                  <c:v>127323.43572749342</c:v>
                </c:pt>
                <c:pt idx="77">
                  <c:v>130003.85535910711</c:v>
                </c:pt>
                <c:pt idx="78">
                  <c:v>132649.92639052818</c:v>
                </c:pt>
                <c:pt idx="79">
                  <c:v>135259.18832305024</c:v>
                </c:pt>
                <c:pt idx="80">
                  <c:v>137829.33576765319</c:v>
                </c:pt>
                <c:pt idx="81">
                  <c:v>140358.2244260119</c:v>
                </c:pt>
                <c:pt idx="82">
                  <c:v>142843.87575229816</c:v>
                </c:pt>
                <c:pt idx="83">
                  <c:v>145284.48030809383</c:v>
                </c:pt>
                <c:pt idx="84">
                  <c:v>147678.39983862825</c:v>
                </c:pt>
                <c:pt idx="85">
                  <c:v>150024.16811306158</c:v>
                </c:pt>
                <c:pt idx="86">
                  <c:v>152320.49058446789</c:v>
                </c:pt>
                <c:pt idx="87">
                  <c:v>154566.24293637427</c:v>
                </c:pt>
                <c:pt idx="88">
                  <c:v>156760.46859209842</c:v>
                </c:pt>
                <c:pt idx="89">
                  <c:v>158902.37527065579</c:v>
                </c:pt>
                <c:pt idx="90">
                  <c:v>160991.33067868234</c:v>
                </c:pt>
                <c:pt idx="91">
                  <c:v>163026.85743168838</c:v>
                </c:pt>
                <c:pt idx="92">
                  <c:v>165008.62730011364</c:v>
                </c:pt>
                <c:pt idx="93">
                  <c:v>166936.45487620286</c:v>
                </c:pt>
                <c:pt idx="94">
                  <c:v>168810.29075681017</c:v>
                </c:pt>
                <c:pt idx="95">
                  <c:v>170630.21433502639</c:v>
                </c:pt>
                <c:pt idx="96">
                  <c:v>172396.42629017538</c:v>
                </c:pt>
                <c:pt idx="97">
                  <c:v>174109.24086142046</c:v>
                </c:pt>
                <c:pt idx="98">
                  <c:v>175769.07798513584</c:v>
                </c:pt>
                <c:pt idx="99">
                  <c:v>177376.45537050249</c:v>
                </c:pt>
                <c:pt idx="100">
                  <c:v>178931.98058164772</c:v>
                </c:pt>
                <c:pt idx="101">
                  <c:v>180436.34318821935</c:v>
                </c:pt>
                <c:pt idx="102">
                  <c:v>181890.30703970249</c:v>
                </c:pt>
                <c:pt idx="103">
                  <c:v>183294.7027121846</c:v>
                </c:pt>
                <c:pt idx="104">
                  <c:v>184650.42016975416</c:v>
                </c:pt>
                <c:pt idx="105">
                  <c:v>185958.40167637766</c:v>
                </c:pt>
                <c:pt idx="106">
                  <c:v>187219.63498802108</c:v>
                </c:pt>
                <c:pt idx="107">
                  <c:v>188435.14684901596</c:v>
                </c:pt>
                <c:pt idx="108">
                  <c:v>189605.99681127915</c:v>
                </c:pt>
                <c:pt idx="109">
                  <c:v>190733.27139000435</c:v>
                </c:pt>
                <c:pt idx="110">
                  <c:v>191818.07856487526</c:v>
                </c:pt>
                <c:pt idx="111">
                  <c:v>192861.54263172366</c:v>
                </c:pt>
                <c:pt idx="112">
                  <c:v>193864.79940586383</c:v>
                </c:pt>
                <c:pt idx="113">
                  <c:v>194828.99177507692</c:v>
                </c:pt>
                <c:pt idx="114">
                  <c:v>195755.26559738416</c:v>
                </c:pt>
                <c:pt idx="115">
                  <c:v>196644.76593631165</c:v>
                </c:pt>
                <c:pt idx="116">
                  <c:v>197498.6336243001</c:v>
                </c:pt>
                <c:pt idx="117">
                  <c:v>198318.00214321486</c:v>
                </c:pt>
                <c:pt idx="118">
                  <c:v>199103.99480954735</c:v>
                </c:pt>
                <c:pt idx="119">
                  <c:v>199857.72225083434</c:v>
                </c:pt>
                <c:pt idx="120">
                  <c:v>200580.28015903072</c:v>
                </c:pt>
                <c:pt idx="121">
                  <c:v>201272.74730602623</c:v>
                </c:pt>
                <c:pt idx="122">
                  <c:v>201936.18380616666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9563-405D-9D59-DBE97AB07DBF}"/>
            </c:ext>
          </c:extLst>
        </c:ser>
        <c:ser>
          <c:idx val="0"/>
          <c:order val="3"/>
          <c:tx>
            <c:strRef>
              <c:f>Cumul_removed_bSIR!$F$7</c:f>
              <c:strCache>
                <c:ptCount val="1"/>
                <c:pt idx="0">
                  <c:v>Italy sum of regions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Cumul_removed_bSIR!$C$62:$C$184</c:f>
              <c:numCache>
                <c:formatCode>General</c:formatCode>
                <c:ptCount val="123"/>
                <c:pt idx="0">
                  <c:v>55</c:v>
                </c:pt>
                <c:pt idx="1">
                  <c:v>56</c:v>
                </c:pt>
                <c:pt idx="2">
                  <c:v>57</c:v>
                </c:pt>
                <c:pt idx="3">
                  <c:v>58</c:v>
                </c:pt>
                <c:pt idx="4">
                  <c:v>59</c:v>
                </c:pt>
                <c:pt idx="5">
                  <c:v>60</c:v>
                </c:pt>
                <c:pt idx="6">
                  <c:v>61</c:v>
                </c:pt>
                <c:pt idx="7">
                  <c:v>62</c:v>
                </c:pt>
                <c:pt idx="8">
                  <c:v>63</c:v>
                </c:pt>
                <c:pt idx="9">
                  <c:v>64</c:v>
                </c:pt>
                <c:pt idx="10">
                  <c:v>65</c:v>
                </c:pt>
                <c:pt idx="11">
                  <c:v>66</c:v>
                </c:pt>
                <c:pt idx="12">
                  <c:v>67</c:v>
                </c:pt>
                <c:pt idx="13">
                  <c:v>68</c:v>
                </c:pt>
                <c:pt idx="14">
                  <c:v>69</c:v>
                </c:pt>
                <c:pt idx="15">
                  <c:v>70</c:v>
                </c:pt>
                <c:pt idx="16">
                  <c:v>71</c:v>
                </c:pt>
                <c:pt idx="17">
                  <c:v>72</c:v>
                </c:pt>
                <c:pt idx="18">
                  <c:v>73</c:v>
                </c:pt>
                <c:pt idx="19">
                  <c:v>74</c:v>
                </c:pt>
                <c:pt idx="20">
                  <c:v>75</c:v>
                </c:pt>
                <c:pt idx="21">
                  <c:v>76</c:v>
                </c:pt>
                <c:pt idx="22">
                  <c:v>77</c:v>
                </c:pt>
                <c:pt idx="23">
                  <c:v>78</c:v>
                </c:pt>
                <c:pt idx="24">
                  <c:v>79</c:v>
                </c:pt>
                <c:pt idx="25">
                  <c:v>80</c:v>
                </c:pt>
                <c:pt idx="26">
                  <c:v>81</c:v>
                </c:pt>
                <c:pt idx="27">
                  <c:v>82</c:v>
                </c:pt>
                <c:pt idx="28">
                  <c:v>83</c:v>
                </c:pt>
                <c:pt idx="29">
                  <c:v>84</c:v>
                </c:pt>
                <c:pt idx="30">
                  <c:v>85</c:v>
                </c:pt>
                <c:pt idx="31">
                  <c:v>86</c:v>
                </c:pt>
                <c:pt idx="32">
                  <c:v>87</c:v>
                </c:pt>
                <c:pt idx="33">
                  <c:v>88</c:v>
                </c:pt>
                <c:pt idx="34">
                  <c:v>89</c:v>
                </c:pt>
                <c:pt idx="35">
                  <c:v>90</c:v>
                </c:pt>
                <c:pt idx="36">
                  <c:v>91</c:v>
                </c:pt>
                <c:pt idx="37">
                  <c:v>92</c:v>
                </c:pt>
                <c:pt idx="38">
                  <c:v>93</c:v>
                </c:pt>
                <c:pt idx="39">
                  <c:v>94</c:v>
                </c:pt>
                <c:pt idx="40">
                  <c:v>95</c:v>
                </c:pt>
                <c:pt idx="41">
                  <c:v>96</c:v>
                </c:pt>
                <c:pt idx="42">
                  <c:v>97</c:v>
                </c:pt>
                <c:pt idx="43">
                  <c:v>98</c:v>
                </c:pt>
                <c:pt idx="44">
                  <c:v>99</c:v>
                </c:pt>
                <c:pt idx="45">
                  <c:v>100</c:v>
                </c:pt>
                <c:pt idx="46">
                  <c:v>101</c:v>
                </c:pt>
                <c:pt idx="47">
                  <c:v>102</c:v>
                </c:pt>
                <c:pt idx="48">
                  <c:v>103</c:v>
                </c:pt>
                <c:pt idx="49">
                  <c:v>104</c:v>
                </c:pt>
                <c:pt idx="50">
                  <c:v>105</c:v>
                </c:pt>
                <c:pt idx="51">
                  <c:v>106</c:v>
                </c:pt>
                <c:pt idx="52">
                  <c:v>107</c:v>
                </c:pt>
                <c:pt idx="53">
                  <c:v>108</c:v>
                </c:pt>
                <c:pt idx="54">
                  <c:v>109</c:v>
                </c:pt>
                <c:pt idx="55">
                  <c:v>110</c:v>
                </c:pt>
                <c:pt idx="56">
                  <c:v>111</c:v>
                </c:pt>
                <c:pt idx="57">
                  <c:v>112</c:v>
                </c:pt>
                <c:pt idx="58">
                  <c:v>113</c:v>
                </c:pt>
                <c:pt idx="59">
                  <c:v>114</c:v>
                </c:pt>
                <c:pt idx="60">
                  <c:v>115</c:v>
                </c:pt>
                <c:pt idx="61">
                  <c:v>116</c:v>
                </c:pt>
                <c:pt idx="62">
                  <c:v>117</c:v>
                </c:pt>
                <c:pt idx="63">
                  <c:v>118</c:v>
                </c:pt>
                <c:pt idx="64">
                  <c:v>119</c:v>
                </c:pt>
                <c:pt idx="65">
                  <c:v>120</c:v>
                </c:pt>
                <c:pt idx="66">
                  <c:v>121</c:v>
                </c:pt>
                <c:pt idx="67">
                  <c:v>122</c:v>
                </c:pt>
                <c:pt idx="68">
                  <c:v>123</c:v>
                </c:pt>
                <c:pt idx="69">
                  <c:v>124</c:v>
                </c:pt>
                <c:pt idx="70">
                  <c:v>125</c:v>
                </c:pt>
                <c:pt idx="71">
                  <c:v>126</c:v>
                </c:pt>
                <c:pt idx="72">
                  <c:v>127</c:v>
                </c:pt>
                <c:pt idx="73">
                  <c:v>128</c:v>
                </c:pt>
                <c:pt idx="74">
                  <c:v>129</c:v>
                </c:pt>
                <c:pt idx="75">
                  <c:v>130</c:v>
                </c:pt>
                <c:pt idx="76">
                  <c:v>131</c:v>
                </c:pt>
                <c:pt idx="77">
                  <c:v>132</c:v>
                </c:pt>
                <c:pt idx="78">
                  <c:v>133</c:v>
                </c:pt>
                <c:pt idx="79">
                  <c:v>134</c:v>
                </c:pt>
                <c:pt idx="80">
                  <c:v>135</c:v>
                </c:pt>
                <c:pt idx="81">
                  <c:v>136</c:v>
                </c:pt>
                <c:pt idx="82">
                  <c:v>137</c:v>
                </c:pt>
                <c:pt idx="83">
                  <c:v>138</c:v>
                </c:pt>
                <c:pt idx="84">
                  <c:v>139</c:v>
                </c:pt>
                <c:pt idx="85">
                  <c:v>140</c:v>
                </c:pt>
                <c:pt idx="86">
                  <c:v>141</c:v>
                </c:pt>
                <c:pt idx="87">
                  <c:v>142</c:v>
                </c:pt>
                <c:pt idx="88">
                  <c:v>143</c:v>
                </c:pt>
                <c:pt idx="89">
                  <c:v>144</c:v>
                </c:pt>
                <c:pt idx="90">
                  <c:v>145</c:v>
                </c:pt>
                <c:pt idx="91">
                  <c:v>146</c:v>
                </c:pt>
                <c:pt idx="92">
                  <c:v>147</c:v>
                </c:pt>
                <c:pt idx="93">
                  <c:v>148</c:v>
                </c:pt>
                <c:pt idx="94">
                  <c:v>149</c:v>
                </c:pt>
                <c:pt idx="95">
                  <c:v>150</c:v>
                </c:pt>
                <c:pt idx="96">
                  <c:v>151</c:v>
                </c:pt>
                <c:pt idx="97">
                  <c:v>152</c:v>
                </c:pt>
                <c:pt idx="98">
                  <c:v>153</c:v>
                </c:pt>
                <c:pt idx="99">
                  <c:v>154</c:v>
                </c:pt>
                <c:pt idx="100">
                  <c:v>155</c:v>
                </c:pt>
                <c:pt idx="101">
                  <c:v>156</c:v>
                </c:pt>
                <c:pt idx="102">
                  <c:v>157</c:v>
                </c:pt>
                <c:pt idx="103">
                  <c:v>158</c:v>
                </c:pt>
                <c:pt idx="104">
                  <c:v>159</c:v>
                </c:pt>
                <c:pt idx="105">
                  <c:v>160</c:v>
                </c:pt>
                <c:pt idx="106">
                  <c:v>161</c:v>
                </c:pt>
                <c:pt idx="107">
                  <c:v>162</c:v>
                </c:pt>
                <c:pt idx="108">
                  <c:v>163</c:v>
                </c:pt>
                <c:pt idx="109">
                  <c:v>164</c:v>
                </c:pt>
                <c:pt idx="110">
                  <c:v>165</c:v>
                </c:pt>
                <c:pt idx="111">
                  <c:v>166</c:v>
                </c:pt>
                <c:pt idx="112">
                  <c:v>167</c:v>
                </c:pt>
                <c:pt idx="113">
                  <c:v>168</c:v>
                </c:pt>
                <c:pt idx="114">
                  <c:v>169</c:v>
                </c:pt>
                <c:pt idx="115">
                  <c:v>170</c:v>
                </c:pt>
                <c:pt idx="116">
                  <c:v>171</c:v>
                </c:pt>
                <c:pt idx="117">
                  <c:v>172</c:v>
                </c:pt>
                <c:pt idx="118">
                  <c:v>173</c:v>
                </c:pt>
                <c:pt idx="119">
                  <c:v>174</c:v>
                </c:pt>
                <c:pt idx="120">
                  <c:v>175</c:v>
                </c:pt>
                <c:pt idx="121">
                  <c:v>176</c:v>
                </c:pt>
                <c:pt idx="122">
                  <c:v>177</c:v>
                </c:pt>
              </c:numCache>
            </c:numRef>
          </c:xVal>
          <c:yVal>
            <c:numRef>
              <c:f>Cumul_removed_bSIR!$F$62:$F$184</c:f>
              <c:numCache>
                <c:formatCode>0</c:formatCode>
                <c:ptCount val="1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242.70089901987399</c:v>
                </c:pt>
                <c:pt idx="16">
                  <c:v>1061.5303582923698</c:v>
                </c:pt>
                <c:pt idx="17">
                  <c:v>1914.841051772273</c:v>
                </c:pt>
                <c:pt idx="18">
                  <c:v>2803.7663210252686</c:v>
                </c:pt>
                <c:pt idx="19">
                  <c:v>3729.4469052643476</c:v>
                </c:pt>
                <c:pt idx="20">
                  <c:v>4693.0278268014363</c:v>
                </c:pt>
                <c:pt idx="21">
                  <c:v>5727.7557840954441</c:v>
                </c:pt>
                <c:pt idx="22">
                  <c:v>6814.6042940609495</c:v>
                </c:pt>
                <c:pt idx="23">
                  <c:v>7944.8632197976785</c:v>
                </c:pt>
                <c:pt idx="24">
                  <c:v>9119.7301135061807</c:v>
                </c:pt>
                <c:pt idx="25">
                  <c:v>10340.386097652477</c:v>
                </c:pt>
                <c:pt idx="26">
                  <c:v>11607.990376530008</c:v>
                </c:pt>
                <c:pt idx="27">
                  <c:v>12923.674363842643</c:v>
                </c:pt>
                <c:pt idx="28">
                  <c:v>14288.535430668328</c:v>
                </c:pt>
                <c:pt idx="29">
                  <c:v>15703.630282663242</c:v>
                </c:pt>
                <c:pt idx="30">
                  <c:v>17169.96798036234</c:v>
                </c:pt>
                <c:pt idx="31">
                  <c:v>18688.502621920961</c:v>
                </c:pt>
                <c:pt idx="32">
                  <c:v>20260.125713596368</c:v>
                </c:pt>
                <c:pt idx="33">
                  <c:v>21885.658259656062</c:v>
                </c:pt>
                <c:pt idx="34">
                  <c:v>23565.842610167681</c:v>
                </c:pt>
                <c:pt idx="35">
                  <c:v>25301.334112205797</c:v>
                </c:pt>
                <c:pt idx="36">
                  <c:v>27092.69261731868</c:v>
                </c:pt>
                <c:pt idx="37">
                  <c:v>28940.373905526001</c:v>
                </c:pt>
                <c:pt idx="38">
                  <c:v>30844.721093544871</c:v>
                </c:pt>
                <c:pt idx="39">
                  <c:v>32805.956102221615</c:v>
                </c:pt>
                <c:pt idx="40">
                  <c:v>34824.171265119934</c:v>
                </c:pt>
                <c:pt idx="41">
                  <c:v>36899.321166705638</c:v>
                </c:pt>
                <c:pt idx="42">
                  <c:v>39031.214804384661</c:v>
                </c:pt>
                <c:pt idx="43">
                  <c:v>41219.508173590635</c:v>
                </c:pt>
                <c:pt idx="44">
                  <c:v>43463.69737897961</c:v>
                </c:pt>
                <c:pt idx="45">
                  <c:v>45763.11237736421</c:v>
                </c:pt>
                <c:pt idx="46">
                  <c:v>48116.911459106981</c:v>
                </c:pt>
                <c:pt idx="47">
                  <c:v>50524.076574111758</c:v>
                </c:pt>
                <c:pt idx="48">
                  <c:v>52983.409606131157</c:v>
                </c:pt>
                <c:pt idx="49">
                  <c:v>55493.529694717567</c:v>
                </c:pt>
                <c:pt idx="50">
                  <c:v>58052.871697681709</c:v>
                </c:pt>
                <c:pt idx="51">
                  <c:v>60659.685878332682</c:v>
                </c:pt>
                <c:pt idx="52">
                  <c:v>63312.038891053213</c:v>
                </c:pt>
                <c:pt idx="53">
                  <c:v>66007.816125967627</c:v>
                </c:pt>
                <c:pt idx="54">
                  <c:v>68744.725458698871</c:v>
                </c:pt>
                <c:pt idx="55">
                  <c:v>71520.302434666039</c:v>
                </c:pt>
                <c:pt idx="56">
                  <c:v>74331.91689928199</c:v>
                </c:pt>
                <c:pt idx="57">
                  <c:v>77176.781066075317</c:v>
                </c:pt>
                <c:pt idx="58">
                  <c:v>80051.958994536253</c:v>
                </c:pt>
                <c:pt idx="59">
                  <c:v>82954.377428776628</c:v>
                </c:pt>
                <c:pt idx="60">
                  <c:v>85880.837927342232</c:v>
                </c:pt>
                <c:pt idx="61">
                  <c:v>88828.030194183972</c:v>
                </c:pt>
                <c:pt idx="62">
                  <c:v>91792.546501364501</c:v>
                </c:pt>
                <c:pt idx="63">
                  <c:v>94770.897076014429</c:v>
                </c:pt>
                <c:pt idx="64">
                  <c:v>97759.526307815613</c:v>
                </c:pt>
                <c:pt idx="65">
                  <c:v>100754.82961928663</c:v>
                </c:pt>
                <c:pt idx="66">
                  <c:v>103753.17082974405</c:v>
                </c:pt>
                <c:pt idx="67">
                  <c:v>106750.89983531136</c:v>
                </c:pt>
                <c:pt idx="68">
                  <c:v>109744.37042196463</c:v>
                </c:pt>
                <c:pt idx="69">
                  <c:v>112729.95802648344</c:v>
                </c:pt>
                <c:pt idx="70">
                  <c:v>115704.07726136249</c:v>
                </c:pt>
                <c:pt idx="71">
                  <c:v>118663.199024196</c:v>
                </c:pt>
                <c:pt idx="72">
                  <c:v>121603.86701964114</c:v>
                </c:pt>
                <c:pt idx="73">
                  <c:v>124522.71353258782</c:v>
                </c:pt>
                <c:pt idx="74">
                  <c:v>127416.47430432113</c:v>
                </c:pt>
                <c:pt idx="75">
                  <c:v>130282.00237890871</c:v>
                </c:pt>
                <c:pt idx="76">
                  <c:v>133116.28080437798</c:v>
                </c:pt>
                <c:pt idx="77">
                  <c:v>135916.43409202769</c:v>
                </c:pt>
                <c:pt idx="78">
                  <c:v>138679.73835698958</c:v>
                </c:pt>
                <c:pt idx="79">
                  <c:v>141403.63008345186</c:v>
                </c:pt>
                <c:pt idx="80">
                  <c:v>144085.7134783286</c:v>
                </c:pt>
                <c:pt idx="81">
                  <c:v>146723.76639716892</c:v>
                </c:pt>
                <c:pt idx="82">
                  <c:v>149315.74484535865</c:v>
                </c:pt>
                <c:pt idx="83">
                  <c:v>151859.78607581562</c:v>
                </c:pt>
                <c:pt idx="84">
                  <c:v>154354.21032112167</c:v>
                </c:pt>
                <c:pt idx="85">
                  <c:v>156797.52121312136</c:v>
                </c:pt>
                <c:pt idx="86">
                  <c:v>159188.40495626823</c:v>
                </c:pt>
                <c:pt idx="87">
                  <c:v>161525.72833228469</c:v>
                </c:pt>
                <c:pt idx="88">
                  <c:v>163808.53562295283</c:v>
                </c:pt>
                <c:pt idx="89">
                  <c:v>166036.04454506072</c:v>
                </c:pt>
                <c:pt idx="90">
                  <c:v>168207.64129672316</c:v>
                </c:pt>
                <c:pt idx="91">
                  <c:v>170322.87481755513</c:v>
                </c:pt>
                <c:pt idx="92">
                  <c:v>172381.4503666221</c:v>
                </c:pt>
                <c:pt idx="93">
                  <c:v>174383.22252186041</c:v>
                </c:pt>
                <c:pt idx="94">
                  <c:v>176328.18770292497</c:v>
                </c:pt>
                <c:pt idx="95">
                  <c:v>178216.47631636207</c:v>
                </c:pt>
                <c:pt idx="96">
                  <c:v>180048.34461781185</c:v>
                </c:pt>
                <c:pt idx="97">
                  <c:v>181824.16638081215</c:v>
                </c:pt>
                <c:pt idx="98">
                  <c:v>183544.42445589529</c:v>
                </c:pt>
                <c:pt idx="99">
                  <c:v>185209.70229722315</c:v>
                </c:pt>
                <c:pt idx="100">
                  <c:v>186820.6755271696</c:v>
                </c:pt>
                <c:pt idx="101">
                  <c:v>188378.10360219207</c:v>
                </c:pt>
                <c:pt idx="102">
                  <c:v>189882.82163617769</c:v>
                </c:pt>
                <c:pt idx="103">
                  <c:v>191335.73243033627</c:v>
                </c:pt>
                <c:pt idx="104">
                  <c:v>192737.79875174657</c:v>
                </c:pt>
                <c:pt idx="105">
                  <c:v>194090.03589593948</c:v>
                </c:pt>
                <c:pt idx="106">
                  <c:v>195393.50456250063</c:v>
                </c:pt>
                <c:pt idx="107">
                  <c:v>196649.30406664274</c:v>
                </c:pt>
                <c:pt idx="108">
                  <c:v>197858.56590409525</c:v>
                </c:pt>
                <c:pt idx="109">
                  <c:v>199022.4476815009</c:v>
                </c:pt>
                <c:pt idx="110">
                  <c:v>200142.12741982043</c:v>
                </c:pt>
                <c:pt idx="111">
                  <c:v>201218.79823403471</c:v>
                </c:pt>
                <c:pt idx="112">
                  <c:v>202253.66338869333</c:v>
                </c:pt>
                <c:pt idx="113">
                  <c:v>203247.93172557827</c:v>
                </c:pt>
                <c:pt idx="114">
                  <c:v>204202.81345692146</c:v>
                </c:pt>
                <c:pt idx="115">
                  <c:v>205119.51631520217</c:v>
                </c:pt>
                <c:pt idx="116">
                  <c:v>205999.24204854199</c:v>
                </c:pt>
                <c:pt idx="117">
                  <c:v>206843.1832490727</c:v>
                </c:pt>
                <c:pt idx="118">
                  <c:v>207652.52050035133</c:v>
                </c:pt>
                <c:pt idx="119">
                  <c:v>208428.41982890738</c:v>
                </c:pt>
                <c:pt idx="120">
                  <c:v>209172.03044429256</c:v>
                </c:pt>
                <c:pt idx="121">
                  <c:v>209884.48275154183</c:v>
                </c:pt>
                <c:pt idx="122">
                  <c:v>210566.88661970836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992-410A-840D-E91A2B46B7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9487760"/>
        <c:axId val="969487440"/>
      </c:scatterChart>
      <c:valAx>
        <c:axId val="9694877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Days</a:t>
                </a:r>
                <a:r>
                  <a:rPr lang="en-US" baseline="0"/>
                  <a:t> from 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69487440"/>
        <c:crosses val="autoZero"/>
        <c:crossBetween val="midCat"/>
      </c:valAx>
      <c:valAx>
        <c:axId val="969487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kern="1200" baseline="0">
                    <a:solidFill>
                      <a:srgbClr val="595959"/>
                    </a:solidFill>
                    <a:effectLst/>
                  </a:rPr>
                  <a:t>Accumulative # of people</a:t>
                </a:r>
                <a:endParaRPr lang="it-IT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694877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it-IT" sz="1400" b="0" i="0" u="none" strike="noStrike" kern="1200" spc="0" baseline="0">
                <a:solidFill>
                  <a:srgbClr val="0070C0"/>
                </a:solidFill>
                <a:latin typeface="+mn-lt"/>
                <a:ea typeface="+mn-ea"/>
                <a:cs typeface="+mn-cs"/>
              </a:defRPr>
            </a:pPr>
            <a:r>
              <a:rPr lang="it-IT" sz="1400" b="0" i="0" u="none" strike="noStrike" kern="1200" spc="0" baseline="0">
                <a:solidFill>
                  <a:srgbClr val="0070C0"/>
                </a:solidFill>
                <a:latin typeface="+mn-lt"/>
                <a:ea typeface="+mn-ea"/>
                <a:cs typeface="+mn-cs"/>
              </a:rPr>
              <a:t>Italy - removal rate (# of people removed/day) - basic SIR - log-linear plot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it-IT" sz="1400" b="0" i="0" u="none" strike="noStrike" kern="1200" spc="0" baseline="0">
              <a:solidFill>
                <a:srgbClr val="0070C0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'New_removed - bSIR'!$E$7</c:f>
              <c:strCache>
                <c:ptCount val="1"/>
                <c:pt idx="0">
                  <c:v>Italy remov. rate data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'New_removed - bSIR'!$C$62:$C$281</c:f>
              <c:numCache>
                <c:formatCode>General</c:formatCode>
                <c:ptCount val="220"/>
                <c:pt idx="0">
                  <c:v>55</c:v>
                </c:pt>
                <c:pt idx="1">
                  <c:v>56</c:v>
                </c:pt>
                <c:pt idx="2">
                  <c:v>57</c:v>
                </c:pt>
                <c:pt idx="3">
                  <c:v>58</c:v>
                </c:pt>
                <c:pt idx="4">
                  <c:v>59</c:v>
                </c:pt>
                <c:pt idx="5">
                  <c:v>60</c:v>
                </c:pt>
                <c:pt idx="6">
                  <c:v>61</c:v>
                </c:pt>
                <c:pt idx="7">
                  <c:v>62</c:v>
                </c:pt>
                <c:pt idx="8">
                  <c:v>63</c:v>
                </c:pt>
                <c:pt idx="9">
                  <c:v>64</c:v>
                </c:pt>
                <c:pt idx="10">
                  <c:v>65</c:v>
                </c:pt>
                <c:pt idx="11">
                  <c:v>66</c:v>
                </c:pt>
                <c:pt idx="12">
                  <c:v>67</c:v>
                </c:pt>
                <c:pt idx="13">
                  <c:v>68</c:v>
                </c:pt>
                <c:pt idx="14">
                  <c:v>69</c:v>
                </c:pt>
                <c:pt idx="15">
                  <c:v>70</c:v>
                </c:pt>
                <c:pt idx="16">
                  <c:v>71</c:v>
                </c:pt>
                <c:pt idx="17">
                  <c:v>72</c:v>
                </c:pt>
                <c:pt idx="18">
                  <c:v>73</c:v>
                </c:pt>
                <c:pt idx="19">
                  <c:v>74</c:v>
                </c:pt>
                <c:pt idx="20">
                  <c:v>75</c:v>
                </c:pt>
                <c:pt idx="21">
                  <c:v>76</c:v>
                </c:pt>
                <c:pt idx="22">
                  <c:v>77</c:v>
                </c:pt>
                <c:pt idx="23">
                  <c:v>78</c:v>
                </c:pt>
                <c:pt idx="24">
                  <c:v>79</c:v>
                </c:pt>
                <c:pt idx="25">
                  <c:v>80</c:v>
                </c:pt>
                <c:pt idx="26">
                  <c:v>81</c:v>
                </c:pt>
                <c:pt idx="27">
                  <c:v>82</c:v>
                </c:pt>
                <c:pt idx="28">
                  <c:v>83</c:v>
                </c:pt>
                <c:pt idx="29">
                  <c:v>84</c:v>
                </c:pt>
                <c:pt idx="30">
                  <c:v>85</c:v>
                </c:pt>
                <c:pt idx="31">
                  <c:v>86</c:v>
                </c:pt>
                <c:pt idx="32">
                  <c:v>87</c:v>
                </c:pt>
                <c:pt idx="33">
                  <c:v>88</c:v>
                </c:pt>
                <c:pt idx="34">
                  <c:v>89</c:v>
                </c:pt>
                <c:pt idx="35">
                  <c:v>90</c:v>
                </c:pt>
                <c:pt idx="36">
                  <c:v>91</c:v>
                </c:pt>
                <c:pt idx="37">
                  <c:v>92</c:v>
                </c:pt>
                <c:pt idx="38">
                  <c:v>93</c:v>
                </c:pt>
                <c:pt idx="39">
                  <c:v>94</c:v>
                </c:pt>
                <c:pt idx="40">
                  <c:v>95</c:v>
                </c:pt>
                <c:pt idx="41">
                  <c:v>96</c:v>
                </c:pt>
                <c:pt idx="42">
                  <c:v>97</c:v>
                </c:pt>
                <c:pt idx="43">
                  <c:v>98</c:v>
                </c:pt>
                <c:pt idx="44">
                  <c:v>99</c:v>
                </c:pt>
                <c:pt idx="45">
                  <c:v>100</c:v>
                </c:pt>
                <c:pt idx="46">
                  <c:v>101</c:v>
                </c:pt>
                <c:pt idx="47">
                  <c:v>102</c:v>
                </c:pt>
                <c:pt idx="48">
                  <c:v>103</c:v>
                </c:pt>
                <c:pt idx="49">
                  <c:v>104</c:v>
                </c:pt>
                <c:pt idx="50">
                  <c:v>105</c:v>
                </c:pt>
                <c:pt idx="51">
                  <c:v>106</c:v>
                </c:pt>
                <c:pt idx="52">
                  <c:v>107</c:v>
                </c:pt>
                <c:pt idx="53">
                  <c:v>108</c:v>
                </c:pt>
                <c:pt idx="54">
                  <c:v>109</c:v>
                </c:pt>
                <c:pt idx="55">
                  <c:v>110</c:v>
                </c:pt>
                <c:pt idx="56">
                  <c:v>111</c:v>
                </c:pt>
                <c:pt idx="57">
                  <c:v>112</c:v>
                </c:pt>
                <c:pt idx="58">
                  <c:v>113</c:v>
                </c:pt>
                <c:pt idx="59">
                  <c:v>114</c:v>
                </c:pt>
                <c:pt idx="60">
                  <c:v>115</c:v>
                </c:pt>
                <c:pt idx="61">
                  <c:v>116</c:v>
                </c:pt>
                <c:pt idx="62">
                  <c:v>117</c:v>
                </c:pt>
                <c:pt idx="63">
                  <c:v>118</c:v>
                </c:pt>
                <c:pt idx="64">
                  <c:v>119</c:v>
                </c:pt>
                <c:pt idx="65">
                  <c:v>120</c:v>
                </c:pt>
                <c:pt idx="66">
                  <c:v>121</c:v>
                </c:pt>
                <c:pt idx="67">
                  <c:v>122</c:v>
                </c:pt>
                <c:pt idx="68">
                  <c:v>123</c:v>
                </c:pt>
                <c:pt idx="69">
                  <c:v>124</c:v>
                </c:pt>
                <c:pt idx="70">
                  <c:v>125</c:v>
                </c:pt>
                <c:pt idx="71">
                  <c:v>126</c:v>
                </c:pt>
                <c:pt idx="72">
                  <c:v>127</c:v>
                </c:pt>
                <c:pt idx="73">
                  <c:v>128</c:v>
                </c:pt>
                <c:pt idx="74">
                  <c:v>129</c:v>
                </c:pt>
                <c:pt idx="75">
                  <c:v>130</c:v>
                </c:pt>
                <c:pt idx="76">
                  <c:v>131</c:v>
                </c:pt>
                <c:pt idx="77">
                  <c:v>132</c:v>
                </c:pt>
                <c:pt idx="78">
                  <c:v>133</c:v>
                </c:pt>
                <c:pt idx="79">
                  <c:v>134</c:v>
                </c:pt>
                <c:pt idx="80">
                  <c:v>135</c:v>
                </c:pt>
                <c:pt idx="81">
                  <c:v>136</c:v>
                </c:pt>
                <c:pt idx="82">
                  <c:v>137</c:v>
                </c:pt>
                <c:pt idx="83">
                  <c:v>138</c:v>
                </c:pt>
                <c:pt idx="84">
                  <c:v>139</c:v>
                </c:pt>
                <c:pt idx="85">
                  <c:v>140</c:v>
                </c:pt>
                <c:pt idx="86">
                  <c:v>141</c:v>
                </c:pt>
                <c:pt idx="87">
                  <c:v>142</c:v>
                </c:pt>
                <c:pt idx="88">
                  <c:v>143</c:v>
                </c:pt>
                <c:pt idx="89">
                  <c:v>144</c:v>
                </c:pt>
                <c:pt idx="90">
                  <c:v>145</c:v>
                </c:pt>
                <c:pt idx="91">
                  <c:v>146</c:v>
                </c:pt>
                <c:pt idx="92">
                  <c:v>147</c:v>
                </c:pt>
                <c:pt idx="93">
                  <c:v>148</c:v>
                </c:pt>
                <c:pt idx="94">
                  <c:v>149</c:v>
                </c:pt>
                <c:pt idx="95">
                  <c:v>150</c:v>
                </c:pt>
                <c:pt idx="96">
                  <c:v>151</c:v>
                </c:pt>
                <c:pt idx="97">
                  <c:v>152</c:v>
                </c:pt>
                <c:pt idx="98">
                  <c:v>153</c:v>
                </c:pt>
                <c:pt idx="99">
                  <c:v>154</c:v>
                </c:pt>
                <c:pt idx="100">
                  <c:v>155</c:v>
                </c:pt>
                <c:pt idx="101">
                  <c:v>156</c:v>
                </c:pt>
                <c:pt idx="102">
                  <c:v>157</c:v>
                </c:pt>
                <c:pt idx="103">
                  <c:v>158</c:v>
                </c:pt>
                <c:pt idx="104">
                  <c:v>159</c:v>
                </c:pt>
                <c:pt idx="105">
                  <c:v>160</c:v>
                </c:pt>
                <c:pt idx="106">
                  <c:v>161</c:v>
                </c:pt>
                <c:pt idx="107">
                  <c:v>162</c:v>
                </c:pt>
                <c:pt idx="108">
                  <c:v>163</c:v>
                </c:pt>
                <c:pt idx="109">
                  <c:v>164</c:v>
                </c:pt>
                <c:pt idx="110">
                  <c:v>165</c:v>
                </c:pt>
                <c:pt idx="111">
                  <c:v>166</c:v>
                </c:pt>
                <c:pt idx="112">
                  <c:v>167</c:v>
                </c:pt>
                <c:pt idx="113">
                  <c:v>168</c:v>
                </c:pt>
                <c:pt idx="114">
                  <c:v>169</c:v>
                </c:pt>
                <c:pt idx="115">
                  <c:v>170</c:v>
                </c:pt>
                <c:pt idx="116">
                  <c:v>171</c:v>
                </c:pt>
                <c:pt idx="117">
                  <c:v>172</c:v>
                </c:pt>
                <c:pt idx="118">
                  <c:v>173</c:v>
                </c:pt>
                <c:pt idx="119">
                  <c:v>174</c:v>
                </c:pt>
                <c:pt idx="120">
                  <c:v>175</c:v>
                </c:pt>
                <c:pt idx="121">
                  <c:v>176</c:v>
                </c:pt>
                <c:pt idx="122">
                  <c:v>177</c:v>
                </c:pt>
                <c:pt idx="123">
                  <c:v>178</c:v>
                </c:pt>
                <c:pt idx="124">
                  <c:v>179</c:v>
                </c:pt>
                <c:pt idx="125">
                  <c:v>180</c:v>
                </c:pt>
                <c:pt idx="126">
                  <c:v>181</c:v>
                </c:pt>
                <c:pt idx="127">
                  <c:v>182</c:v>
                </c:pt>
                <c:pt idx="128">
                  <c:v>183</c:v>
                </c:pt>
                <c:pt idx="129">
                  <c:v>184</c:v>
                </c:pt>
                <c:pt idx="130">
                  <c:v>185</c:v>
                </c:pt>
                <c:pt idx="131">
                  <c:v>186</c:v>
                </c:pt>
                <c:pt idx="132">
                  <c:v>187</c:v>
                </c:pt>
                <c:pt idx="133">
                  <c:v>188</c:v>
                </c:pt>
                <c:pt idx="134">
                  <c:v>189</c:v>
                </c:pt>
                <c:pt idx="135">
                  <c:v>190</c:v>
                </c:pt>
                <c:pt idx="136">
                  <c:v>191</c:v>
                </c:pt>
                <c:pt idx="137">
                  <c:v>192</c:v>
                </c:pt>
                <c:pt idx="138">
                  <c:v>193</c:v>
                </c:pt>
                <c:pt idx="139">
                  <c:v>194</c:v>
                </c:pt>
                <c:pt idx="140">
                  <c:v>195</c:v>
                </c:pt>
                <c:pt idx="141">
                  <c:v>196</c:v>
                </c:pt>
                <c:pt idx="142">
                  <c:v>197</c:v>
                </c:pt>
                <c:pt idx="143">
                  <c:v>198</c:v>
                </c:pt>
                <c:pt idx="144">
                  <c:v>199</c:v>
                </c:pt>
                <c:pt idx="145">
                  <c:v>200</c:v>
                </c:pt>
                <c:pt idx="146">
                  <c:v>201</c:v>
                </c:pt>
                <c:pt idx="147">
                  <c:v>202</c:v>
                </c:pt>
                <c:pt idx="148">
                  <c:v>203</c:v>
                </c:pt>
                <c:pt idx="149">
                  <c:v>204</c:v>
                </c:pt>
                <c:pt idx="150">
                  <c:v>205</c:v>
                </c:pt>
                <c:pt idx="151">
                  <c:v>206</c:v>
                </c:pt>
                <c:pt idx="152">
                  <c:v>207</c:v>
                </c:pt>
                <c:pt idx="153">
                  <c:v>208</c:v>
                </c:pt>
                <c:pt idx="154">
                  <c:v>209</c:v>
                </c:pt>
                <c:pt idx="155">
                  <c:v>210</c:v>
                </c:pt>
                <c:pt idx="156">
                  <c:v>211</c:v>
                </c:pt>
                <c:pt idx="157">
                  <c:v>212</c:v>
                </c:pt>
                <c:pt idx="158">
                  <c:v>213</c:v>
                </c:pt>
                <c:pt idx="159">
                  <c:v>214</c:v>
                </c:pt>
                <c:pt idx="160">
                  <c:v>215</c:v>
                </c:pt>
                <c:pt idx="161">
                  <c:v>216</c:v>
                </c:pt>
                <c:pt idx="162">
                  <c:v>217</c:v>
                </c:pt>
                <c:pt idx="163">
                  <c:v>218</c:v>
                </c:pt>
                <c:pt idx="164">
                  <c:v>219</c:v>
                </c:pt>
                <c:pt idx="165">
                  <c:v>220</c:v>
                </c:pt>
                <c:pt idx="166">
                  <c:v>221</c:v>
                </c:pt>
                <c:pt idx="167">
                  <c:v>222</c:v>
                </c:pt>
                <c:pt idx="168">
                  <c:v>223</c:v>
                </c:pt>
                <c:pt idx="169">
                  <c:v>224</c:v>
                </c:pt>
                <c:pt idx="170">
                  <c:v>225</c:v>
                </c:pt>
                <c:pt idx="171">
                  <c:v>226</c:v>
                </c:pt>
                <c:pt idx="172">
                  <c:v>227</c:v>
                </c:pt>
                <c:pt idx="173">
                  <c:v>228</c:v>
                </c:pt>
                <c:pt idx="174">
                  <c:v>229</c:v>
                </c:pt>
                <c:pt idx="175">
                  <c:v>230</c:v>
                </c:pt>
                <c:pt idx="176">
                  <c:v>231</c:v>
                </c:pt>
                <c:pt idx="177">
                  <c:v>232</c:v>
                </c:pt>
                <c:pt idx="178">
                  <c:v>233</c:v>
                </c:pt>
                <c:pt idx="179">
                  <c:v>234</c:v>
                </c:pt>
                <c:pt idx="180">
                  <c:v>235</c:v>
                </c:pt>
                <c:pt idx="181">
                  <c:v>236</c:v>
                </c:pt>
                <c:pt idx="182">
                  <c:v>237</c:v>
                </c:pt>
                <c:pt idx="183">
                  <c:v>238</c:v>
                </c:pt>
                <c:pt idx="184">
                  <c:v>239</c:v>
                </c:pt>
                <c:pt idx="185">
                  <c:v>240</c:v>
                </c:pt>
                <c:pt idx="186">
                  <c:v>241</c:v>
                </c:pt>
                <c:pt idx="187">
                  <c:v>242</c:v>
                </c:pt>
                <c:pt idx="188">
                  <c:v>243</c:v>
                </c:pt>
                <c:pt idx="189">
                  <c:v>244</c:v>
                </c:pt>
                <c:pt idx="190">
                  <c:v>245</c:v>
                </c:pt>
                <c:pt idx="191">
                  <c:v>246</c:v>
                </c:pt>
                <c:pt idx="192">
                  <c:v>247</c:v>
                </c:pt>
                <c:pt idx="193">
                  <c:v>248</c:v>
                </c:pt>
                <c:pt idx="194">
                  <c:v>249</c:v>
                </c:pt>
                <c:pt idx="195">
                  <c:v>250</c:v>
                </c:pt>
                <c:pt idx="196">
                  <c:v>251</c:v>
                </c:pt>
                <c:pt idx="197">
                  <c:v>252</c:v>
                </c:pt>
                <c:pt idx="198">
                  <c:v>253</c:v>
                </c:pt>
                <c:pt idx="199">
                  <c:v>254</c:v>
                </c:pt>
                <c:pt idx="200">
                  <c:v>255</c:v>
                </c:pt>
                <c:pt idx="201">
                  <c:v>256</c:v>
                </c:pt>
                <c:pt idx="202">
                  <c:v>257</c:v>
                </c:pt>
                <c:pt idx="203">
                  <c:v>258</c:v>
                </c:pt>
                <c:pt idx="204">
                  <c:v>259</c:v>
                </c:pt>
                <c:pt idx="205">
                  <c:v>260</c:v>
                </c:pt>
                <c:pt idx="206">
                  <c:v>261</c:v>
                </c:pt>
                <c:pt idx="207">
                  <c:v>262</c:v>
                </c:pt>
                <c:pt idx="208">
                  <c:v>263</c:v>
                </c:pt>
                <c:pt idx="209">
                  <c:v>264</c:v>
                </c:pt>
                <c:pt idx="210">
                  <c:v>265</c:v>
                </c:pt>
                <c:pt idx="211">
                  <c:v>266</c:v>
                </c:pt>
                <c:pt idx="212">
                  <c:v>267</c:v>
                </c:pt>
                <c:pt idx="213">
                  <c:v>268</c:v>
                </c:pt>
                <c:pt idx="214">
                  <c:v>269</c:v>
                </c:pt>
                <c:pt idx="215">
                  <c:v>270</c:v>
                </c:pt>
                <c:pt idx="216">
                  <c:v>271</c:v>
                </c:pt>
                <c:pt idx="217">
                  <c:v>272</c:v>
                </c:pt>
                <c:pt idx="218">
                  <c:v>273</c:v>
                </c:pt>
                <c:pt idx="219">
                  <c:v>274</c:v>
                </c:pt>
              </c:numCache>
            </c:numRef>
          </c:xVal>
          <c:yVal>
            <c:numRef>
              <c:f>'New_removed - bSIR'!$E$62:$E$281</c:f>
              <c:numCache>
                <c:formatCode>General</c:formatCode>
                <c:ptCount val="220"/>
                <c:pt idx="0">
                  <c:v>8</c:v>
                </c:pt>
                <c:pt idx="1">
                  <c:v>3</c:v>
                </c:pt>
                <c:pt idx="2">
                  <c:v>4</c:v>
                </c:pt>
                <c:pt idx="3">
                  <c:v>47</c:v>
                </c:pt>
                <c:pt idx="4">
                  <c:v>5</c:v>
                </c:pt>
                <c:pt idx="5">
                  <c:v>12</c:v>
                </c:pt>
                <c:pt idx="6">
                  <c:v>38</c:v>
                </c:pt>
                <c:pt idx="7">
                  <c:v>84</c:v>
                </c:pt>
                <c:pt idx="8">
                  <c:v>38</c:v>
                </c:pt>
                <c:pt idx="9">
                  <c:v>144</c:v>
                </c:pt>
                <c:pt idx="10">
                  <c:v>179</c:v>
                </c:pt>
                <c:pt idx="11">
                  <c:v>158</c:v>
                </c:pt>
                <c:pt idx="12">
                  <c:v>102</c:v>
                </c:pt>
                <c:pt idx="13">
                  <c:v>166</c:v>
                </c:pt>
                <c:pt idx="14">
                  <c:v>199</c:v>
                </c:pt>
                <c:pt idx="15">
                  <c:v>448</c:v>
                </c:pt>
                <c:pt idx="16">
                  <c:v>237</c:v>
                </c:pt>
                <c:pt idx="17">
                  <c:v>402</c:v>
                </c:pt>
                <c:pt idx="18">
                  <c:v>431</c:v>
                </c:pt>
                <c:pt idx="19">
                  <c:v>702</c:v>
                </c:pt>
                <c:pt idx="20">
                  <c:v>737</c:v>
                </c:pt>
                <c:pt idx="21">
                  <c:v>763</c:v>
                </c:pt>
                <c:pt idx="22">
                  <c:v>537</c:v>
                </c:pt>
                <c:pt idx="23">
                  <c:v>1559</c:v>
                </c:pt>
                <c:pt idx="24">
                  <c:v>842</c:v>
                </c:pt>
                <c:pt idx="25">
                  <c:v>1316</c:v>
                </c:pt>
                <c:pt idx="26">
                  <c:v>1736</c:v>
                </c:pt>
                <c:pt idx="27">
                  <c:v>1603</c:v>
                </c:pt>
                <c:pt idx="28">
                  <c:v>1009</c:v>
                </c:pt>
                <c:pt idx="29">
                  <c:v>1637</c:v>
                </c:pt>
                <c:pt idx="30">
                  <c:v>1719</c:v>
                </c:pt>
                <c:pt idx="31">
                  <c:v>1661</c:v>
                </c:pt>
                <c:pt idx="32">
                  <c:v>1558</c:v>
                </c:pt>
                <c:pt idx="33">
                  <c:v>2323</c:v>
                </c:pt>
                <c:pt idx="34">
                  <c:v>1402</c:v>
                </c:pt>
                <c:pt idx="35">
                  <c:v>2402</c:v>
                </c:pt>
                <c:pt idx="36">
                  <c:v>1946</c:v>
                </c:pt>
                <c:pt idx="37">
                  <c:v>1845</c:v>
                </c:pt>
                <c:pt idx="38">
                  <c:v>2191</c:v>
                </c:pt>
                <c:pt idx="39">
                  <c:v>2246</c:v>
                </c:pt>
                <c:pt idx="40">
                  <c:v>1919</c:v>
                </c:pt>
                <c:pt idx="41">
                  <c:v>1344</c:v>
                </c:pt>
                <c:pt idx="42">
                  <c:v>1658</c:v>
                </c:pt>
                <c:pt idx="43">
                  <c:v>2159</c:v>
                </c:pt>
                <c:pt idx="44">
                  <c:v>2641</c:v>
                </c:pt>
                <c:pt idx="45">
                  <c:v>2589</c:v>
                </c:pt>
                <c:pt idx="46">
                  <c:v>2555</c:v>
                </c:pt>
                <c:pt idx="47">
                  <c:v>2698</c:v>
                </c:pt>
                <c:pt idx="48">
                  <c:v>2108</c:v>
                </c:pt>
                <c:pt idx="49">
                  <c:v>1790</c:v>
                </c:pt>
                <c:pt idx="50">
                  <c:v>2297</c:v>
                </c:pt>
                <c:pt idx="51">
                  <c:v>1540</c:v>
                </c:pt>
                <c:pt idx="52">
                  <c:v>2597</c:v>
                </c:pt>
                <c:pt idx="53">
                  <c:v>3138</c:v>
                </c:pt>
                <c:pt idx="54">
                  <c:v>2682</c:v>
                </c:pt>
                <c:pt idx="55">
                  <c:v>2561</c:v>
                </c:pt>
                <c:pt idx="56">
                  <c:v>2276</c:v>
                </c:pt>
                <c:pt idx="57">
                  <c:v>3257</c:v>
                </c:pt>
                <c:pt idx="58">
                  <c:v>3380</c:v>
                </c:pt>
                <c:pt idx="59">
                  <c:v>3497</c:v>
                </c:pt>
                <c:pt idx="60">
                  <c:v>3342</c:v>
                </c:pt>
                <c:pt idx="61">
                  <c:v>3037</c:v>
                </c:pt>
                <c:pt idx="62">
                  <c:v>2068</c:v>
                </c:pt>
                <c:pt idx="63">
                  <c:v>2029</c:v>
                </c:pt>
                <c:pt idx="64">
                  <c:v>2699</c:v>
                </c:pt>
                <c:pt idx="65">
                  <c:v>2634</c:v>
                </c:pt>
                <c:pt idx="66">
                  <c:v>4978</c:v>
                </c:pt>
                <c:pt idx="67">
                  <c:v>2573</c:v>
                </c:pt>
                <c:pt idx="68">
                  <c:v>2139</c:v>
                </c:pt>
                <c:pt idx="69">
                  <c:v>1914</c:v>
                </c:pt>
                <c:pt idx="70">
                  <c:v>1420</c:v>
                </c:pt>
                <c:pt idx="71">
                  <c:v>2588</c:v>
                </c:pt>
                <c:pt idx="72">
                  <c:v>8383</c:v>
                </c:pt>
                <c:pt idx="73">
                  <c:v>3305</c:v>
                </c:pt>
                <c:pt idx="74">
                  <c:v>2990</c:v>
                </c:pt>
                <c:pt idx="75">
                  <c:v>4202</c:v>
                </c:pt>
                <c:pt idx="76">
                  <c:v>2320</c:v>
                </c:pt>
                <c:pt idx="77">
                  <c:v>1580</c:v>
                </c:pt>
                <c:pt idx="78">
                  <c:v>2624</c:v>
                </c:pt>
                <c:pt idx="79">
                  <c:v>3697</c:v>
                </c:pt>
                <c:pt idx="80">
                  <c:v>3009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FBC-45C6-9DBF-1275DCBF98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9487760"/>
        <c:axId val="969487440"/>
      </c:scatterChart>
      <c:scatterChart>
        <c:scatterStyle val="smoothMarker"/>
        <c:varyColors val="0"/>
        <c:ser>
          <c:idx val="1"/>
          <c:order val="1"/>
          <c:tx>
            <c:strRef>
              <c:f>'New_removed - bSIR'!$K$7</c:f>
              <c:strCache>
                <c:ptCount val="1"/>
                <c:pt idx="0">
                  <c:v>Italy remov. rate fit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'New_removed - bSIR'!$C$62:$C$281</c:f>
              <c:numCache>
                <c:formatCode>General</c:formatCode>
                <c:ptCount val="220"/>
                <c:pt idx="0">
                  <c:v>55</c:v>
                </c:pt>
                <c:pt idx="1">
                  <c:v>56</c:v>
                </c:pt>
                <c:pt idx="2">
                  <c:v>57</c:v>
                </c:pt>
                <c:pt idx="3">
                  <c:v>58</c:v>
                </c:pt>
                <c:pt idx="4">
                  <c:v>59</c:v>
                </c:pt>
                <c:pt idx="5">
                  <c:v>60</c:v>
                </c:pt>
                <c:pt idx="6">
                  <c:v>61</c:v>
                </c:pt>
                <c:pt idx="7">
                  <c:v>62</c:v>
                </c:pt>
                <c:pt idx="8">
                  <c:v>63</c:v>
                </c:pt>
                <c:pt idx="9">
                  <c:v>64</c:v>
                </c:pt>
                <c:pt idx="10">
                  <c:v>65</c:v>
                </c:pt>
                <c:pt idx="11">
                  <c:v>66</c:v>
                </c:pt>
                <c:pt idx="12">
                  <c:v>67</c:v>
                </c:pt>
                <c:pt idx="13">
                  <c:v>68</c:v>
                </c:pt>
                <c:pt idx="14">
                  <c:v>69</c:v>
                </c:pt>
                <c:pt idx="15">
                  <c:v>70</c:v>
                </c:pt>
                <c:pt idx="16">
                  <c:v>71</c:v>
                </c:pt>
                <c:pt idx="17">
                  <c:v>72</c:v>
                </c:pt>
                <c:pt idx="18">
                  <c:v>73</c:v>
                </c:pt>
                <c:pt idx="19">
                  <c:v>74</c:v>
                </c:pt>
                <c:pt idx="20">
                  <c:v>75</c:v>
                </c:pt>
                <c:pt idx="21">
                  <c:v>76</c:v>
                </c:pt>
                <c:pt idx="22">
                  <c:v>77</c:v>
                </c:pt>
                <c:pt idx="23">
                  <c:v>78</c:v>
                </c:pt>
                <c:pt idx="24">
                  <c:v>79</c:v>
                </c:pt>
                <c:pt idx="25">
                  <c:v>80</c:v>
                </c:pt>
                <c:pt idx="26">
                  <c:v>81</c:v>
                </c:pt>
                <c:pt idx="27">
                  <c:v>82</c:v>
                </c:pt>
                <c:pt idx="28">
                  <c:v>83</c:v>
                </c:pt>
                <c:pt idx="29">
                  <c:v>84</c:v>
                </c:pt>
                <c:pt idx="30">
                  <c:v>85</c:v>
                </c:pt>
                <c:pt idx="31">
                  <c:v>86</c:v>
                </c:pt>
                <c:pt idx="32">
                  <c:v>87</c:v>
                </c:pt>
                <c:pt idx="33">
                  <c:v>88</c:v>
                </c:pt>
                <c:pt idx="34">
                  <c:v>89</c:v>
                </c:pt>
                <c:pt idx="35">
                  <c:v>90</c:v>
                </c:pt>
                <c:pt idx="36">
                  <c:v>91</c:v>
                </c:pt>
                <c:pt idx="37">
                  <c:v>92</c:v>
                </c:pt>
                <c:pt idx="38">
                  <c:v>93</c:v>
                </c:pt>
                <c:pt idx="39">
                  <c:v>94</c:v>
                </c:pt>
                <c:pt idx="40">
                  <c:v>95</c:v>
                </c:pt>
                <c:pt idx="41">
                  <c:v>96</c:v>
                </c:pt>
                <c:pt idx="42">
                  <c:v>97</c:v>
                </c:pt>
                <c:pt idx="43">
                  <c:v>98</c:v>
                </c:pt>
                <c:pt idx="44">
                  <c:v>99</c:v>
                </c:pt>
                <c:pt idx="45">
                  <c:v>100</c:v>
                </c:pt>
                <c:pt idx="46">
                  <c:v>101</c:v>
                </c:pt>
                <c:pt idx="47">
                  <c:v>102</c:v>
                </c:pt>
                <c:pt idx="48">
                  <c:v>103</c:v>
                </c:pt>
                <c:pt idx="49">
                  <c:v>104</c:v>
                </c:pt>
                <c:pt idx="50">
                  <c:v>105</c:v>
                </c:pt>
                <c:pt idx="51">
                  <c:v>106</c:v>
                </c:pt>
                <c:pt idx="52">
                  <c:v>107</c:v>
                </c:pt>
                <c:pt idx="53">
                  <c:v>108</c:v>
                </c:pt>
                <c:pt idx="54">
                  <c:v>109</c:v>
                </c:pt>
                <c:pt idx="55">
                  <c:v>110</c:v>
                </c:pt>
                <c:pt idx="56">
                  <c:v>111</c:v>
                </c:pt>
                <c:pt idx="57">
                  <c:v>112</c:v>
                </c:pt>
                <c:pt idx="58">
                  <c:v>113</c:v>
                </c:pt>
                <c:pt idx="59">
                  <c:v>114</c:v>
                </c:pt>
                <c:pt idx="60">
                  <c:v>115</c:v>
                </c:pt>
                <c:pt idx="61">
                  <c:v>116</c:v>
                </c:pt>
                <c:pt idx="62">
                  <c:v>117</c:v>
                </c:pt>
                <c:pt idx="63">
                  <c:v>118</c:v>
                </c:pt>
                <c:pt idx="64">
                  <c:v>119</c:v>
                </c:pt>
                <c:pt idx="65">
                  <c:v>120</c:v>
                </c:pt>
                <c:pt idx="66">
                  <c:v>121</c:v>
                </c:pt>
                <c:pt idx="67">
                  <c:v>122</c:v>
                </c:pt>
                <c:pt idx="68">
                  <c:v>123</c:v>
                </c:pt>
                <c:pt idx="69">
                  <c:v>124</c:v>
                </c:pt>
                <c:pt idx="70">
                  <c:v>125</c:v>
                </c:pt>
                <c:pt idx="71">
                  <c:v>126</c:v>
                </c:pt>
                <c:pt idx="72">
                  <c:v>127</c:v>
                </c:pt>
                <c:pt idx="73">
                  <c:v>128</c:v>
                </c:pt>
                <c:pt idx="74">
                  <c:v>129</c:v>
                </c:pt>
                <c:pt idx="75">
                  <c:v>130</c:v>
                </c:pt>
                <c:pt idx="76">
                  <c:v>131</c:v>
                </c:pt>
                <c:pt idx="77">
                  <c:v>132</c:v>
                </c:pt>
                <c:pt idx="78">
                  <c:v>133</c:v>
                </c:pt>
                <c:pt idx="79">
                  <c:v>134</c:v>
                </c:pt>
                <c:pt idx="80">
                  <c:v>135</c:v>
                </c:pt>
                <c:pt idx="81">
                  <c:v>136</c:v>
                </c:pt>
                <c:pt idx="82">
                  <c:v>137</c:v>
                </c:pt>
                <c:pt idx="83">
                  <c:v>138</c:v>
                </c:pt>
                <c:pt idx="84">
                  <c:v>139</c:v>
                </c:pt>
                <c:pt idx="85">
                  <c:v>140</c:v>
                </c:pt>
                <c:pt idx="86">
                  <c:v>141</c:v>
                </c:pt>
                <c:pt idx="87">
                  <c:v>142</c:v>
                </c:pt>
                <c:pt idx="88">
                  <c:v>143</c:v>
                </c:pt>
                <c:pt idx="89">
                  <c:v>144</c:v>
                </c:pt>
                <c:pt idx="90">
                  <c:v>145</c:v>
                </c:pt>
                <c:pt idx="91">
                  <c:v>146</c:v>
                </c:pt>
                <c:pt idx="92">
                  <c:v>147</c:v>
                </c:pt>
                <c:pt idx="93">
                  <c:v>148</c:v>
                </c:pt>
                <c:pt idx="94">
                  <c:v>149</c:v>
                </c:pt>
                <c:pt idx="95">
                  <c:v>150</c:v>
                </c:pt>
                <c:pt idx="96">
                  <c:v>151</c:v>
                </c:pt>
                <c:pt idx="97">
                  <c:v>152</c:v>
                </c:pt>
                <c:pt idx="98">
                  <c:v>153</c:v>
                </c:pt>
                <c:pt idx="99">
                  <c:v>154</c:v>
                </c:pt>
                <c:pt idx="100">
                  <c:v>155</c:v>
                </c:pt>
                <c:pt idx="101">
                  <c:v>156</c:v>
                </c:pt>
                <c:pt idx="102">
                  <c:v>157</c:v>
                </c:pt>
                <c:pt idx="103">
                  <c:v>158</c:v>
                </c:pt>
                <c:pt idx="104">
                  <c:v>159</c:v>
                </c:pt>
                <c:pt idx="105">
                  <c:v>160</c:v>
                </c:pt>
                <c:pt idx="106">
                  <c:v>161</c:v>
                </c:pt>
                <c:pt idx="107">
                  <c:v>162</c:v>
                </c:pt>
                <c:pt idx="108">
                  <c:v>163</c:v>
                </c:pt>
                <c:pt idx="109">
                  <c:v>164</c:v>
                </c:pt>
                <c:pt idx="110">
                  <c:v>165</c:v>
                </c:pt>
                <c:pt idx="111">
                  <c:v>166</c:v>
                </c:pt>
                <c:pt idx="112">
                  <c:v>167</c:v>
                </c:pt>
                <c:pt idx="113">
                  <c:v>168</c:v>
                </c:pt>
                <c:pt idx="114">
                  <c:v>169</c:v>
                </c:pt>
                <c:pt idx="115">
                  <c:v>170</c:v>
                </c:pt>
                <c:pt idx="116">
                  <c:v>171</c:v>
                </c:pt>
                <c:pt idx="117">
                  <c:v>172</c:v>
                </c:pt>
                <c:pt idx="118">
                  <c:v>173</c:v>
                </c:pt>
                <c:pt idx="119">
                  <c:v>174</c:v>
                </c:pt>
                <c:pt idx="120">
                  <c:v>175</c:v>
                </c:pt>
                <c:pt idx="121">
                  <c:v>176</c:v>
                </c:pt>
                <c:pt idx="122">
                  <c:v>177</c:v>
                </c:pt>
                <c:pt idx="123">
                  <c:v>178</c:v>
                </c:pt>
                <c:pt idx="124">
                  <c:v>179</c:v>
                </c:pt>
                <c:pt idx="125">
                  <c:v>180</c:v>
                </c:pt>
                <c:pt idx="126">
                  <c:v>181</c:v>
                </c:pt>
                <c:pt idx="127">
                  <c:v>182</c:v>
                </c:pt>
                <c:pt idx="128">
                  <c:v>183</c:v>
                </c:pt>
                <c:pt idx="129">
                  <c:v>184</c:v>
                </c:pt>
                <c:pt idx="130">
                  <c:v>185</c:v>
                </c:pt>
                <c:pt idx="131">
                  <c:v>186</c:v>
                </c:pt>
                <c:pt idx="132">
                  <c:v>187</c:v>
                </c:pt>
                <c:pt idx="133">
                  <c:v>188</c:v>
                </c:pt>
                <c:pt idx="134">
                  <c:v>189</c:v>
                </c:pt>
                <c:pt idx="135">
                  <c:v>190</c:v>
                </c:pt>
                <c:pt idx="136">
                  <c:v>191</c:v>
                </c:pt>
                <c:pt idx="137">
                  <c:v>192</c:v>
                </c:pt>
                <c:pt idx="138">
                  <c:v>193</c:v>
                </c:pt>
                <c:pt idx="139">
                  <c:v>194</c:v>
                </c:pt>
                <c:pt idx="140">
                  <c:v>195</c:v>
                </c:pt>
                <c:pt idx="141">
                  <c:v>196</c:v>
                </c:pt>
                <c:pt idx="142">
                  <c:v>197</c:v>
                </c:pt>
                <c:pt idx="143">
                  <c:v>198</c:v>
                </c:pt>
                <c:pt idx="144">
                  <c:v>199</c:v>
                </c:pt>
                <c:pt idx="145">
                  <c:v>200</c:v>
                </c:pt>
                <c:pt idx="146">
                  <c:v>201</c:v>
                </c:pt>
                <c:pt idx="147">
                  <c:v>202</c:v>
                </c:pt>
                <c:pt idx="148">
                  <c:v>203</c:v>
                </c:pt>
                <c:pt idx="149">
                  <c:v>204</c:v>
                </c:pt>
                <c:pt idx="150">
                  <c:v>205</c:v>
                </c:pt>
                <c:pt idx="151">
                  <c:v>206</c:v>
                </c:pt>
                <c:pt idx="152">
                  <c:v>207</c:v>
                </c:pt>
                <c:pt idx="153">
                  <c:v>208</c:v>
                </c:pt>
                <c:pt idx="154">
                  <c:v>209</c:v>
                </c:pt>
                <c:pt idx="155">
                  <c:v>210</c:v>
                </c:pt>
                <c:pt idx="156">
                  <c:v>211</c:v>
                </c:pt>
                <c:pt idx="157">
                  <c:v>212</c:v>
                </c:pt>
                <c:pt idx="158">
                  <c:v>213</c:v>
                </c:pt>
                <c:pt idx="159">
                  <c:v>214</c:v>
                </c:pt>
                <c:pt idx="160">
                  <c:v>215</c:v>
                </c:pt>
                <c:pt idx="161">
                  <c:v>216</c:v>
                </c:pt>
                <c:pt idx="162">
                  <c:v>217</c:v>
                </c:pt>
                <c:pt idx="163">
                  <c:v>218</c:v>
                </c:pt>
                <c:pt idx="164">
                  <c:v>219</c:v>
                </c:pt>
                <c:pt idx="165">
                  <c:v>220</c:v>
                </c:pt>
                <c:pt idx="166">
                  <c:v>221</c:v>
                </c:pt>
                <c:pt idx="167">
                  <c:v>222</c:v>
                </c:pt>
                <c:pt idx="168">
                  <c:v>223</c:v>
                </c:pt>
                <c:pt idx="169">
                  <c:v>224</c:v>
                </c:pt>
                <c:pt idx="170">
                  <c:v>225</c:v>
                </c:pt>
                <c:pt idx="171">
                  <c:v>226</c:v>
                </c:pt>
                <c:pt idx="172">
                  <c:v>227</c:v>
                </c:pt>
                <c:pt idx="173">
                  <c:v>228</c:v>
                </c:pt>
                <c:pt idx="174">
                  <c:v>229</c:v>
                </c:pt>
                <c:pt idx="175">
                  <c:v>230</c:v>
                </c:pt>
                <c:pt idx="176">
                  <c:v>231</c:v>
                </c:pt>
                <c:pt idx="177">
                  <c:v>232</c:v>
                </c:pt>
                <c:pt idx="178">
                  <c:v>233</c:v>
                </c:pt>
                <c:pt idx="179">
                  <c:v>234</c:v>
                </c:pt>
                <c:pt idx="180">
                  <c:v>235</c:v>
                </c:pt>
                <c:pt idx="181">
                  <c:v>236</c:v>
                </c:pt>
                <c:pt idx="182">
                  <c:v>237</c:v>
                </c:pt>
                <c:pt idx="183">
                  <c:v>238</c:v>
                </c:pt>
                <c:pt idx="184">
                  <c:v>239</c:v>
                </c:pt>
                <c:pt idx="185">
                  <c:v>240</c:v>
                </c:pt>
                <c:pt idx="186">
                  <c:v>241</c:v>
                </c:pt>
                <c:pt idx="187">
                  <c:v>242</c:v>
                </c:pt>
                <c:pt idx="188">
                  <c:v>243</c:v>
                </c:pt>
                <c:pt idx="189">
                  <c:v>244</c:v>
                </c:pt>
                <c:pt idx="190">
                  <c:v>245</c:v>
                </c:pt>
                <c:pt idx="191">
                  <c:v>246</c:v>
                </c:pt>
                <c:pt idx="192">
                  <c:v>247</c:v>
                </c:pt>
                <c:pt idx="193">
                  <c:v>248</c:v>
                </c:pt>
                <c:pt idx="194">
                  <c:v>249</c:v>
                </c:pt>
                <c:pt idx="195">
                  <c:v>250</c:v>
                </c:pt>
                <c:pt idx="196">
                  <c:v>251</c:v>
                </c:pt>
                <c:pt idx="197">
                  <c:v>252</c:v>
                </c:pt>
                <c:pt idx="198">
                  <c:v>253</c:v>
                </c:pt>
                <c:pt idx="199">
                  <c:v>254</c:v>
                </c:pt>
                <c:pt idx="200">
                  <c:v>255</c:v>
                </c:pt>
                <c:pt idx="201">
                  <c:v>256</c:v>
                </c:pt>
                <c:pt idx="202">
                  <c:v>257</c:v>
                </c:pt>
                <c:pt idx="203">
                  <c:v>258</c:v>
                </c:pt>
                <c:pt idx="204">
                  <c:v>259</c:v>
                </c:pt>
                <c:pt idx="205">
                  <c:v>260</c:v>
                </c:pt>
                <c:pt idx="206">
                  <c:v>261</c:v>
                </c:pt>
                <c:pt idx="207">
                  <c:v>262</c:v>
                </c:pt>
                <c:pt idx="208">
                  <c:v>263</c:v>
                </c:pt>
                <c:pt idx="209">
                  <c:v>264</c:v>
                </c:pt>
                <c:pt idx="210">
                  <c:v>265</c:v>
                </c:pt>
                <c:pt idx="211">
                  <c:v>266</c:v>
                </c:pt>
                <c:pt idx="212">
                  <c:v>267</c:v>
                </c:pt>
                <c:pt idx="213">
                  <c:v>268</c:v>
                </c:pt>
                <c:pt idx="214">
                  <c:v>269</c:v>
                </c:pt>
                <c:pt idx="215">
                  <c:v>270</c:v>
                </c:pt>
                <c:pt idx="216">
                  <c:v>271</c:v>
                </c:pt>
                <c:pt idx="217">
                  <c:v>272</c:v>
                </c:pt>
                <c:pt idx="218">
                  <c:v>273</c:v>
                </c:pt>
                <c:pt idx="219">
                  <c:v>274</c:v>
                </c:pt>
              </c:numCache>
            </c:numRef>
          </c:xVal>
          <c:yVal>
            <c:numRef>
              <c:f>'New_removed - bSIR'!$K$62:$K$281</c:f>
              <c:numCache>
                <c:formatCode>General</c:formatCode>
                <c:ptCount val="220"/>
                <c:pt idx="0">
                  <c:v>429.27516033430464</c:v>
                </c:pt>
                <c:pt idx="1">
                  <c:v>449.31933719618542</c:v>
                </c:pt>
                <c:pt idx="2">
                  <c:v>470.21355083131419</c:v>
                </c:pt>
                <c:pt idx="3">
                  <c:v>491.98534232424345</c:v>
                </c:pt>
                <c:pt idx="4">
                  <c:v>514.6622763230647</c:v>
                </c:pt>
                <c:pt idx="5">
                  <c:v>538.27183386078821</c:v>
                </c:pt>
                <c:pt idx="6">
                  <c:v>562.84129311232232</c:v>
                </c:pt>
                <c:pt idx="7">
                  <c:v>588.39759736801182</c:v>
                </c:pt>
                <c:pt idx="8">
                  <c:v>614.9672095210517</c:v>
                </c:pt>
                <c:pt idx="9">
                  <c:v>642.5759523940128</c:v>
                </c:pt>
                <c:pt idx="10">
                  <c:v>671.24883427087741</c:v>
                </c:pt>
                <c:pt idx="11">
                  <c:v>701.00985905730374</c:v>
                </c:pt>
                <c:pt idx="12">
                  <c:v>731.88182056520054</c:v>
                </c:pt>
                <c:pt idx="13">
                  <c:v>763.8860805101541</c:v>
                </c:pt>
                <c:pt idx="14">
                  <c:v>797.04232992385505</c:v>
                </c:pt>
                <c:pt idx="15">
                  <c:v>831.36833382041937</c:v>
                </c:pt>
                <c:pt idx="16">
                  <c:v>866.87965911750098</c:v>
                </c:pt>
                <c:pt idx="17">
                  <c:v>903.58938600207614</c:v>
                </c:pt>
                <c:pt idx="18">
                  <c:v>941.50780314862709</c:v>
                </c:pt>
                <c:pt idx="19">
                  <c:v>980.64208744542577</c:v>
                </c:pt>
                <c:pt idx="20">
                  <c:v>1020.9959691639324</c:v>
                </c:pt>
                <c:pt idx="21">
                  <c:v>1062.5693838174845</c:v>
                </c:pt>
                <c:pt idx="22">
                  <c:v>1105.358112298534</c:v>
                </c:pt>
                <c:pt idx="23">
                  <c:v>1149.3534112579468</c:v>
                </c:pt>
                <c:pt idx="24">
                  <c:v>1194.54163609377</c:v>
                </c:pt>
                <c:pt idx="25">
                  <c:v>1240.9038593478522</c:v>
                </c:pt>
                <c:pt idx="26">
                  <c:v>1288.4154877630747</c:v>
                </c:pt>
                <c:pt idx="27">
                  <c:v>1337.0458817267242</c:v>
                </c:pt>
                <c:pt idx="28">
                  <c:v>1386.7579813104051</c:v>
                </c:pt>
                <c:pt idx="29">
                  <c:v>1437.5079436059846</c:v>
                </c:pt>
                <c:pt idx="30">
                  <c:v>1489.2447965408717</c:v>
                </c:pt>
                <c:pt idx="31">
                  <c:v>1541.9101148235152</c:v>
                </c:pt>
                <c:pt idx="32">
                  <c:v>1595.4377241086045</c:v>
                </c:pt>
                <c:pt idx="33">
                  <c:v>1649.753439866882</c:v>
                </c:pt>
                <c:pt idx="34">
                  <c:v>1704.7748477811501</c:v>
                </c:pt>
                <c:pt idx="35">
                  <c:v>1760.411132751115</c:v>
                </c:pt>
                <c:pt idx="36">
                  <c:v>1816.5629637575578</c:v>
                </c:pt>
                <c:pt idx="37">
                  <c:v>1873.1224418926947</c:v>
                </c:pt>
                <c:pt idx="38">
                  <c:v>1929.9731187905627</c:v>
                </c:pt>
                <c:pt idx="39">
                  <c:v>1986.9900924710669</c:v>
                </c:pt>
                <c:pt idx="40">
                  <c:v>2044.0401872281732</c:v>
                </c:pt>
                <c:pt idx="41">
                  <c:v>2100.9822236321697</c:v>
                </c:pt>
                <c:pt idx="42">
                  <c:v>2157.6673839671794</c:v>
                </c:pt>
                <c:pt idx="43">
                  <c:v>2213.9396774805964</c:v>
                </c:pt>
                <c:pt idx="44">
                  <c:v>2269.6365086784022</c:v>
                </c:pt>
                <c:pt idx="45">
                  <c:v>2324.5893505620138</c:v>
                </c:pt>
                <c:pt idx="46">
                  <c:v>2378.6245231777166</c:v>
                </c:pt>
                <c:pt idx="47">
                  <c:v>2431.5640761545164</c:v>
                </c:pt>
                <c:pt idx="48">
                  <c:v>2483.2267720637014</c:v>
                </c:pt>
                <c:pt idx="49">
                  <c:v>2533.4291654739427</c:v>
                </c:pt>
                <c:pt idx="50">
                  <c:v>2581.9867705372199</c:v>
                </c:pt>
                <c:pt idx="51">
                  <c:v>2628.7153078678161</c:v>
                </c:pt>
                <c:pt idx="52">
                  <c:v>2673.4320194196857</c:v>
                </c:pt>
                <c:pt idx="53">
                  <c:v>2715.9570380820237</c:v>
                </c:pt>
                <c:pt idx="54">
                  <c:v>2756.1147968576543</c:v>
                </c:pt>
                <c:pt idx="55">
                  <c:v>2793.7354608239434</c:v>
                </c:pt>
                <c:pt idx="56">
                  <c:v>2828.6563636607611</c:v>
                </c:pt>
                <c:pt idx="57">
                  <c:v>2860.7234294210716</c:v>
                </c:pt>
                <c:pt idx="58">
                  <c:v>2889.7925594679014</c:v>
                </c:pt>
                <c:pt idx="59">
                  <c:v>2915.7309641499155</c:v>
                </c:pt>
                <c:pt idx="60">
                  <c:v>2938.4184188697382</c:v>
                </c:pt>
                <c:pt idx="61">
                  <c:v>2957.7484247354641</c:v>
                </c:pt>
                <c:pt idx="62">
                  <c:v>2973.6292549839927</c:v>
                </c:pt>
                <c:pt idx="63">
                  <c:v>2985.9848698176015</c:v>
                </c:pt>
                <c:pt idx="64">
                  <c:v>2994.7556841800938</c:v>
                </c:pt>
                <c:pt idx="65">
                  <c:v>2999.8991752785728</c:v>
                </c:pt>
                <c:pt idx="66">
                  <c:v>3001.3903192799853</c:v>
                </c:pt>
                <c:pt idx="67">
                  <c:v>2999.2218495138472</c:v>
                </c:pt>
                <c:pt idx="68">
                  <c:v>2993.4043316199136</c:v>
                </c:pt>
                <c:pt idx="69">
                  <c:v>2983.9660543094578</c:v>
                </c:pt>
                <c:pt idx="70">
                  <c:v>2970.9527376748715</c:v>
                </c:pt>
                <c:pt idx="71">
                  <c:v>2954.427064195952</c:v>
                </c:pt>
                <c:pt idx="72">
                  <c:v>2934.4680406666221</c:v>
                </c:pt>
                <c:pt idx="73">
                  <c:v>2911.1702021217552</c:v>
                </c:pt>
                <c:pt idx="74">
                  <c:v>2884.6426714077602</c:v>
                </c:pt>
                <c:pt idx="75">
                  <c:v>2855.0080902506706</c:v>
                </c:pt>
                <c:pt idx="76">
                  <c:v>2822.4014394828178</c:v>
                </c:pt>
                <c:pt idx="77">
                  <c:v>2786.9687674589477</c:v>
                </c:pt>
                <c:pt idx="78">
                  <c:v>2748.8658466054785</c:v>
                </c:pt>
                <c:pt idx="79">
                  <c:v>2708.2567784977473</c:v>
                </c:pt>
                <c:pt idx="80">
                  <c:v>2665.3125678597785</c:v>
                </c:pt>
                <c:pt idx="81">
                  <c:v>2620.2096854526785</c:v>
                </c:pt>
                <c:pt idx="82">
                  <c:v>2573.1286389962479</c:v>
                </c:pt>
                <c:pt idx="83">
                  <c:v>2524.2525700987471</c:v>
                </c:pt>
                <c:pt idx="84">
                  <c:v>2473.7658937039268</c:v>
                </c:pt>
                <c:pt idx="85">
                  <c:v>2421.8529948597934</c:v>
                </c:pt>
                <c:pt idx="86">
                  <c:v>2368.6969957296687</c:v>
                </c:pt>
                <c:pt idx="87">
                  <c:v>2314.4786037631188</c:v>
                </c:pt>
                <c:pt idx="88">
                  <c:v>2259.3750498802692</c:v>
                </c:pt>
                <c:pt idx="89">
                  <c:v>2203.5591234527892</c:v>
                </c:pt>
                <c:pt idx="90">
                  <c:v>2147.198308837706</c:v>
                </c:pt>
                <c:pt idx="91">
                  <c:v>2090.454026279785</c:v>
                </c:pt>
                <c:pt idx="92">
                  <c:v>2033.4809781808679</c:v>
                </c:pt>
                <c:pt idx="93">
                  <c:v>1976.4266000693688</c:v>
                </c:pt>
                <c:pt idx="94">
                  <c:v>1919.4306141121003</c:v>
                </c:pt>
                <c:pt idx="95">
                  <c:v>1862.6246817079493</c:v>
                </c:pt>
                <c:pt idx="96">
                  <c:v>1806.1321505969261</c:v>
                </c:pt>
                <c:pt idx="97">
                  <c:v>1750.0678910101606</c:v>
                </c:pt>
                <c:pt idx="98">
                  <c:v>1694.538214673204</c:v>
                </c:pt>
                <c:pt idx="99">
                  <c:v>1639.640869948252</c:v>
                </c:pt>
                <c:pt idx="100">
                  <c:v>1585.465106048995</c:v>
                </c:pt>
                <c:pt idx="101">
                  <c:v>1532.0917990701901</c:v>
                </c:pt>
                <c:pt idx="102">
                  <c:v>1479.5936325262774</c:v>
                </c:pt>
                <c:pt idx="103">
                  <c:v>1428.035325171767</c:v>
                </c:pt>
                <c:pt idx="104">
                  <c:v>1377.4738990626045</c:v>
                </c:pt>
                <c:pt idx="105">
                  <c:v>1327.9589810940645</c:v>
                </c:pt>
                <c:pt idx="106">
                  <c:v>1279.5331315995413</c:v>
                </c:pt>
                <c:pt idx="107">
                  <c:v>1232.2321939991425</c:v>
                </c:pt>
                <c:pt idx="108">
                  <c:v>1186.0856599319859</c:v>
                </c:pt>
                <c:pt idx="109">
                  <c:v>1141.1170447776087</c:v>
                </c:pt>
                <c:pt idx="110">
                  <c:v>1097.3442689574522</c:v>
                </c:pt>
                <c:pt idx="111">
                  <c:v>1054.7800408963924</c:v>
                </c:pt>
                <c:pt idx="112">
                  <c:v>1013.4322380074087</c:v>
                </c:pt>
                <c:pt idx="113">
                  <c:v>973.304282532348</c:v>
                </c:pt>
                <c:pt idx="114">
                  <c:v>934.39550952207082</c:v>
                </c:pt>
                <c:pt idx="115">
                  <c:v>896.7015246654978</c:v>
                </c:pt>
                <c:pt idx="116">
                  <c:v>860.21455007562406</c:v>
                </c:pt>
                <c:pt idx="117">
                  <c:v>824.92375650915687</c:v>
                </c:pt>
                <c:pt idx="118">
                  <c:v>790.8155808336254</c:v>
                </c:pt>
                <c:pt idx="119">
                  <c:v>757.87402786106782</c:v>
                </c:pt>
                <c:pt idx="120">
                  <c:v>726.08095594082113</c:v>
                </c:pt>
                <c:pt idx="121">
                  <c:v>695.41634594628442</c:v>
                </c:pt>
                <c:pt idx="122">
                  <c:v>665.85855350287102</c:v>
                </c:pt>
                <c:pt idx="123">
                  <c:v>637.38454448825212</c:v>
                </c:pt>
                <c:pt idx="124">
                  <c:v>609.97011399314306</c:v>
                </c:pt>
                <c:pt idx="125">
                  <c:v>583.5900890632131</c:v>
                </c:pt>
                <c:pt idx="126">
                  <c:v>558.21851565223574</c:v>
                </c:pt>
                <c:pt idx="127">
                  <c:v>533.82883030534549</c:v>
                </c:pt>
                <c:pt idx="128">
                  <c:v>510.39401716135717</c:v>
                </c:pt>
                <c:pt idx="129">
                  <c:v>487.88675091643745</c:v>
                </c:pt>
                <c:pt idx="130">
                  <c:v>466.2795264300234</c:v>
                </c:pt>
                <c:pt idx="131">
                  <c:v>445.54477567951307</c:v>
                </c:pt>
                <c:pt idx="132">
                  <c:v>425.65497278466734</c:v>
                </c:pt>
                <c:pt idx="133">
                  <c:v>406.582727827459</c:v>
                </c:pt>
                <c:pt idx="134">
                  <c:v>388.30087018971028</c:v>
                </c:pt>
                <c:pt idx="135">
                  <c:v>370.78252212068071</c:v>
                </c:pt>
                <c:pt idx="136">
                  <c:v>354.00116323092527</c:v>
                </c:pt>
                <c:pt idx="137">
                  <c:v>337.93068658840389</c:v>
                </c:pt>
                <c:pt idx="138">
                  <c:v>322.54544706886622</c:v>
                </c:pt>
                <c:pt idx="139">
                  <c:v>307.8203025858794</c:v>
                </c:pt>
                <c:pt idx="140">
                  <c:v>293.73064879718771</c:v>
                </c:pt>
                <c:pt idx="141">
                  <c:v>280.25244785407506</c:v>
                </c:pt>
                <c:pt idx="142">
                  <c:v>267.3622517295546</c:v>
                </c:pt>
                <c:pt idx="143">
                  <c:v>255.03722063003667</c:v>
                </c:pt>
                <c:pt idx="144">
                  <c:v>243.25513696397755</c:v>
                </c:pt>
                <c:pt idx="145">
                  <c:v>231.9944153102509</c:v>
                </c:pt>
                <c:pt idx="146">
                  <c:v>221.23410879882871</c:v>
                </c:pt>
                <c:pt idx="147">
                  <c:v>210.95391228706976</c:v>
                </c:pt>
                <c:pt idx="148">
                  <c:v>201.1341626866124</c:v>
                </c:pt>
                <c:pt idx="149">
                  <c:v>191.75583676871486</c:v>
                </c:pt>
                <c:pt idx="150">
                  <c:v>182.80054674993622</c:v>
                </c:pt>
                <c:pt idx="151">
                  <c:v>174.25053393541145</c:v>
                </c:pt>
                <c:pt idx="152">
                  <c:v>166.0886606736309</c:v>
                </c:pt>
                <c:pt idx="153">
                  <c:v>158.29840085463564</c:v>
                </c:pt>
                <c:pt idx="154">
                  <c:v>150.86382916288954</c:v>
                </c:pt>
                <c:pt idx="155">
                  <c:v>143.76960927672826</c:v>
                </c:pt>
                <c:pt idx="156">
                  <c:v>137.00098118824474</c:v>
                </c:pt>
                <c:pt idx="157">
                  <c:v>130.5437478006632</c:v>
                </c:pt>
                <c:pt idx="158">
                  <c:v>124.38426094466021</c:v>
                </c:pt>
                <c:pt idx="159">
                  <c:v>118.50940694067103</c:v>
                </c:pt>
                <c:pt idx="160">
                  <c:v>112.90659182088766</c:v>
                </c:pt>
                <c:pt idx="161">
                  <c:v>107.56372631238676</c:v>
                </c:pt>
                <c:pt idx="162">
                  <c:v>102.46921067155877</c:v>
                </c:pt>
                <c:pt idx="163">
                  <c:v>97.61191944966022</c:v>
                </c:pt>
                <c:pt idx="164">
                  <c:v>92.981186259872644</c:v>
                </c:pt>
                <c:pt idx="165">
                  <c:v>88.566788607610107</c:v>
                </c:pt>
                <c:pt idx="166">
                  <c:v>84.35893283796419</c:v>
                </c:pt>
                <c:pt idx="167">
                  <c:v>80.348239247038123</c:v>
                </c:pt>
                <c:pt idx="168">
                  <c:v>76.525727397438303</c:v>
                </c:pt>
                <c:pt idx="169">
                  <c:v>72.882801672343362</c:v>
                </c:pt>
                <c:pt idx="170">
                  <c:v>69.411237097278303</c:v>
                </c:pt>
                <c:pt idx="171">
                  <c:v>66.103165453960813</c:v>
                </c:pt>
                <c:pt idx="172">
                  <c:v>62.951061706314441</c:v>
                </c:pt>
                <c:pt idx="173">
                  <c:v>59.947730754907283</c:v>
                </c:pt>
                <c:pt idx="174">
                  <c:v>57.086294532651529</c:v>
                </c:pt>
                <c:pt idx="175">
                  <c:v>54.360179451552732</c:v>
                </c:pt>
                <c:pt idx="176">
                  <c:v>51.763104207580554</c:v>
                </c:pt>
                <c:pt idx="177">
                  <c:v>49.28906794834127</c:v>
                </c:pt>
                <c:pt idx="178">
                  <c:v>46.932338806110216</c:v>
                </c:pt>
                <c:pt idx="179">
                  <c:v>44.687442796924898</c:v>
                </c:pt>
                <c:pt idx="180">
                  <c:v>42.549153084814684</c:v>
                </c:pt>
                <c:pt idx="181">
                  <c:v>40.512479608824734</c:v>
                </c:pt>
                <c:pt idx="182">
                  <c:v>38.572659069267807</c:v>
                </c:pt>
                <c:pt idx="183">
                  <c:v>36.725145268585827</c:v>
                </c:pt>
                <c:pt idx="184">
                  <c:v>34.965599801302631</c:v>
                </c:pt>
                <c:pt idx="185">
                  <c:v>33.289883086790503</c:v>
                </c:pt>
                <c:pt idx="186">
                  <c:v>31.694045737939337</c:v>
                </c:pt>
                <c:pt idx="187">
                  <c:v>30.174320258291665</c:v>
                </c:pt>
                <c:pt idx="188">
                  <c:v>28.727113059784667</c:v>
                </c:pt>
                <c:pt idx="189">
                  <c:v>27.348996792904011</c:v>
                </c:pt>
                <c:pt idx="190">
                  <c:v>26.036702980796221</c:v>
                </c:pt>
                <c:pt idx="191">
                  <c:v>24.787114948701795</c:v>
                </c:pt>
                <c:pt idx="192">
                  <c:v>23.597261039941738</c:v>
                </c:pt>
                <c:pt idx="193">
                  <c:v>22.464308109621207</c:v>
                </c:pt>
                <c:pt idx="194">
                  <c:v>21.385555287187604</c:v>
                </c:pt>
                <c:pt idx="195">
                  <c:v>20.358427998996856</c:v>
                </c:pt>
                <c:pt idx="196">
                  <c:v>19.380472242095678</c:v>
                </c:pt>
                <c:pt idx="197">
                  <c:v>18.449349100508417</c:v>
                </c:pt>
                <c:pt idx="198">
                  <c:v>17.562829495429341</c:v>
                </c:pt>
                <c:pt idx="199">
                  <c:v>16.718789160851848</c:v>
                </c:pt>
                <c:pt idx="200">
                  <c:v>15.91520383631797</c:v>
                </c:pt>
                <c:pt idx="201">
                  <c:v>15.150144668639415</c:v>
                </c:pt>
                <c:pt idx="202">
                  <c:v>14.421773814621025</c:v>
                </c:pt>
                <c:pt idx="203">
                  <c:v>13.728340237008288</c:v>
                </c:pt>
                <c:pt idx="204">
                  <c:v>13.068175686080934</c:v>
                </c:pt>
                <c:pt idx="205">
                  <c:v>12.439690859518725</c:v>
                </c:pt>
                <c:pt idx="206">
                  <c:v>11.841371733377104</c:v>
                </c:pt>
                <c:pt idx="207">
                  <c:v>11.271776057223054</c:v>
                </c:pt>
                <c:pt idx="208">
                  <c:v>10.729530006696613</c:v>
                </c:pt>
                <c:pt idx="209">
                  <c:v>10.213324986979865</c:v>
                </c:pt>
                <c:pt idx="210">
                  <c:v>9.7219145808696599</c:v>
                </c:pt>
                <c:pt idx="211">
                  <c:v>9.2541116353650796</c:v>
                </c:pt>
                <c:pt idx="212">
                  <c:v>8.8087854808922632</c:v>
                </c:pt>
                <c:pt idx="213">
                  <c:v>8.384859277498256</c:v>
                </c:pt>
                <c:pt idx="214">
                  <c:v>7.9813074825520687</c:v>
                </c:pt>
                <c:pt idx="215">
                  <c:v>7.5971534346928689</c:v>
                </c:pt>
                <c:pt idx="216">
                  <c:v>7.231467048963407</c:v>
                </c:pt>
                <c:pt idx="217">
                  <c:v>6.8833626182608896</c:v>
                </c:pt>
                <c:pt idx="218">
                  <c:v>6.551996716425843</c:v>
                </c:pt>
                <c:pt idx="219">
                  <c:v>6.2365661984742502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FBC-45C6-9DBF-1275DCBF9818}"/>
            </c:ext>
          </c:extLst>
        </c:ser>
        <c:ser>
          <c:idx val="4"/>
          <c:order val="2"/>
          <c:tx>
            <c:strRef>
              <c:f>'New_removed - bSIR'!$I$7</c:f>
              <c:strCache>
                <c:ptCount val="1"/>
                <c:pt idx="0">
                  <c:v>Italy (fit of selected region + fitted sum of the other regions)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'New_removed - bSIR'!$C$62:$C$281</c:f>
              <c:numCache>
                <c:formatCode>General</c:formatCode>
                <c:ptCount val="220"/>
                <c:pt idx="0">
                  <c:v>55</c:v>
                </c:pt>
                <c:pt idx="1">
                  <c:v>56</c:v>
                </c:pt>
                <c:pt idx="2">
                  <c:v>57</c:v>
                </c:pt>
                <c:pt idx="3">
                  <c:v>58</c:v>
                </c:pt>
                <c:pt idx="4">
                  <c:v>59</c:v>
                </c:pt>
                <c:pt idx="5">
                  <c:v>60</c:v>
                </c:pt>
                <c:pt idx="6">
                  <c:v>61</c:v>
                </c:pt>
                <c:pt idx="7">
                  <c:v>62</c:v>
                </c:pt>
                <c:pt idx="8">
                  <c:v>63</c:v>
                </c:pt>
                <c:pt idx="9">
                  <c:v>64</c:v>
                </c:pt>
                <c:pt idx="10">
                  <c:v>65</c:v>
                </c:pt>
                <c:pt idx="11">
                  <c:v>66</c:v>
                </c:pt>
                <c:pt idx="12">
                  <c:v>67</c:v>
                </c:pt>
                <c:pt idx="13">
                  <c:v>68</c:v>
                </c:pt>
                <c:pt idx="14">
                  <c:v>69</c:v>
                </c:pt>
                <c:pt idx="15">
                  <c:v>70</c:v>
                </c:pt>
                <c:pt idx="16">
                  <c:v>71</c:v>
                </c:pt>
                <c:pt idx="17">
                  <c:v>72</c:v>
                </c:pt>
                <c:pt idx="18">
                  <c:v>73</c:v>
                </c:pt>
                <c:pt idx="19">
                  <c:v>74</c:v>
                </c:pt>
                <c:pt idx="20">
                  <c:v>75</c:v>
                </c:pt>
                <c:pt idx="21">
                  <c:v>76</c:v>
                </c:pt>
                <c:pt idx="22">
                  <c:v>77</c:v>
                </c:pt>
                <c:pt idx="23">
                  <c:v>78</c:v>
                </c:pt>
                <c:pt idx="24">
                  <c:v>79</c:v>
                </c:pt>
                <c:pt idx="25">
                  <c:v>80</c:v>
                </c:pt>
                <c:pt idx="26">
                  <c:v>81</c:v>
                </c:pt>
                <c:pt idx="27">
                  <c:v>82</c:v>
                </c:pt>
                <c:pt idx="28">
                  <c:v>83</c:v>
                </c:pt>
                <c:pt idx="29">
                  <c:v>84</c:v>
                </c:pt>
                <c:pt idx="30">
                  <c:v>85</c:v>
                </c:pt>
                <c:pt idx="31">
                  <c:v>86</c:v>
                </c:pt>
                <c:pt idx="32">
                  <c:v>87</c:v>
                </c:pt>
                <c:pt idx="33">
                  <c:v>88</c:v>
                </c:pt>
                <c:pt idx="34">
                  <c:v>89</c:v>
                </c:pt>
                <c:pt idx="35">
                  <c:v>90</c:v>
                </c:pt>
                <c:pt idx="36">
                  <c:v>91</c:v>
                </c:pt>
                <c:pt idx="37">
                  <c:v>92</c:v>
                </c:pt>
                <c:pt idx="38">
                  <c:v>93</c:v>
                </c:pt>
                <c:pt idx="39">
                  <c:v>94</c:v>
                </c:pt>
                <c:pt idx="40">
                  <c:v>95</c:v>
                </c:pt>
                <c:pt idx="41">
                  <c:v>96</c:v>
                </c:pt>
                <c:pt idx="42">
                  <c:v>97</c:v>
                </c:pt>
                <c:pt idx="43">
                  <c:v>98</c:v>
                </c:pt>
                <c:pt idx="44">
                  <c:v>99</c:v>
                </c:pt>
                <c:pt idx="45">
                  <c:v>100</c:v>
                </c:pt>
                <c:pt idx="46">
                  <c:v>101</c:v>
                </c:pt>
                <c:pt idx="47">
                  <c:v>102</c:v>
                </c:pt>
                <c:pt idx="48">
                  <c:v>103</c:v>
                </c:pt>
                <c:pt idx="49">
                  <c:v>104</c:v>
                </c:pt>
                <c:pt idx="50">
                  <c:v>105</c:v>
                </c:pt>
                <c:pt idx="51">
                  <c:v>106</c:v>
                </c:pt>
                <c:pt idx="52">
                  <c:v>107</c:v>
                </c:pt>
                <c:pt idx="53">
                  <c:v>108</c:v>
                </c:pt>
                <c:pt idx="54">
                  <c:v>109</c:v>
                </c:pt>
                <c:pt idx="55">
                  <c:v>110</c:v>
                </c:pt>
                <c:pt idx="56">
                  <c:v>111</c:v>
                </c:pt>
                <c:pt idx="57">
                  <c:v>112</c:v>
                </c:pt>
                <c:pt idx="58">
                  <c:v>113</c:v>
                </c:pt>
                <c:pt idx="59">
                  <c:v>114</c:v>
                </c:pt>
                <c:pt idx="60">
                  <c:v>115</c:v>
                </c:pt>
                <c:pt idx="61">
                  <c:v>116</c:v>
                </c:pt>
                <c:pt idx="62">
                  <c:v>117</c:v>
                </c:pt>
                <c:pt idx="63">
                  <c:v>118</c:v>
                </c:pt>
                <c:pt idx="64">
                  <c:v>119</c:v>
                </c:pt>
                <c:pt idx="65">
                  <c:v>120</c:v>
                </c:pt>
                <c:pt idx="66">
                  <c:v>121</c:v>
                </c:pt>
                <c:pt idx="67">
                  <c:v>122</c:v>
                </c:pt>
                <c:pt idx="68">
                  <c:v>123</c:v>
                </c:pt>
                <c:pt idx="69">
                  <c:v>124</c:v>
                </c:pt>
                <c:pt idx="70">
                  <c:v>125</c:v>
                </c:pt>
                <c:pt idx="71">
                  <c:v>126</c:v>
                </c:pt>
                <c:pt idx="72">
                  <c:v>127</c:v>
                </c:pt>
                <c:pt idx="73">
                  <c:v>128</c:v>
                </c:pt>
                <c:pt idx="74">
                  <c:v>129</c:v>
                </c:pt>
                <c:pt idx="75">
                  <c:v>130</c:v>
                </c:pt>
                <c:pt idx="76">
                  <c:v>131</c:v>
                </c:pt>
                <c:pt idx="77">
                  <c:v>132</c:v>
                </c:pt>
                <c:pt idx="78">
                  <c:v>133</c:v>
                </c:pt>
                <c:pt idx="79">
                  <c:v>134</c:v>
                </c:pt>
                <c:pt idx="80">
                  <c:v>135</c:v>
                </c:pt>
                <c:pt idx="81">
                  <c:v>136</c:v>
                </c:pt>
                <c:pt idx="82">
                  <c:v>137</c:v>
                </c:pt>
                <c:pt idx="83">
                  <c:v>138</c:v>
                </c:pt>
                <c:pt idx="84">
                  <c:v>139</c:v>
                </c:pt>
                <c:pt idx="85">
                  <c:v>140</c:v>
                </c:pt>
                <c:pt idx="86">
                  <c:v>141</c:v>
                </c:pt>
                <c:pt idx="87">
                  <c:v>142</c:v>
                </c:pt>
                <c:pt idx="88">
                  <c:v>143</c:v>
                </c:pt>
                <c:pt idx="89">
                  <c:v>144</c:v>
                </c:pt>
                <c:pt idx="90">
                  <c:v>145</c:v>
                </c:pt>
                <c:pt idx="91">
                  <c:v>146</c:v>
                </c:pt>
                <c:pt idx="92">
                  <c:v>147</c:v>
                </c:pt>
                <c:pt idx="93">
                  <c:v>148</c:v>
                </c:pt>
                <c:pt idx="94">
                  <c:v>149</c:v>
                </c:pt>
                <c:pt idx="95">
                  <c:v>150</c:v>
                </c:pt>
                <c:pt idx="96">
                  <c:v>151</c:v>
                </c:pt>
                <c:pt idx="97">
                  <c:v>152</c:v>
                </c:pt>
                <c:pt idx="98">
                  <c:v>153</c:v>
                </c:pt>
                <c:pt idx="99">
                  <c:v>154</c:v>
                </c:pt>
                <c:pt idx="100">
                  <c:v>155</c:v>
                </c:pt>
                <c:pt idx="101">
                  <c:v>156</c:v>
                </c:pt>
                <c:pt idx="102">
                  <c:v>157</c:v>
                </c:pt>
                <c:pt idx="103">
                  <c:v>158</c:v>
                </c:pt>
                <c:pt idx="104">
                  <c:v>159</c:v>
                </c:pt>
                <c:pt idx="105">
                  <c:v>160</c:v>
                </c:pt>
                <c:pt idx="106">
                  <c:v>161</c:v>
                </c:pt>
                <c:pt idx="107">
                  <c:v>162</c:v>
                </c:pt>
                <c:pt idx="108">
                  <c:v>163</c:v>
                </c:pt>
                <c:pt idx="109">
                  <c:v>164</c:v>
                </c:pt>
                <c:pt idx="110">
                  <c:v>165</c:v>
                </c:pt>
                <c:pt idx="111">
                  <c:v>166</c:v>
                </c:pt>
                <c:pt idx="112">
                  <c:v>167</c:v>
                </c:pt>
                <c:pt idx="113">
                  <c:v>168</c:v>
                </c:pt>
                <c:pt idx="114">
                  <c:v>169</c:v>
                </c:pt>
                <c:pt idx="115">
                  <c:v>170</c:v>
                </c:pt>
                <c:pt idx="116">
                  <c:v>171</c:v>
                </c:pt>
                <c:pt idx="117">
                  <c:v>172</c:v>
                </c:pt>
                <c:pt idx="118">
                  <c:v>173</c:v>
                </c:pt>
                <c:pt idx="119">
                  <c:v>174</c:v>
                </c:pt>
                <c:pt idx="120">
                  <c:v>175</c:v>
                </c:pt>
                <c:pt idx="121">
                  <c:v>176</c:v>
                </c:pt>
                <c:pt idx="122">
                  <c:v>177</c:v>
                </c:pt>
                <c:pt idx="123">
                  <c:v>178</c:v>
                </c:pt>
                <c:pt idx="124">
                  <c:v>179</c:v>
                </c:pt>
                <c:pt idx="125">
                  <c:v>180</c:v>
                </c:pt>
                <c:pt idx="126">
                  <c:v>181</c:v>
                </c:pt>
                <c:pt idx="127">
                  <c:v>182</c:v>
                </c:pt>
                <c:pt idx="128">
                  <c:v>183</c:v>
                </c:pt>
                <c:pt idx="129">
                  <c:v>184</c:v>
                </c:pt>
                <c:pt idx="130">
                  <c:v>185</c:v>
                </c:pt>
                <c:pt idx="131">
                  <c:v>186</c:v>
                </c:pt>
                <c:pt idx="132">
                  <c:v>187</c:v>
                </c:pt>
                <c:pt idx="133">
                  <c:v>188</c:v>
                </c:pt>
                <c:pt idx="134">
                  <c:v>189</c:v>
                </c:pt>
                <c:pt idx="135">
                  <c:v>190</c:v>
                </c:pt>
                <c:pt idx="136">
                  <c:v>191</c:v>
                </c:pt>
                <c:pt idx="137">
                  <c:v>192</c:v>
                </c:pt>
                <c:pt idx="138">
                  <c:v>193</c:v>
                </c:pt>
                <c:pt idx="139">
                  <c:v>194</c:v>
                </c:pt>
                <c:pt idx="140">
                  <c:v>195</c:v>
                </c:pt>
                <c:pt idx="141">
                  <c:v>196</c:v>
                </c:pt>
                <c:pt idx="142">
                  <c:v>197</c:v>
                </c:pt>
                <c:pt idx="143">
                  <c:v>198</c:v>
                </c:pt>
                <c:pt idx="144">
                  <c:v>199</c:v>
                </c:pt>
                <c:pt idx="145">
                  <c:v>200</c:v>
                </c:pt>
                <c:pt idx="146">
                  <c:v>201</c:v>
                </c:pt>
                <c:pt idx="147">
                  <c:v>202</c:v>
                </c:pt>
                <c:pt idx="148">
                  <c:v>203</c:v>
                </c:pt>
                <c:pt idx="149">
                  <c:v>204</c:v>
                </c:pt>
                <c:pt idx="150">
                  <c:v>205</c:v>
                </c:pt>
                <c:pt idx="151">
                  <c:v>206</c:v>
                </c:pt>
                <c:pt idx="152">
                  <c:v>207</c:v>
                </c:pt>
                <c:pt idx="153">
                  <c:v>208</c:v>
                </c:pt>
                <c:pt idx="154">
                  <c:v>209</c:v>
                </c:pt>
                <c:pt idx="155">
                  <c:v>210</c:v>
                </c:pt>
                <c:pt idx="156">
                  <c:v>211</c:v>
                </c:pt>
                <c:pt idx="157">
                  <c:v>212</c:v>
                </c:pt>
                <c:pt idx="158">
                  <c:v>213</c:v>
                </c:pt>
                <c:pt idx="159">
                  <c:v>214</c:v>
                </c:pt>
                <c:pt idx="160">
                  <c:v>215</c:v>
                </c:pt>
                <c:pt idx="161">
                  <c:v>216</c:v>
                </c:pt>
                <c:pt idx="162">
                  <c:v>217</c:v>
                </c:pt>
                <c:pt idx="163">
                  <c:v>218</c:v>
                </c:pt>
                <c:pt idx="164">
                  <c:v>219</c:v>
                </c:pt>
                <c:pt idx="165">
                  <c:v>220</c:v>
                </c:pt>
                <c:pt idx="166">
                  <c:v>221</c:v>
                </c:pt>
                <c:pt idx="167">
                  <c:v>222</c:v>
                </c:pt>
                <c:pt idx="168">
                  <c:v>223</c:v>
                </c:pt>
                <c:pt idx="169">
                  <c:v>224</c:v>
                </c:pt>
                <c:pt idx="170">
                  <c:v>225</c:v>
                </c:pt>
                <c:pt idx="171">
                  <c:v>226</c:v>
                </c:pt>
                <c:pt idx="172">
                  <c:v>227</c:v>
                </c:pt>
                <c:pt idx="173">
                  <c:v>228</c:v>
                </c:pt>
                <c:pt idx="174">
                  <c:v>229</c:v>
                </c:pt>
                <c:pt idx="175">
                  <c:v>230</c:v>
                </c:pt>
                <c:pt idx="176">
                  <c:v>231</c:v>
                </c:pt>
                <c:pt idx="177">
                  <c:v>232</c:v>
                </c:pt>
                <c:pt idx="178">
                  <c:v>233</c:v>
                </c:pt>
                <c:pt idx="179">
                  <c:v>234</c:v>
                </c:pt>
                <c:pt idx="180">
                  <c:v>235</c:v>
                </c:pt>
                <c:pt idx="181">
                  <c:v>236</c:v>
                </c:pt>
                <c:pt idx="182">
                  <c:v>237</c:v>
                </c:pt>
                <c:pt idx="183">
                  <c:v>238</c:v>
                </c:pt>
                <c:pt idx="184">
                  <c:v>239</c:v>
                </c:pt>
                <c:pt idx="185">
                  <c:v>240</c:v>
                </c:pt>
                <c:pt idx="186">
                  <c:v>241</c:v>
                </c:pt>
                <c:pt idx="187">
                  <c:v>242</c:v>
                </c:pt>
                <c:pt idx="188">
                  <c:v>243</c:v>
                </c:pt>
                <c:pt idx="189">
                  <c:v>244</c:v>
                </c:pt>
                <c:pt idx="190">
                  <c:v>245</c:v>
                </c:pt>
                <c:pt idx="191">
                  <c:v>246</c:v>
                </c:pt>
                <c:pt idx="192">
                  <c:v>247</c:v>
                </c:pt>
                <c:pt idx="193">
                  <c:v>248</c:v>
                </c:pt>
                <c:pt idx="194">
                  <c:v>249</c:v>
                </c:pt>
                <c:pt idx="195">
                  <c:v>250</c:v>
                </c:pt>
                <c:pt idx="196">
                  <c:v>251</c:v>
                </c:pt>
                <c:pt idx="197">
                  <c:v>252</c:v>
                </c:pt>
                <c:pt idx="198">
                  <c:v>253</c:v>
                </c:pt>
                <c:pt idx="199">
                  <c:v>254</c:v>
                </c:pt>
                <c:pt idx="200">
                  <c:v>255</c:v>
                </c:pt>
                <c:pt idx="201">
                  <c:v>256</c:v>
                </c:pt>
                <c:pt idx="202">
                  <c:v>257</c:v>
                </c:pt>
                <c:pt idx="203">
                  <c:v>258</c:v>
                </c:pt>
                <c:pt idx="204">
                  <c:v>259</c:v>
                </c:pt>
                <c:pt idx="205">
                  <c:v>260</c:v>
                </c:pt>
                <c:pt idx="206">
                  <c:v>261</c:v>
                </c:pt>
                <c:pt idx="207">
                  <c:v>262</c:v>
                </c:pt>
                <c:pt idx="208">
                  <c:v>263</c:v>
                </c:pt>
                <c:pt idx="209">
                  <c:v>264</c:v>
                </c:pt>
                <c:pt idx="210">
                  <c:v>265</c:v>
                </c:pt>
                <c:pt idx="211">
                  <c:v>266</c:v>
                </c:pt>
                <c:pt idx="212">
                  <c:v>267</c:v>
                </c:pt>
                <c:pt idx="213">
                  <c:v>268</c:v>
                </c:pt>
                <c:pt idx="214">
                  <c:v>269</c:v>
                </c:pt>
                <c:pt idx="215">
                  <c:v>270</c:v>
                </c:pt>
                <c:pt idx="216">
                  <c:v>271</c:v>
                </c:pt>
                <c:pt idx="217">
                  <c:v>272</c:v>
                </c:pt>
                <c:pt idx="218">
                  <c:v>273</c:v>
                </c:pt>
                <c:pt idx="219">
                  <c:v>274</c:v>
                </c:pt>
              </c:numCache>
            </c:numRef>
          </c:xVal>
          <c:yVal>
            <c:numRef>
              <c:f>'New_removed - bSIR'!$I$62:$I$281</c:f>
              <c:numCache>
                <c:formatCode>General</c:formatCode>
                <c:ptCount val="220"/>
                <c:pt idx="0">
                  <c:v>431.49553806279977</c:v>
                </c:pt>
                <c:pt idx="1">
                  <c:v>451.58414785676132</c:v>
                </c:pt>
                <c:pt idx="2">
                  <c:v>472.5225143225336</c:v>
                </c:pt>
                <c:pt idx="3">
                  <c:v>494.33810131272361</c:v>
                </c:pt>
                <c:pt idx="4">
                  <c:v>517.05839346696598</c:v>
                </c:pt>
                <c:pt idx="5">
                  <c:v>540.71078911759764</c:v>
                </c:pt>
                <c:pt idx="6">
                  <c:v>565.32248113000674</c:v>
                </c:pt>
                <c:pt idx="7">
                  <c:v>590.92032495353908</c:v>
                </c:pt>
                <c:pt idx="8">
                  <c:v>617.53069317423717</c:v>
                </c:pt>
                <c:pt idx="9">
                  <c:v>645.17931588750378</c:v>
                </c:pt>
                <c:pt idx="10">
                  <c:v>673.89110624887678</c:v>
                </c:pt>
                <c:pt idx="11">
                  <c:v>703.68997061627863</c:v>
                </c:pt>
                <c:pt idx="12">
                  <c:v>734.59860276937025</c:v>
                </c:pt>
                <c:pt idx="13">
                  <c:v>766.63826178306169</c:v>
                </c:pt>
                <c:pt idx="14">
                  <c:v>799.82853324488144</c:v>
                </c:pt>
                <c:pt idx="15">
                  <c:v>834.18707364193676</c:v>
                </c:pt>
                <c:pt idx="16">
                  <c:v>869.72933790463605</c:v>
                </c:pt>
                <c:pt idx="17">
                  <c:v>906.46829028321815</c:v>
                </c:pt>
                <c:pt idx="18">
                  <c:v>944.41409895119045</c:v>
                </c:pt>
                <c:pt idx="19">
                  <c:v>983.57381497859035</c:v>
                </c:pt>
                <c:pt idx="20">
                  <c:v>1023.9510365987528</c:v>
                </c:pt>
                <c:pt idx="21">
                  <c:v>1065.5455600056646</c:v>
                </c:pt>
                <c:pt idx="22">
                  <c:v>1108.3530182652346</c:v>
                </c:pt>
                <c:pt idx="23">
                  <c:v>1152.3645103022191</c:v>
                </c:pt>
                <c:pt idx="24">
                  <c:v>1197.5662223337836</c:v>
                </c:pt>
                <c:pt idx="25">
                  <c:v>1243.9390445581514</c:v>
                </c:pt>
                <c:pt idx="26">
                  <c:v>1291.458186369058</c:v>
                </c:pt>
                <c:pt idx="27">
                  <c:v>1340.0927938485886</c:v>
                </c:pt>
                <c:pt idx="28">
                  <c:v>1389.8055737863588</c:v>
                </c:pt>
                <c:pt idx="29">
                  <c:v>1440.5524289736604</c:v>
                </c:pt>
                <c:pt idx="30">
                  <c:v>1492.2821100177027</c:v>
                </c:pt>
                <c:pt idx="31">
                  <c:v>1544.9358894020615</c:v>
                </c:pt>
                <c:pt idx="32">
                  <c:v>1598.4472639718369</c:v>
                </c:pt>
                <c:pt idx="33">
                  <c:v>1652.7416924311465</c:v>
                </c:pt>
                <c:pt idx="34">
                  <c:v>1707.7363747902223</c:v>
                </c:pt>
                <c:pt idx="35">
                  <c:v>1763.3400809720029</c:v>
                </c:pt>
                <c:pt idx="36">
                  <c:v>1819.4530359652488</c:v>
                </c:pt>
                <c:pt idx="37">
                  <c:v>1875.9668689736734</c:v>
                </c:pt>
                <c:pt idx="38">
                  <c:v>1932.7646339394898</c:v>
                </c:pt>
                <c:pt idx="39">
                  <c:v>1989.7209085963345</c:v>
                </c:pt>
                <c:pt idx="40">
                  <c:v>2046.7019788138959</c:v>
                </c:pt>
                <c:pt idx="41">
                  <c:v>2103.5661144196006</c:v>
                </c:pt>
                <c:pt idx="42">
                  <c:v>2160.1639419095895</c:v>
                </c:pt>
                <c:pt idx="43">
                  <c:v>2216.3389184842026</c:v>
                </c:pt>
                <c:pt idx="44">
                  <c:v>2271.9279106594058</c:v>
                </c:pt>
                <c:pt idx="45">
                  <c:v>2326.7618793180641</c:v>
                </c:pt>
                <c:pt idx="46">
                  <c:v>2380.6666714836479</c:v>
                </c:pt>
                <c:pt idx="47">
                  <c:v>2433.4639173407995</c:v>
                </c:pt>
                <c:pt idx="48">
                  <c:v>2484.972029117238</c:v>
                </c:pt>
                <c:pt idx="49">
                  <c:v>2535.0072964126421</c:v>
                </c:pt>
                <c:pt idx="50">
                  <c:v>2583.3850704530373</c:v>
                </c:pt>
                <c:pt idx="51">
                  <c:v>2629.9210276117838</c:v>
                </c:pt>
                <c:pt idx="52">
                  <c:v>2674.4325004247889</c:v>
                </c:pt>
                <c:pt idx="53">
                  <c:v>2716.7398622971236</c:v>
                </c:pt>
                <c:pt idx="54">
                  <c:v>2756.6679502133011</c:v>
                </c:pt>
                <c:pt idx="55">
                  <c:v>2794.0475080875103</c:v>
                </c:pt>
                <c:pt idx="56">
                  <c:v>2828.7166319852677</c:v>
                </c:pt>
                <c:pt idx="57">
                  <c:v>2860.5221973727485</c:v>
                </c:pt>
                <c:pt idx="58">
                  <c:v>2889.3212478562637</c:v>
                </c:pt>
                <c:pt idx="59">
                  <c:v>2914.9823246048686</c:v>
                </c:pt>
                <c:pt idx="60">
                  <c:v>2937.3867158354187</c:v>
                </c:pt>
                <c:pt idx="61">
                  <c:v>2956.429606399498</c:v>
                </c:pt>
                <c:pt idx="62">
                  <c:v>2972.0211086487084</c:v>
                </c:pt>
                <c:pt idx="63">
                  <c:v>2984.0871573561863</c:v>
                </c:pt>
                <c:pt idx="64">
                  <c:v>2992.5702535090927</c:v>
                </c:pt>
                <c:pt idx="65">
                  <c:v>2997.4300442151489</c:v>
                </c:pt>
                <c:pt idx="66">
                  <c:v>2998.6437287274002</c:v>
                </c:pt>
                <c:pt idx="67">
                  <c:v>2996.2062836147975</c:v>
                </c:pt>
                <c:pt idx="68">
                  <c:v>2990.130503311233</c:v>
                </c:pt>
                <c:pt idx="69">
                  <c:v>2980.4468555753224</c:v>
                </c:pt>
                <c:pt idx="70">
                  <c:v>2967.203154697143</c:v>
                </c:pt>
                <c:pt idx="71">
                  <c:v>2950.4640585060947</c:v>
                </c:pt>
                <c:pt idx="72">
                  <c:v>2930.310398279596</c:v>
                </c:pt>
                <c:pt idx="73">
                  <c:v>2906.8383534460982</c:v>
                </c:pt>
                <c:pt idx="74">
                  <c:v>2880.1584854483208</c:v>
                </c:pt>
                <c:pt idx="75">
                  <c:v>2850.3946472262592</c:v>
                </c:pt>
                <c:pt idx="76">
                  <c:v>2817.6827864512434</c:v>
                </c:pt>
                <c:pt idx="77">
                  <c:v>2782.1696618636879</c:v>
                </c:pt>
                <c:pt idx="78">
                  <c:v>2744.0114928253556</c:v>
                </c:pt>
                <c:pt idx="79">
                  <c:v>2703.3725624941399</c:v>
                </c:pt>
                <c:pt idx="80">
                  <c:v>2660.4237948818795</c:v>
                </c:pt>
                <c:pt idx="81">
                  <c:v>2615.341325492444</c:v>
                </c:pt>
                <c:pt idx="82">
                  <c:v>2568.3050842980697</c:v>
                </c:pt>
                <c:pt idx="83">
                  <c:v>2519.4974085448412</c:v>
                </c:pt>
                <c:pt idx="84">
                  <c:v>2469.1017013377809</c:v>
                </c:pt>
                <c:pt idx="85">
                  <c:v>2417.3011502003542</c:v>
                </c:pt>
                <c:pt idx="86">
                  <c:v>2364.2775178919796</c:v>
                </c:pt>
                <c:pt idx="87">
                  <c:v>2310.2100157591949</c:v>
                </c:pt>
                <c:pt idx="88">
                  <c:v>2255.2742678477202</c:v>
                </c:pt>
                <c:pt idx="89">
                  <c:v>2199.6413719657612</c:v>
                </c:pt>
                <c:pt idx="90">
                  <c:v>2143.47706190996</c:v>
                </c:pt>
                <c:pt idx="91">
                  <c:v>2086.9409731844848</c:v>
                </c:pt>
                <c:pt idx="92">
                  <c:v>2030.1860127939606</c:v>
                </c:pt>
                <c:pt idx="93">
                  <c:v>1973.3578320981142</c:v>
                </c:pt>
                <c:pt idx="94">
                  <c:v>1916.5944002989063</c:v>
                </c:pt>
                <c:pt idx="95">
                  <c:v>1860.0256749014231</c:v>
                </c:pt>
                <c:pt idx="96">
                  <c:v>1803.7733644535429</c:v>
                </c:pt>
                <c:pt idx="97">
                  <c:v>1747.9507780262418</c:v>
                </c:pt>
                <c:pt idx="98">
                  <c:v>1692.662755241515</c:v>
                </c:pt>
                <c:pt idx="99">
                  <c:v>1638.0056701790982</c:v>
                </c:pt>
                <c:pt idx="100">
                  <c:v>1584.0675021844168</c:v>
                </c:pt>
                <c:pt idx="101">
                  <c:v>1530.9279664436108</c:v>
                </c:pt>
                <c:pt idx="102">
                  <c:v>1478.6586971709269</c:v>
                </c:pt>
                <c:pt idx="103">
                  <c:v>1427.3234763518899</c:v>
                </c:pt>
                <c:pt idx="104">
                  <c:v>1376.9785011848928</c:v>
                </c:pt>
                <c:pt idx="105">
                  <c:v>1327.6726836468206</c:v>
                </c:pt>
                <c:pt idx="106">
                  <c:v>1279.4479759582828</c:v>
                </c:pt>
                <c:pt idx="107">
                  <c:v>1232.339716125181</c:v>
                </c:pt>
                <c:pt idx="108">
                  <c:v>1186.3769881712176</c:v>
                </c:pt>
                <c:pt idx="109">
                  <c:v>1141.582992137284</c:v>
                </c:pt>
                <c:pt idx="110">
                  <c:v>1097.9754193970248</c:v>
                </c:pt>
                <c:pt idx="111">
                  <c:v>1055.566829312964</c:v>
                </c:pt>
                <c:pt idx="112">
                  <c:v>1014.3650237260665</c:v>
                </c:pt>
                <c:pt idx="113">
                  <c:v>974.37341622623921</c:v>
                </c:pt>
                <c:pt idx="114">
                  <c:v>935.59139358658467</c:v>
                </c:pt>
                <c:pt idx="115">
                  <c:v>898.01466715568608</c:v>
                </c:pt>
                <c:pt idx="116">
                  <c:v>861.6356123867331</c:v>
                </c:pt>
                <c:pt idx="117">
                  <c:v>826.44359503771102</c:v>
                </c:pt>
                <c:pt idx="118">
                  <c:v>792.42528290190296</c:v>
                </c:pt>
                <c:pt idx="119">
                  <c:v>759.56494222216986</c:v>
                </c:pt>
                <c:pt idx="120">
                  <c:v>727.84471820604301</c:v>
                </c:pt>
                <c:pt idx="121">
                  <c:v>697.24489929222545</c:v>
                </c:pt>
                <c:pt idx="122">
                  <c:v>667.7441650239241</c:v>
                </c:pt>
                <c:pt idx="123">
                  <c:v>639.31981756180062</c:v>
                </c:pt>
                <c:pt idx="124">
                  <c:v>611.94799702104274</c:v>
                </c:pt>
                <c:pt idx="125">
                  <c:v>585.60388094491043</c:v>
                </c:pt>
                <c:pt idx="126">
                  <c:v>560.26186833299232</c:v>
                </c:pt>
                <c:pt idx="127">
                  <c:v>535.89574872837943</c:v>
                </c:pt>
                <c:pt idx="128">
                  <c:v>512.47885693588023</c:v>
                </c:pt>
                <c:pt idx="129">
                  <c:v>489.9842139952587</c:v>
                </c:pt>
                <c:pt idx="130">
                  <c:v>468.38465507108361</c:v>
                </c:pt>
                <c:pt idx="131">
                  <c:v>447.65294494587931</c:v>
                </c:pt>
                <c:pt idx="132">
                  <c:v>427.76188181756328</c:v>
                </c:pt>
                <c:pt idx="133">
                  <c:v>408.68439010708875</c:v>
                </c:pt>
                <c:pt idx="134">
                  <c:v>390.39360297928113</c:v>
                </c:pt>
                <c:pt idx="135">
                  <c:v>372.8629352702896</c:v>
                </c:pt>
                <c:pt idx="136">
                  <c:v>356.06614750002092</c:v>
                </c:pt>
                <c:pt idx="137">
                  <c:v>339.97740162850005</c:v>
                </c:pt>
                <c:pt idx="138">
                  <c:v>324.57130919211943</c:v>
                </c:pt>
                <c:pt idx="139">
                  <c:v>309.82297243011851</c:v>
                </c:pt>
                <c:pt idx="140">
                  <c:v>295.70801898402306</c:v>
                </c:pt>
                <c:pt idx="141">
                  <c:v>282.20263072380737</c:v>
                </c:pt>
                <c:pt idx="142">
                  <c:v>269.28356722476747</c:v>
                </c:pt>
                <c:pt idx="143">
                  <c:v>256.92818438892618</c:v>
                </c:pt>
                <c:pt idx="144">
                  <c:v>245.11444867465906</c:v>
                </c:pt>
                <c:pt idx="145">
                  <c:v>233.82094736838499</c:v>
                </c:pt>
                <c:pt idx="146">
                  <c:v>223.02689530294828</c:v>
                </c:pt>
                <c:pt idx="147">
                  <c:v>212.71213839884012</c:v>
                </c:pt>
                <c:pt idx="148">
                  <c:v>202.85715437692011</c:v>
                </c:pt>
                <c:pt idx="149">
                  <c:v>193.44305096486966</c:v>
                </c:pt>
                <c:pt idx="150">
                  <c:v>184.45156189434067</c:v>
                </c:pt>
                <c:pt idx="151">
                  <c:v>175.86504096174596</c:v>
                </c:pt>
                <c:pt idx="152">
                  <c:v>167.6664544028651</c:v>
                </c:pt>
                <c:pt idx="153">
                  <c:v>159.83937180996006</c:v>
                </c:pt>
                <c:pt idx="154">
                  <c:v>152.3679557999142</c:v>
                </c:pt>
                <c:pt idx="155">
                  <c:v>145.23695062297247</c:v>
                </c:pt>
                <c:pt idx="156">
                  <c:v>138.43166988399884</c:v>
                </c:pt>
                <c:pt idx="157">
                  <c:v>131.93798353169637</c:v>
                </c:pt>
                <c:pt idx="158">
                  <c:v>125.74230425595793</c:v>
                </c:pt>
                <c:pt idx="159">
                  <c:v>119.83157341934482</c:v>
                </c:pt>
                <c:pt idx="160">
                  <c:v>114.19324663560499</c:v>
                </c:pt>
                <c:pt idx="161">
                  <c:v>108.81527909608735</c:v>
                </c:pt>
                <c:pt idx="162">
                  <c:v>103.68611073380572</c:v>
                </c:pt>
                <c:pt idx="163">
                  <c:v>98.79465130473092</c:v>
                </c:pt>
                <c:pt idx="164">
                  <c:v>94.130265456573156</c:v>
                </c:pt>
                <c:pt idx="165">
                  <c:v>89.682757846798836</c:v>
                </c:pt>
                <c:pt idx="166">
                  <c:v>85.442358363869275</c:v>
                </c:pt>
                <c:pt idx="167">
                  <c:v>81.399707498627834</c:v>
                </c:pt>
                <c:pt idx="168">
                  <c:v>77.545841906360153</c:v>
                </c:pt>
                <c:pt idx="169">
                  <c:v>73.872180194247477</c:v>
                </c:pt>
                <c:pt idx="170">
                  <c:v>70.370508963692828</c:v>
                </c:pt>
                <c:pt idx="171">
                  <c:v>67.032969132277188</c:v>
                </c:pt>
                <c:pt idx="172">
                  <c:v>63.852042555851042</c:v>
                </c:pt>
                <c:pt idx="173">
                  <c:v>60.820538967459179</c:v>
                </c:pt>
                <c:pt idx="174">
                  <c:v>57.931583246381528</c:v>
                </c:pt>
                <c:pt idx="175">
                  <c:v>55.178603027538408</c:v>
                </c:pt>
                <c:pt idx="176">
                  <c:v>52.555316658796386</c:v>
                </c:pt>
                <c:pt idx="177">
                  <c:v>50.055721511314296</c:v>
                </c:pt>
                <c:pt idx="178">
                  <c:v>47.674082645951849</c:v>
                </c:pt>
                <c:pt idx="179">
                  <c:v>45.404921836893372</c:v>
                </c:pt>
                <c:pt idx="180">
                  <c:v>43.243006952009665</c:v>
                </c:pt>
                <c:pt idx="181">
                  <c:v>41.183341688050064</c:v>
                </c:pt>
                <c:pt idx="182">
                  <c:v>39.221155657525586</c:v>
                </c:pt>
                <c:pt idx="183">
                  <c:v>37.351894823073934</c:v>
                </c:pt>
                <c:pt idx="184">
                  <c:v>35.571212274186976</c:v>
                </c:pt>
                <c:pt idx="185">
                  <c:v>33.874959340407386</c:v>
                </c:pt>
                <c:pt idx="186">
                  <c:v>32.259177034451085</c:v>
                </c:pt>
                <c:pt idx="187">
                  <c:v>30.72008781817361</c:v>
                </c:pt>
                <c:pt idx="188">
                  <c:v>29.254087683858909</c:v>
                </c:pt>
                <c:pt idx="189">
                  <c:v>27.857738542959478</c:v>
                </c:pt>
                <c:pt idx="190">
                  <c:v>26.527760914143716</c:v>
                </c:pt>
                <c:pt idx="191">
                  <c:v>25.261026902303605</c:v>
                </c:pt>
                <c:pt idx="192">
                  <c:v>24.054553460037226</c:v>
                </c:pt>
                <c:pt idx="193">
                  <c:v>22.905495923032181</c:v>
                </c:pt>
                <c:pt idx="194">
                  <c:v>21.811141810738892</c:v>
                </c:pt>
                <c:pt idx="195">
                  <c:v>20.768904883724606</c:v>
                </c:pt>
                <c:pt idx="196">
                  <c:v>19.776319449139947</c:v>
                </c:pt>
                <c:pt idx="197">
                  <c:v>18.831034905799036</c:v>
                </c:pt>
                <c:pt idx="198">
                  <c:v>17.930810520472455</c:v>
                </c:pt>
                <c:pt idx="199">
                  <c:v>17.073510427113881</c:v>
                </c:pt>
                <c:pt idx="200">
                  <c:v>16.257098840880676</c:v>
                </c:pt>
                <c:pt idx="201">
                  <c:v>15.479635478965399</c:v>
                </c:pt>
                <c:pt idx="202">
                  <c:v>14.739271180426524</c:v>
                </c:pt>
                <c:pt idx="203">
                  <c:v>14.034243717386815</c:v>
                </c:pt>
                <c:pt idx="204">
                  <c:v>13.362873790158767</c:v>
                </c:pt>
                <c:pt idx="205">
                  <c:v>12.723561199052851</c:v>
                </c:pt>
                <c:pt idx="206">
                  <c:v>12.114781185827072</c:v>
                </c:pt>
                <c:pt idx="207">
                  <c:v>11.535080937941645</c:v>
                </c:pt>
                <c:pt idx="208">
                  <c:v>10.98307624898993</c:v>
                </c:pt>
                <c:pt idx="209">
                  <c:v>10.457448328886674</c:v>
                </c:pt>
                <c:pt idx="210">
                  <c:v>9.9569407576023856</c:v>
                </c:pt>
                <c:pt idx="211">
                  <c:v>9.4803565764408599</c:v>
                </c:pt>
                <c:pt idx="212">
                  <c:v>9.0265555110633411</c:v>
                </c:pt>
                <c:pt idx="213">
                  <c:v>8.5944513206660211</c:v>
                </c:pt>
                <c:pt idx="214">
                  <c:v>8.1830092679188215</c:v>
                </c:pt>
                <c:pt idx="215">
                  <c:v>7.7912437044704914</c:v>
                </c:pt>
                <c:pt idx="216">
                  <c:v>7.4182157670190518</c:v>
                </c:pt>
                <c:pt idx="217">
                  <c:v>7.063031179135594</c:v>
                </c:pt>
                <c:pt idx="218">
                  <c:v>6.7248381542146394</c:v>
                </c:pt>
                <c:pt idx="219">
                  <c:v>6.4028253951048084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FBC-45C6-9DBF-1275DCBF98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9487760"/>
        <c:axId val="969487440"/>
        <c:extLst>
          <c:ext xmlns:c15="http://schemas.microsoft.com/office/drawing/2012/chart" uri="{02D57815-91ED-43cb-92C2-25804820EDAC}">
            <c15:filteredScatter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'New_removed - bSIR'!$Q$7</c15:sqref>
                        </c15:formulaRef>
                      </c:ext>
                    </c:extLst>
                    <c:strCache>
                      <c:ptCount val="1"/>
                      <c:pt idx="0">
                        <c:v>Upper CI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prstDash val="sysDash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'New_removed - bSIR'!$C$8:$C$281</c15:sqref>
                        </c15:formulaRef>
                      </c:ext>
                    </c:extLst>
                    <c:numCache>
                      <c:formatCode>General</c:formatCode>
                      <c:ptCount val="274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  <c:pt idx="190">
                        <c:v>191</c:v>
                      </c:pt>
                      <c:pt idx="191">
                        <c:v>192</c:v>
                      </c:pt>
                      <c:pt idx="192">
                        <c:v>193</c:v>
                      </c:pt>
                      <c:pt idx="193">
                        <c:v>194</c:v>
                      </c:pt>
                      <c:pt idx="194">
                        <c:v>195</c:v>
                      </c:pt>
                      <c:pt idx="195">
                        <c:v>196</c:v>
                      </c:pt>
                      <c:pt idx="196">
                        <c:v>197</c:v>
                      </c:pt>
                      <c:pt idx="197">
                        <c:v>198</c:v>
                      </c:pt>
                      <c:pt idx="198">
                        <c:v>199</c:v>
                      </c:pt>
                      <c:pt idx="199">
                        <c:v>200</c:v>
                      </c:pt>
                      <c:pt idx="200">
                        <c:v>201</c:v>
                      </c:pt>
                      <c:pt idx="201">
                        <c:v>202</c:v>
                      </c:pt>
                      <c:pt idx="202">
                        <c:v>203</c:v>
                      </c:pt>
                      <c:pt idx="203">
                        <c:v>204</c:v>
                      </c:pt>
                      <c:pt idx="204">
                        <c:v>205</c:v>
                      </c:pt>
                      <c:pt idx="205">
                        <c:v>206</c:v>
                      </c:pt>
                      <c:pt idx="206">
                        <c:v>207</c:v>
                      </c:pt>
                      <c:pt idx="207">
                        <c:v>208</c:v>
                      </c:pt>
                      <c:pt idx="208">
                        <c:v>209</c:v>
                      </c:pt>
                      <c:pt idx="209">
                        <c:v>210</c:v>
                      </c:pt>
                      <c:pt idx="210">
                        <c:v>211</c:v>
                      </c:pt>
                      <c:pt idx="211">
                        <c:v>212</c:v>
                      </c:pt>
                      <c:pt idx="212">
                        <c:v>213</c:v>
                      </c:pt>
                      <c:pt idx="213">
                        <c:v>214</c:v>
                      </c:pt>
                      <c:pt idx="214">
                        <c:v>215</c:v>
                      </c:pt>
                      <c:pt idx="215">
                        <c:v>216</c:v>
                      </c:pt>
                      <c:pt idx="216">
                        <c:v>217</c:v>
                      </c:pt>
                      <c:pt idx="217">
                        <c:v>218</c:v>
                      </c:pt>
                      <c:pt idx="218">
                        <c:v>219</c:v>
                      </c:pt>
                      <c:pt idx="219">
                        <c:v>220</c:v>
                      </c:pt>
                      <c:pt idx="220">
                        <c:v>221</c:v>
                      </c:pt>
                      <c:pt idx="221">
                        <c:v>222</c:v>
                      </c:pt>
                      <c:pt idx="222">
                        <c:v>223</c:v>
                      </c:pt>
                      <c:pt idx="223">
                        <c:v>224</c:v>
                      </c:pt>
                      <c:pt idx="224">
                        <c:v>225</c:v>
                      </c:pt>
                      <c:pt idx="225">
                        <c:v>226</c:v>
                      </c:pt>
                      <c:pt idx="226">
                        <c:v>227</c:v>
                      </c:pt>
                      <c:pt idx="227">
                        <c:v>228</c:v>
                      </c:pt>
                      <c:pt idx="228">
                        <c:v>229</c:v>
                      </c:pt>
                      <c:pt idx="229">
                        <c:v>230</c:v>
                      </c:pt>
                      <c:pt idx="230">
                        <c:v>231</c:v>
                      </c:pt>
                      <c:pt idx="231">
                        <c:v>232</c:v>
                      </c:pt>
                      <c:pt idx="232">
                        <c:v>233</c:v>
                      </c:pt>
                      <c:pt idx="233">
                        <c:v>234</c:v>
                      </c:pt>
                      <c:pt idx="234">
                        <c:v>235</c:v>
                      </c:pt>
                      <c:pt idx="235">
                        <c:v>236</c:v>
                      </c:pt>
                      <c:pt idx="236">
                        <c:v>237</c:v>
                      </c:pt>
                      <c:pt idx="237">
                        <c:v>238</c:v>
                      </c:pt>
                      <c:pt idx="238">
                        <c:v>239</c:v>
                      </c:pt>
                      <c:pt idx="239">
                        <c:v>240</c:v>
                      </c:pt>
                      <c:pt idx="240">
                        <c:v>241</c:v>
                      </c:pt>
                      <c:pt idx="241">
                        <c:v>242</c:v>
                      </c:pt>
                      <c:pt idx="242">
                        <c:v>243</c:v>
                      </c:pt>
                      <c:pt idx="243">
                        <c:v>244</c:v>
                      </c:pt>
                      <c:pt idx="244">
                        <c:v>245</c:v>
                      </c:pt>
                      <c:pt idx="245">
                        <c:v>246</c:v>
                      </c:pt>
                      <c:pt idx="246">
                        <c:v>247</c:v>
                      </c:pt>
                      <c:pt idx="247">
                        <c:v>248</c:v>
                      </c:pt>
                      <c:pt idx="248">
                        <c:v>249</c:v>
                      </c:pt>
                      <c:pt idx="249">
                        <c:v>250</c:v>
                      </c:pt>
                      <c:pt idx="250">
                        <c:v>251</c:v>
                      </c:pt>
                      <c:pt idx="251">
                        <c:v>252</c:v>
                      </c:pt>
                      <c:pt idx="252">
                        <c:v>253</c:v>
                      </c:pt>
                      <c:pt idx="253">
                        <c:v>254</c:v>
                      </c:pt>
                      <c:pt idx="254">
                        <c:v>255</c:v>
                      </c:pt>
                      <c:pt idx="255">
                        <c:v>256</c:v>
                      </c:pt>
                      <c:pt idx="256">
                        <c:v>257</c:v>
                      </c:pt>
                      <c:pt idx="257">
                        <c:v>258</c:v>
                      </c:pt>
                      <c:pt idx="258">
                        <c:v>259</c:v>
                      </c:pt>
                      <c:pt idx="259">
                        <c:v>260</c:v>
                      </c:pt>
                      <c:pt idx="260">
                        <c:v>261</c:v>
                      </c:pt>
                      <c:pt idx="261">
                        <c:v>262</c:v>
                      </c:pt>
                      <c:pt idx="262">
                        <c:v>263</c:v>
                      </c:pt>
                      <c:pt idx="263">
                        <c:v>264</c:v>
                      </c:pt>
                      <c:pt idx="264">
                        <c:v>265</c:v>
                      </c:pt>
                      <c:pt idx="265">
                        <c:v>266</c:v>
                      </c:pt>
                      <c:pt idx="266">
                        <c:v>267</c:v>
                      </c:pt>
                      <c:pt idx="267">
                        <c:v>268</c:v>
                      </c:pt>
                      <c:pt idx="268">
                        <c:v>269</c:v>
                      </c:pt>
                      <c:pt idx="269">
                        <c:v>270</c:v>
                      </c:pt>
                      <c:pt idx="270">
                        <c:v>271</c:v>
                      </c:pt>
                      <c:pt idx="271">
                        <c:v>272</c:v>
                      </c:pt>
                      <c:pt idx="272">
                        <c:v>273</c:v>
                      </c:pt>
                      <c:pt idx="273">
                        <c:v>274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'New_removed - bSIR'!$Q$8:$Q$281</c15:sqref>
                        </c15:formulaRef>
                      </c:ext>
                    </c:extLst>
                    <c:numCache>
                      <c:formatCode>General</c:formatCode>
                      <c:ptCount val="274"/>
                      <c:pt idx="0">
                        <c:v>1747.5985291308486</c:v>
                      </c:pt>
                      <c:pt idx="1">
                        <c:v>1749.2088669402883</c:v>
                      </c:pt>
                      <c:pt idx="2">
                        <c:v>1750.8998013956652</c:v>
                      </c:pt>
                      <c:pt idx="3">
                        <c:v>1752.6753164631411</c:v>
                      </c:pt>
                      <c:pt idx="4">
                        <c:v>1754.5395878755148</c:v>
                      </c:pt>
                      <c:pt idx="5">
                        <c:v>1756.4969918251986</c:v>
                      </c:pt>
                      <c:pt idx="6">
                        <c:v>1758.5521139944217</c:v>
                      </c:pt>
                      <c:pt idx="7">
                        <c:v>1760.7097589294594</c:v>
                      </c:pt>
                      <c:pt idx="8">
                        <c:v>1762.9749597650389</c:v>
                      </c:pt>
                      <c:pt idx="9">
                        <c:v>1765.3529883042797</c:v>
                      </c:pt>
                      <c:pt idx="10">
                        <c:v>1767.8493654586075</c:v>
                      </c:pt>
                      <c:pt idx="11">
                        <c:v>1770.4698720509946</c:v>
                      </c:pt>
                      <c:pt idx="12">
                        <c:v>1773.2205599846191</c:v>
                      </c:pt>
                      <c:pt idx="13">
                        <c:v>1776.1077637775857</c:v>
                      </c:pt>
                      <c:pt idx="14">
                        <c:v>1779.1381124626798</c:v>
                      </c:pt>
                      <c:pt idx="15">
                        <c:v>1782.3185418492258</c:v>
                      </c:pt>
                      <c:pt idx="16">
                        <c:v>1785.6563071419437</c:v>
                      </c:pt>
                      <c:pt idx="17">
                        <c:v>1789.1589959092619</c:v>
                      </c:pt>
                      <c:pt idx="18">
                        <c:v>1792.8345413907518</c:v>
                      </c:pt>
                      <c:pt idx="19">
                        <c:v>1796.6912361302498</c:v>
                      </c:pt>
                      <c:pt idx="20">
                        <c:v>1800.7377459177239</c:v>
                      </c:pt>
                      <c:pt idx="21">
                        <c:v>1804.9831240190422</c:v>
                      </c:pt>
                      <c:pt idx="22">
                        <c:v>1809.4368256684224</c:v>
                      </c:pt>
                      <c:pt idx="23">
                        <c:v>1814.1087227935061</c:v>
                      </c:pt>
                      <c:pt idx="24">
                        <c:v>1819.0091189375896</c:v>
                      </c:pt>
                      <c:pt idx="25">
                        <c:v>1824.1487643375992</c:v>
                      </c:pt>
                      <c:pt idx="26">
                        <c:v>1829.5388711097817</c:v>
                      </c:pt>
                      <c:pt idx="27">
                        <c:v>1835.1911284878304</c:v>
                      </c:pt>
                      <c:pt idx="28">
                        <c:v>1841.1177180501591</c:v>
                      </c:pt>
                      <c:pt idx="29">
                        <c:v>1847.3313288642573</c:v>
                      </c:pt>
                      <c:pt idx="30">
                        <c:v>1853.8451724664603</c:v>
                      </c:pt>
                      <c:pt idx="31">
                        <c:v>1860.6729975849457</c:v>
                      </c:pt>
                      <c:pt idx="32">
                        <c:v>1867.8291045023243</c:v>
                      </c:pt>
                      <c:pt idx="33">
                        <c:v>1875.3283589417331</c:v>
                      </c:pt>
                      <c:pt idx="34">
                        <c:v>1883.1862053468039</c:v>
                      </c:pt>
                      <c:pt idx="35">
                        <c:v>1891.418679411257</c:v>
                      </c:pt>
                      <c:pt idx="36">
                        <c:v>1900.0424196980407</c:v>
                      </c:pt>
                      <c:pt idx="37">
                        <c:v>1909.074678170919</c:v>
                      </c:pt>
                      <c:pt idx="38">
                        <c:v>1918.533329443118</c:v>
                      </c:pt>
                      <c:pt idx="39">
                        <c:v>1928.4368785280467</c:v>
                      </c:pt>
                      <c:pt idx="40">
                        <c:v>1938.8044668562102</c:v>
                      </c:pt>
                      <c:pt idx="41">
                        <c:v>1949.6558763001804</c:v>
                      </c:pt>
                      <c:pt idx="42">
                        <c:v>1961.0115309259115</c:v>
                      </c:pt>
                      <c:pt idx="43">
                        <c:v>1972.8924961637945</c:v>
                      </c:pt>
                      <c:pt idx="44">
                        <c:v>1985.3204750666703</c:v>
                      </c:pt>
                      <c:pt idx="45">
                        <c:v>1998.3178012946489</c:v>
                      </c:pt>
                      <c:pt idx="46">
                        <c:v>2011.9074284380849</c:v>
                      </c:pt>
                      <c:pt idx="47">
                        <c:v>2026.1129152605922</c:v>
                      </c:pt>
                      <c:pt idx="48">
                        <c:v>2040.9584064137084</c:v>
                      </c:pt>
                      <c:pt idx="49">
                        <c:v>2056.4686081439522</c:v>
                      </c:pt>
                      <c:pt idx="50">
                        <c:v>2072.6687584818478</c:v>
                      </c:pt>
                      <c:pt idx="51">
                        <c:v>2089.5845913713392</c:v>
                      </c:pt>
                      <c:pt idx="52">
                        <c:v>2107.2422941672867</c:v>
                      </c:pt>
                      <c:pt idx="53">
                        <c:v>2125.668457898932</c:v>
                      </c:pt>
                      <c:pt idx="54">
                        <c:v>2144.890019668856</c:v>
                      </c:pt>
                      <c:pt idx="55">
                        <c:v>2164.9341965307367</c:v>
                      </c:pt>
                      <c:pt idx="56">
                        <c:v>2185.8284101658655</c:v>
                      </c:pt>
                      <c:pt idx="57">
                        <c:v>2207.6002016587945</c:v>
                      </c:pt>
                      <c:pt idx="58">
                        <c:v>2230.2771356576159</c:v>
                      </c:pt>
                      <c:pt idx="59">
                        <c:v>2253.8866931953394</c:v>
                      </c:pt>
                      <c:pt idx="60">
                        <c:v>2278.4561524468736</c:v>
                      </c:pt>
                      <c:pt idx="61">
                        <c:v>2304.0124567025632</c:v>
                      </c:pt>
                      <c:pt idx="62">
                        <c:v>2330.5820688556032</c:v>
                      </c:pt>
                      <c:pt idx="63">
                        <c:v>2358.1908117285639</c:v>
                      </c:pt>
                      <c:pt idx="64">
                        <c:v>2386.8636936054286</c:v>
                      </c:pt>
                      <c:pt idx="65">
                        <c:v>2416.6247183918549</c:v>
                      </c:pt>
                      <c:pt idx="66">
                        <c:v>2447.4966798997521</c:v>
                      </c:pt>
                      <c:pt idx="67">
                        <c:v>2479.5009398447055</c:v>
                      </c:pt>
                      <c:pt idx="68">
                        <c:v>2512.6571892584061</c:v>
                      </c:pt>
                      <c:pt idx="69">
                        <c:v>2546.9831931549706</c:v>
                      </c:pt>
                      <c:pt idx="70">
                        <c:v>2582.494518452052</c:v>
                      </c:pt>
                      <c:pt idx="71">
                        <c:v>2619.2042453366275</c:v>
                      </c:pt>
                      <c:pt idx="72">
                        <c:v>2657.1226624831784</c:v>
                      </c:pt>
                      <c:pt idx="73">
                        <c:v>2696.2569467799772</c:v>
                      </c:pt>
                      <c:pt idx="74">
                        <c:v>2736.6108284984839</c:v>
                      </c:pt>
                      <c:pt idx="75">
                        <c:v>2778.1842431520358</c:v>
                      </c:pt>
                      <c:pt idx="76">
                        <c:v>2820.9729716330853</c:v>
                      </c:pt>
                      <c:pt idx="77">
                        <c:v>2864.9682705924979</c:v>
                      </c:pt>
                      <c:pt idx="78">
                        <c:v>2910.1564954283213</c:v>
                      </c:pt>
                      <c:pt idx="79">
                        <c:v>2956.5187186824032</c:v>
                      </c:pt>
                      <c:pt idx="80">
                        <c:v>3004.030347097626</c:v>
                      </c:pt>
                      <c:pt idx="81">
                        <c:v>3052.6607410612755</c:v>
                      </c:pt>
                      <c:pt idx="82">
                        <c:v>3102.3728406449563</c:v>
                      </c:pt>
                      <c:pt idx="83">
                        <c:v>3153.1228029405356</c:v>
                      </c:pt>
                      <c:pt idx="84">
                        <c:v>3204.859655875423</c:v>
                      </c:pt>
                      <c:pt idx="85">
                        <c:v>3257.5249741580665</c:v>
                      </c:pt>
                      <c:pt idx="86">
                        <c:v>3311.0525834431555</c:v>
                      </c:pt>
                      <c:pt idx="87">
                        <c:v>3365.3682992014333</c:v>
                      </c:pt>
                      <c:pt idx="88">
                        <c:v>3420.3897071157016</c:v>
                      </c:pt>
                      <c:pt idx="89">
                        <c:v>3476.0259920856661</c:v>
                      </c:pt>
                      <c:pt idx="90">
                        <c:v>3532.1778230921091</c:v>
                      </c:pt>
                      <c:pt idx="91">
                        <c:v>3588.737301227246</c:v>
                      </c:pt>
                      <c:pt idx="92">
                        <c:v>3645.5879781251142</c:v>
                      </c:pt>
                      <c:pt idx="93">
                        <c:v>3702.6049518056179</c:v>
                      </c:pt>
                      <c:pt idx="94">
                        <c:v>3759.6550465627242</c:v>
                      </c:pt>
                      <c:pt idx="95">
                        <c:v>3816.5970829667212</c:v>
                      </c:pt>
                      <c:pt idx="96">
                        <c:v>3873.2822433017309</c:v>
                      </c:pt>
                      <c:pt idx="97">
                        <c:v>3929.5545368151479</c:v>
                      </c:pt>
                      <c:pt idx="98">
                        <c:v>3985.2513680129532</c:v>
                      </c:pt>
                      <c:pt idx="99">
                        <c:v>4040.2042098965649</c:v>
                      </c:pt>
                      <c:pt idx="100">
                        <c:v>4094.2393825122681</c:v>
                      </c:pt>
                      <c:pt idx="101">
                        <c:v>4147.178935489068</c:v>
                      </c:pt>
                      <c:pt idx="102">
                        <c:v>4198.8416313982525</c:v>
                      </c:pt>
                      <c:pt idx="103">
                        <c:v>4249.0440248084942</c:v>
                      </c:pt>
                      <c:pt idx="104">
                        <c:v>4297.6016298717714</c:v>
                      </c:pt>
                      <c:pt idx="105">
                        <c:v>4344.3301672023672</c:v>
                      </c:pt>
                      <c:pt idx="106">
                        <c:v>4389.0468787542368</c:v>
                      </c:pt>
                      <c:pt idx="107">
                        <c:v>4431.5718974165748</c:v>
                      </c:pt>
                      <c:pt idx="108">
                        <c:v>4471.7296561922058</c:v>
                      </c:pt>
                      <c:pt idx="109">
                        <c:v>4509.3503201584945</c:v>
                      </c:pt>
                      <c:pt idx="110">
                        <c:v>4544.2712229953122</c:v>
                      </c:pt>
                      <c:pt idx="111">
                        <c:v>4576.3382887556227</c:v>
                      </c:pt>
                      <c:pt idx="112">
                        <c:v>4605.4074188024524</c:v>
                      </c:pt>
                      <c:pt idx="113">
                        <c:v>4631.3458234844666</c:v>
                      </c:pt>
                      <c:pt idx="114">
                        <c:v>4654.0332782042897</c:v>
                      </c:pt>
                      <c:pt idx="115">
                        <c:v>4673.3632840700157</c:v>
                      </c:pt>
                      <c:pt idx="116">
                        <c:v>4689.2441143185442</c:v>
                      </c:pt>
                      <c:pt idx="117">
                        <c:v>4701.5997291521526</c:v>
                      </c:pt>
                      <c:pt idx="118">
                        <c:v>4710.3705435146449</c:v>
                      </c:pt>
                      <c:pt idx="119">
                        <c:v>4715.5140346131238</c:v>
                      </c:pt>
                      <c:pt idx="120">
                        <c:v>4717.0051786145368</c:v>
                      </c:pt>
                      <c:pt idx="121">
                        <c:v>4714.8367088483983</c:v>
                      </c:pt>
                      <c:pt idx="122">
                        <c:v>4709.0191909544646</c:v>
                      </c:pt>
                      <c:pt idx="123">
                        <c:v>4699.5809136440093</c:v>
                      </c:pt>
                      <c:pt idx="124">
                        <c:v>4686.5675970094226</c:v>
                      </c:pt>
                      <c:pt idx="125">
                        <c:v>4670.0419235305035</c:v>
                      </c:pt>
                      <c:pt idx="126">
                        <c:v>4650.0829000011736</c:v>
                      </c:pt>
                      <c:pt idx="127">
                        <c:v>4626.7850614563067</c:v>
                      </c:pt>
                      <c:pt idx="128">
                        <c:v>4600.2575307423112</c:v>
                      </c:pt>
                      <c:pt idx="129">
                        <c:v>4570.6229495852222</c:v>
                      </c:pt>
                      <c:pt idx="130">
                        <c:v>4538.0162988173688</c:v>
                      </c:pt>
                      <c:pt idx="131">
                        <c:v>4502.5836267934992</c:v>
                      </c:pt>
                      <c:pt idx="132">
                        <c:v>4464.48070594003</c:v>
                      </c:pt>
                      <c:pt idx="133">
                        <c:v>4423.8716378322988</c:v>
                      </c:pt>
                      <c:pt idx="134">
                        <c:v>4380.9274271943295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3-BFBC-45C6-9DBF-1275DCBF9818}"/>
                  </c:ext>
                </c:extLst>
              </c15:ser>
            </c15:filteredScatterSeries>
            <c15:filteredScatterSeries>
              <c15:ser>
                <c:idx val="2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'New_removed - bSIR'!$R$7</c15:sqref>
                        </c15:formulaRef>
                      </c:ext>
                    </c:extLst>
                    <c:strCache>
                      <c:ptCount val="1"/>
                      <c:pt idx="0">
                        <c:v>Lower CI</c:v>
                      </c:pt>
                    </c:strCache>
                  </c:strRef>
                </c:tx>
                <c:spPr>
                  <a:ln w="19050" cap="rnd">
                    <a:solidFill>
                      <a:srgbClr val="00B050"/>
                    </a:solidFill>
                    <a:prstDash val="sysDash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'New_removed - bSIR'!$C$8:$C$281</c15:sqref>
                        </c15:formulaRef>
                      </c:ext>
                    </c:extLst>
                    <c:numCache>
                      <c:formatCode>General</c:formatCode>
                      <c:ptCount val="274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  <c:pt idx="190">
                        <c:v>191</c:v>
                      </c:pt>
                      <c:pt idx="191">
                        <c:v>192</c:v>
                      </c:pt>
                      <c:pt idx="192">
                        <c:v>193</c:v>
                      </c:pt>
                      <c:pt idx="193">
                        <c:v>194</c:v>
                      </c:pt>
                      <c:pt idx="194">
                        <c:v>195</c:v>
                      </c:pt>
                      <c:pt idx="195">
                        <c:v>196</c:v>
                      </c:pt>
                      <c:pt idx="196">
                        <c:v>197</c:v>
                      </c:pt>
                      <c:pt idx="197">
                        <c:v>198</c:v>
                      </c:pt>
                      <c:pt idx="198">
                        <c:v>199</c:v>
                      </c:pt>
                      <c:pt idx="199">
                        <c:v>200</c:v>
                      </c:pt>
                      <c:pt idx="200">
                        <c:v>201</c:v>
                      </c:pt>
                      <c:pt idx="201">
                        <c:v>202</c:v>
                      </c:pt>
                      <c:pt idx="202">
                        <c:v>203</c:v>
                      </c:pt>
                      <c:pt idx="203">
                        <c:v>204</c:v>
                      </c:pt>
                      <c:pt idx="204">
                        <c:v>205</c:v>
                      </c:pt>
                      <c:pt idx="205">
                        <c:v>206</c:v>
                      </c:pt>
                      <c:pt idx="206">
                        <c:v>207</c:v>
                      </c:pt>
                      <c:pt idx="207">
                        <c:v>208</c:v>
                      </c:pt>
                      <c:pt idx="208">
                        <c:v>209</c:v>
                      </c:pt>
                      <c:pt idx="209">
                        <c:v>210</c:v>
                      </c:pt>
                      <c:pt idx="210">
                        <c:v>211</c:v>
                      </c:pt>
                      <c:pt idx="211">
                        <c:v>212</c:v>
                      </c:pt>
                      <c:pt idx="212">
                        <c:v>213</c:v>
                      </c:pt>
                      <c:pt idx="213">
                        <c:v>214</c:v>
                      </c:pt>
                      <c:pt idx="214">
                        <c:v>215</c:v>
                      </c:pt>
                      <c:pt idx="215">
                        <c:v>216</c:v>
                      </c:pt>
                      <c:pt idx="216">
                        <c:v>217</c:v>
                      </c:pt>
                      <c:pt idx="217">
                        <c:v>218</c:v>
                      </c:pt>
                      <c:pt idx="218">
                        <c:v>219</c:v>
                      </c:pt>
                      <c:pt idx="219">
                        <c:v>220</c:v>
                      </c:pt>
                      <c:pt idx="220">
                        <c:v>221</c:v>
                      </c:pt>
                      <c:pt idx="221">
                        <c:v>222</c:v>
                      </c:pt>
                      <c:pt idx="222">
                        <c:v>223</c:v>
                      </c:pt>
                      <c:pt idx="223">
                        <c:v>224</c:v>
                      </c:pt>
                      <c:pt idx="224">
                        <c:v>225</c:v>
                      </c:pt>
                      <c:pt idx="225">
                        <c:v>226</c:v>
                      </c:pt>
                      <c:pt idx="226">
                        <c:v>227</c:v>
                      </c:pt>
                      <c:pt idx="227">
                        <c:v>228</c:v>
                      </c:pt>
                      <c:pt idx="228">
                        <c:v>229</c:v>
                      </c:pt>
                      <c:pt idx="229">
                        <c:v>230</c:v>
                      </c:pt>
                      <c:pt idx="230">
                        <c:v>231</c:v>
                      </c:pt>
                      <c:pt idx="231">
                        <c:v>232</c:v>
                      </c:pt>
                      <c:pt idx="232">
                        <c:v>233</c:v>
                      </c:pt>
                      <c:pt idx="233">
                        <c:v>234</c:v>
                      </c:pt>
                      <c:pt idx="234">
                        <c:v>235</c:v>
                      </c:pt>
                      <c:pt idx="235">
                        <c:v>236</c:v>
                      </c:pt>
                      <c:pt idx="236">
                        <c:v>237</c:v>
                      </c:pt>
                      <c:pt idx="237">
                        <c:v>238</c:v>
                      </c:pt>
                      <c:pt idx="238">
                        <c:v>239</c:v>
                      </c:pt>
                      <c:pt idx="239">
                        <c:v>240</c:v>
                      </c:pt>
                      <c:pt idx="240">
                        <c:v>241</c:v>
                      </c:pt>
                      <c:pt idx="241">
                        <c:v>242</c:v>
                      </c:pt>
                      <c:pt idx="242">
                        <c:v>243</c:v>
                      </c:pt>
                      <c:pt idx="243">
                        <c:v>244</c:v>
                      </c:pt>
                      <c:pt idx="244">
                        <c:v>245</c:v>
                      </c:pt>
                      <c:pt idx="245">
                        <c:v>246</c:v>
                      </c:pt>
                      <c:pt idx="246">
                        <c:v>247</c:v>
                      </c:pt>
                      <c:pt idx="247">
                        <c:v>248</c:v>
                      </c:pt>
                      <c:pt idx="248">
                        <c:v>249</c:v>
                      </c:pt>
                      <c:pt idx="249">
                        <c:v>250</c:v>
                      </c:pt>
                      <c:pt idx="250">
                        <c:v>251</c:v>
                      </c:pt>
                      <c:pt idx="251">
                        <c:v>252</c:v>
                      </c:pt>
                      <c:pt idx="252">
                        <c:v>253</c:v>
                      </c:pt>
                      <c:pt idx="253">
                        <c:v>254</c:v>
                      </c:pt>
                      <c:pt idx="254">
                        <c:v>255</c:v>
                      </c:pt>
                      <c:pt idx="255">
                        <c:v>256</c:v>
                      </c:pt>
                      <c:pt idx="256">
                        <c:v>257</c:v>
                      </c:pt>
                      <c:pt idx="257">
                        <c:v>258</c:v>
                      </c:pt>
                      <c:pt idx="258">
                        <c:v>259</c:v>
                      </c:pt>
                      <c:pt idx="259">
                        <c:v>260</c:v>
                      </c:pt>
                      <c:pt idx="260">
                        <c:v>261</c:v>
                      </c:pt>
                      <c:pt idx="261">
                        <c:v>262</c:v>
                      </c:pt>
                      <c:pt idx="262">
                        <c:v>263</c:v>
                      </c:pt>
                      <c:pt idx="263">
                        <c:v>264</c:v>
                      </c:pt>
                      <c:pt idx="264">
                        <c:v>265</c:v>
                      </c:pt>
                      <c:pt idx="265">
                        <c:v>266</c:v>
                      </c:pt>
                      <c:pt idx="266">
                        <c:v>267</c:v>
                      </c:pt>
                      <c:pt idx="267">
                        <c:v>268</c:v>
                      </c:pt>
                      <c:pt idx="268">
                        <c:v>269</c:v>
                      </c:pt>
                      <c:pt idx="269">
                        <c:v>270</c:v>
                      </c:pt>
                      <c:pt idx="270">
                        <c:v>271</c:v>
                      </c:pt>
                      <c:pt idx="271">
                        <c:v>272</c:v>
                      </c:pt>
                      <c:pt idx="272">
                        <c:v>273</c:v>
                      </c:pt>
                      <c:pt idx="273">
                        <c:v>274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'New_removed - bSIR'!$R$8:$R$281</c15:sqref>
                        </c15:formulaRef>
                      </c:ext>
                    </c:extLst>
                    <c:numCache>
                      <c:formatCode>General</c:formatCode>
                      <c:ptCount val="2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44.796273416563736</c:v>
                      </c:pt>
                      <c:pt idx="90">
                        <c:v>100.9481044230065</c:v>
                      </c:pt>
                      <c:pt idx="91">
                        <c:v>157.50758255814344</c:v>
                      </c:pt>
                      <c:pt idx="92">
                        <c:v>214.35825945601141</c:v>
                      </c:pt>
                      <c:pt idx="93">
                        <c:v>271.37523313651559</c:v>
                      </c:pt>
                      <c:pt idx="94">
                        <c:v>328.4253278936219</c:v>
                      </c:pt>
                      <c:pt idx="95">
                        <c:v>385.36736429761845</c:v>
                      </c:pt>
                      <c:pt idx="96">
                        <c:v>442.05252463262809</c:v>
                      </c:pt>
                      <c:pt idx="97">
                        <c:v>498.32481814604512</c:v>
                      </c:pt>
                      <c:pt idx="98">
                        <c:v>554.02164934385087</c:v>
                      </c:pt>
                      <c:pt idx="99">
                        <c:v>608.97449122746252</c:v>
                      </c:pt>
                      <c:pt idx="100">
                        <c:v>663.0096638431653</c:v>
                      </c:pt>
                      <c:pt idx="101">
                        <c:v>715.94921681996516</c:v>
                      </c:pt>
                      <c:pt idx="102">
                        <c:v>767.61191272915016</c:v>
                      </c:pt>
                      <c:pt idx="103">
                        <c:v>817.81430613939142</c:v>
                      </c:pt>
                      <c:pt idx="104">
                        <c:v>866.37191120266857</c:v>
                      </c:pt>
                      <c:pt idx="105">
                        <c:v>913.10044853326485</c:v>
                      </c:pt>
                      <c:pt idx="106">
                        <c:v>957.81716008513445</c:v>
                      </c:pt>
                      <c:pt idx="107">
                        <c:v>1000.3421787474724</c:v>
                      </c:pt>
                      <c:pt idx="108">
                        <c:v>1040.499937523103</c:v>
                      </c:pt>
                      <c:pt idx="109">
                        <c:v>1078.1206014893921</c:v>
                      </c:pt>
                      <c:pt idx="110">
                        <c:v>1113.0415043262099</c:v>
                      </c:pt>
                      <c:pt idx="111">
                        <c:v>1145.1085700865203</c:v>
                      </c:pt>
                      <c:pt idx="112">
                        <c:v>1174.1777001333501</c:v>
                      </c:pt>
                      <c:pt idx="113">
                        <c:v>1200.1161048153642</c:v>
                      </c:pt>
                      <c:pt idx="114">
                        <c:v>1222.8035595351869</c:v>
                      </c:pt>
                      <c:pt idx="115">
                        <c:v>1242.1335654009129</c:v>
                      </c:pt>
                      <c:pt idx="116">
                        <c:v>1258.0143956494414</c:v>
                      </c:pt>
                      <c:pt idx="117">
                        <c:v>1270.3700104830502</c:v>
                      </c:pt>
                      <c:pt idx="118">
                        <c:v>1279.1408248455425</c:v>
                      </c:pt>
                      <c:pt idx="119">
                        <c:v>1284.2843159440215</c:v>
                      </c:pt>
                      <c:pt idx="120">
                        <c:v>1285.775459945434</c:v>
                      </c:pt>
                      <c:pt idx="121">
                        <c:v>1283.606990179296</c:v>
                      </c:pt>
                      <c:pt idx="122">
                        <c:v>1277.7894722853623</c:v>
                      </c:pt>
                      <c:pt idx="123">
                        <c:v>1268.3511949749065</c:v>
                      </c:pt>
                      <c:pt idx="124">
                        <c:v>1255.3378783403202</c:v>
                      </c:pt>
                      <c:pt idx="125">
                        <c:v>1238.8122048614007</c:v>
                      </c:pt>
                      <c:pt idx="126">
                        <c:v>1218.8531813320708</c:v>
                      </c:pt>
                      <c:pt idx="127">
                        <c:v>1195.5553427872039</c:v>
                      </c:pt>
                      <c:pt idx="128">
                        <c:v>1169.0278120732089</c:v>
                      </c:pt>
                      <c:pt idx="129">
                        <c:v>1139.3932309161194</c:v>
                      </c:pt>
                      <c:pt idx="130">
                        <c:v>1106.7865801482665</c:v>
                      </c:pt>
                      <c:pt idx="131">
                        <c:v>1071.3539081243964</c:v>
                      </c:pt>
                      <c:pt idx="132">
                        <c:v>1033.2509872709272</c:v>
                      </c:pt>
                      <c:pt idx="133">
                        <c:v>992.64191916319601</c:v>
                      </c:pt>
                      <c:pt idx="134">
                        <c:v>949.6977085252272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BFBC-45C6-9DBF-1275DCBF9818}"/>
                  </c:ext>
                </c:extLst>
              </c15:ser>
            </c15:filteredScatterSeries>
          </c:ext>
        </c:extLst>
      </c:scatterChart>
      <c:valAx>
        <c:axId val="9694877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Days from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69487440"/>
        <c:crosses val="autoZero"/>
        <c:crossBetween val="midCat"/>
      </c:valAx>
      <c:valAx>
        <c:axId val="969487440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removal rate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694877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2761760963245405"/>
          <c:y val="0.14215259860632665"/>
          <c:w val="0.32687529757652334"/>
          <c:h val="0.20050463530569693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>
                <a:solidFill>
                  <a:srgbClr val="00B050"/>
                </a:solidFill>
              </a:rPr>
              <a:t>rest of Italy outside selected region - removal rate (# of people removed/day) - basic SIR - log-linear plot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'New_removed - bSIR'!$AH$7</c:f>
              <c:strCache>
                <c:ptCount val="1"/>
                <c:pt idx="0">
                  <c:v>rest of Italy data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noFill/>
              </a:ln>
              <a:effectLst/>
            </c:spPr>
          </c:marker>
          <c:xVal>
            <c:numRef>
              <c:f>'New_removed - bSIR'!$C$62:$C$281</c:f>
              <c:numCache>
                <c:formatCode>General</c:formatCode>
                <c:ptCount val="220"/>
                <c:pt idx="0">
                  <c:v>55</c:v>
                </c:pt>
                <c:pt idx="1">
                  <c:v>56</c:v>
                </c:pt>
                <c:pt idx="2">
                  <c:v>57</c:v>
                </c:pt>
                <c:pt idx="3">
                  <c:v>58</c:v>
                </c:pt>
                <c:pt idx="4">
                  <c:v>59</c:v>
                </c:pt>
                <c:pt idx="5">
                  <c:v>60</c:v>
                </c:pt>
                <c:pt idx="6">
                  <c:v>61</c:v>
                </c:pt>
                <c:pt idx="7">
                  <c:v>62</c:v>
                </c:pt>
                <c:pt idx="8">
                  <c:v>63</c:v>
                </c:pt>
                <c:pt idx="9">
                  <c:v>64</c:v>
                </c:pt>
                <c:pt idx="10">
                  <c:v>65</c:v>
                </c:pt>
                <c:pt idx="11">
                  <c:v>66</c:v>
                </c:pt>
                <c:pt idx="12">
                  <c:v>67</c:v>
                </c:pt>
                <c:pt idx="13">
                  <c:v>68</c:v>
                </c:pt>
                <c:pt idx="14">
                  <c:v>69</c:v>
                </c:pt>
                <c:pt idx="15">
                  <c:v>70</c:v>
                </c:pt>
                <c:pt idx="16">
                  <c:v>71</c:v>
                </c:pt>
                <c:pt idx="17">
                  <c:v>72</c:v>
                </c:pt>
                <c:pt idx="18">
                  <c:v>73</c:v>
                </c:pt>
                <c:pt idx="19">
                  <c:v>74</c:v>
                </c:pt>
                <c:pt idx="20">
                  <c:v>75</c:v>
                </c:pt>
                <c:pt idx="21">
                  <c:v>76</c:v>
                </c:pt>
                <c:pt idx="22">
                  <c:v>77</c:v>
                </c:pt>
                <c:pt idx="23">
                  <c:v>78</c:v>
                </c:pt>
                <c:pt idx="24">
                  <c:v>79</c:v>
                </c:pt>
                <c:pt idx="25">
                  <c:v>80</c:v>
                </c:pt>
                <c:pt idx="26">
                  <c:v>81</c:v>
                </c:pt>
                <c:pt idx="27">
                  <c:v>82</c:v>
                </c:pt>
                <c:pt idx="28">
                  <c:v>83</c:v>
                </c:pt>
                <c:pt idx="29">
                  <c:v>84</c:v>
                </c:pt>
                <c:pt idx="30">
                  <c:v>85</c:v>
                </c:pt>
                <c:pt idx="31">
                  <c:v>86</c:v>
                </c:pt>
                <c:pt idx="32">
                  <c:v>87</c:v>
                </c:pt>
                <c:pt idx="33">
                  <c:v>88</c:v>
                </c:pt>
                <c:pt idx="34">
                  <c:v>89</c:v>
                </c:pt>
                <c:pt idx="35">
                  <c:v>90</c:v>
                </c:pt>
                <c:pt idx="36">
                  <c:v>91</c:v>
                </c:pt>
                <c:pt idx="37">
                  <c:v>92</c:v>
                </c:pt>
                <c:pt idx="38">
                  <c:v>93</c:v>
                </c:pt>
                <c:pt idx="39">
                  <c:v>94</c:v>
                </c:pt>
                <c:pt idx="40">
                  <c:v>95</c:v>
                </c:pt>
                <c:pt idx="41">
                  <c:v>96</c:v>
                </c:pt>
                <c:pt idx="42">
                  <c:v>97</c:v>
                </c:pt>
                <c:pt idx="43">
                  <c:v>98</c:v>
                </c:pt>
                <c:pt idx="44">
                  <c:v>99</c:v>
                </c:pt>
                <c:pt idx="45">
                  <c:v>100</c:v>
                </c:pt>
                <c:pt idx="46">
                  <c:v>101</c:v>
                </c:pt>
                <c:pt idx="47">
                  <c:v>102</c:v>
                </c:pt>
                <c:pt idx="48">
                  <c:v>103</c:v>
                </c:pt>
                <c:pt idx="49">
                  <c:v>104</c:v>
                </c:pt>
                <c:pt idx="50">
                  <c:v>105</c:v>
                </c:pt>
                <c:pt idx="51">
                  <c:v>106</c:v>
                </c:pt>
                <c:pt idx="52">
                  <c:v>107</c:v>
                </c:pt>
                <c:pt idx="53">
                  <c:v>108</c:v>
                </c:pt>
                <c:pt idx="54">
                  <c:v>109</c:v>
                </c:pt>
                <c:pt idx="55">
                  <c:v>110</c:v>
                </c:pt>
                <c:pt idx="56">
                  <c:v>111</c:v>
                </c:pt>
                <c:pt idx="57">
                  <c:v>112</c:v>
                </c:pt>
                <c:pt idx="58">
                  <c:v>113</c:v>
                </c:pt>
                <c:pt idx="59">
                  <c:v>114</c:v>
                </c:pt>
                <c:pt idx="60">
                  <c:v>115</c:v>
                </c:pt>
                <c:pt idx="61">
                  <c:v>116</c:v>
                </c:pt>
                <c:pt idx="62">
                  <c:v>117</c:v>
                </c:pt>
                <c:pt idx="63">
                  <c:v>118</c:v>
                </c:pt>
                <c:pt idx="64">
                  <c:v>119</c:v>
                </c:pt>
                <c:pt idx="65">
                  <c:v>120</c:v>
                </c:pt>
                <c:pt idx="66">
                  <c:v>121</c:v>
                </c:pt>
                <c:pt idx="67">
                  <c:v>122</c:v>
                </c:pt>
                <c:pt idx="68">
                  <c:v>123</c:v>
                </c:pt>
                <c:pt idx="69">
                  <c:v>124</c:v>
                </c:pt>
                <c:pt idx="70">
                  <c:v>125</c:v>
                </c:pt>
                <c:pt idx="71">
                  <c:v>126</c:v>
                </c:pt>
                <c:pt idx="72">
                  <c:v>127</c:v>
                </c:pt>
                <c:pt idx="73">
                  <c:v>128</c:v>
                </c:pt>
                <c:pt idx="74">
                  <c:v>129</c:v>
                </c:pt>
                <c:pt idx="75">
                  <c:v>130</c:v>
                </c:pt>
                <c:pt idx="76">
                  <c:v>131</c:v>
                </c:pt>
                <c:pt idx="77">
                  <c:v>132</c:v>
                </c:pt>
                <c:pt idx="78">
                  <c:v>133</c:v>
                </c:pt>
                <c:pt idx="79">
                  <c:v>134</c:v>
                </c:pt>
                <c:pt idx="80">
                  <c:v>135</c:v>
                </c:pt>
                <c:pt idx="81">
                  <c:v>136</c:v>
                </c:pt>
                <c:pt idx="82">
                  <c:v>137</c:v>
                </c:pt>
                <c:pt idx="83">
                  <c:v>138</c:v>
                </c:pt>
                <c:pt idx="84">
                  <c:v>139</c:v>
                </c:pt>
                <c:pt idx="85">
                  <c:v>140</c:v>
                </c:pt>
                <c:pt idx="86">
                  <c:v>141</c:v>
                </c:pt>
                <c:pt idx="87">
                  <c:v>142</c:v>
                </c:pt>
                <c:pt idx="88">
                  <c:v>143</c:v>
                </c:pt>
                <c:pt idx="89">
                  <c:v>144</c:v>
                </c:pt>
                <c:pt idx="90">
                  <c:v>145</c:v>
                </c:pt>
                <c:pt idx="91">
                  <c:v>146</c:v>
                </c:pt>
                <c:pt idx="92">
                  <c:v>147</c:v>
                </c:pt>
                <c:pt idx="93">
                  <c:v>148</c:v>
                </c:pt>
                <c:pt idx="94">
                  <c:v>149</c:v>
                </c:pt>
                <c:pt idx="95">
                  <c:v>150</c:v>
                </c:pt>
                <c:pt idx="96">
                  <c:v>151</c:v>
                </c:pt>
                <c:pt idx="97">
                  <c:v>152</c:v>
                </c:pt>
                <c:pt idx="98">
                  <c:v>153</c:v>
                </c:pt>
                <c:pt idx="99">
                  <c:v>154</c:v>
                </c:pt>
                <c:pt idx="100">
                  <c:v>155</c:v>
                </c:pt>
                <c:pt idx="101">
                  <c:v>156</c:v>
                </c:pt>
                <c:pt idx="102">
                  <c:v>157</c:v>
                </c:pt>
                <c:pt idx="103">
                  <c:v>158</c:v>
                </c:pt>
                <c:pt idx="104">
                  <c:v>159</c:v>
                </c:pt>
                <c:pt idx="105">
                  <c:v>160</c:v>
                </c:pt>
                <c:pt idx="106">
                  <c:v>161</c:v>
                </c:pt>
                <c:pt idx="107">
                  <c:v>162</c:v>
                </c:pt>
                <c:pt idx="108">
                  <c:v>163</c:v>
                </c:pt>
                <c:pt idx="109">
                  <c:v>164</c:v>
                </c:pt>
                <c:pt idx="110">
                  <c:v>165</c:v>
                </c:pt>
                <c:pt idx="111">
                  <c:v>166</c:v>
                </c:pt>
                <c:pt idx="112">
                  <c:v>167</c:v>
                </c:pt>
                <c:pt idx="113">
                  <c:v>168</c:v>
                </c:pt>
                <c:pt idx="114">
                  <c:v>169</c:v>
                </c:pt>
                <c:pt idx="115">
                  <c:v>170</c:v>
                </c:pt>
                <c:pt idx="116">
                  <c:v>171</c:v>
                </c:pt>
                <c:pt idx="117">
                  <c:v>172</c:v>
                </c:pt>
                <c:pt idx="118">
                  <c:v>173</c:v>
                </c:pt>
                <c:pt idx="119">
                  <c:v>174</c:v>
                </c:pt>
                <c:pt idx="120">
                  <c:v>175</c:v>
                </c:pt>
                <c:pt idx="121">
                  <c:v>176</c:v>
                </c:pt>
                <c:pt idx="122">
                  <c:v>177</c:v>
                </c:pt>
                <c:pt idx="123">
                  <c:v>178</c:v>
                </c:pt>
                <c:pt idx="124">
                  <c:v>179</c:v>
                </c:pt>
                <c:pt idx="125">
                  <c:v>180</c:v>
                </c:pt>
                <c:pt idx="126">
                  <c:v>181</c:v>
                </c:pt>
                <c:pt idx="127">
                  <c:v>182</c:v>
                </c:pt>
                <c:pt idx="128">
                  <c:v>183</c:v>
                </c:pt>
                <c:pt idx="129">
                  <c:v>184</c:v>
                </c:pt>
                <c:pt idx="130">
                  <c:v>185</c:v>
                </c:pt>
                <c:pt idx="131">
                  <c:v>186</c:v>
                </c:pt>
                <c:pt idx="132">
                  <c:v>187</c:v>
                </c:pt>
                <c:pt idx="133">
                  <c:v>188</c:v>
                </c:pt>
                <c:pt idx="134">
                  <c:v>189</c:v>
                </c:pt>
                <c:pt idx="135">
                  <c:v>190</c:v>
                </c:pt>
                <c:pt idx="136">
                  <c:v>191</c:v>
                </c:pt>
                <c:pt idx="137">
                  <c:v>192</c:v>
                </c:pt>
                <c:pt idx="138">
                  <c:v>193</c:v>
                </c:pt>
                <c:pt idx="139">
                  <c:v>194</c:v>
                </c:pt>
                <c:pt idx="140">
                  <c:v>195</c:v>
                </c:pt>
                <c:pt idx="141">
                  <c:v>196</c:v>
                </c:pt>
                <c:pt idx="142">
                  <c:v>197</c:v>
                </c:pt>
                <c:pt idx="143">
                  <c:v>198</c:v>
                </c:pt>
                <c:pt idx="144">
                  <c:v>199</c:v>
                </c:pt>
                <c:pt idx="145">
                  <c:v>200</c:v>
                </c:pt>
                <c:pt idx="146">
                  <c:v>201</c:v>
                </c:pt>
                <c:pt idx="147">
                  <c:v>202</c:v>
                </c:pt>
                <c:pt idx="148">
                  <c:v>203</c:v>
                </c:pt>
                <c:pt idx="149">
                  <c:v>204</c:v>
                </c:pt>
                <c:pt idx="150">
                  <c:v>205</c:v>
                </c:pt>
                <c:pt idx="151">
                  <c:v>206</c:v>
                </c:pt>
                <c:pt idx="152">
                  <c:v>207</c:v>
                </c:pt>
                <c:pt idx="153">
                  <c:v>208</c:v>
                </c:pt>
                <c:pt idx="154">
                  <c:v>209</c:v>
                </c:pt>
                <c:pt idx="155">
                  <c:v>210</c:v>
                </c:pt>
                <c:pt idx="156">
                  <c:v>211</c:v>
                </c:pt>
                <c:pt idx="157">
                  <c:v>212</c:v>
                </c:pt>
                <c:pt idx="158">
                  <c:v>213</c:v>
                </c:pt>
                <c:pt idx="159">
                  <c:v>214</c:v>
                </c:pt>
                <c:pt idx="160">
                  <c:v>215</c:v>
                </c:pt>
                <c:pt idx="161">
                  <c:v>216</c:v>
                </c:pt>
                <c:pt idx="162">
                  <c:v>217</c:v>
                </c:pt>
                <c:pt idx="163">
                  <c:v>218</c:v>
                </c:pt>
                <c:pt idx="164">
                  <c:v>219</c:v>
                </c:pt>
                <c:pt idx="165">
                  <c:v>220</c:v>
                </c:pt>
                <c:pt idx="166">
                  <c:v>221</c:v>
                </c:pt>
                <c:pt idx="167">
                  <c:v>222</c:v>
                </c:pt>
                <c:pt idx="168">
                  <c:v>223</c:v>
                </c:pt>
                <c:pt idx="169">
                  <c:v>224</c:v>
                </c:pt>
                <c:pt idx="170">
                  <c:v>225</c:v>
                </c:pt>
                <c:pt idx="171">
                  <c:v>226</c:v>
                </c:pt>
                <c:pt idx="172">
                  <c:v>227</c:v>
                </c:pt>
                <c:pt idx="173">
                  <c:v>228</c:v>
                </c:pt>
                <c:pt idx="174">
                  <c:v>229</c:v>
                </c:pt>
                <c:pt idx="175">
                  <c:v>230</c:v>
                </c:pt>
                <c:pt idx="176">
                  <c:v>231</c:v>
                </c:pt>
                <c:pt idx="177">
                  <c:v>232</c:v>
                </c:pt>
                <c:pt idx="178">
                  <c:v>233</c:v>
                </c:pt>
                <c:pt idx="179">
                  <c:v>234</c:v>
                </c:pt>
                <c:pt idx="180">
                  <c:v>235</c:v>
                </c:pt>
                <c:pt idx="181">
                  <c:v>236</c:v>
                </c:pt>
                <c:pt idx="182">
                  <c:v>237</c:v>
                </c:pt>
                <c:pt idx="183">
                  <c:v>238</c:v>
                </c:pt>
                <c:pt idx="184">
                  <c:v>239</c:v>
                </c:pt>
                <c:pt idx="185">
                  <c:v>240</c:v>
                </c:pt>
                <c:pt idx="186">
                  <c:v>241</c:v>
                </c:pt>
                <c:pt idx="187">
                  <c:v>242</c:v>
                </c:pt>
                <c:pt idx="188">
                  <c:v>243</c:v>
                </c:pt>
                <c:pt idx="189">
                  <c:v>244</c:v>
                </c:pt>
                <c:pt idx="190">
                  <c:v>245</c:v>
                </c:pt>
                <c:pt idx="191">
                  <c:v>246</c:v>
                </c:pt>
                <c:pt idx="192">
                  <c:v>247</c:v>
                </c:pt>
                <c:pt idx="193">
                  <c:v>248</c:v>
                </c:pt>
                <c:pt idx="194">
                  <c:v>249</c:v>
                </c:pt>
                <c:pt idx="195">
                  <c:v>250</c:v>
                </c:pt>
                <c:pt idx="196">
                  <c:v>251</c:v>
                </c:pt>
                <c:pt idx="197">
                  <c:v>252</c:v>
                </c:pt>
                <c:pt idx="198">
                  <c:v>253</c:v>
                </c:pt>
                <c:pt idx="199">
                  <c:v>254</c:v>
                </c:pt>
                <c:pt idx="200">
                  <c:v>255</c:v>
                </c:pt>
                <c:pt idx="201">
                  <c:v>256</c:v>
                </c:pt>
                <c:pt idx="202">
                  <c:v>257</c:v>
                </c:pt>
                <c:pt idx="203">
                  <c:v>258</c:v>
                </c:pt>
                <c:pt idx="204">
                  <c:v>259</c:v>
                </c:pt>
                <c:pt idx="205">
                  <c:v>260</c:v>
                </c:pt>
                <c:pt idx="206">
                  <c:v>261</c:v>
                </c:pt>
                <c:pt idx="207">
                  <c:v>262</c:v>
                </c:pt>
                <c:pt idx="208">
                  <c:v>263</c:v>
                </c:pt>
                <c:pt idx="209">
                  <c:v>264</c:v>
                </c:pt>
                <c:pt idx="210">
                  <c:v>265</c:v>
                </c:pt>
                <c:pt idx="211">
                  <c:v>266</c:v>
                </c:pt>
                <c:pt idx="212">
                  <c:v>267</c:v>
                </c:pt>
                <c:pt idx="213">
                  <c:v>268</c:v>
                </c:pt>
                <c:pt idx="214">
                  <c:v>269</c:v>
                </c:pt>
                <c:pt idx="215">
                  <c:v>270</c:v>
                </c:pt>
                <c:pt idx="216">
                  <c:v>271</c:v>
                </c:pt>
                <c:pt idx="217">
                  <c:v>272</c:v>
                </c:pt>
                <c:pt idx="218">
                  <c:v>273</c:v>
                </c:pt>
                <c:pt idx="219">
                  <c:v>274</c:v>
                </c:pt>
              </c:numCache>
            </c:numRef>
          </c:xVal>
          <c:yVal>
            <c:numRef>
              <c:f>'New_removed - bSIR'!$AH$62:$AH$281</c:f>
              <c:numCache>
                <c:formatCode>0</c:formatCode>
                <c:ptCount val="220"/>
                <c:pt idx="1">
                  <c:v>3</c:v>
                </c:pt>
                <c:pt idx="2">
                  <c:v>4</c:v>
                </c:pt>
                <c:pt idx="3">
                  <c:v>47</c:v>
                </c:pt>
                <c:pt idx="4">
                  <c:v>5</c:v>
                </c:pt>
                <c:pt idx="5">
                  <c:v>8</c:v>
                </c:pt>
                <c:pt idx="6">
                  <c:v>38</c:v>
                </c:pt>
                <c:pt idx="7">
                  <c:v>84</c:v>
                </c:pt>
                <c:pt idx="8">
                  <c:v>37</c:v>
                </c:pt>
                <c:pt idx="9">
                  <c:v>144</c:v>
                </c:pt>
                <c:pt idx="10">
                  <c:v>177</c:v>
                </c:pt>
                <c:pt idx="11">
                  <c:v>157</c:v>
                </c:pt>
                <c:pt idx="12">
                  <c:v>101</c:v>
                </c:pt>
                <c:pt idx="13">
                  <c:v>164</c:v>
                </c:pt>
                <c:pt idx="14">
                  <c:v>198</c:v>
                </c:pt>
                <c:pt idx="15">
                  <c:v>447</c:v>
                </c:pt>
                <c:pt idx="16">
                  <c:v>237</c:v>
                </c:pt>
                <c:pt idx="17">
                  <c:v>384</c:v>
                </c:pt>
                <c:pt idx="18">
                  <c:v>421</c:v>
                </c:pt>
                <c:pt idx="19">
                  <c:v>664</c:v>
                </c:pt>
                <c:pt idx="20">
                  <c:v>750</c:v>
                </c:pt>
                <c:pt idx="21">
                  <c:v>737</c:v>
                </c:pt>
                <c:pt idx="22">
                  <c:v>512</c:v>
                </c:pt>
                <c:pt idx="23">
                  <c:v>1533</c:v>
                </c:pt>
                <c:pt idx="24">
                  <c:v>809</c:v>
                </c:pt>
                <c:pt idx="25">
                  <c:v>1272</c:v>
                </c:pt>
                <c:pt idx="26">
                  <c:v>1679</c:v>
                </c:pt>
                <c:pt idx="27">
                  <c:v>1566</c:v>
                </c:pt>
                <c:pt idx="28">
                  <c:v>952</c:v>
                </c:pt>
                <c:pt idx="29">
                  <c:v>1584</c:v>
                </c:pt>
                <c:pt idx="30">
                  <c:v>1664</c:v>
                </c:pt>
                <c:pt idx="31">
                  <c:v>1600</c:v>
                </c:pt>
                <c:pt idx="32">
                  <c:v>1462</c:v>
                </c:pt>
                <c:pt idx="33">
                  <c:v>2223</c:v>
                </c:pt>
                <c:pt idx="34">
                  <c:v>1341</c:v>
                </c:pt>
                <c:pt idx="35">
                  <c:v>2365</c:v>
                </c:pt>
                <c:pt idx="36">
                  <c:v>1872</c:v>
                </c:pt>
                <c:pt idx="37">
                  <c:v>1738</c:v>
                </c:pt>
                <c:pt idx="38">
                  <c:v>2084</c:v>
                </c:pt>
                <c:pt idx="39">
                  <c:v>2149</c:v>
                </c:pt>
                <c:pt idx="40">
                  <c:v>1829</c:v>
                </c:pt>
                <c:pt idx="41">
                  <c:v>1297</c:v>
                </c:pt>
                <c:pt idx="42">
                  <c:v>1582</c:v>
                </c:pt>
                <c:pt idx="43">
                  <c:v>2046</c:v>
                </c:pt>
                <c:pt idx="44">
                  <c:v>2525</c:v>
                </c:pt>
                <c:pt idx="45">
                  <c:v>2483</c:v>
                </c:pt>
                <c:pt idx="46">
                  <c:v>2432</c:v>
                </c:pt>
                <c:pt idx="47">
                  <c:v>2545</c:v>
                </c:pt>
                <c:pt idx="48">
                  <c:v>1990</c:v>
                </c:pt>
                <c:pt idx="49">
                  <c:v>1720</c:v>
                </c:pt>
                <c:pt idx="50">
                  <c:v>2186</c:v>
                </c:pt>
                <c:pt idx="51">
                  <c:v>1410</c:v>
                </c:pt>
                <c:pt idx="52">
                  <c:v>2467</c:v>
                </c:pt>
                <c:pt idx="53">
                  <c:v>3011</c:v>
                </c:pt>
                <c:pt idx="54">
                  <c:v>2522</c:v>
                </c:pt>
                <c:pt idx="55">
                  <c:v>2412</c:v>
                </c:pt>
                <c:pt idx="56">
                  <c:v>2141</c:v>
                </c:pt>
                <c:pt idx="57">
                  <c:v>3129</c:v>
                </c:pt>
                <c:pt idx="58">
                  <c:v>3239</c:v>
                </c:pt>
                <c:pt idx="59">
                  <c:v>3356</c:v>
                </c:pt>
                <c:pt idx="60">
                  <c:v>3189</c:v>
                </c:pt>
                <c:pt idx="61">
                  <c:v>2905</c:v>
                </c:pt>
                <c:pt idx="62">
                  <c:v>1928</c:v>
                </c:pt>
                <c:pt idx="63">
                  <c:v>1975</c:v>
                </c:pt>
                <c:pt idx="64">
                  <c:v>2560</c:v>
                </c:pt>
                <c:pt idx="65">
                  <c:v>2522</c:v>
                </c:pt>
                <c:pt idx="66">
                  <c:v>4849</c:v>
                </c:pt>
                <c:pt idx="67">
                  <c:v>2407</c:v>
                </c:pt>
                <c:pt idx="68">
                  <c:v>2033</c:v>
                </c:pt>
                <c:pt idx="69">
                  <c:v>1820</c:v>
                </c:pt>
                <c:pt idx="70">
                  <c:v>1324</c:v>
                </c:pt>
                <c:pt idx="71">
                  <c:v>2444</c:v>
                </c:pt>
                <c:pt idx="72">
                  <c:v>8186</c:v>
                </c:pt>
                <c:pt idx="73">
                  <c:v>3153</c:v>
                </c:pt>
                <c:pt idx="74">
                  <c:v>2840</c:v>
                </c:pt>
                <c:pt idx="75">
                  <c:v>3993</c:v>
                </c:pt>
                <c:pt idx="76">
                  <c:v>2188</c:v>
                </c:pt>
                <c:pt idx="77">
                  <c:v>1480</c:v>
                </c:pt>
                <c:pt idx="78">
                  <c:v>2528</c:v>
                </c:pt>
                <c:pt idx="79">
                  <c:v>3569</c:v>
                </c:pt>
                <c:pt idx="80">
                  <c:v>2886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E5D-4DF7-941B-58ED2F3476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9487760"/>
        <c:axId val="969487440"/>
      </c:scatterChart>
      <c:scatterChart>
        <c:scatterStyle val="smoothMarker"/>
        <c:varyColors val="0"/>
        <c:ser>
          <c:idx val="1"/>
          <c:order val="1"/>
          <c:tx>
            <c:strRef>
              <c:f>'New_removed - bSIR'!$AL$7</c:f>
              <c:strCache>
                <c:ptCount val="1"/>
                <c:pt idx="0">
                  <c:v>rest of Italy fit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'New_removed - bSIR'!$C$62:$C$281</c:f>
              <c:numCache>
                <c:formatCode>General</c:formatCode>
                <c:ptCount val="220"/>
                <c:pt idx="0">
                  <c:v>55</c:v>
                </c:pt>
                <c:pt idx="1">
                  <c:v>56</c:v>
                </c:pt>
                <c:pt idx="2">
                  <c:v>57</c:v>
                </c:pt>
                <c:pt idx="3">
                  <c:v>58</c:v>
                </c:pt>
                <c:pt idx="4">
                  <c:v>59</c:v>
                </c:pt>
                <c:pt idx="5">
                  <c:v>60</c:v>
                </c:pt>
                <c:pt idx="6">
                  <c:v>61</c:v>
                </c:pt>
                <c:pt idx="7">
                  <c:v>62</c:v>
                </c:pt>
                <c:pt idx="8">
                  <c:v>63</c:v>
                </c:pt>
                <c:pt idx="9">
                  <c:v>64</c:v>
                </c:pt>
                <c:pt idx="10">
                  <c:v>65</c:v>
                </c:pt>
                <c:pt idx="11">
                  <c:v>66</c:v>
                </c:pt>
                <c:pt idx="12">
                  <c:v>67</c:v>
                </c:pt>
                <c:pt idx="13">
                  <c:v>68</c:v>
                </c:pt>
                <c:pt idx="14">
                  <c:v>69</c:v>
                </c:pt>
                <c:pt idx="15">
                  <c:v>70</c:v>
                </c:pt>
                <c:pt idx="16">
                  <c:v>71</c:v>
                </c:pt>
                <c:pt idx="17">
                  <c:v>72</c:v>
                </c:pt>
                <c:pt idx="18">
                  <c:v>73</c:v>
                </c:pt>
                <c:pt idx="19">
                  <c:v>74</c:v>
                </c:pt>
                <c:pt idx="20">
                  <c:v>75</c:v>
                </c:pt>
                <c:pt idx="21">
                  <c:v>76</c:v>
                </c:pt>
                <c:pt idx="22">
                  <c:v>77</c:v>
                </c:pt>
                <c:pt idx="23">
                  <c:v>78</c:v>
                </c:pt>
                <c:pt idx="24">
                  <c:v>79</c:v>
                </c:pt>
                <c:pt idx="25">
                  <c:v>80</c:v>
                </c:pt>
                <c:pt idx="26">
                  <c:v>81</c:v>
                </c:pt>
                <c:pt idx="27">
                  <c:v>82</c:v>
                </c:pt>
                <c:pt idx="28">
                  <c:v>83</c:v>
                </c:pt>
                <c:pt idx="29">
                  <c:v>84</c:v>
                </c:pt>
                <c:pt idx="30">
                  <c:v>85</c:v>
                </c:pt>
                <c:pt idx="31">
                  <c:v>86</c:v>
                </c:pt>
                <c:pt idx="32">
                  <c:v>87</c:v>
                </c:pt>
                <c:pt idx="33">
                  <c:v>88</c:v>
                </c:pt>
                <c:pt idx="34">
                  <c:v>89</c:v>
                </c:pt>
                <c:pt idx="35">
                  <c:v>90</c:v>
                </c:pt>
                <c:pt idx="36">
                  <c:v>91</c:v>
                </c:pt>
                <c:pt idx="37">
                  <c:v>92</c:v>
                </c:pt>
                <c:pt idx="38">
                  <c:v>93</c:v>
                </c:pt>
                <c:pt idx="39">
                  <c:v>94</c:v>
                </c:pt>
                <c:pt idx="40">
                  <c:v>95</c:v>
                </c:pt>
                <c:pt idx="41">
                  <c:v>96</c:v>
                </c:pt>
                <c:pt idx="42">
                  <c:v>97</c:v>
                </c:pt>
                <c:pt idx="43">
                  <c:v>98</c:v>
                </c:pt>
                <c:pt idx="44">
                  <c:v>99</c:v>
                </c:pt>
                <c:pt idx="45">
                  <c:v>100</c:v>
                </c:pt>
                <c:pt idx="46">
                  <c:v>101</c:v>
                </c:pt>
                <c:pt idx="47">
                  <c:v>102</c:v>
                </c:pt>
                <c:pt idx="48">
                  <c:v>103</c:v>
                </c:pt>
                <c:pt idx="49">
                  <c:v>104</c:v>
                </c:pt>
                <c:pt idx="50">
                  <c:v>105</c:v>
                </c:pt>
                <c:pt idx="51">
                  <c:v>106</c:v>
                </c:pt>
                <c:pt idx="52">
                  <c:v>107</c:v>
                </c:pt>
                <c:pt idx="53">
                  <c:v>108</c:v>
                </c:pt>
                <c:pt idx="54">
                  <c:v>109</c:v>
                </c:pt>
                <c:pt idx="55">
                  <c:v>110</c:v>
                </c:pt>
                <c:pt idx="56">
                  <c:v>111</c:v>
                </c:pt>
                <c:pt idx="57">
                  <c:v>112</c:v>
                </c:pt>
                <c:pt idx="58">
                  <c:v>113</c:v>
                </c:pt>
                <c:pt idx="59">
                  <c:v>114</c:v>
                </c:pt>
                <c:pt idx="60">
                  <c:v>115</c:v>
                </c:pt>
                <c:pt idx="61">
                  <c:v>116</c:v>
                </c:pt>
                <c:pt idx="62">
                  <c:v>117</c:v>
                </c:pt>
                <c:pt idx="63">
                  <c:v>118</c:v>
                </c:pt>
                <c:pt idx="64">
                  <c:v>119</c:v>
                </c:pt>
                <c:pt idx="65">
                  <c:v>120</c:v>
                </c:pt>
                <c:pt idx="66">
                  <c:v>121</c:v>
                </c:pt>
                <c:pt idx="67">
                  <c:v>122</c:v>
                </c:pt>
                <c:pt idx="68">
                  <c:v>123</c:v>
                </c:pt>
                <c:pt idx="69">
                  <c:v>124</c:v>
                </c:pt>
                <c:pt idx="70">
                  <c:v>125</c:v>
                </c:pt>
                <c:pt idx="71">
                  <c:v>126</c:v>
                </c:pt>
                <c:pt idx="72">
                  <c:v>127</c:v>
                </c:pt>
                <c:pt idx="73">
                  <c:v>128</c:v>
                </c:pt>
                <c:pt idx="74">
                  <c:v>129</c:v>
                </c:pt>
                <c:pt idx="75">
                  <c:v>130</c:v>
                </c:pt>
                <c:pt idx="76">
                  <c:v>131</c:v>
                </c:pt>
                <c:pt idx="77">
                  <c:v>132</c:v>
                </c:pt>
                <c:pt idx="78">
                  <c:v>133</c:v>
                </c:pt>
                <c:pt idx="79">
                  <c:v>134</c:v>
                </c:pt>
                <c:pt idx="80">
                  <c:v>135</c:v>
                </c:pt>
                <c:pt idx="81">
                  <c:v>136</c:v>
                </c:pt>
                <c:pt idx="82">
                  <c:v>137</c:v>
                </c:pt>
                <c:pt idx="83">
                  <c:v>138</c:v>
                </c:pt>
                <c:pt idx="84">
                  <c:v>139</c:v>
                </c:pt>
                <c:pt idx="85">
                  <c:v>140</c:v>
                </c:pt>
                <c:pt idx="86">
                  <c:v>141</c:v>
                </c:pt>
                <c:pt idx="87">
                  <c:v>142</c:v>
                </c:pt>
                <c:pt idx="88">
                  <c:v>143</c:v>
                </c:pt>
                <c:pt idx="89">
                  <c:v>144</c:v>
                </c:pt>
                <c:pt idx="90">
                  <c:v>145</c:v>
                </c:pt>
                <c:pt idx="91">
                  <c:v>146</c:v>
                </c:pt>
                <c:pt idx="92">
                  <c:v>147</c:v>
                </c:pt>
                <c:pt idx="93">
                  <c:v>148</c:v>
                </c:pt>
                <c:pt idx="94">
                  <c:v>149</c:v>
                </c:pt>
                <c:pt idx="95">
                  <c:v>150</c:v>
                </c:pt>
                <c:pt idx="96">
                  <c:v>151</c:v>
                </c:pt>
                <c:pt idx="97">
                  <c:v>152</c:v>
                </c:pt>
                <c:pt idx="98">
                  <c:v>153</c:v>
                </c:pt>
                <c:pt idx="99">
                  <c:v>154</c:v>
                </c:pt>
                <c:pt idx="100">
                  <c:v>155</c:v>
                </c:pt>
                <c:pt idx="101">
                  <c:v>156</c:v>
                </c:pt>
                <c:pt idx="102">
                  <c:v>157</c:v>
                </c:pt>
                <c:pt idx="103">
                  <c:v>158</c:v>
                </c:pt>
                <c:pt idx="104">
                  <c:v>159</c:v>
                </c:pt>
                <c:pt idx="105">
                  <c:v>160</c:v>
                </c:pt>
                <c:pt idx="106">
                  <c:v>161</c:v>
                </c:pt>
                <c:pt idx="107">
                  <c:v>162</c:v>
                </c:pt>
                <c:pt idx="108">
                  <c:v>163</c:v>
                </c:pt>
                <c:pt idx="109">
                  <c:v>164</c:v>
                </c:pt>
                <c:pt idx="110">
                  <c:v>165</c:v>
                </c:pt>
                <c:pt idx="111">
                  <c:v>166</c:v>
                </c:pt>
                <c:pt idx="112">
                  <c:v>167</c:v>
                </c:pt>
                <c:pt idx="113">
                  <c:v>168</c:v>
                </c:pt>
                <c:pt idx="114">
                  <c:v>169</c:v>
                </c:pt>
                <c:pt idx="115">
                  <c:v>170</c:v>
                </c:pt>
                <c:pt idx="116">
                  <c:v>171</c:v>
                </c:pt>
                <c:pt idx="117">
                  <c:v>172</c:v>
                </c:pt>
                <c:pt idx="118">
                  <c:v>173</c:v>
                </c:pt>
                <c:pt idx="119">
                  <c:v>174</c:v>
                </c:pt>
                <c:pt idx="120">
                  <c:v>175</c:v>
                </c:pt>
                <c:pt idx="121">
                  <c:v>176</c:v>
                </c:pt>
                <c:pt idx="122">
                  <c:v>177</c:v>
                </c:pt>
                <c:pt idx="123">
                  <c:v>178</c:v>
                </c:pt>
                <c:pt idx="124">
                  <c:v>179</c:v>
                </c:pt>
                <c:pt idx="125">
                  <c:v>180</c:v>
                </c:pt>
                <c:pt idx="126">
                  <c:v>181</c:v>
                </c:pt>
                <c:pt idx="127">
                  <c:v>182</c:v>
                </c:pt>
                <c:pt idx="128">
                  <c:v>183</c:v>
                </c:pt>
                <c:pt idx="129">
                  <c:v>184</c:v>
                </c:pt>
                <c:pt idx="130">
                  <c:v>185</c:v>
                </c:pt>
                <c:pt idx="131">
                  <c:v>186</c:v>
                </c:pt>
                <c:pt idx="132">
                  <c:v>187</c:v>
                </c:pt>
                <c:pt idx="133">
                  <c:v>188</c:v>
                </c:pt>
                <c:pt idx="134">
                  <c:v>189</c:v>
                </c:pt>
                <c:pt idx="135">
                  <c:v>190</c:v>
                </c:pt>
                <c:pt idx="136">
                  <c:v>191</c:v>
                </c:pt>
                <c:pt idx="137">
                  <c:v>192</c:v>
                </c:pt>
                <c:pt idx="138">
                  <c:v>193</c:v>
                </c:pt>
                <c:pt idx="139">
                  <c:v>194</c:v>
                </c:pt>
                <c:pt idx="140">
                  <c:v>195</c:v>
                </c:pt>
                <c:pt idx="141">
                  <c:v>196</c:v>
                </c:pt>
                <c:pt idx="142">
                  <c:v>197</c:v>
                </c:pt>
                <c:pt idx="143">
                  <c:v>198</c:v>
                </c:pt>
                <c:pt idx="144">
                  <c:v>199</c:v>
                </c:pt>
                <c:pt idx="145">
                  <c:v>200</c:v>
                </c:pt>
                <c:pt idx="146">
                  <c:v>201</c:v>
                </c:pt>
                <c:pt idx="147">
                  <c:v>202</c:v>
                </c:pt>
                <c:pt idx="148">
                  <c:v>203</c:v>
                </c:pt>
                <c:pt idx="149">
                  <c:v>204</c:v>
                </c:pt>
                <c:pt idx="150">
                  <c:v>205</c:v>
                </c:pt>
                <c:pt idx="151">
                  <c:v>206</c:v>
                </c:pt>
                <c:pt idx="152">
                  <c:v>207</c:v>
                </c:pt>
                <c:pt idx="153">
                  <c:v>208</c:v>
                </c:pt>
                <c:pt idx="154">
                  <c:v>209</c:v>
                </c:pt>
                <c:pt idx="155">
                  <c:v>210</c:v>
                </c:pt>
                <c:pt idx="156">
                  <c:v>211</c:v>
                </c:pt>
                <c:pt idx="157">
                  <c:v>212</c:v>
                </c:pt>
                <c:pt idx="158">
                  <c:v>213</c:v>
                </c:pt>
                <c:pt idx="159">
                  <c:v>214</c:v>
                </c:pt>
                <c:pt idx="160">
                  <c:v>215</c:v>
                </c:pt>
                <c:pt idx="161">
                  <c:v>216</c:v>
                </c:pt>
                <c:pt idx="162">
                  <c:v>217</c:v>
                </c:pt>
                <c:pt idx="163">
                  <c:v>218</c:v>
                </c:pt>
                <c:pt idx="164">
                  <c:v>219</c:v>
                </c:pt>
                <c:pt idx="165">
                  <c:v>220</c:v>
                </c:pt>
                <c:pt idx="166">
                  <c:v>221</c:v>
                </c:pt>
                <c:pt idx="167">
                  <c:v>222</c:v>
                </c:pt>
                <c:pt idx="168">
                  <c:v>223</c:v>
                </c:pt>
                <c:pt idx="169">
                  <c:v>224</c:v>
                </c:pt>
                <c:pt idx="170">
                  <c:v>225</c:v>
                </c:pt>
                <c:pt idx="171">
                  <c:v>226</c:v>
                </c:pt>
                <c:pt idx="172">
                  <c:v>227</c:v>
                </c:pt>
                <c:pt idx="173">
                  <c:v>228</c:v>
                </c:pt>
                <c:pt idx="174">
                  <c:v>229</c:v>
                </c:pt>
                <c:pt idx="175">
                  <c:v>230</c:v>
                </c:pt>
                <c:pt idx="176">
                  <c:v>231</c:v>
                </c:pt>
                <c:pt idx="177">
                  <c:v>232</c:v>
                </c:pt>
                <c:pt idx="178">
                  <c:v>233</c:v>
                </c:pt>
                <c:pt idx="179">
                  <c:v>234</c:v>
                </c:pt>
                <c:pt idx="180">
                  <c:v>235</c:v>
                </c:pt>
                <c:pt idx="181">
                  <c:v>236</c:v>
                </c:pt>
                <c:pt idx="182">
                  <c:v>237</c:v>
                </c:pt>
                <c:pt idx="183">
                  <c:v>238</c:v>
                </c:pt>
                <c:pt idx="184">
                  <c:v>239</c:v>
                </c:pt>
                <c:pt idx="185">
                  <c:v>240</c:v>
                </c:pt>
                <c:pt idx="186">
                  <c:v>241</c:v>
                </c:pt>
                <c:pt idx="187">
                  <c:v>242</c:v>
                </c:pt>
                <c:pt idx="188">
                  <c:v>243</c:v>
                </c:pt>
                <c:pt idx="189">
                  <c:v>244</c:v>
                </c:pt>
                <c:pt idx="190">
                  <c:v>245</c:v>
                </c:pt>
                <c:pt idx="191">
                  <c:v>246</c:v>
                </c:pt>
                <c:pt idx="192">
                  <c:v>247</c:v>
                </c:pt>
                <c:pt idx="193">
                  <c:v>248</c:v>
                </c:pt>
                <c:pt idx="194">
                  <c:v>249</c:v>
                </c:pt>
                <c:pt idx="195">
                  <c:v>250</c:v>
                </c:pt>
                <c:pt idx="196">
                  <c:v>251</c:v>
                </c:pt>
                <c:pt idx="197">
                  <c:v>252</c:v>
                </c:pt>
                <c:pt idx="198">
                  <c:v>253</c:v>
                </c:pt>
                <c:pt idx="199">
                  <c:v>254</c:v>
                </c:pt>
                <c:pt idx="200">
                  <c:v>255</c:v>
                </c:pt>
                <c:pt idx="201">
                  <c:v>256</c:v>
                </c:pt>
                <c:pt idx="202">
                  <c:v>257</c:v>
                </c:pt>
                <c:pt idx="203">
                  <c:v>258</c:v>
                </c:pt>
                <c:pt idx="204">
                  <c:v>259</c:v>
                </c:pt>
                <c:pt idx="205">
                  <c:v>260</c:v>
                </c:pt>
                <c:pt idx="206">
                  <c:v>261</c:v>
                </c:pt>
                <c:pt idx="207">
                  <c:v>262</c:v>
                </c:pt>
                <c:pt idx="208">
                  <c:v>263</c:v>
                </c:pt>
                <c:pt idx="209">
                  <c:v>264</c:v>
                </c:pt>
                <c:pt idx="210">
                  <c:v>265</c:v>
                </c:pt>
                <c:pt idx="211">
                  <c:v>266</c:v>
                </c:pt>
                <c:pt idx="212">
                  <c:v>267</c:v>
                </c:pt>
                <c:pt idx="213">
                  <c:v>268</c:v>
                </c:pt>
                <c:pt idx="214">
                  <c:v>269</c:v>
                </c:pt>
                <c:pt idx="215">
                  <c:v>270</c:v>
                </c:pt>
                <c:pt idx="216">
                  <c:v>271</c:v>
                </c:pt>
                <c:pt idx="217">
                  <c:v>272</c:v>
                </c:pt>
                <c:pt idx="218">
                  <c:v>273</c:v>
                </c:pt>
                <c:pt idx="219">
                  <c:v>274</c:v>
                </c:pt>
              </c:numCache>
            </c:numRef>
          </c:xVal>
          <c:yVal>
            <c:numRef>
              <c:f>'New_removed - bSIR'!$AL$62:$AL$281</c:f>
              <c:numCache>
                <c:formatCode>General</c:formatCode>
                <c:ptCount val="220"/>
                <c:pt idx="0">
                  <c:v>416.63005840073617</c:v>
                </c:pt>
                <c:pt idx="1">
                  <c:v>435.90654379101215</c:v>
                </c:pt>
                <c:pt idx="2">
                  <c:v>455.99141134913026</c:v>
                </c:pt>
                <c:pt idx="3">
                  <c:v>476.91036166032649</c:v>
                </c:pt>
                <c:pt idx="4">
                  <c:v>498.68908137569247</c:v>
                </c:pt>
                <c:pt idx="5">
                  <c:v>521.35314072895551</c:v>
                </c:pt>
                <c:pt idx="6">
                  <c:v>544.92787981053641</c:v>
                </c:pt>
                <c:pt idx="7">
                  <c:v>569.43828295224262</c:v>
                </c:pt>
                <c:pt idx="8">
                  <c:v>594.90884059421614</c:v>
                </c:pt>
                <c:pt idx="9">
                  <c:v>621.36339803480007</c:v>
                </c:pt>
                <c:pt idx="10">
                  <c:v>648.82499050547119</c:v>
                </c:pt>
                <c:pt idx="11">
                  <c:v>677.31566406851903</c:v>
                </c:pt>
                <c:pt idx="12">
                  <c:v>706.85628190650073</c:v>
                </c:pt>
                <c:pt idx="13">
                  <c:v>737.46631566147164</c:v>
                </c:pt>
                <c:pt idx="14">
                  <c:v>769.16362159037783</c:v>
                </c:pt>
                <c:pt idx="15">
                  <c:v>801.96420143263879</c:v>
                </c:pt>
                <c:pt idx="16">
                  <c:v>835.88194803854844</c:v>
                </c:pt>
                <c:pt idx="17">
                  <c:v>870.92837598436176</c:v>
                </c:pt>
                <c:pt idx="18">
                  <c:v>907.11233760320704</c:v>
                </c:pt>
                <c:pt idx="19">
                  <c:v>944.43972509149307</c:v>
                </c:pt>
                <c:pt idx="20">
                  <c:v>982.91315960910981</c:v>
                </c:pt>
                <c:pt idx="21">
                  <c:v>1022.5316685788226</c:v>
                </c:pt>
                <c:pt idx="22">
                  <c:v>1063.2903527057497</c:v>
                </c:pt>
                <c:pt idx="23">
                  <c:v>1105.1800445808067</c:v>
                </c:pt>
                <c:pt idx="24">
                  <c:v>1148.186961101017</c:v>
                </c:pt>
                <c:pt idx="25">
                  <c:v>1192.2923523319887</c:v>
                </c:pt>
                <c:pt idx="26">
                  <c:v>1237.4721498503447</c:v>
                </c:pt>
                <c:pt idx="27">
                  <c:v>1283.6966180315158</c:v>
                </c:pt>
                <c:pt idx="28">
                  <c:v>1330.9300121854699</c:v>
                </c:pt>
                <c:pt idx="29">
                  <c:v>1379.1302478821483</c:v>
                </c:pt>
                <c:pt idx="30">
                  <c:v>1428.2485862411072</c:v>
                </c:pt>
                <c:pt idx="31">
                  <c:v>1478.2293403760341</c:v>
                </c:pt>
                <c:pt idx="32">
                  <c:v>1529.0096085728962</c:v>
                </c:pt>
                <c:pt idx="33">
                  <c:v>1580.5190401277139</c:v>
                </c:pt>
                <c:pt idx="34">
                  <c:v>1632.6796400622929</c:v>
                </c:pt>
                <c:pt idx="35">
                  <c:v>1685.4056191586722</c:v>
                </c:pt>
                <c:pt idx="36">
                  <c:v>1738.6032958898488</c:v>
                </c:pt>
                <c:pt idx="37">
                  <c:v>1792.1710568593091</c:v>
                </c:pt>
                <c:pt idx="38">
                  <c:v>1845.9993822792608</c:v>
                </c:pt>
                <c:pt idx="39">
                  <c:v>1899.9709428015701</c:v>
                </c:pt>
                <c:pt idx="40">
                  <c:v>1953.9607736524481</c:v>
                </c:pt>
                <c:pt idx="41">
                  <c:v>2007.8365314995226</c:v>
                </c:pt>
                <c:pt idx="42">
                  <c:v>2061.4588387886483</c:v>
                </c:pt>
                <c:pt idx="43">
                  <c:v>2114.6817194215978</c:v>
                </c:pt>
                <c:pt idx="44">
                  <c:v>2167.3531286026951</c:v>
                </c:pt>
                <c:pt idx="45">
                  <c:v>2219.3155784654437</c:v>
                </c:pt>
                <c:pt idx="46">
                  <c:v>2270.4068597079263</c:v>
                </c:pt>
                <c:pt idx="47">
                  <c:v>2320.4608579325804</c:v>
                </c:pt>
                <c:pt idx="48">
                  <c:v>2369.308461722921</c:v>
                </c:pt>
                <c:pt idx="49">
                  <c:v>2416.778557724303</c:v>
                </c:pt>
                <c:pt idx="50">
                  <c:v>2462.6991061616313</c:v>
                </c:pt>
                <c:pt idx="51">
                  <c:v>2506.8982883638237</c:v>
                </c:pt>
                <c:pt idx="52">
                  <c:v>2549.2057160178306</c:v>
                </c:pt>
                <c:pt idx="53">
                  <c:v>2589.4536900931867</c:v>
                </c:pt>
                <c:pt idx="54">
                  <c:v>2627.4784957135739</c:v>
                </c:pt>
                <c:pt idx="55">
                  <c:v>2663.121717757861</c:v>
                </c:pt>
                <c:pt idx="56">
                  <c:v>2696.2315607021442</c:v>
                </c:pt>
                <c:pt idx="57">
                  <c:v>2726.6641552165006</c:v>
                </c:pt>
                <c:pt idx="58">
                  <c:v>2754.2848333505026</c:v>
                </c:pt>
                <c:pt idx="59">
                  <c:v>2778.9693538184129</c:v>
                </c:pt>
                <c:pt idx="60">
                  <c:v>2800.6050589578949</c:v>
                </c:pt>
                <c:pt idx="61">
                  <c:v>2819.0919454039017</c:v>
                </c:pt>
                <c:pt idx="62">
                  <c:v>2834.3436313991633</c:v>
                </c:pt>
                <c:pt idx="63">
                  <c:v>2846.2882049485584</c:v>
                </c:pt>
                <c:pt idx="64">
                  <c:v>2854.8689386973233</c:v>
                </c:pt>
                <c:pt idx="65">
                  <c:v>2860.0448594402933</c:v>
                </c:pt>
                <c:pt idx="66">
                  <c:v>2861.7911625062025</c:v>
                </c:pt>
                <c:pt idx="67">
                  <c:v>2860.099463851755</c:v>
                </c:pt>
                <c:pt idx="68">
                  <c:v>2854.9778854792903</c:v>
                </c:pt>
                <c:pt idx="69">
                  <c:v>2846.4509726872284</c:v>
                </c:pt>
                <c:pt idx="70">
                  <c:v>2834.5594445975712</c:v>
                </c:pt>
                <c:pt idx="71">
                  <c:v>2819.359782301347</c:v>
                </c:pt>
                <c:pt idx="72">
                  <c:v>2800.9236617444394</c:v>
                </c:pt>
                <c:pt idx="73">
                  <c:v>2779.3372410703887</c:v>
                </c:pt>
                <c:pt idx="74">
                  <c:v>2754.700314478182</c:v>
                </c:pt>
                <c:pt idx="75">
                  <c:v>2727.1253466854846</c:v>
                </c:pt>
                <c:pt idx="76">
                  <c:v>2696.7364037664474</c:v>
                </c:pt>
                <c:pt idx="77">
                  <c:v>2663.6679974253593</c:v>
                </c:pt>
                <c:pt idx="78">
                  <c:v>2628.0638606537232</c:v>
                </c:pt>
                <c:pt idx="79">
                  <c:v>2590.0756731927027</c:v>
                </c:pt>
                <c:pt idx="80">
                  <c:v>2549.8617552920941</c:v>
                </c:pt>
                <c:pt idx="81">
                  <c:v>2507.5857479397855</c:v>
                </c:pt>
                <c:pt idx="82">
                  <c:v>2463.4152970613991</c:v>
                </c:pt>
                <c:pt idx="83">
                  <c:v>2417.5207581966961</c:v>
                </c:pt>
                <c:pt idx="84">
                  <c:v>2370.0739368923601</c:v>
                </c:pt>
                <c:pt idx="85">
                  <c:v>2321.246878559899</c:v>
                </c:pt>
                <c:pt idx="86">
                  <c:v>2271.2107198851827</c:v>
                </c:pt>
                <c:pt idx="87">
                  <c:v>2220.1346120957755</c:v>
                </c:pt>
                <c:pt idx="88">
                  <c:v>2168.1847245458539</c:v>
                </c:pt>
                <c:pt idx="89">
                  <c:v>2115.5233352152854</c:v>
                </c:pt>
                <c:pt idx="90">
                  <c:v>2062.3080128844995</c:v>
                </c:pt>
                <c:pt idx="91">
                  <c:v>2008.69089397989</c:v>
                </c:pt>
                <c:pt idx="92">
                  <c:v>1954.8180554196199</c:v>
                </c:pt>
                <c:pt idx="93">
                  <c:v>1900.828983254296</c:v>
                </c:pt>
                <c:pt idx="94">
                  <c:v>1846.8561355121424</c:v>
                </c:pt>
                <c:pt idx="95">
                  <c:v>1793.0245964386106</c:v>
                </c:pt>
                <c:pt idx="96">
                  <c:v>1739.4518182744894</c:v>
                </c:pt>
                <c:pt idx="97">
                  <c:v>1686.2474458475172</c:v>
                </c:pt>
                <c:pt idx="98">
                  <c:v>1633.5132185585294</c:v>
                </c:pt>
                <c:pt idx="99">
                  <c:v>1581.3429438181131</c:v>
                </c:pt>
                <c:pt idx="100">
                  <c:v>1529.8225356243356</c:v>
                </c:pt>
                <c:pt idx="101">
                  <c:v>1479.0301117540259</c:v>
                </c:pt>
                <c:pt idx="102">
                  <c:v>1429.0361429554005</c:v>
                </c:pt>
                <c:pt idx="103">
                  <c:v>1379.9036475631058</c:v>
                </c:pt>
                <c:pt idx="104">
                  <c:v>1331.6884250920205</c:v>
                </c:pt>
                <c:pt idx="105">
                  <c:v>1284.4393225873632</c:v>
                </c:pt>
                <c:pt idx="106">
                  <c:v>1238.1985278000059</c:v>
                </c:pt>
                <c:pt idx="107">
                  <c:v>1193.0018836023471</c:v>
                </c:pt>
                <c:pt idx="108">
                  <c:v>1148.8792184476879</c:v>
                </c:pt>
                <c:pt idx="109">
                  <c:v>1105.8546880918113</c:v>
                </c:pt>
                <c:pt idx="110">
                  <c:v>1063.9471242280545</c:v>
                </c:pt>
                <c:pt idx="111">
                  <c:v>1023.1703861263269</c:v>
                </c:pt>
                <c:pt idx="112">
                  <c:v>983.53371180375711</c:v>
                </c:pt>
                <c:pt idx="113">
                  <c:v>945.04206568250993</c:v>
                </c:pt>
                <c:pt idx="114">
                  <c:v>907.69648010304866</c:v>
                </c:pt>
                <c:pt idx="115">
                  <c:v>871.49438845389989</c:v>
                </c:pt>
                <c:pt idx="116">
                  <c:v>836.42994804835473</c:v>
                </c:pt>
                <c:pt idx="117">
                  <c:v>802.49435122199816</c:v>
                </c:pt>
                <c:pt idx="118">
                  <c:v>769.67612344085728</c:v>
                </c:pt>
                <c:pt idx="119">
                  <c:v>737.96140749753636</c:v>
                </c:pt>
                <c:pt idx="120">
                  <c:v>707.33423313179389</c:v>
                </c:pt>
                <c:pt idx="121">
                  <c:v>677.77677164294937</c:v>
                </c:pt>
                <c:pt idx="122">
                  <c:v>649.26957526525678</c:v>
                </c:pt>
                <c:pt idx="123">
                  <c:v>621.79180125497817</c:v>
                </c:pt>
                <c:pt idx="124">
                  <c:v>595.32142079089454</c:v>
                </c:pt>
                <c:pt idx="125">
                  <c:v>569.83541291998392</c:v>
                </c:pt>
                <c:pt idx="126">
                  <c:v>545.30994388869215</c:v>
                </c:pt>
                <c:pt idx="127">
                  <c:v>521.72053228950324</c:v>
                </c:pt>
                <c:pt idx="128">
                  <c:v>499.04220052411802</c:v>
                </c:pt>
                <c:pt idx="129">
                  <c:v>477.24961314033152</c:v>
                </c:pt>
                <c:pt idx="130">
                  <c:v>456.31720264138278</c:v>
                </c:pt>
                <c:pt idx="131">
                  <c:v>436.21928339578392</c:v>
                </c:pt>
                <c:pt idx="132">
                  <c:v>416.93015429406626</c:v>
                </c:pt>
                <c:pt idx="133">
                  <c:v>398.4241908078784</c:v>
                </c:pt>
                <c:pt idx="134">
                  <c:v>380.67592710790939</c:v>
                </c:pt>
                <c:pt idx="135">
                  <c:v>363.66012889136488</c:v>
                </c:pt>
                <c:pt idx="136">
                  <c:v>347.35185755833567</c:v>
                </c:pt>
                <c:pt idx="137">
                  <c:v>331.72652636045217</c:v>
                </c:pt>
                <c:pt idx="138">
                  <c:v>316.75994912552488</c:v>
                </c:pt>
                <c:pt idx="139">
                  <c:v>302.42838213933646</c:v>
                </c:pt>
                <c:pt idx="140">
                  <c:v>288.70855974102409</c:v>
                </c:pt>
                <c:pt idx="141">
                  <c:v>275.57772416220649</c:v>
                </c:pt>
                <c:pt idx="142">
                  <c:v>263.01365011271929</c:v>
                </c:pt>
                <c:pt idx="143">
                  <c:v>250.99466458794774</c:v>
                </c:pt>
                <c:pt idx="144">
                  <c:v>239.49966234471987</c:v>
                </c:pt>
                <c:pt idx="145">
                  <c:v>228.50811746480665</c:v>
                </c:pt>
                <c:pt idx="146">
                  <c:v>218.00009139762147</c:v>
                </c:pt>
                <c:pt idx="147">
                  <c:v>207.95623784683303</c:v>
                </c:pt>
                <c:pt idx="148">
                  <c:v>198.35780483957382</c:v>
                </c:pt>
                <c:pt idx="149">
                  <c:v>189.18663429181285</c:v>
                </c:pt>
                <c:pt idx="150">
                  <c:v>180.42515935937823</c:v>
                </c:pt>
                <c:pt idx="151">
                  <c:v>172.05639984116607</c:v>
                </c:pt>
                <c:pt idx="152">
                  <c:v>164.0639558792561</c:v>
                </c:pt>
                <c:pt idx="153">
                  <c:v>156.43200018003049</c:v>
                </c:pt>
                <c:pt idx="154">
                  <c:v>149.14526896097468</c:v>
                </c:pt>
                <c:pt idx="155">
                  <c:v>142.18905180958154</c:v>
                </c:pt>
                <c:pt idx="156">
                  <c:v>135.54918062371934</c:v>
                </c:pt>
                <c:pt idx="157">
                  <c:v>129.21201778688456</c:v>
                </c:pt>
                <c:pt idx="158">
                  <c:v>123.16444371694988</c:v>
                </c:pt>
                <c:pt idx="159">
                  <c:v>117.39384391325746</c:v>
                </c:pt>
                <c:pt idx="160">
                  <c:v>111.88809561418012</c:v>
                </c:pt>
                <c:pt idx="161">
                  <c:v>106.63555416552848</c:v>
                </c:pt>
                <c:pt idx="162">
                  <c:v>101.62503918934982</c:v>
                </c:pt>
                <c:pt idx="163">
                  <c:v>96.845820632720617</c:v>
                </c:pt>
                <c:pt idx="164">
                  <c:v>92.287604767017243</c:v>
                </c:pt>
                <c:pt idx="165">
                  <c:v>87.940520199800261</c:v>
                </c:pt>
                <c:pt idx="166">
                  <c:v>83.795103953832637</c:v>
                </c:pt>
                <c:pt idx="167">
                  <c:v>79.842287660810612</c:v>
                </c:pt>
                <c:pt idx="168">
                  <c:v>76.073383911081265</c:v>
                </c:pt>
                <c:pt idx="169">
                  <c:v>72.480072794895918</c:v>
                </c:pt>
                <c:pt idx="170">
                  <c:v>69.054388665571423</c:v>
                </c:pt>
                <c:pt idx="171">
                  <c:v>65.788707150257792</c:v>
                </c:pt>
                <c:pt idx="172">
                  <c:v>62.675732429795517</c:v>
                </c:pt>
                <c:pt idx="173">
                  <c:v>59.708484805364293</c:v>
                </c:pt>
                <c:pt idx="174">
                  <c:v>56.880288566226476</c:v>
                </c:pt>
                <c:pt idx="175">
                  <c:v>54.1847601698422</c:v>
                </c:pt>
                <c:pt idx="176">
                  <c:v>51.615796742922868</c:v>
                </c:pt>
                <c:pt idx="177">
                  <c:v>49.167564909588229</c:v>
                </c:pt>
                <c:pt idx="178">
                  <c:v>46.834489950665933</c:v>
                </c:pt>
                <c:pt idx="179">
                  <c:v>44.611245296288764</c:v>
                </c:pt>
                <c:pt idx="180">
                  <c:v>42.492742352297867</c:v>
                </c:pt>
                <c:pt idx="181">
                  <c:v>40.474120659509303</c:v>
                </c:pt>
                <c:pt idx="182">
                  <c:v>38.55073838364769</c:v>
                </c:pt>
                <c:pt idx="183">
                  <c:v>36.718163132655775</c:v>
                </c:pt>
                <c:pt idx="184">
                  <c:v>34.97216309715315</c:v>
                </c:pt>
                <c:pt idx="185">
                  <c:v>33.308698509016267</c:v>
                </c:pt>
                <c:pt idx="186">
                  <c:v>31.723913412373847</c:v>
                </c:pt>
                <c:pt idx="187">
                  <c:v>30.214127740745479</c:v>
                </c:pt>
                <c:pt idx="188">
                  <c:v>28.77582969358247</c:v>
                </c:pt>
                <c:pt idx="189">
                  <c:v>27.405668405092129</c:v>
                </c:pt>
                <c:pt idx="190">
                  <c:v>26.100446897924986</c:v>
                </c:pt>
                <c:pt idx="191">
                  <c:v>24.857115314073283</c:v>
                </c:pt>
                <c:pt idx="192">
                  <c:v>23.672764415162696</c:v>
                </c:pt>
                <c:pt idx="193">
                  <c:v>22.544619344203127</c:v>
                </c:pt>
                <c:pt idx="194">
                  <c:v>21.470033640800658</c:v>
                </c:pt>
                <c:pt idx="195">
                  <c:v>20.446483501807975</c:v>
                </c:pt>
                <c:pt idx="196">
                  <c:v>19.471562279406299</c:v>
                </c:pt>
                <c:pt idx="197">
                  <c:v>18.542975208655886</c:v>
                </c:pt>
                <c:pt idx="198">
                  <c:v>17.658534356626355</c:v>
                </c:pt>
                <c:pt idx="199">
                  <c:v>16.816153785316299</c:v>
                </c:pt>
                <c:pt idx="200">
                  <c:v>16.013844920688395</c:v>
                </c:pt>
                <c:pt idx="201">
                  <c:v>15.249712120281236</c:v>
                </c:pt>
                <c:pt idx="202">
                  <c:v>14.521948432009335</c:v>
                </c:pt>
                <c:pt idx="203">
                  <c:v>13.828831536922738</c:v>
                </c:pt>
                <c:pt idx="204">
                  <c:v>13.168719868869273</c:v>
                </c:pt>
                <c:pt idx="205">
                  <c:v>12.540048904180088</c:v>
                </c:pt>
                <c:pt idx="206">
                  <c:v>11.941327614684107</c:v>
                </c:pt>
                <c:pt idx="207">
                  <c:v>11.371135077545174</c:v>
                </c:pt>
                <c:pt idx="208">
                  <c:v>10.828117235606628</c:v>
                </c:pt>
                <c:pt idx="209">
                  <c:v>10.310983802122305</c:v>
                </c:pt>
                <c:pt idx="210">
                  <c:v>9.818505303945777</c:v>
                </c:pt>
                <c:pt idx="211">
                  <c:v>9.3495102574435265</c:v>
                </c:pt>
                <c:pt idx="212">
                  <c:v>8.9028824715905834</c:v>
                </c:pt>
                <c:pt idx="213">
                  <c:v>8.4775584728974192</c:v>
                </c:pt>
                <c:pt idx="214">
                  <c:v>8.0725250470056338</c:v>
                </c:pt>
                <c:pt idx="215">
                  <c:v>7.6868168919753765</c:v>
                </c:pt>
                <c:pt idx="216">
                  <c:v>7.3195143784700676</c:v>
                </c:pt>
                <c:pt idx="217">
                  <c:v>6.969741412222386</c:v>
                </c:pt>
                <c:pt idx="218">
                  <c:v>6.6366633943403901</c:v>
                </c:pt>
                <c:pt idx="219">
                  <c:v>6.3194852751835882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E5D-4DF7-941B-58ED2F3476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9487760"/>
        <c:axId val="969487440"/>
        <c:extLst>
          <c:ext xmlns:c15="http://schemas.microsoft.com/office/drawing/2012/chart" uri="{02D57815-91ED-43cb-92C2-25804820EDAC}">
            <c15:filteredScatter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'New_removed - bSIR'!$AO$7</c15:sqref>
                        </c15:formulaRef>
                      </c:ext>
                    </c:extLst>
                    <c:strCache>
                      <c:ptCount val="1"/>
                      <c:pt idx="0">
                        <c:v>Upper CI__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prstDash val="lgDash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'New_removed - bSIR'!$C$55:$C$281</c15:sqref>
                        </c15:formulaRef>
                      </c:ext>
                    </c:extLst>
                    <c:numCache>
                      <c:formatCode>General</c:formatCode>
                      <c:ptCount val="227"/>
                      <c:pt idx="0">
                        <c:v>48</c:v>
                      </c:pt>
                      <c:pt idx="1">
                        <c:v>49</c:v>
                      </c:pt>
                      <c:pt idx="2">
                        <c:v>50</c:v>
                      </c:pt>
                      <c:pt idx="3">
                        <c:v>51</c:v>
                      </c:pt>
                      <c:pt idx="4">
                        <c:v>52</c:v>
                      </c:pt>
                      <c:pt idx="5">
                        <c:v>53</c:v>
                      </c:pt>
                      <c:pt idx="6">
                        <c:v>54</c:v>
                      </c:pt>
                      <c:pt idx="7">
                        <c:v>55</c:v>
                      </c:pt>
                      <c:pt idx="8">
                        <c:v>56</c:v>
                      </c:pt>
                      <c:pt idx="9">
                        <c:v>57</c:v>
                      </c:pt>
                      <c:pt idx="10">
                        <c:v>58</c:v>
                      </c:pt>
                      <c:pt idx="11">
                        <c:v>59</c:v>
                      </c:pt>
                      <c:pt idx="12">
                        <c:v>60</c:v>
                      </c:pt>
                      <c:pt idx="13">
                        <c:v>61</c:v>
                      </c:pt>
                      <c:pt idx="14">
                        <c:v>62</c:v>
                      </c:pt>
                      <c:pt idx="15">
                        <c:v>63</c:v>
                      </c:pt>
                      <c:pt idx="16">
                        <c:v>64</c:v>
                      </c:pt>
                      <c:pt idx="17">
                        <c:v>65</c:v>
                      </c:pt>
                      <c:pt idx="18">
                        <c:v>66</c:v>
                      </c:pt>
                      <c:pt idx="19">
                        <c:v>67</c:v>
                      </c:pt>
                      <c:pt idx="20">
                        <c:v>68</c:v>
                      </c:pt>
                      <c:pt idx="21">
                        <c:v>69</c:v>
                      </c:pt>
                      <c:pt idx="22">
                        <c:v>70</c:v>
                      </c:pt>
                      <c:pt idx="23">
                        <c:v>71</c:v>
                      </c:pt>
                      <c:pt idx="24">
                        <c:v>72</c:v>
                      </c:pt>
                      <c:pt idx="25">
                        <c:v>73</c:v>
                      </c:pt>
                      <c:pt idx="26">
                        <c:v>74</c:v>
                      </c:pt>
                      <c:pt idx="27">
                        <c:v>75</c:v>
                      </c:pt>
                      <c:pt idx="28">
                        <c:v>76</c:v>
                      </c:pt>
                      <c:pt idx="29">
                        <c:v>77</c:v>
                      </c:pt>
                      <c:pt idx="30">
                        <c:v>78</c:v>
                      </c:pt>
                      <c:pt idx="31">
                        <c:v>79</c:v>
                      </c:pt>
                      <c:pt idx="32">
                        <c:v>80</c:v>
                      </c:pt>
                      <c:pt idx="33">
                        <c:v>81</c:v>
                      </c:pt>
                      <c:pt idx="34">
                        <c:v>82</c:v>
                      </c:pt>
                      <c:pt idx="35">
                        <c:v>83</c:v>
                      </c:pt>
                      <c:pt idx="36">
                        <c:v>84</c:v>
                      </c:pt>
                      <c:pt idx="37">
                        <c:v>85</c:v>
                      </c:pt>
                      <c:pt idx="38">
                        <c:v>86</c:v>
                      </c:pt>
                      <c:pt idx="39">
                        <c:v>87</c:v>
                      </c:pt>
                      <c:pt idx="40">
                        <c:v>88</c:v>
                      </c:pt>
                      <c:pt idx="41">
                        <c:v>89</c:v>
                      </c:pt>
                      <c:pt idx="42">
                        <c:v>90</c:v>
                      </c:pt>
                      <c:pt idx="43">
                        <c:v>91</c:v>
                      </c:pt>
                      <c:pt idx="44">
                        <c:v>92</c:v>
                      </c:pt>
                      <c:pt idx="45">
                        <c:v>93</c:v>
                      </c:pt>
                      <c:pt idx="46">
                        <c:v>94</c:v>
                      </c:pt>
                      <c:pt idx="47">
                        <c:v>95</c:v>
                      </c:pt>
                      <c:pt idx="48">
                        <c:v>96</c:v>
                      </c:pt>
                      <c:pt idx="49">
                        <c:v>97</c:v>
                      </c:pt>
                      <c:pt idx="50">
                        <c:v>98</c:v>
                      </c:pt>
                      <c:pt idx="51">
                        <c:v>99</c:v>
                      </c:pt>
                      <c:pt idx="52">
                        <c:v>100</c:v>
                      </c:pt>
                      <c:pt idx="53">
                        <c:v>101</c:v>
                      </c:pt>
                      <c:pt idx="54">
                        <c:v>102</c:v>
                      </c:pt>
                      <c:pt idx="55">
                        <c:v>103</c:v>
                      </c:pt>
                      <c:pt idx="56">
                        <c:v>104</c:v>
                      </c:pt>
                      <c:pt idx="57">
                        <c:v>105</c:v>
                      </c:pt>
                      <c:pt idx="58">
                        <c:v>106</c:v>
                      </c:pt>
                      <c:pt idx="59">
                        <c:v>107</c:v>
                      </c:pt>
                      <c:pt idx="60">
                        <c:v>108</c:v>
                      </c:pt>
                      <c:pt idx="61">
                        <c:v>109</c:v>
                      </c:pt>
                      <c:pt idx="62">
                        <c:v>110</c:v>
                      </c:pt>
                      <c:pt idx="63">
                        <c:v>111</c:v>
                      </c:pt>
                      <c:pt idx="64">
                        <c:v>112</c:v>
                      </c:pt>
                      <c:pt idx="65">
                        <c:v>113</c:v>
                      </c:pt>
                      <c:pt idx="66">
                        <c:v>114</c:v>
                      </c:pt>
                      <c:pt idx="67">
                        <c:v>115</c:v>
                      </c:pt>
                      <c:pt idx="68">
                        <c:v>116</c:v>
                      </c:pt>
                      <c:pt idx="69">
                        <c:v>117</c:v>
                      </c:pt>
                      <c:pt idx="70">
                        <c:v>118</c:v>
                      </c:pt>
                      <c:pt idx="71">
                        <c:v>119</c:v>
                      </c:pt>
                      <c:pt idx="72">
                        <c:v>120</c:v>
                      </c:pt>
                      <c:pt idx="73">
                        <c:v>121</c:v>
                      </c:pt>
                      <c:pt idx="74">
                        <c:v>122</c:v>
                      </c:pt>
                      <c:pt idx="75">
                        <c:v>123</c:v>
                      </c:pt>
                      <c:pt idx="76">
                        <c:v>124</c:v>
                      </c:pt>
                      <c:pt idx="77">
                        <c:v>125</c:v>
                      </c:pt>
                      <c:pt idx="78">
                        <c:v>126</c:v>
                      </c:pt>
                      <c:pt idx="79">
                        <c:v>127</c:v>
                      </c:pt>
                      <c:pt idx="80">
                        <c:v>128</c:v>
                      </c:pt>
                      <c:pt idx="81">
                        <c:v>129</c:v>
                      </c:pt>
                      <c:pt idx="82">
                        <c:v>130</c:v>
                      </c:pt>
                      <c:pt idx="83">
                        <c:v>131</c:v>
                      </c:pt>
                      <c:pt idx="84">
                        <c:v>132</c:v>
                      </c:pt>
                      <c:pt idx="85">
                        <c:v>133</c:v>
                      </c:pt>
                      <c:pt idx="86">
                        <c:v>134</c:v>
                      </c:pt>
                      <c:pt idx="87">
                        <c:v>135</c:v>
                      </c:pt>
                      <c:pt idx="88">
                        <c:v>136</c:v>
                      </c:pt>
                      <c:pt idx="89">
                        <c:v>137</c:v>
                      </c:pt>
                      <c:pt idx="90">
                        <c:v>138</c:v>
                      </c:pt>
                      <c:pt idx="91">
                        <c:v>139</c:v>
                      </c:pt>
                      <c:pt idx="92">
                        <c:v>140</c:v>
                      </c:pt>
                      <c:pt idx="93">
                        <c:v>141</c:v>
                      </c:pt>
                      <c:pt idx="94">
                        <c:v>142</c:v>
                      </c:pt>
                      <c:pt idx="95">
                        <c:v>143</c:v>
                      </c:pt>
                      <c:pt idx="96">
                        <c:v>144</c:v>
                      </c:pt>
                      <c:pt idx="97">
                        <c:v>145</c:v>
                      </c:pt>
                      <c:pt idx="98">
                        <c:v>146</c:v>
                      </c:pt>
                      <c:pt idx="99">
                        <c:v>147</c:v>
                      </c:pt>
                      <c:pt idx="100">
                        <c:v>148</c:v>
                      </c:pt>
                      <c:pt idx="101">
                        <c:v>149</c:v>
                      </c:pt>
                      <c:pt idx="102">
                        <c:v>150</c:v>
                      </c:pt>
                      <c:pt idx="103">
                        <c:v>151</c:v>
                      </c:pt>
                      <c:pt idx="104">
                        <c:v>152</c:v>
                      </c:pt>
                      <c:pt idx="105">
                        <c:v>153</c:v>
                      </c:pt>
                      <c:pt idx="106">
                        <c:v>154</c:v>
                      </c:pt>
                      <c:pt idx="107">
                        <c:v>155</c:v>
                      </c:pt>
                      <c:pt idx="108">
                        <c:v>156</c:v>
                      </c:pt>
                      <c:pt idx="109">
                        <c:v>157</c:v>
                      </c:pt>
                      <c:pt idx="110">
                        <c:v>158</c:v>
                      </c:pt>
                      <c:pt idx="111">
                        <c:v>159</c:v>
                      </c:pt>
                      <c:pt idx="112">
                        <c:v>160</c:v>
                      </c:pt>
                      <c:pt idx="113">
                        <c:v>161</c:v>
                      </c:pt>
                      <c:pt idx="114">
                        <c:v>162</c:v>
                      </c:pt>
                      <c:pt idx="115">
                        <c:v>163</c:v>
                      </c:pt>
                      <c:pt idx="116">
                        <c:v>164</c:v>
                      </c:pt>
                      <c:pt idx="117">
                        <c:v>165</c:v>
                      </c:pt>
                      <c:pt idx="118">
                        <c:v>166</c:v>
                      </c:pt>
                      <c:pt idx="119">
                        <c:v>167</c:v>
                      </c:pt>
                      <c:pt idx="120">
                        <c:v>168</c:v>
                      </c:pt>
                      <c:pt idx="121">
                        <c:v>169</c:v>
                      </c:pt>
                      <c:pt idx="122">
                        <c:v>170</c:v>
                      </c:pt>
                      <c:pt idx="123">
                        <c:v>171</c:v>
                      </c:pt>
                      <c:pt idx="124">
                        <c:v>172</c:v>
                      </c:pt>
                      <c:pt idx="125">
                        <c:v>173</c:v>
                      </c:pt>
                      <c:pt idx="126">
                        <c:v>174</c:v>
                      </c:pt>
                      <c:pt idx="127">
                        <c:v>175</c:v>
                      </c:pt>
                      <c:pt idx="128">
                        <c:v>176</c:v>
                      </c:pt>
                      <c:pt idx="129">
                        <c:v>177</c:v>
                      </c:pt>
                      <c:pt idx="130">
                        <c:v>178</c:v>
                      </c:pt>
                      <c:pt idx="131">
                        <c:v>179</c:v>
                      </c:pt>
                      <c:pt idx="132">
                        <c:v>180</c:v>
                      </c:pt>
                      <c:pt idx="133">
                        <c:v>181</c:v>
                      </c:pt>
                      <c:pt idx="134">
                        <c:v>182</c:v>
                      </c:pt>
                      <c:pt idx="135">
                        <c:v>183</c:v>
                      </c:pt>
                      <c:pt idx="136">
                        <c:v>184</c:v>
                      </c:pt>
                      <c:pt idx="137">
                        <c:v>185</c:v>
                      </c:pt>
                      <c:pt idx="138">
                        <c:v>186</c:v>
                      </c:pt>
                      <c:pt idx="139">
                        <c:v>187</c:v>
                      </c:pt>
                      <c:pt idx="140">
                        <c:v>188</c:v>
                      </c:pt>
                      <c:pt idx="141">
                        <c:v>189</c:v>
                      </c:pt>
                      <c:pt idx="142">
                        <c:v>190</c:v>
                      </c:pt>
                      <c:pt idx="143">
                        <c:v>191</c:v>
                      </c:pt>
                      <c:pt idx="144">
                        <c:v>192</c:v>
                      </c:pt>
                      <c:pt idx="145">
                        <c:v>193</c:v>
                      </c:pt>
                      <c:pt idx="146">
                        <c:v>194</c:v>
                      </c:pt>
                      <c:pt idx="147">
                        <c:v>195</c:v>
                      </c:pt>
                      <c:pt idx="148">
                        <c:v>196</c:v>
                      </c:pt>
                      <c:pt idx="149">
                        <c:v>197</c:v>
                      </c:pt>
                      <c:pt idx="150">
                        <c:v>198</c:v>
                      </c:pt>
                      <c:pt idx="151">
                        <c:v>199</c:v>
                      </c:pt>
                      <c:pt idx="152">
                        <c:v>200</c:v>
                      </c:pt>
                      <c:pt idx="153">
                        <c:v>201</c:v>
                      </c:pt>
                      <c:pt idx="154">
                        <c:v>202</c:v>
                      </c:pt>
                      <c:pt idx="155">
                        <c:v>203</c:v>
                      </c:pt>
                      <c:pt idx="156">
                        <c:v>204</c:v>
                      </c:pt>
                      <c:pt idx="157">
                        <c:v>205</c:v>
                      </c:pt>
                      <c:pt idx="158">
                        <c:v>206</c:v>
                      </c:pt>
                      <c:pt idx="159">
                        <c:v>207</c:v>
                      </c:pt>
                      <c:pt idx="160">
                        <c:v>208</c:v>
                      </c:pt>
                      <c:pt idx="161">
                        <c:v>209</c:v>
                      </c:pt>
                      <c:pt idx="162">
                        <c:v>210</c:v>
                      </c:pt>
                      <c:pt idx="163">
                        <c:v>211</c:v>
                      </c:pt>
                      <c:pt idx="164">
                        <c:v>212</c:v>
                      </c:pt>
                      <c:pt idx="165">
                        <c:v>213</c:v>
                      </c:pt>
                      <c:pt idx="166">
                        <c:v>214</c:v>
                      </c:pt>
                      <c:pt idx="167">
                        <c:v>215</c:v>
                      </c:pt>
                      <c:pt idx="168">
                        <c:v>216</c:v>
                      </c:pt>
                      <c:pt idx="169">
                        <c:v>217</c:v>
                      </c:pt>
                      <c:pt idx="170">
                        <c:v>218</c:v>
                      </c:pt>
                      <c:pt idx="171">
                        <c:v>219</c:v>
                      </c:pt>
                      <c:pt idx="172">
                        <c:v>220</c:v>
                      </c:pt>
                      <c:pt idx="173">
                        <c:v>221</c:v>
                      </c:pt>
                      <c:pt idx="174">
                        <c:v>222</c:v>
                      </c:pt>
                      <c:pt idx="175">
                        <c:v>223</c:v>
                      </c:pt>
                      <c:pt idx="176">
                        <c:v>224</c:v>
                      </c:pt>
                      <c:pt idx="177">
                        <c:v>225</c:v>
                      </c:pt>
                      <c:pt idx="178">
                        <c:v>226</c:v>
                      </c:pt>
                      <c:pt idx="179">
                        <c:v>227</c:v>
                      </c:pt>
                      <c:pt idx="180">
                        <c:v>228</c:v>
                      </c:pt>
                      <c:pt idx="181">
                        <c:v>229</c:v>
                      </c:pt>
                      <c:pt idx="182">
                        <c:v>230</c:v>
                      </c:pt>
                      <c:pt idx="183">
                        <c:v>231</c:v>
                      </c:pt>
                      <c:pt idx="184">
                        <c:v>232</c:v>
                      </c:pt>
                      <c:pt idx="185">
                        <c:v>233</c:v>
                      </c:pt>
                      <c:pt idx="186">
                        <c:v>234</c:v>
                      </c:pt>
                      <c:pt idx="187">
                        <c:v>235</c:v>
                      </c:pt>
                      <c:pt idx="188">
                        <c:v>236</c:v>
                      </c:pt>
                      <c:pt idx="189">
                        <c:v>237</c:v>
                      </c:pt>
                      <c:pt idx="190">
                        <c:v>238</c:v>
                      </c:pt>
                      <c:pt idx="191">
                        <c:v>239</c:v>
                      </c:pt>
                      <c:pt idx="192">
                        <c:v>240</c:v>
                      </c:pt>
                      <c:pt idx="193">
                        <c:v>241</c:v>
                      </c:pt>
                      <c:pt idx="194">
                        <c:v>242</c:v>
                      </c:pt>
                      <c:pt idx="195">
                        <c:v>243</c:v>
                      </c:pt>
                      <c:pt idx="196">
                        <c:v>244</c:v>
                      </c:pt>
                      <c:pt idx="197">
                        <c:v>245</c:v>
                      </c:pt>
                      <c:pt idx="198">
                        <c:v>246</c:v>
                      </c:pt>
                      <c:pt idx="199">
                        <c:v>247</c:v>
                      </c:pt>
                      <c:pt idx="200">
                        <c:v>248</c:v>
                      </c:pt>
                      <c:pt idx="201">
                        <c:v>249</c:v>
                      </c:pt>
                      <c:pt idx="202">
                        <c:v>250</c:v>
                      </c:pt>
                      <c:pt idx="203">
                        <c:v>251</c:v>
                      </c:pt>
                      <c:pt idx="204">
                        <c:v>252</c:v>
                      </c:pt>
                      <c:pt idx="205">
                        <c:v>253</c:v>
                      </c:pt>
                      <c:pt idx="206">
                        <c:v>254</c:v>
                      </c:pt>
                      <c:pt idx="207">
                        <c:v>255</c:v>
                      </c:pt>
                      <c:pt idx="208">
                        <c:v>256</c:v>
                      </c:pt>
                      <c:pt idx="209">
                        <c:v>257</c:v>
                      </c:pt>
                      <c:pt idx="210">
                        <c:v>258</c:v>
                      </c:pt>
                      <c:pt idx="211">
                        <c:v>259</c:v>
                      </c:pt>
                      <c:pt idx="212">
                        <c:v>260</c:v>
                      </c:pt>
                      <c:pt idx="213">
                        <c:v>261</c:v>
                      </c:pt>
                      <c:pt idx="214">
                        <c:v>262</c:v>
                      </c:pt>
                      <c:pt idx="215">
                        <c:v>263</c:v>
                      </c:pt>
                      <c:pt idx="216">
                        <c:v>264</c:v>
                      </c:pt>
                      <c:pt idx="217">
                        <c:v>265</c:v>
                      </c:pt>
                      <c:pt idx="218">
                        <c:v>266</c:v>
                      </c:pt>
                      <c:pt idx="219">
                        <c:v>267</c:v>
                      </c:pt>
                      <c:pt idx="220">
                        <c:v>268</c:v>
                      </c:pt>
                      <c:pt idx="221">
                        <c:v>269</c:v>
                      </c:pt>
                      <c:pt idx="222">
                        <c:v>270</c:v>
                      </c:pt>
                      <c:pt idx="223">
                        <c:v>271</c:v>
                      </c:pt>
                      <c:pt idx="224">
                        <c:v>272</c:v>
                      </c:pt>
                      <c:pt idx="225">
                        <c:v>273</c:v>
                      </c:pt>
                      <c:pt idx="226">
                        <c:v>274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'New_removed - bSIR'!$AO$55:$AO$281</c15:sqref>
                        </c15:formulaRef>
                      </c:ext>
                    </c:extLst>
                    <c:numCache>
                      <c:formatCode>General</c:formatCode>
                      <c:ptCount val="227"/>
                      <c:pt idx="0">
                        <c:v>1996.7798614515182</c:v>
                      </c:pt>
                      <c:pt idx="1">
                        <c:v>2011.101527861887</c:v>
                      </c:pt>
                      <c:pt idx="2">
                        <c:v>2026.0578310299343</c:v>
                      </c:pt>
                      <c:pt idx="3">
                        <c:v>2041.672507336476</c:v>
                      </c:pt>
                      <c:pt idx="4">
                        <c:v>2057.9697362335864</c:v>
                      </c:pt>
                      <c:pt idx="5">
                        <c:v>2074.9740984669693</c:v>
                      </c:pt>
                      <c:pt idx="6">
                        <c:v>2092.7105274645241</c:v>
                      </c:pt>
                      <c:pt idx="7">
                        <c:v>2111.204253310319</c:v>
                      </c:pt>
                      <c:pt idx="8">
                        <c:v>2130.4807387005949</c:v>
                      </c:pt>
                      <c:pt idx="9">
                        <c:v>2150.5656062587132</c:v>
                      </c:pt>
                      <c:pt idx="10">
                        <c:v>2171.4845565699093</c:v>
                      </c:pt>
                      <c:pt idx="11">
                        <c:v>2193.2632762852754</c:v>
                      </c:pt>
                      <c:pt idx="12">
                        <c:v>2215.9273356385384</c:v>
                      </c:pt>
                      <c:pt idx="13">
                        <c:v>2239.5020747201193</c:v>
                      </c:pt>
                      <c:pt idx="14">
                        <c:v>2264.0124778618256</c:v>
                      </c:pt>
                      <c:pt idx="15">
                        <c:v>2289.4830355037989</c:v>
                      </c:pt>
                      <c:pt idx="16">
                        <c:v>2315.9375929443827</c:v>
                      </c:pt>
                      <c:pt idx="17">
                        <c:v>2343.399185415054</c:v>
                      </c:pt>
                      <c:pt idx="18">
                        <c:v>2371.889858978102</c:v>
                      </c:pt>
                      <c:pt idx="19">
                        <c:v>2401.4304768160837</c:v>
                      </c:pt>
                      <c:pt idx="20">
                        <c:v>2432.0405105710543</c:v>
                      </c:pt>
                      <c:pt idx="21">
                        <c:v>2463.7378164999604</c:v>
                      </c:pt>
                      <c:pt idx="22">
                        <c:v>2496.5383963422214</c:v>
                      </c:pt>
                      <c:pt idx="23">
                        <c:v>2530.4561429481309</c:v>
                      </c:pt>
                      <c:pt idx="24">
                        <c:v>2565.5025708939447</c:v>
                      </c:pt>
                      <c:pt idx="25">
                        <c:v>2601.6865325127897</c:v>
                      </c:pt>
                      <c:pt idx="26">
                        <c:v>2639.0139200010758</c:v>
                      </c:pt>
                      <c:pt idx="27">
                        <c:v>2677.4873545186924</c:v>
                      </c:pt>
                      <c:pt idx="28">
                        <c:v>2717.1058634884052</c:v>
                      </c:pt>
                      <c:pt idx="29">
                        <c:v>2757.8645476153324</c:v>
                      </c:pt>
                      <c:pt idx="30">
                        <c:v>2799.7542394903894</c:v>
                      </c:pt>
                      <c:pt idx="31">
                        <c:v>2842.7611560105997</c:v>
                      </c:pt>
                      <c:pt idx="32">
                        <c:v>2886.8665472415714</c:v>
                      </c:pt>
                      <c:pt idx="33">
                        <c:v>2932.0463447599277</c:v>
                      </c:pt>
                      <c:pt idx="34">
                        <c:v>2978.2708129410985</c:v>
                      </c:pt>
                      <c:pt idx="35">
                        <c:v>3025.5042070950526</c:v>
                      </c:pt>
                      <c:pt idx="36">
                        <c:v>3073.7044427917308</c:v>
                      </c:pt>
                      <c:pt idx="37">
                        <c:v>3122.8227811506899</c:v>
                      </c:pt>
                      <c:pt idx="38">
                        <c:v>3172.8035352856168</c:v>
                      </c:pt>
                      <c:pt idx="39">
                        <c:v>3223.5838034824792</c:v>
                      </c:pt>
                      <c:pt idx="40">
                        <c:v>3275.0932350372968</c:v>
                      </c:pt>
                      <c:pt idx="41">
                        <c:v>3327.2538349718757</c:v>
                      </c:pt>
                      <c:pt idx="42">
                        <c:v>3379.9798140682551</c:v>
                      </c:pt>
                      <c:pt idx="43">
                        <c:v>3433.1774907994313</c:v>
                      </c:pt>
                      <c:pt idx="44">
                        <c:v>3486.7452517688916</c:v>
                      </c:pt>
                      <c:pt idx="45">
                        <c:v>3540.5735771888435</c:v>
                      </c:pt>
                      <c:pt idx="46">
                        <c:v>3594.5451377111531</c:v>
                      </c:pt>
                      <c:pt idx="47">
                        <c:v>3648.5349685620308</c:v>
                      </c:pt>
                      <c:pt idx="48">
                        <c:v>3702.4107264091053</c:v>
                      </c:pt>
                      <c:pt idx="49">
                        <c:v>3756.0330336982311</c:v>
                      </c:pt>
                      <c:pt idx="50">
                        <c:v>3809.2559143311805</c:v>
                      </c:pt>
                      <c:pt idx="51">
                        <c:v>3861.9273235122778</c:v>
                      </c:pt>
                      <c:pt idx="52">
                        <c:v>3913.8897733750264</c:v>
                      </c:pt>
                      <c:pt idx="53">
                        <c:v>3964.981054617509</c:v>
                      </c:pt>
                      <c:pt idx="54">
                        <c:v>4015.0350528421632</c:v>
                      </c:pt>
                      <c:pt idx="55">
                        <c:v>4063.8826566325038</c:v>
                      </c:pt>
                      <c:pt idx="56">
                        <c:v>4111.3527526338858</c:v>
                      </c:pt>
                      <c:pt idx="57">
                        <c:v>4157.2733010712145</c:v>
                      </c:pt>
                      <c:pt idx="58">
                        <c:v>4201.4724832734064</c:v>
                      </c:pt>
                      <c:pt idx="59">
                        <c:v>4243.7799109274129</c:v>
                      </c:pt>
                      <c:pt idx="60">
                        <c:v>4284.0278850027698</c:v>
                      </c:pt>
                      <c:pt idx="61">
                        <c:v>4322.0526906231571</c:v>
                      </c:pt>
                      <c:pt idx="62">
                        <c:v>4357.6959126674437</c:v>
                      </c:pt>
                      <c:pt idx="63">
                        <c:v>4390.8057556117274</c:v>
                      </c:pt>
                      <c:pt idx="64">
                        <c:v>4421.2383501260829</c:v>
                      </c:pt>
                      <c:pt idx="65">
                        <c:v>4448.8590282600853</c:v>
                      </c:pt>
                      <c:pt idx="66">
                        <c:v>4473.5435487279956</c:v>
                      </c:pt>
                      <c:pt idx="67">
                        <c:v>4495.1792538674781</c:v>
                      </c:pt>
                      <c:pt idx="68">
                        <c:v>4513.666140313484</c:v>
                      </c:pt>
                      <c:pt idx="69">
                        <c:v>4528.917826308746</c:v>
                      </c:pt>
                      <c:pt idx="70">
                        <c:v>4540.8623998581406</c:v>
                      </c:pt>
                      <c:pt idx="71">
                        <c:v>4549.4431336069065</c:v>
                      </c:pt>
                      <c:pt idx="72">
                        <c:v>4554.619054349876</c:v>
                      </c:pt>
                      <c:pt idx="73">
                        <c:v>4556.3653574157852</c:v>
                      </c:pt>
                      <c:pt idx="74">
                        <c:v>4554.6736587613377</c:v>
                      </c:pt>
                      <c:pt idx="75">
                        <c:v>4549.552080388873</c:v>
                      </c:pt>
                      <c:pt idx="76">
                        <c:v>4541.0251675968111</c:v>
                      </c:pt>
                      <c:pt idx="77">
                        <c:v>4529.1336395071539</c:v>
                      </c:pt>
                      <c:pt idx="78">
                        <c:v>4513.9339772109297</c:v>
                      </c:pt>
                      <c:pt idx="79">
                        <c:v>4495.4978566540221</c:v>
                      </c:pt>
                      <c:pt idx="80">
                        <c:v>4473.9114359799714</c:v>
                      </c:pt>
                      <c:pt idx="81">
                        <c:v>4449.2745093877647</c:v>
                      </c:pt>
                      <c:pt idx="82">
                        <c:v>4421.6995415950678</c:v>
                      </c:pt>
                      <c:pt idx="83">
                        <c:v>4391.3105986760302</c:v>
                      </c:pt>
                      <c:pt idx="84">
                        <c:v>4358.242192334942</c:v>
                      </c:pt>
                      <c:pt idx="85">
                        <c:v>4322.6380555633059</c:v>
                      </c:pt>
                      <c:pt idx="86">
                        <c:v>4284.6498681022858</c:v>
                      </c:pt>
                      <c:pt idx="87">
                        <c:v>4244.4359502016769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2-BE5D-4DF7-941B-58ED2F3476B6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'New_removed - bSIR'!$AP$7</c15:sqref>
                        </c15:formulaRef>
                      </c:ext>
                    </c:extLst>
                    <c:strCache>
                      <c:ptCount val="1"/>
                      <c:pt idx="0">
                        <c:v>Lower CI__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prstDash val="lgDash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'New_removed - bSIR'!$C$55:$C$281</c15:sqref>
                        </c15:formulaRef>
                      </c:ext>
                    </c:extLst>
                    <c:numCache>
                      <c:formatCode>General</c:formatCode>
                      <c:ptCount val="227"/>
                      <c:pt idx="0">
                        <c:v>48</c:v>
                      </c:pt>
                      <c:pt idx="1">
                        <c:v>49</c:v>
                      </c:pt>
                      <c:pt idx="2">
                        <c:v>50</c:v>
                      </c:pt>
                      <c:pt idx="3">
                        <c:v>51</c:v>
                      </c:pt>
                      <c:pt idx="4">
                        <c:v>52</c:v>
                      </c:pt>
                      <c:pt idx="5">
                        <c:v>53</c:v>
                      </c:pt>
                      <c:pt idx="6">
                        <c:v>54</c:v>
                      </c:pt>
                      <c:pt idx="7">
                        <c:v>55</c:v>
                      </c:pt>
                      <c:pt idx="8">
                        <c:v>56</c:v>
                      </c:pt>
                      <c:pt idx="9">
                        <c:v>57</c:v>
                      </c:pt>
                      <c:pt idx="10">
                        <c:v>58</c:v>
                      </c:pt>
                      <c:pt idx="11">
                        <c:v>59</c:v>
                      </c:pt>
                      <c:pt idx="12">
                        <c:v>60</c:v>
                      </c:pt>
                      <c:pt idx="13">
                        <c:v>61</c:v>
                      </c:pt>
                      <c:pt idx="14">
                        <c:v>62</c:v>
                      </c:pt>
                      <c:pt idx="15">
                        <c:v>63</c:v>
                      </c:pt>
                      <c:pt idx="16">
                        <c:v>64</c:v>
                      </c:pt>
                      <c:pt idx="17">
                        <c:v>65</c:v>
                      </c:pt>
                      <c:pt idx="18">
                        <c:v>66</c:v>
                      </c:pt>
                      <c:pt idx="19">
                        <c:v>67</c:v>
                      </c:pt>
                      <c:pt idx="20">
                        <c:v>68</c:v>
                      </c:pt>
                      <c:pt idx="21">
                        <c:v>69</c:v>
                      </c:pt>
                      <c:pt idx="22">
                        <c:v>70</c:v>
                      </c:pt>
                      <c:pt idx="23">
                        <c:v>71</c:v>
                      </c:pt>
                      <c:pt idx="24">
                        <c:v>72</c:v>
                      </c:pt>
                      <c:pt idx="25">
                        <c:v>73</c:v>
                      </c:pt>
                      <c:pt idx="26">
                        <c:v>74</c:v>
                      </c:pt>
                      <c:pt idx="27">
                        <c:v>75</c:v>
                      </c:pt>
                      <c:pt idx="28">
                        <c:v>76</c:v>
                      </c:pt>
                      <c:pt idx="29">
                        <c:v>77</c:v>
                      </c:pt>
                      <c:pt idx="30">
                        <c:v>78</c:v>
                      </c:pt>
                      <c:pt idx="31">
                        <c:v>79</c:v>
                      </c:pt>
                      <c:pt idx="32">
                        <c:v>80</c:v>
                      </c:pt>
                      <c:pt idx="33">
                        <c:v>81</c:v>
                      </c:pt>
                      <c:pt idx="34">
                        <c:v>82</c:v>
                      </c:pt>
                      <c:pt idx="35">
                        <c:v>83</c:v>
                      </c:pt>
                      <c:pt idx="36">
                        <c:v>84</c:v>
                      </c:pt>
                      <c:pt idx="37">
                        <c:v>85</c:v>
                      </c:pt>
                      <c:pt idx="38">
                        <c:v>86</c:v>
                      </c:pt>
                      <c:pt idx="39">
                        <c:v>87</c:v>
                      </c:pt>
                      <c:pt idx="40">
                        <c:v>88</c:v>
                      </c:pt>
                      <c:pt idx="41">
                        <c:v>89</c:v>
                      </c:pt>
                      <c:pt idx="42">
                        <c:v>90</c:v>
                      </c:pt>
                      <c:pt idx="43">
                        <c:v>91</c:v>
                      </c:pt>
                      <c:pt idx="44">
                        <c:v>92</c:v>
                      </c:pt>
                      <c:pt idx="45">
                        <c:v>93</c:v>
                      </c:pt>
                      <c:pt idx="46">
                        <c:v>94</c:v>
                      </c:pt>
                      <c:pt idx="47">
                        <c:v>95</c:v>
                      </c:pt>
                      <c:pt idx="48">
                        <c:v>96</c:v>
                      </c:pt>
                      <c:pt idx="49">
                        <c:v>97</c:v>
                      </c:pt>
                      <c:pt idx="50">
                        <c:v>98</c:v>
                      </c:pt>
                      <c:pt idx="51">
                        <c:v>99</c:v>
                      </c:pt>
                      <c:pt idx="52">
                        <c:v>100</c:v>
                      </c:pt>
                      <c:pt idx="53">
                        <c:v>101</c:v>
                      </c:pt>
                      <c:pt idx="54">
                        <c:v>102</c:v>
                      </c:pt>
                      <c:pt idx="55">
                        <c:v>103</c:v>
                      </c:pt>
                      <c:pt idx="56">
                        <c:v>104</c:v>
                      </c:pt>
                      <c:pt idx="57">
                        <c:v>105</c:v>
                      </c:pt>
                      <c:pt idx="58">
                        <c:v>106</c:v>
                      </c:pt>
                      <c:pt idx="59">
                        <c:v>107</c:v>
                      </c:pt>
                      <c:pt idx="60">
                        <c:v>108</c:v>
                      </c:pt>
                      <c:pt idx="61">
                        <c:v>109</c:v>
                      </c:pt>
                      <c:pt idx="62">
                        <c:v>110</c:v>
                      </c:pt>
                      <c:pt idx="63">
                        <c:v>111</c:v>
                      </c:pt>
                      <c:pt idx="64">
                        <c:v>112</c:v>
                      </c:pt>
                      <c:pt idx="65">
                        <c:v>113</c:v>
                      </c:pt>
                      <c:pt idx="66">
                        <c:v>114</c:v>
                      </c:pt>
                      <c:pt idx="67">
                        <c:v>115</c:v>
                      </c:pt>
                      <c:pt idx="68">
                        <c:v>116</c:v>
                      </c:pt>
                      <c:pt idx="69">
                        <c:v>117</c:v>
                      </c:pt>
                      <c:pt idx="70">
                        <c:v>118</c:v>
                      </c:pt>
                      <c:pt idx="71">
                        <c:v>119</c:v>
                      </c:pt>
                      <c:pt idx="72">
                        <c:v>120</c:v>
                      </c:pt>
                      <c:pt idx="73">
                        <c:v>121</c:v>
                      </c:pt>
                      <c:pt idx="74">
                        <c:v>122</c:v>
                      </c:pt>
                      <c:pt idx="75">
                        <c:v>123</c:v>
                      </c:pt>
                      <c:pt idx="76">
                        <c:v>124</c:v>
                      </c:pt>
                      <c:pt idx="77">
                        <c:v>125</c:v>
                      </c:pt>
                      <c:pt idx="78">
                        <c:v>126</c:v>
                      </c:pt>
                      <c:pt idx="79">
                        <c:v>127</c:v>
                      </c:pt>
                      <c:pt idx="80">
                        <c:v>128</c:v>
                      </c:pt>
                      <c:pt idx="81">
                        <c:v>129</c:v>
                      </c:pt>
                      <c:pt idx="82">
                        <c:v>130</c:v>
                      </c:pt>
                      <c:pt idx="83">
                        <c:v>131</c:v>
                      </c:pt>
                      <c:pt idx="84">
                        <c:v>132</c:v>
                      </c:pt>
                      <c:pt idx="85">
                        <c:v>133</c:v>
                      </c:pt>
                      <c:pt idx="86">
                        <c:v>134</c:v>
                      </c:pt>
                      <c:pt idx="87">
                        <c:v>135</c:v>
                      </c:pt>
                      <c:pt idx="88">
                        <c:v>136</c:v>
                      </c:pt>
                      <c:pt idx="89">
                        <c:v>137</c:v>
                      </c:pt>
                      <c:pt idx="90">
                        <c:v>138</c:v>
                      </c:pt>
                      <c:pt idx="91">
                        <c:v>139</c:v>
                      </c:pt>
                      <c:pt idx="92">
                        <c:v>140</c:v>
                      </c:pt>
                      <c:pt idx="93">
                        <c:v>141</c:v>
                      </c:pt>
                      <c:pt idx="94">
                        <c:v>142</c:v>
                      </c:pt>
                      <c:pt idx="95">
                        <c:v>143</c:v>
                      </c:pt>
                      <c:pt idx="96">
                        <c:v>144</c:v>
                      </c:pt>
                      <c:pt idx="97">
                        <c:v>145</c:v>
                      </c:pt>
                      <c:pt idx="98">
                        <c:v>146</c:v>
                      </c:pt>
                      <c:pt idx="99">
                        <c:v>147</c:v>
                      </c:pt>
                      <c:pt idx="100">
                        <c:v>148</c:v>
                      </c:pt>
                      <c:pt idx="101">
                        <c:v>149</c:v>
                      </c:pt>
                      <c:pt idx="102">
                        <c:v>150</c:v>
                      </c:pt>
                      <c:pt idx="103">
                        <c:v>151</c:v>
                      </c:pt>
                      <c:pt idx="104">
                        <c:v>152</c:v>
                      </c:pt>
                      <c:pt idx="105">
                        <c:v>153</c:v>
                      </c:pt>
                      <c:pt idx="106">
                        <c:v>154</c:v>
                      </c:pt>
                      <c:pt idx="107">
                        <c:v>155</c:v>
                      </c:pt>
                      <c:pt idx="108">
                        <c:v>156</c:v>
                      </c:pt>
                      <c:pt idx="109">
                        <c:v>157</c:v>
                      </c:pt>
                      <c:pt idx="110">
                        <c:v>158</c:v>
                      </c:pt>
                      <c:pt idx="111">
                        <c:v>159</c:v>
                      </c:pt>
                      <c:pt idx="112">
                        <c:v>160</c:v>
                      </c:pt>
                      <c:pt idx="113">
                        <c:v>161</c:v>
                      </c:pt>
                      <c:pt idx="114">
                        <c:v>162</c:v>
                      </c:pt>
                      <c:pt idx="115">
                        <c:v>163</c:v>
                      </c:pt>
                      <c:pt idx="116">
                        <c:v>164</c:v>
                      </c:pt>
                      <c:pt idx="117">
                        <c:v>165</c:v>
                      </c:pt>
                      <c:pt idx="118">
                        <c:v>166</c:v>
                      </c:pt>
                      <c:pt idx="119">
                        <c:v>167</c:v>
                      </c:pt>
                      <c:pt idx="120">
                        <c:v>168</c:v>
                      </c:pt>
                      <c:pt idx="121">
                        <c:v>169</c:v>
                      </c:pt>
                      <c:pt idx="122">
                        <c:v>170</c:v>
                      </c:pt>
                      <c:pt idx="123">
                        <c:v>171</c:v>
                      </c:pt>
                      <c:pt idx="124">
                        <c:v>172</c:v>
                      </c:pt>
                      <c:pt idx="125">
                        <c:v>173</c:v>
                      </c:pt>
                      <c:pt idx="126">
                        <c:v>174</c:v>
                      </c:pt>
                      <c:pt idx="127">
                        <c:v>175</c:v>
                      </c:pt>
                      <c:pt idx="128">
                        <c:v>176</c:v>
                      </c:pt>
                      <c:pt idx="129">
                        <c:v>177</c:v>
                      </c:pt>
                      <c:pt idx="130">
                        <c:v>178</c:v>
                      </c:pt>
                      <c:pt idx="131">
                        <c:v>179</c:v>
                      </c:pt>
                      <c:pt idx="132">
                        <c:v>180</c:v>
                      </c:pt>
                      <c:pt idx="133">
                        <c:v>181</c:v>
                      </c:pt>
                      <c:pt idx="134">
                        <c:v>182</c:v>
                      </c:pt>
                      <c:pt idx="135">
                        <c:v>183</c:v>
                      </c:pt>
                      <c:pt idx="136">
                        <c:v>184</c:v>
                      </c:pt>
                      <c:pt idx="137">
                        <c:v>185</c:v>
                      </c:pt>
                      <c:pt idx="138">
                        <c:v>186</c:v>
                      </c:pt>
                      <c:pt idx="139">
                        <c:v>187</c:v>
                      </c:pt>
                      <c:pt idx="140">
                        <c:v>188</c:v>
                      </c:pt>
                      <c:pt idx="141">
                        <c:v>189</c:v>
                      </c:pt>
                      <c:pt idx="142">
                        <c:v>190</c:v>
                      </c:pt>
                      <c:pt idx="143">
                        <c:v>191</c:v>
                      </c:pt>
                      <c:pt idx="144">
                        <c:v>192</c:v>
                      </c:pt>
                      <c:pt idx="145">
                        <c:v>193</c:v>
                      </c:pt>
                      <c:pt idx="146">
                        <c:v>194</c:v>
                      </c:pt>
                      <c:pt idx="147">
                        <c:v>195</c:v>
                      </c:pt>
                      <c:pt idx="148">
                        <c:v>196</c:v>
                      </c:pt>
                      <c:pt idx="149">
                        <c:v>197</c:v>
                      </c:pt>
                      <c:pt idx="150">
                        <c:v>198</c:v>
                      </c:pt>
                      <c:pt idx="151">
                        <c:v>199</c:v>
                      </c:pt>
                      <c:pt idx="152">
                        <c:v>200</c:v>
                      </c:pt>
                      <c:pt idx="153">
                        <c:v>201</c:v>
                      </c:pt>
                      <c:pt idx="154">
                        <c:v>202</c:v>
                      </c:pt>
                      <c:pt idx="155">
                        <c:v>203</c:v>
                      </c:pt>
                      <c:pt idx="156">
                        <c:v>204</c:v>
                      </c:pt>
                      <c:pt idx="157">
                        <c:v>205</c:v>
                      </c:pt>
                      <c:pt idx="158">
                        <c:v>206</c:v>
                      </c:pt>
                      <c:pt idx="159">
                        <c:v>207</c:v>
                      </c:pt>
                      <c:pt idx="160">
                        <c:v>208</c:v>
                      </c:pt>
                      <c:pt idx="161">
                        <c:v>209</c:v>
                      </c:pt>
                      <c:pt idx="162">
                        <c:v>210</c:v>
                      </c:pt>
                      <c:pt idx="163">
                        <c:v>211</c:v>
                      </c:pt>
                      <c:pt idx="164">
                        <c:v>212</c:v>
                      </c:pt>
                      <c:pt idx="165">
                        <c:v>213</c:v>
                      </c:pt>
                      <c:pt idx="166">
                        <c:v>214</c:v>
                      </c:pt>
                      <c:pt idx="167">
                        <c:v>215</c:v>
                      </c:pt>
                      <c:pt idx="168">
                        <c:v>216</c:v>
                      </c:pt>
                      <c:pt idx="169">
                        <c:v>217</c:v>
                      </c:pt>
                      <c:pt idx="170">
                        <c:v>218</c:v>
                      </c:pt>
                      <c:pt idx="171">
                        <c:v>219</c:v>
                      </c:pt>
                      <c:pt idx="172">
                        <c:v>220</c:v>
                      </c:pt>
                      <c:pt idx="173">
                        <c:v>221</c:v>
                      </c:pt>
                      <c:pt idx="174">
                        <c:v>222</c:v>
                      </c:pt>
                      <c:pt idx="175">
                        <c:v>223</c:v>
                      </c:pt>
                      <c:pt idx="176">
                        <c:v>224</c:v>
                      </c:pt>
                      <c:pt idx="177">
                        <c:v>225</c:v>
                      </c:pt>
                      <c:pt idx="178">
                        <c:v>226</c:v>
                      </c:pt>
                      <c:pt idx="179">
                        <c:v>227</c:v>
                      </c:pt>
                      <c:pt idx="180">
                        <c:v>228</c:v>
                      </c:pt>
                      <c:pt idx="181">
                        <c:v>229</c:v>
                      </c:pt>
                      <c:pt idx="182">
                        <c:v>230</c:v>
                      </c:pt>
                      <c:pt idx="183">
                        <c:v>231</c:v>
                      </c:pt>
                      <c:pt idx="184">
                        <c:v>232</c:v>
                      </c:pt>
                      <c:pt idx="185">
                        <c:v>233</c:v>
                      </c:pt>
                      <c:pt idx="186">
                        <c:v>234</c:v>
                      </c:pt>
                      <c:pt idx="187">
                        <c:v>235</c:v>
                      </c:pt>
                      <c:pt idx="188">
                        <c:v>236</c:v>
                      </c:pt>
                      <c:pt idx="189">
                        <c:v>237</c:v>
                      </c:pt>
                      <c:pt idx="190">
                        <c:v>238</c:v>
                      </c:pt>
                      <c:pt idx="191">
                        <c:v>239</c:v>
                      </c:pt>
                      <c:pt idx="192">
                        <c:v>240</c:v>
                      </c:pt>
                      <c:pt idx="193">
                        <c:v>241</c:v>
                      </c:pt>
                      <c:pt idx="194">
                        <c:v>242</c:v>
                      </c:pt>
                      <c:pt idx="195">
                        <c:v>243</c:v>
                      </c:pt>
                      <c:pt idx="196">
                        <c:v>244</c:v>
                      </c:pt>
                      <c:pt idx="197">
                        <c:v>245</c:v>
                      </c:pt>
                      <c:pt idx="198">
                        <c:v>246</c:v>
                      </c:pt>
                      <c:pt idx="199">
                        <c:v>247</c:v>
                      </c:pt>
                      <c:pt idx="200">
                        <c:v>248</c:v>
                      </c:pt>
                      <c:pt idx="201">
                        <c:v>249</c:v>
                      </c:pt>
                      <c:pt idx="202">
                        <c:v>250</c:v>
                      </c:pt>
                      <c:pt idx="203">
                        <c:v>251</c:v>
                      </c:pt>
                      <c:pt idx="204">
                        <c:v>252</c:v>
                      </c:pt>
                      <c:pt idx="205">
                        <c:v>253</c:v>
                      </c:pt>
                      <c:pt idx="206">
                        <c:v>254</c:v>
                      </c:pt>
                      <c:pt idx="207">
                        <c:v>255</c:v>
                      </c:pt>
                      <c:pt idx="208">
                        <c:v>256</c:v>
                      </c:pt>
                      <c:pt idx="209">
                        <c:v>257</c:v>
                      </c:pt>
                      <c:pt idx="210">
                        <c:v>258</c:v>
                      </c:pt>
                      <c:pt idx="211">
                        <c:v>259</c:v>
                      </c:pt>
                      <c:pt idx="212">
                        <c:v>260</c:v>
                      </c:pt>
                      <c:pt idx="213">
                        <c:v>261</c:v>
                      </c:pt>
                      <c:pt idx="214">
                        <c:v>262</c:v>
                      </c:pt>
                      <c:pt idx="215">
                        <c:v>263</c:v>
                      </c:pt>
                      <c:pt idx="216">
                        <c:v>264</c:v>
                      </c:pt>
                      <c:pt idx="217">
                        <c:v>265</c:v>
                      </c:pt>
                      <c:pt idx="218">
                        <c:v>266</c:v>
                      </c:pt>
                      <c:pt idx="219">
                        <c:v>267</c:v>
                      </c:pt>
                      <c:pt idx="220">
                        <c:v>268</c:v>
                      </c:pt>
                      <c:pt idx="221">
                        <c:v>269</c:v>
                      </c:pt>
                      <c:pt idx="222">
                        <c:v>270</c:v>
                      </c:pt>
                      <c:pt idx="223">
                        <c:v>271</c:v>
                      </c:pt>
                      <c:pt idx="224">
                        <c:v>272</c:v>
                      </c:pt>
                      <c:pt idx="225">
                        <c:v>273</c:v>
                      </c:pt>
                      <c:pt idx="226">
                        <c:v>274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'New_removed - bSIR'!$AP$55:$AP$281</c15:sqref>
                        </c15:formulaRef>
                      </c:ext>
                    </c:extLst>
                    <c:numCache>
                      <c:formatCode>General</c:formatCode>
                      <c:ptCount val="22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44.029100980266094</c:v>
                      </c:pt>
                      <c:pt idx="44">
                        <c:v>97.596861949726417</c:v>
                      </c:pt>
                      <c:pt idx="45">
                        <c:v>151.42518736967804</c:v>
                      </c:pt>
                      <c:pt idx="46">
                        <c:v>205.39674789198739</c:v>
                      </c:pt>
                      <c:pt idx="47">
                        <c:v>259.38657874286537</c:v>
                      </c:pt>
                      <c:pt idx="48">
                        <c:v>313.26233658993988</c:v>
                      </c:pt>
                      <c:pt idx="49">
                        <c:v>366.88464387906561</c:v>
                      </c:pt>
                      <c:pt idx="50">
                        <c:v>420.10752451201506</c:v>
                      </c:pt>
                      <c:pt idx="51">
                        <c:v>472.77893369311232</c:v>
                      </c:pt>
                      <c:pt idx="52">
                        <c:v>524.74138355586092</c:v>
                      </c:pt>
                      <c:pt idx="53">
                        <c:v>575.83266479834356</c:v>
                      </c:pt>
                      <c:pt idx="54">
                        <c:v>625.88666302299771</c:v>
                      </c:pt>
                      <c:pt idx="55">
                        <c:v>674.73426681333831</c:v>
                      </c:pt>
                      <c:pt idx="56">
                        <c:v>722.2043628147203</c:v>
                      </c:pt>
                      <c:pt idx="57">
                        <c:v>768.12491125204861</c:v>
                      </c:pt>
                      <c:pt idx="58">
                        <c:v>812.32409345424094</c:v>
                      </c:pt>
                      <c:pt idx="59">
                        <c:v>854.63152110824785</c:v>
                      </c:pt>
                      <c:pt idx="60">
                        <c:v>894.87949518360392</c:v>
                      </c:pt>
                      <c:pt idx="61">
                        <c:v>932.90430080399119</c:v>
                      </c:pt>
                      <c:pt idx="62">
                        <c:v>968.54752284827828</c:v>
                      </c:pt>
                      <c:pt idx="63">
                        <c:v>1001.6573657925614</c:v>
                      </c:pt>
                      <c:pt idx="64">
                        <c:v>1032.0899603069179</c:v>
                      </c:pt>
                      <c:pt idx="65">
                        <c:v>1059.7106384409199</c:v>
                      </c:pt>
                      <c:pt idx="66">
                        <c:v>1084.3951589088301</c:v>
                      </c:pt>
                      <c:pt idx="67">
                        <c:v>1106.0308640483122</c:v>
                      </c:pt>
                      <c:pt idx="68">
                        <c:v>1124.517750494319</c:v>
                      </c:pt>
                      <c:pt idx="69">
                        <c:v>1139.7694364895806</c:v>
                      </c:pt>
                      <c:pt idx="70">
                        <c:v>1151.7140100389756</c:v>
                      </c:pt>
                      <c:pt idx="71">
                        <c:v>1160.2947437877406</c:v>
                      </c:pt>
                      <c:pt idx="72">
                        <c:v>1165.4706645307106</c:v>
                      </c:pt>
                      <c:pt idx="73">
                        <c:v>1167.2169675966197</c:v>
                      </c:pt>
                      <c:pt idx="74">
                        <c:v>1165.5252689421723</c:v>
                      </c:pt>
                      <c:pt idx="75">
                        <c:v>1160.4036905697076</c:v>
                      </c:pt>
                      <c:pt idx="76">
                        <c:v>1151.8767777776457</c:v>
                      </c:pt>
                      <c:pt idx="77">
                        <c:v>1139.9852496879885</c:v>
                      </c:pt>
                      <c:pt idx="78">
                        <c:v>1124.7855873917642</c:v>
                      </c:pt>
                      <c:pt idx="79">
                        <c:v>1106.3494668348567</c:v>
                      </c:pt>
                      <c:pt idx="80">
                        <c:v>1084.763046160806</c:v>
                      </c:pt>
                      <c:pt idx="81">
                        <c:v>1060.1261195685993</c:v>
                      </c:pt>
                      <c:pt idx="82">
                        <c:v>1032.5511517759019</c:v>
                      </c:pt>
                      <c:pt idx="83">
                        <c:v>1002.1622088568647</c:v>
                      </c:pt>
                      <c:pt idx="84">
                        <c:v>969.09380251577659</c:v>
                      </c:pt>
                      <c:pt idx="85">
                        <c:v>933.48966574414044</c:v>
                      </c:pt>
                      <c:pt idx="86">
                        <c:v>895.50147828311992</c:v>
                      </c:pt>
                      <c:pt idx="87">
                        <c:v>855.2875603825114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BE5D-4DF7-941B-58ED2F3476B6}"/>
                  </c:ext>
                </c:extLst>
              </c15:ser>
            </c15:filteredScatterSeries>
          </c:ext>
        </c:extLst>
      </c:scatterChart>
      <c:valAx>
        <c:axId val="9694877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kern="1200" baseline="0">
                    <a:solidFill>
                      <a:srgbClr val="595959"/>
                    </a:solidFill>
                    <a:effectLst/>
                  </a:rPr>
                  <a:t>Days from </a:t>
                </a:r>
                <a:endParaRPr lang="it-IT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69487440"/>
        <c:crosses val="autoZero"/>
        <c:crossBetween val="midCat"/>
      </c:valAx>
      <c:valAx>
        <c:axId val="969487440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removal rate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694877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>
                <a:solidFill>
                  <a:srgbClr val="FF0000"/>
                </a:solidFill>
              </a:rPr>
              <a:t>Italy selected region </a:t>
            </a:r>
            <a:r>
              <a:rPr lang="it-IT" sz="1400" b="0" i="0" u="none" strike="noStrike" baseline="0">
                <a:solidFill>
                  <a:srgbClr val="FF0000"/>
                </a:solidFill>
                <a:effectLst/>
              </a:rPr>
              <a:t>- removal rate (# of people remived per day) - basic SIR</a:t>
            </a:r>
            <a:endParaRPr lang="it-IT">
              <a:solidFill>
                <a:srgbClr val="FF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428793038537132"/>
          <c:y val="0.11220881326088156"/>
          <c:w val="0.61863161004613043"/>
          <c:h val="0.79304813164644039"/>
        </c:manualLayout>
      </c:layout>
      <c:scatterChart>
        <c:scatterStyle val="lineMarker"/>
        <c:varyColors val="0"/>
        <c:ser>
          <c:idx val="0"/>
          <c:order val="0"/>
          <c:tx>
            <c:strRef>
              <c:f>'New_removed - bSIR'!$T$7</c:f>
              <c:strCache>
                <c:ptCount val="1"/>
                <c:pt idx="0">
                  <c:v>region data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xVal>
            <c:numRef>
              <c:f>'New_removed - bSIR'!$C$62:$C$281</c:f>
              <c:numCache>
                <c:formatCode>General</c:formatCode>
                <c:ptCount val="220"/>
                <c:pt idx="0">
                  <c:v>55</c:v>
                </c:pt>
                <c:pt idx="1">
                  <c:v>56</c:v>
                </c:pt>
                <c:pt idx="2">
                  <c:v>57</c:v>
                </c:pt>
                <c:pt idx="3">
                  <c:v>58</c:v>
                </c:pt>
                <c:pt idx="4">
                  <c:v>59</c:v>
                </c:pt>
                <c:pt idx="5">
                  <c:v>60</c:v>
                </c:pt>
                <c:pt idx="6">
                  <c:v>61</c:v>
                </c:pt>
                <c:pt idx="7">
                  <c:v>62</c:v>
                </c:pt>
                <c:pt idx="8">
                  <c:v>63</c:v>
                </c:pt>
                <c:pt idx="9">
                  <c:v>64</c:v>
                </c:pt>
                <c:pt idx="10">
                  <c:v>65</c:v>
                </c:pt>
                <c:pt idx="11">
                  <c:v>66</c:v>
                </c:pt>
                <c:pt idx="12">
                  <c:v>67</c:v>
                </c:pt>
                <c:pt idx="13">
                  <c:v>68</c:v>
                </c:pt>
                <c:pt idx="14">
                  <c:v>69</c:v>
                </c:pt>
                <c:pt idx="15">
                  <c:v>70</c:v>
                </c:pt>
                <c:pt idx="16">
                  <c:v>71</c:v>
                </c:pt>
                <c:pt idx="17">
                  <c:v>72</c:v>
                </c:pt>
                <c:pt idx="18">
                  <c:v>73</c:v>
                </c:pt>
                <c:pt idx="19">
                  <c:v>74</c:v>
                </c:pt>
                <c:pt idx="20">
                  <c:v>75</c:v>
                </c:pt>
                <c:pt idx="21">
                  <c:v>76</c:v>
                </c:pt>
                <c:pt idx="22">
                  <c:v>77</c:v>
                </c:pt>
                <c:pt idx="23">
                  <c:v>78</c:v>
                </c:pt>
                <c:pt idx="24">
                  <c:v>79</c:v>
                </c:pt>
                <c:pt idx="25">
                  <c:v>80</c:v>
                </c:pt>
                <c:pt idx="26">
                  <c:v>81</c:v>
                </c:pt>
                <c:pt idx="27">
                  <c:v>82</c:v>
                </c:pt>
                <c:pt idx="28">
                  <c:v>83</c:v>
                </c:pt>
                <c:pt idx="29">
                  <c:v>84</c:v>
                </c:pt>
                <c:pt idx="30">
                  <c:v>85</c:v>
                </c:pt>
                <c:pt idx="31">
                  <c:v>86</c:v>
                </c:pt>
                <c:pt idx="32">
                  <c:v>87</c:v>
                </c:pt>
                <c:pt idx="33">
                  <c:v>88</c:v>
                </c:pt>
                <c:pt idx="34">
                  <c:v>89</c:v>
                </c:pt>
                <c:pt idx="35">
                  <c:v>90</c:v>
                </c:pt>
                <c:pt idx="36">
                  <c:v>91</c:v>
                </c:pt>
                <c:pt idx="37">
                  <c:v>92</c:v>
                </c:pt>
                <c:pt idx="38">
                  <c:v>93</c:v>
                </c:pt>
                <c:pt idx="39">
                  <c:v>94</c:v>
                </c:pt>
                <c:pt idx="40">
                  <c:v>95</c:v>
                </c:pt>
                <c:pt idx="41">
                  <c:v>96</c:v>
                </c:pt>
                <c:pt idx="42">
                  <c:v>97</c:v>
                </c:pt>
                <c:pt idx="43">
                  <c:v>98</c:v>
                </c:pt>
                <c:pt idx="44">
                  <c:v>99</c:v>
                </c:pt>
                <c:pt idx="45">
                  <c:v>100</c:v>
                </c:pt>
                <c:pt idx="46">
                  <c:v>101</c:v>
                </c:pt>
                <c:pt idx="47">
                  <c:v>102</c:v>
                </c:pt>
                <c:pt idx="48">
                  <c:v>103</c:v>
                </c:pt>
                <c:pt idx="49">
                  <c:v>104</c:v>
                </c:pt>
                <c:pt idx="50">
                  <c:v>105</c:v>
                </c:pt>
                <c:pt idx="51">
                  <c:v>106</c:v>
                </c:pt>
                <c:pt idx="52">
                  <c:v>107</c:v>
                </c:pt>
                <c:pt idx="53">
                  <c:v>108</c:v>
                </c:pt>
                <c:pt idx="54">
                  <c:v>109</c:v>
                </c:pt>
                <c:pt idx="55">
                  <c:v>110</c:v>
                </c:pt>
                <c:pt idx="56">
                  <c:v>111</c:v>
                </c:pt>
                <c:pt idx="57">
                  <c:v>112</c:v>
                </c:pt>
                <c:pt idx="58">
                  <c:v>113</c:v>
                </c:pt>
                <c:pt idx="59">
                  <c:v>114</c:v>
                </c:pt>
                <c:pt idx="60">
                  <c:v>115</c:v>
                </c:pt>
                <c:pt idx="61">
                  <c:v>116</c:v>
                </c:pt>
                <c:pt idx="62">
                  <c:v>117</c:v>
                </c:pt>
                <c:pt idx="63">
                  <c:v>118</c:v>
                </c:pt>
                <c:pt idx="64">
                  <c:v>119</c:v>
                </c:pt>
                <c:pt idx="65">
                  <c:v>120</c:v>
                </c:pt>
                <c:pt idx="66">
                  <c:v>121</c:v>
                </c:pt>
                <c:pt idx="67">
                  <c:v>122</c:v>
                </c:pt>
                <c:pt idx="68">
                  <c:v>123</c:v>
                </c:pt>
                <c:pt idx="69">
                  <c:v>124</c:v>
                </c:pt>
                <c:pt idx="70">
                  <c:v>125</c:v>
                </c:pt>
                <c:pt idx="71">
                  <c:v>126</c:v>
                </c:pt>
                <c:pt idx="72">
                  <c:v>127</c:v>
                </c:pt>
                <c:pt idx="73">
                  <c:v>128</c:v>
                </c:pt>
                <c:pt idx="74">
                  <c:v>129</c:v>
                </c:pt>
                <c:pt idx="75">
                  <c:v>130</c:v>
                </c:pt>
                <c:pt idx="76">
                  <c:v>131</c:v>
                </c:pt>
                <c:pt idx="77">
                  <c:v>132</c:v>
                </c:pt>
                <c:pt idx="78">
                  <c:v>133</c:v>
                </c:pt>
                <c:pt idx="79">
                  <c:v>134</c:v>
                </c:pt>
                <c:pt idx="80">
                  <c:v>135</c:v>
                </c:pt>
                <c:pt idx="81">
                  <c:v>136</c:v>
                </c:pt>
                <c:pt idx="82">
                  <c:v>137</c:v>
                </c:pt>
                <c:pt idx="83">
                  <c:v>138</c:v>
                </c:pt>
                <c:pt idx="84">
                  <c:v>139</c:v>
                </c:pt>
                <c:pt idx="85">
                  <c:v>140</c:v>
                </c:pt>
                <c:pt idx="86">
                  <c:v>141</c:v>
                </c:pt>
                <c:pt idx="87">
                  <c:v>142</c:v>
                </c:pt>
                <c:pt idx="88">
                  <c:v>143</c:v>
                </c:pt>
                <c:pt idx="89">
                  <c:v>144</c:v>
                </c:pt>
                <c:pt idx="90">
                  <c:v>145</c:v>
                </c:pt>
                <c:pt idx="91">
                  <c:v>146</c:v>
                </c:pt>
                <c:pt idx="92">
                  <c:v>147</c:v>
                </c:pt>
                <c:pt idx="93">
                  <c:v>148</c:v>
                </c:pt>
                <c:pt idx="94">
                  <c:v>149</c:v>
                </c:pt>
                <c:pt idx="95">
                  <c:v>150</c:v>
                </c:pt>
                <c:pt idx="96">
                  <c:v>151</c:v>
                </c:pt>
                <c:pt idx="97">
                  <c:v>152</c:v>
                </c:pt>
                <c:pt idx="98">
                  <c:v>153</c:v>
                </c:pt>
                <c:pt idx="99">
                  <c:v>154</c:v>
                </c:pt>
                <c:pt idx="100">
                  <c:v>155</c:v>
                </c:pt>
                <c:pt idx="101">
                  <c:v>156</c:v>
                </c:pt>
                <c:pt idx="102">
                  <c:v>157</c:v>
                </c:pt>
                <c:pt idx="103">
                  <c:v>158</c:v>
                </c:pt>
                <c:pt idx="104">
                  <c:v>159</c:v>
                </c:pt>
                <c:pt idx="105">
                  <c:v>160</c:v>
                </c:pt>
                <c:pt idx="106">
                  <c:v>161</c:v>
                </c:pt>
                <c:pt idx="107">
                  <c:v>162</c:v>
                </c:pt>
                <c:pt idx="108">
                  <c:v>163</c:v>
                </c:pt>
                <c:pt idx="109">
                  <c:v>164</c:v>
                </c:pt>
                <c:pt idx="110">
                  <c:v>165</c:v>
                </c:pt>
                <c:pt idx="111">
                  <c:v>166</c:v>
                </c:pt>
                <c:pt idx="112">
                  <c:v>167</c:v>
                </c:pt>
                <c:pt idx="113">
                  <c:v>168</c:v>
                </c:pt>
                <c:pt idx="114">
                  <c:v>169</c:v>
                </c:pt>
                <c:pt idx="115">
                  <c:v>170</c:v>
                </c:pt>
                <c:pt idx="116">
                  <c:v>171</c:v>
                </c:pt>
                <c:pt idx="117">
                  <c:v>172</c:v>
                </c:pt>
                <c:pt idx="118">
                  <c:v>173</c:v>
                </c:pt>
                <c:pt idx="119">
                  <c:v>174</c:v>
                </c:pt>
                <c:pt idx="120">
                  <c:v>175</c:v>
                </c:pt>
                <c:pt idx="121">
                  <c:v>176</c:v>
                </c:pt>
                <c:pt idx="122">
                  <c:v>177</c:v>
                </c:pt>
                <c:pt idx="123">
                  <c:v>178</c:v>
                </c:pt>
                <c:pt idx="124">
                  <c:v>179</c:v>
                </c:pt>
                <c:pt idx="125">
                  <c:v>180</c:v>
                </c:pt>
                <c:pt idx="126">
                  <c:v>181</c:v>
                </c:pt>
                <c:pt idx="127">
                  <c:v>182</c:v>
                </c:pt>
                <c:pt idx="128">
                  <c:v>183</c:v>
                </c:pt>
                <c:pt idx="129">
                  <c:v>184</c:v>
                </c:pt>
                <c:pt idx="130">
                  <c:v>185</c:v>
                </c:pt>
                <c:pt idx="131">
                  <c:v>186</c:v>
                </c:pt>
                <c:pt idx="132">
                  <c:v>187</c:v>
                </c:pt>
                <c:pt idx="133">
                  <c:v>188</c:v>
                </c:pt>
                <c:pt idx="134">
                  <c:v>189</c:v>
                </c:pt>
                <c:pt idx="135">
                  <c:v>190</c:v>
                </c:pt>
                <c:pt idx="136">
                  <c:v>191</c:v>
                </c:pt>
                <c:pt idx="137">
                  <c:v>192</c:v>
                </c:pt>
                <c:pt idx="138">
                  <c:v>193</c:v>
                </c:pt>
                <c:pt idx="139">
                  <c:v>194</c:v>
                </c:pt>
                <c:pt idx="140">
                  <c:v>195</c:v>
                </c:pt>
                <c:pt idx="141">
                  <c:v>196</c:v>
                </c:pt>
                <c:pt idx="142">
                  <c:v>197</c:v>
                </c:pt>
                <c:pt idx="143">
                  <c:v>198</c:v>
                </c:pt>
                <c:pt idx="144">
                  <c:v>199</c:v>
                </c:pt>
                <c:pt idx="145">
                  <c:v>200</c:v>
                </c:pt>
                <c:pt idx="146">
                  <c:v>201</c:v>
                </c:pt>
                <c:pt idx="147">
                  <c:v>202</c:v>
                </c:pt>
                <c:pt idx="148">
                  <c:v>203</c:v>
                </c:pt>
                <c:pt idx="149">
                  <c:v>204</c:v>
                </c:pt>
                <c:pt idx="150">
                  <c:v>205</c:v>
                </c:pt>
                <c:pt idx="151">
                  <c:v>206</c:v>
                </c:pt>
                <c:pt idx="152">
                  <c:v>207</c:v>
                </c:pt>
                <c:pt idx="153">
                  <c:v>208</c:v>
                </c:pt>
                <c:pt idx="154">
                  <c:v>209</c:v>
                </c:pt>
                <c:pt idx="155">
                  <c:v>210</c:v>
                </c:pt>
                <c:pt idx="156">
                  <c:v>211</c:v>
                </c:pt>
                <c:pt idx="157">
                  <c:v>212</c:v>
                </c:pt>
                <c:pt idx="158">
                  <c:v>213</c:v>
                </c:pt>
                <c:pt idx="159">
                  <c:v>214</c:v>
                </c:pt>
                <c:pt idx="160">
                  <c:v>215</c:v>
                </c:pt>
                <c:pt idx="161">
                  <c:v>216</c:v>
                </c:pt>
                <c:pt idx="162">
                  <c:v>217</c:v>
                </c:pt>
                <c:pt idx="163">
                  <c:v>218</c:v>
                </c:pt>
                <c:pt idx="164">
                  <c:v>219</c:v>
                </c:pt>
                <c:pt idx="165">
                  <c:v>220</c:v>
                </c:pt>
                <c:pt idx="166">
                  <c:v>221</c:v>
                </c:pt>
                <c:pt idx="167">
                  <c:v>222</c:v>
                </c:pt>
                <c:pt idx="168">
                  <c:v>223</c:v>
                </c:pt>
                <c:pt idx="169">
                  <c:v>224</c:v>
                </c:pt>
                <c:pt idx="170">
                  <c:v>225</c:v>
                </c:pt>
                <c:pt idx="171">
                  <c:v>226</c:v>
                </c:pt>
                <c:pt idx="172">
                  <c:v>227</c:v>
                </c:pt>
                <c:pt idx="173">
                  <c:v>228</c:v>
                </c:pt>
                <c:pt idx="174">
                  <c:v>229</c:v>
                </c:pt>
                <c:pt idx="175">
                  <c:v>230</c:v>
                </c:pt>
                <c:pt idx="176">
                  <c:v>231</c:v>
                </c:pt>
                <c:pt idx="177">
                  <c:v>232</c:v>
                </c:pt>
                <c:pt idx="178">
                  <c:v>233</c:v>
                </c:pt>
                <c:pt idx="179">
                  <c:v>234</c:v>
                </c:pt>
                <c:pt idx="180">
                  <c:v>235</c:v>
                </c:pt>
                <c:pt idx="181">
                  <c:v>236</c:v>
                </c:pt>
                <c:pt idx="182">
                  <c:v>237</c:v>
                </c:pt>
                <c:pt idx="183">
                  <c:v>238</c:v>
                </c:pt>
                <c:pt idx="184">
                  <c:v>239</c:v>
                </c:pt>
                <c:pt idx="185">
                  <c:v>240</c:v>
                </c:pt>
                <c:pt idx="186">
                  <c:v>241</c:v>
                </c:pt>
                <c:pt idx="187">
                  <c:v>242</c:v>
                </c:pt>
                <c:pt idx="188">
                  <c:v>243</c:v>
                </c:pt>
                <c:pt idx="189">
                  <c:v>244</c:v>
                </c:pt>
                <c:pt idx="190">
                  <c:v>245</c:v>
                </c:pt>
                <c:pt idx="191">
                  <c:v>246</c:v>
                </c:pt>
                <c:pt idx="192">
                  <c:v>247</c:v>
                </c:pt>
                <c:pt idx="193">
                  <c:v>248</c:v>
                </c:pt>
                <c:pt idx="194">
                  <c:v>249</c:v>
                </c:pt>
                <c:pt idx="195">
                  <c:v>250</c:v>
                </c:pt>
                <c:pt idx="196">
                  <c:v>251</c:v>
                </c:pt>
                <c:pt idx="197">
                  <c:v>252</c:v>
                </c:pt>
                <c:pt idx="198">
                  <c:v>253</c:v>
                </c:pt>
                <c:pt idx="199">
                  <c:v>254</c:v>
                </c:pt>
                <c:pt idx="200">
                  <c:v>255</c:v>
                </c:pt>
                <c:pt idx="201">
                  <c:v>256</c:v>
                </c:pt>
                <c:pt idx="202">
                  <c:v>257</c:v>
                </c:pt>
                <c:pt idx="203">
                  <c:v>258</c:v>
                </c:pt>
                <c:pt idx="204">
                  <c:v>259</c:v>
                </c:pt>
                <c:pt idx="205">
                  <c:v>260</c:v>
                </c:pt>
                <c:pt idx="206">
                  <c:v>261</c:v>
                </c:pt>
                <c:pt idx="207">
                  <c:v>262</c:v>
                </c:pt>
                <c:pt idx="208">
                  <c:v>263</c:v>
                </c:pt>
                <c:pt idx="209">
                  <c:v>264</c:v>
                </c:pt>
                <c:pt idx="210">
                  <c:v>265</c:v>
                </c:pt>
                <c:pt idx="211">
                  <c:v>266</c:v>
                </c:pt>
                <c:pt idx="212">
                  <c:v>267</c:v>
                </c:pt>
                <c:pt idx="213">
                  <c:v>268</c:v>
                </c:pt>
                <c:pt idx="214">
                  <c:v>269</c:v>
                </c:pt>
                <c:pt idx="215">
                  <c:v>270</c:v>
                </c:pt>
                <c:pt idx="216">
                  <c:v>271</c:v>
                </c:pt>
                <c:pt idx="217">
                  <c:v>272</c:v>
                </c:pt>
                <c:pt idx="218">
                  <c:v>273</c:v>
                </c:pt>
                <c:pt idx="219">
                  <c:v>274</c:v>
                </c:pt>
              </c:numCache>
            </c:numRef>
          </c:xVal>
          <c:yVal>
            <c:numRef>
              <c:f>'New_removed - bSIR'!$T$62:$T$281</c:f>
              <c:numCache>
                <c:formatCode>General</c:formatCode>
                <c:ptCount val="220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4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2</c:v>
                </c:pt>
                <c:pt idx="11">
                  <c:v>1</c:v>
                </c:pt>
                <c:pt idx="12">
                  <c:v>1</c:v>
                </c:pt>
                <c:pt idx="13">
                  <c:v>2</c:v>
                </c:pt>
                <c:pt idx="14">
                  <c:v>1</c:v>
                </c:pt>
                <c:pt idx="15">
                  <c:v>1</c:v>
                </c:pt>
                <c:pt idx="16">
                  <c:v>0</c:v>
                </c:pt>
                <c:pt idx="17">
                  <c:v>18</c:v>
                </c:pt>
                <c:pt idx="18">
                  <c:v>10</c:v>
                </c:pt>
                <c:pt idx="19">
                  <c:v>38</c:v>
                </c:pt>
                <c:pt idx="20">
                  <c:v>-13</c:v>
                </c:pt>
                <c:pt idx="21">
                  <c:v>26</c:v>
                </c:pt>
                <c:pt idx="22">
                  <c:v>25</c:v>
                </c:pt>
                <c:pt idx="23">
                  <c:v>26</c:v>
                </c:pt>
                <c:pt idx="24">
                  <c:v>33</c:v>
                </c:pt>
                <c:pt idx="25">
                  <c:v>44</c:v>
                </c:pt>
                <c:pt idx="26">
                  <c:v>57</c:v>
                </c:pt>
                <c:pt idx="27">
                  <c:v>37</c:v>
                </c:pt>
                <c:pt idx="28">
                  <c:v>57</c:v>
                </c:pt>
                <c:pt idx="29">
                  <c:v>53</c:v>
                </c:pt>
                <c:pt idx="30">
                  <c:v>55</c:v>
                </c:pt>
                <c:pt idx="31">
                  <c:v>61</c:v>
                </c:pt>
                <c:pt idx="32">
                  <c:v>96</c:v>
                </c:pt>
                <c:pt idx="33">
                  <c:v>100</c:v>
                </c:pt>
                <c:pt idx="34">
                  <c:v>61</c:v>
                </c:pt>
                <c:pt idx="35">
                  <c:v>37</c:v>
                </c:pt>
                <c:pt idx="36">
                  <c:v>74</c:v>
                </c:pt>
                <c:pt idx="37">
                  <c:v>107</c:v>
                </c:pt>
                <c:pt idx="38">
                  <c:v>107</c:v>
                </c:pt>
                <c:pt idx="39">
                  <c:v>97</c:v>
                </c:pt>
                <c:pt idx="40">
                  <c:v>90</c:v>
                </c:pt>
                <c:pt idx="41">
                  <c:v>47</c:v>
                </c:pt>
                <c:pt idx="42">
                  <c:v>76</c:v>
                </c:pt>
                <c:pt idx="43">
                  <c:v>113</c:v>
                </c:pt>
                <c:pt idx="44">
                  <c:v>116</c:v>
                </c:pt>
                <c:pt idx="45">
                  <c:v>106</c:v>
                </c:pt>
                <c:pt idx="46">
                  <c:v>123</c:v>
                </c:pt>
                <c:pt idx="47">
                  <c:v>153</c:v>
                </c:pt>
                <c:pt idx="48">
                  <c:v>118</c:v>
                </c:pt>
                <c:pt idx="49">
                  <c:v>70</c:v>
                </c:pt>
                <c:pt idx="50">
                  <c:v>111</c:v>
                </c:pt>
                <c:pt idx="51">
                  <c:v>130</c:v>
                </c:pt>
                <c:pt idx="52">
                  <c:v>130</c:v>
                </c:pt>
                <c:pt idx="53">
                  <c:v>127</c:v>
                </c:pt>
                <c:pt idx="54">
                  <c:v>160</c:v>
                </c:pt>
                <c:pt idx="55">
                  <c:v>149</c:v>
                </c:pt>
                <c:pt idx="56">
                  <c:v>135</c:v>
                </c:pt>
                <c:pt idx="57">
                  <c:v>128</c:v>
                </c:pt>
                <c:pt idx="58">
                  <c:v>141</c:v>
                </c:pt>
                <c:pt idx="59">
                  <c:v>141</c:v>
                </c:pt>
                <c:pt idx="60">
                  <c:v>153</c:v>
                </c:pt>
                <c:pt idx="61">
                  <c:v>132</c:v>
                </c:pt>
                <c:pt idx="62">
                  <c:v>140</c:v>
                </c:pt>
                <c:pt idx="63">
                  <c:v>54</c:v>
                </c:pt>
                <c:pt idx="64">
                  <c:v>139</c:v>
                </c:pt>
                <c:pt idx="65">
                  <c:v>112</c:v>
                </c:pt>
                <c:pt idx="66">
                  <c:v>129</c:v>
                </c:pt>
                <c:pt idx="67">
                  <c:v>166</c:v>
                </c:pt>
                <c:pt idx="68">
                  <c:v>106</c:v>
                </c:pt>
                <c:pt idx="69">
                  <c:v>94</c:v>
                </c:pt>
                <c:pt idx="70">
                  <c:v>96</c:v>
                </c:pt>
                <c:pt idx="71">
                  <c:v>144</c:v>
                </c:pt>
                <c:pt idx="72">
                  <c:v>197</c:v>
                </c:pt>
                <c:pt idx="73">
                  <c:v>152</c:v>
                </c:pt>
                <c:pt idx="74">
                  <c:v>150</c:v>
                </c:pt>
                <c:pt idx="75">
                  <c:v>209</c:v>
                </c:pt>
                <c:pt idx="76">
                  <c:v>132</c:v>
                </c:pt>
                <c:pt idx="77">
                  <c:v>100</c:v>
                </c:pt>
                <c:pt idx="78">
                  <c:v>96</c:v>
                </c:pt>
                <c:pt idx="79">
                  <c:v>128</c:v>
                </c:pt>
                <c:pt idx="80">
                  <c:v>123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C74-42C3-AEA3-0FCF0C9EED54}"/>
            </c:ext>
          </c:extLst>
        </c:ser>
        <c:ser>
          <c:idx val="4"/>
          <c:order val="4"/>
          <c:tx>
            <c:strRef>
              <c:f>'New_removed - bSIR'!$V$7</c:f>
              <c:strCache>
                <c:ptCount val="1"/>
                <c:pt idx="0">
                  <c:v>6-days moving avg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5"/>
            <c:spPr>
              <a:solidFill>
                <a:schemeClr val="accent3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'New_removed - bSIR'!$C$62:$C$142</c:f>
              <c:numCache>
                <c:formatCode>General</c:formatCode>
                <c:ptCount val="81"/>
                <c:pt idx="0">
                  <c:v>55</c:v>
                </c:pt>
                <c:pt idx="1">
                  <c:v>56</c:v>
                </c:pt>
                <c:pt idx="2">
                  <c:v>57</c:v>
                </c:pt>
                <c:pt idx="3">
                  <c:v>58</c:v>
                </c:pt>
                <c:pt idx="4">
                  <c:v>59</c:v>
                </c:pt>
                <c:pt idx="5">
                  <c:v>60</c:v>
                </c:pt>
                <c:pt idx="6">
                  <c:v>61</c:v>
                </c:pt>
                <c:pt idx="7">
                  <c:v>62</c:v>
                </c:pt>
                <c:pt idx="8">
                  <c:v>63</c:v>
                </c:pt>
                <c:pt idx="9">
                  <c:v>64</c:v>
                </c:pt>
                <c:pt idx="10">
                  <c:v>65</c:v>
                </c:pt>
                <c:pt idx="11">
                  <c:v>66</c:v>
                </c:pt>
                <c:pt idx="12">
                  <c:v>67</c:v>
                </c:pt>
                <c:pt idx="13">
                  <c:v>68</c:v>
                </c:pt>
                <c:pt idx="14">
                  <c:v>69</c:v>
                </c:pt>
                <c:pt idx="15">
                  <c:v>70</c:v>
                </c:pt>
                <c:pt idx="16">
                  <c:v>71</c:v>
                </c:pt>
                <c:pt idx="17">
                  <c:v>72</c:v>
                </c:pt>
                <c:pt idx="18">
                  <c:v>73</c:v>
                </c:pt>
                <c:pt idx="19">
                  <c:v>74</c:v>
                </c:pt>
                <c:pt idx="20">
                  <c:v>75</c:v>
                </c:pt>
                <c:pt idx="21">
                  <c:v>76</c:v>
                </c:pt>
                <c:pt idx="22">
                  <c:v>77</c:v>
                </c:pt>
                <c:pt idx="23">
                  <c:v>78</c:v>
                </c:pt>
                <c:pt idx="24">
                  <c:v>79</c:v>
                </c:pt>
                <c:pt idx="25">
                  <c:v>80</c:v>
                </c:pt>
                <c:pt idx="26">
                  <c:v>81</c:v>
                </c:pt>
                <c:pt idx="27">
                  <c:v>82</c:v>
                </c:pt>
                <c:pt idx="28">
                  <c:v>83</c:v>
                </c:pt>
                <c:pt idx="29">
                  <c:v>84</c:v>
                </c:pt>
                <c:pt idx="30">
                  <c:v>85</c:v>
                </c:pt>
                <c:pt idx="31">
                  <c:v>86</c:v>
                </c:pt>
                <c:pt idx="32">
                  <c:v>87</c:v>
                </c:pt>
                <c:pt idx="33">
                  <c:v>88</c:v>
                </c:pt>
                <c:pt idx="34">
                  <c:v>89</c:v>
                </c:pt>
                <c:pt idx="35">
                  <c:v>90</c:v>
                </c:pt>
                <c:pt idx="36">
                  <c:v>91</c:v>
                </c:pt>
                <c:pt idx="37">
                  <c:v>92</c:v>
                </c:pt>
                <c:pt idx="38">
                  <c:v>93</c:v>
                </c:pt>
                <c:pt idx="39">
                  <c:v>94</c:v>
                </c:pt>
                <c:pt idx="40">
                  <c:v>95</c:v>
                </c:pt>
                <c:pt idx="41">
                  <c:v>96</c:v>
                </c:pt>
                <c:pt idx="42">
                  <c:v>97</c:v>
                </c:pt>
                <c:pt idx="43">
                  <c:v>98</c:v>
                </c:pt>
                <c:pt idx="44">
                  <c:v>99</c:v>
                </c:pt>
                <c:pt idx="45">
                  <c:v>100</c:v>
                </c:pt>
                <c:pt idx="46">
                  <c:v>101</c:v>
                </c:pt>
                <c:pt idx="47">
                  <c:v>102</c:v>
                </c:pt>
                <c:pt idx="48">
                  <c:v>103</c:v>
                </c:pt>
                <c:pt idx="49">
                  <c:v>104</c:v>
                </c:pt>
                <c:pt idx="50">
                  <c:v>105</c:v>
                </c:pt>
                <c:pt idx="51">
                  <c:v>106</c:v>
                </c:pt>
                <c:pt idx="52">
                  <c:v>107</c:v>
                </c:pt>
                <c:pt idx="53">
                  <c:v>108</c:v>
                </c:pt>
                <c:pt idx="54">
                  <c:v>109</c:v>
                </c:pt>
                <c:pt idx="55">
                  <c:v>110</c:v>
                </c:pt>
                <c:pt idx="56">
                  <c:v>111</c:v>
                </c:pt>
                <c:pt idx="57">
                  <c:v>112</c:v>
                </c:pt>
                <c:pt idx="58">
                  <c:v>113</c:v>
                </c:pt>
                <c:pt idx="59">
                  <c:v>114</c:v>
                </c:pt>
                <c:pt idx="60">
                  <c:v>115</c:v>
                </c:pt>
                <c:pt idx="61">
                  <c:v>116</c:v>
                </c:pt>
                <c:pt idx="62">
                  <c:v>117</c:v>
                </c:pt>
                <c:pt idx="63">
                  <c:v>118</c:v>
                </c:pt>
                <c:pt idx="64">
                  <c:v>119</c:v>
                </c:pt>
                <c:pt idx="65">
                  <c:v>120</c:v>
                </c:pt>
                <c:pt idx="66">
                  <c:v>121</c:v>
                </c:pt>
                <c:pt idx="67">
                  <c:v>122</c:v>
                </c:pt>
                <c:pt idx="68">
                  <c:v>123</c:v>
                </c:pt>
                <c:pt idx="69">
                  <c:v>124</c:v>
                </c:pt>
                <c:pt idx="70">
                  <c:v>125</c:v>
                </c:pt>
                <c:pt idx="71">
                  <c:v>126</c:v>
                </c:pt>
                <c:pt idx="72">
                  <c:v>127</c:v>
                </c:pt>
                <c:pt idx="73">
                  <c:v>128</c:v>
                </c:pt>
                <c:pt idx="74">
                  <c:v>129</c:v>
                </c:pt>
                <c:pt idx="75">
                  <c:v>130</c:v>
                </c:pt>
                <c:pt idx="76">
                  <c:v>131</c:v>
                </c:pt>
                <c:pt idx="77">
                  <c:v>132</c:v>
                </c:pt>
                <c:pt idx="78">
                  <c:v>133</c:v>
                </c:pt>
                <c:pt idx="79">
                  <c:v>134</c:v>
                </c:pt>
                <c:pt idx="80">
                  <c:v>135</c:v>
                </c:pt>
              </c:numCache>
            </c:numRef>
          </c:xVal>
          <c:yVal>
            <c:numRef>
              <c:f>'New_removed - bSIR'!$V$62:$V$142</c:f>
              <c:numCache>
                <c:formatCode>General</c:formatCode>
                <c:ptCount val="8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0.8</c:v>
                </c:pt>
                <c:pt idx="5">
                  <c:v>0.66666666666666663</c:v>
                </c:pt>
                <c:pt idx="6">
                  <c:v>0.66666666666666663</c:v>
                </c:pt>
                <c:pt idx="7">
                  <c:v>0.83333333333333337</c:v>
                </c:pt>
                <c:pt idx="8">
                  <c:v>0.83333333333333337</c:v>
                </c:pt>
                <c:pt idx="9">
                  <c:v>1.1666666666666667</c:v>
                </c:pt>
                <c:pt idx="10">
                  <c:v>0.66666666666666663</c:v>
                </c:pt>
                <c:pt idx="11">
                  <c:v>0.83333333333333337</c:v>
                </c:pt>
                <c:pt idx="12">
                  <c:v>1.1666666666666667</c:v>
                </c:pt>
                <c:pt idx="13">
                  <c:v>1.1666666666666667</c:v>
                </c:pt>
                <c:pt idx="14">
                  <c:v>1.3333333333333333</c:v>
                </c:pt>
                <c:pt idx="15">
                  <c:v>1</c:v>
                </c:pt>
                <c:pt idx="16">
                  <c:v>3.8333333333333335</c:v>
                </c:pt>
                <c:pt idx="17">
                  <c:v>5.333333333333333</c:v>
                </c:pt>
                <c:pt idx="18">
                  <c:v>11.333333333333334</c:v>
                </c:pt>
                <c:pt idx="19">
                  <c:v>9</c:v>
                </c:pt>
                <c:pt idx="20">
                  <c:v>13.166666666666666</c:v>
                </c:pt>
                <c:pt idx="21">
                  <c:v>17.333333333333332</c:v>
                </c:pt>
                <c:pt idx="22">
                  <c:v>18.666666666666668</c:v>
                </c:pt>
                <c:pt idx="23">
                  <c:v>22.5</c:v>
                </c:pt>
                <c:pt idx="24">
                  <c:v>23.5</c:v>
                </c:pt>
                <c:pt idx="25">
                  <c:v>35.166666666666664</c:v>
                </c:pt>
                <c:pt idx="26">
                  <c:v>37</c:v>
                </c:pt>
                <c:pt idx="27">
                  <c:v>42.333333333333336</c:v>
                </c:pt>
                <c:pt idx="28">
                  <c:v>46.833333333333336</c:v>
                </c:pt>
                <c:pt idx="29">
                  <c:v>50.5</c:v>
                </c:pt>
                <c:pt idx="30">
                  <c:v>53.333333333333336</c:v>
                </c:pt>
                <c:pt idx="31">
                  <c:v>59.833333333333336</c:v>
                </c:pt>
                <c:pt idx="32">
                  <c:v>70.333333333333329</c:v>
                </c:pt>
                <c:pt idx="33">
                  <c:v>71</c:v>
                </c:pt>
                <c:pt idx="34">
                  <c:v>68.333333333333329</c:v>
                </c:pt>
                <c:pt idx="35">
                  <c:v>71.5</c:v>
                </c:pt>
                <c:pt idx="36">
                  <c:v>79.166666666666671</c:v>
                </c:pt>
                <c:pt idx="37">
                  <c:v>81</c:v>
                </c:pt>
                <c:pt idx="38">
                  <c:v>80.5</c:v>
                </c:pt>
                <c:pt idx="39">
                  <c:v>85.333333333333329</c:v>
                </c:pt>
                <c:pt idx="40">
                  <c:v>87</c:v>
                </c:pt>
                <c:pt idx="41">
                  <c:v>87.333333333333329</c:v>
                </c:pt>
                <c:pt idx="42">
                  <c:v>88.333333333333329</c:v>
                </c:pt>
                <c:pt idx="43">
                  <c:v>89.833333333333329</c:v>
                </c:pt>
                <c:pt idx="44">
                  <c:v>91.333333333333329</c:v>
                </c:pt>
                <c:pt idx="45">
                  <c:v>96.833333333333329</c:v>
                </c:pt>
                <c:pt idx="46">
                  <c:v>114.5</c:v>
                </c:pt>
                <c:pt idx="47">
                  <c:v>121.5</c:v>
                </c:pt>
                <c:pt idx="48">
                  <c:v>114.33333333333333</c:v>
                </c:pt>
                <c:pt idx="49">
                  <c:v>113.5</c:v>
                </c:pt>
                <c:pt idx="50">
                  <c:v>117.5</c:v>
                </c:pt>
                <c:pt idx="51">
                  <c:v>118.66666666666667</c:v>
                </c:pt>
                <c:pt idx="52">
                  <c:v>114.33333333333333</c:v>
                </c:pt>
                <c:pt idx="53">
                  <c:v>121.33333333333333</c:v>
                </c:pt>
                <c:pt idx="54">
                  <c:v>134.5</c:v>
                </c:pt>
                <c:pt idx="55">
                  <c:v>138.5</c:v>
                </c:pt>
                <c:pt idx="56">
                  <c:v>138.16666666666666</c:v>
                </c:pt>
                <c:pt idx="57">
                  <c:v>140</c:v>
                </c:pt>
                <c:pt idx="58">
                  <c:v>142.33333333333334</c:v>
                </c:pt>
                <c:pt idx="59">
                  <c:v>141.16666666666666</c:v>
                </c:pt>
                <c:pt idx="60">
                  <c:v>138.33333333333334</c:v>
                </c:pt>
                <c:pt idx="61">
                  <c:v>139.16666666666666</c:v>
                </c:pt>
                <c:pt idx="62">
                  <c:v>126.83333333333333</c:v>
                </c:pt>
                <c:pt idx="63">
                  <c:v>126.5</c:v>
                </c:pt>
                <c:pt idx="64">
                  <c:v>121.66666666666667</c:v>
                </c:pt>
                <c:pt idx="65">
                  <c:v>117.66666666666667</c:v>
                </c:pt>
                <c:pt idx="66">
                  <c:v>123.33333333333333</c:v>
                </c:pt>
                <c:pt idx="67">
                  <c:v>117.66666666666667</c:v>
                </c:pt>
                <c:pt idx="68">
                  <c:v>124.33333333333333</c:v>
                </c:pt>
                <c:pt idx="69">
                  <c:v>117.16666666666667</c:v>
                </c:pt>
                <c:pt idx="70">
                  <c:v>122.5</c:v>
                </c:pt>
                <c:pt idx="71">
                  <c:v>133.83333333333334</c:v>
                </c:pt>
                <c:pt idx="72">
                  <c:v>131.5</c:v>
                </c:pt>
                <c:pt idx="73">
                  <c:v>138.83333333333334</c:v>
                </c:pt>
                <c:pt idx="74">
                  <c:v>158</c:v>
                </c:pt>
                <c:pt idx="75">
                  <c:v>164</c:v>
                </c:pt>
                <c:pt idx="76">
                  <c:v>156.66666666666666</c:v>
                </c:pt>
                <c:pt idx="77">
                  <c:v>139.83333333333334</c:v>
                </c:pt>
                <c:pt idx="78">
                  <c:v>135.83333333333334</c:v>
                </c:pt>
                <c:pt idx="79">
                  <c:v>131.33333333333334</c:v>
                </c:pt>
                <c:pt idx="80">
                  <c:v>115.8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524-497E-B5EB-EF96344AF3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9487760"/>
        <c:axId val="969487440"/>
      </c:scatterChart>
      <c:scatterChart>
        <c:scatterStyle val="smoothMarker"/>
        <c:varyColors val="0"/>
        <c:ser>
          <c:idx val="1"/>
          <c:order val="1"/>
          <c:tx>
            <c:strRef>
              <c:f>'New_removed - bSIR'!$Z$7</c:f>
              <c:strCache>
                <c:ptCount val="1"/>
                <c:pt idx="0">
                  <c:v>region fit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'New_removed - bSIR'!$C$62:$C$281</c:f>
              <c:numCache>
                <c:formatCode>General</c:formatCode>
                <c:ptCount val="220"/>
                <c:pt idx="0">
                  <c:v>55</c:v>
                </c:pt>
                <c:pt idx="1">
                  <c:v>56</c:v>
                </c:pt>
                <c:pt idx="2">
                  <c:v>57</c:v>
                </c:pt>
                <c:pt idx="3">
                  <c:v>58</c:v>
                </c:pt>
                <c:pt idx="4">
                  <c:v>59</c:v>
                </c:pt>
                <c:pt idx="5">
                  <c:v>60</c:v>
                </c:pt>
                <c:pt idx="6">
                  <c:v>61</c:v>
                </c:pt>
                <c:pt idx="7">
                  <c:v>62</c:v>
                </c:pt>
                <c:pt idx="8">
                  <c:v>63</c:v>
                </c:pt>
                <c:pt idx="9">
                  <c:v>64</c:v>
                </c:pt>
                <c:pt idx="10">
                  <c:v>65</c:v>
                </c:pt>
                <c:pt idx="11">
                  <c:v>66</c:v>
                </c:pt>
                <c:pt idx="12">
                  <c:v>67</c:v>
                </c:pt>
                <c:pt idx="13">
                  <c:v>68</c:v>
                </c:pt>
                <c:pt idx="14">
                  <c:v>69</c:v>
                </c:pt>
                <c:pt idx="15">
                  <c:v>70</c:v>
                </c:pt>
                <c:pt idx="16">
                  <c:v>71</c:v>
                </c:pt>
                <c:pt idx="17">
                  <c:v>72</c:v>
                </c:pt>
                <c:pt idx="18">
                  <c:v>73</c:v>
                </c:pt>
                <c:pt idx="19">
                  <c:v>74</c:v>
                </c:pt>
                <c:pt idx="20">
                  <c:v>75</c:v>
                </c:pt>
                <c:pt idx="21">
                  <c:v>76</c:v>
                </c:pt>
                <c:pt idx="22">
                  <c:v>77</c:v>
                </c:pt>
                <c:pt idx="23">
                  <c:v>78</c:v>
                </c:pt>
                <c:pt idx="24">
                  <c:v>79</c:v>
                </c:pt>
                <c:pt idx="25">
                  <c:v>80</c:v>
                </c:pt>
                <c:pt idx="26">
                  <c:v>81</c:v>
                </c:pt>
                <c:pt idx="27">
                  <c:v>82</c:v>
                </c:pt>
                <c:pt idx="28">
                  <c:v>83</c:v>
                </c:pt>
                <c:pt idx="29">
                  <c:v>84</c:v>
                </c:pt>
                <c:pt idx="30">
                  <c:v>85</c:v>
                </c:pt>
                <c:pt idx="31">
                  <c:v>86</c:v>
                </c:pt>
                <c:pt idx="32">
                  <c:v>87</c:v>
                </c:pt>
                <c:pt idx="33">
                  <c:v>88</c:v>
                </c:pt>
                <c:pt idx="34">
                  <c:v>89</c:v>
                </c:pt>
                <c:pt idx="35">
                  <c:v>90</c:v>
                </c:pt>
                <c:pt idx="36">
                  <c:v>91</c:v>
                </c:pt>
                <c:pt idx="37">
                  <c:v>92</c:v>
                </c:pt>
                <c:pt idx="38">
                  <c:v>93</c:v>
                </c:pt>
                <c:pt idx="39">
                  <c:v>94</c:v>
                </c:pt>
                <c:pt idx="40">
                  <c:v>95</c:v>
                </c:pt>
                <c:pt idx="41">
                  <c:v>96</c:v>
                </c:pt>
                <c:pt idx="42">
                  <c:v>97</c:v>
                </c:pt>
                <c:pt idx="43">
                  <c:v>98</c:v>
                </c:pt>
                <c:pt idx="44">
                  <c:v>99</c:v>
                </c:pt>
                <c:pt idx="45">
                  <c:v>100</c:v>
                </c:pt>
                <c:pt idx="46">
                  <c:v>101</c:v>
                </c:pt>
                <c:pt idx="47">
                  <c:v>102</c:v>
                </c:pt>
                <c:pt idx="48">
                  <c:v>103</c:v>
                </c:pt>
                <c:pt idx="49">
                  <c:v>104</c:v>
                </c:pt>
                <c:pt idx="50">
                  <c:v>105</c:v>
                </c:pt>
                <c:pt idx="51">
                  <c:v>106</c:v>
                </c:pt>
                <c:pt idx="52">
                  <c:v>107</c:v>
                </c:pt>
                <c:pt idx="53">
                  <c:v>108</c:v>
                </c:pt>
                <c:pt idx="54">
                  <c:v>109</c:v>
                </c:pt>
                <c:pt idx="55">
                  <c:v>110</c:v>
                </c:pt>
                <c:pt idx="56">
                  <c:v>111</c:v>
                </c:pt>
                <c:pt idx="57">
                  <c:v>112</c:v>
                </c:pt>
                <c:pt idx="58">
                  <c:v>113</c:v>
                </c:pt>
                <c:pt idx="59">
                  <c:v>114</c:v>
                </c:pt>
                <c:pt idx="60">
                  <c:v>115</c:v>
                </c:pt>
                <c:pt idx="61">
                  <c:v>116</c:v>
                </c:pt>
                <c:pt idx="62">
                  <c:v>117</c:v>
                </c:pt>
                <c:pt idx="63">
                  <c:v>118</c:v>
                </c:pt>
                <c:pt idx="64">
                  <c:v>119</c:v>
                </c:pt>
                <c:pt idx="65">
                  <c:v>120</c:v>
                </c:pt>
                <c:pt idx="66">
                  <c:v>121</c:v>
                </c:pt>
                <c:pt idx="67">
                  <c:v>122</c:v>
                </c:pt>
                <c:pt idx="68">
                  <c:v>123</c:v>
                </c:pt>
                <c:pt idx="69">
                  <c:v>124</c:v>
                </c:pt>
                <c:pt idx="70">
                  <c:v>125</c:v>
                </c:pt>
                <c:pt idx="71">
                  <c:v>126</c:v>
                </c:pt>
                <c:pt idx="72">
                  <c:v>127</c:v>
                </c:pt>
                <c:pt idx="73">
                  <c:v>128</c:v>
                </c:pt>
                <c:pt idx="74">
                  <c:v>129</c:v>
                </c:pt>
                <c:pt idx="75">
                  <c:v>130</c:v>
                </c:pt>
                <c:pt idx="76">
                  <c:v>131</c:v>
                </c:pt>
                <c:pt idx="77">
                  <c:v>132</c:v>
                </c:pt>
                <c:pt idx="78">
                  <c:v>133</c:v>
                </c:pt>
                <c:pt idx="79">
                  <c:v>134</c:v>
                </c:pt>
                <c:pt idx="80">
                  <c:v>135</c:v>
                </c:pt>
                <c:pt idx="81">
                  <c:v>136</c:v>
                </c:pt>
                <c:pt idx="82">
                  <c:v>137</c:v>
                </c:pt>
                <c:pt idx="83">
                  <c:v>138</c:v>
                </c:pt>
                <c:pt idx="84">
                  <c:v>139</c:v>
                </c:pt>
                <c:pt idx="85">
                  <c:v>140</c:v>
                </c:pt>
                <c:pt idx="86">
                  <c:v>141</c:v>
                </c:pt>
                <c:pt idx="87">
                  <c:v>142</c:v>
                </c:pt>
                <c:pt idx="88">
                  <c:v>143</c:v>
                </c:pt>
                <c:pt idx="89">
                  <c:v>144</c:v>
                </c:pt>
                <c:pt idx="90">
                  <c:v>145</c:v>
                </c:pt>
                <c:pt idx="91">
                  <c:v>146</c:v>
                </c:pt>
                <c:pt idx="92">
                  <c:v>147</c:v>
                </c:pt>
                <c:pt idx="93">
                  <c:v>148</c:v>
                </c:pt>
                <c:pt idx="94">
                  <c:v>149</c:v>
                </c:pt>
                <c:pt idx="95">
                  <c:v>150</c:v>
                </c:pt>
                <c:pt idx="96">
                  <c:v>151</c:v>
                </c:pt>
                <c:pt idx="97">
                  <c:v>152</c:v>
                </c:pt>
                <c:pt idx="98">
                  <c:v>153</c:v>
                </c:pt>
                <c:pt idx="99">
                  <c:v>154</c:v>
                </c:pt>
                <c:pt idx="100">
                  <c:v>155</c:v>
                </c:pt>
                <c:pt idx="101">
                  <c:v>156</c:v>
                </c:pt>
                <c:pt idx="102">
                  <c:v>157</c:v>
                </c:pt>
                <c:pt idx="103">
                  <c:v>158</c:v>
                </c:pt>
                <c:pt idx="104">
                  <c:v>159</c:v>
                </c:pt>
                <c:pt idx="105">
                  <c:v>160</c:v>
                </c:pt>
                <c:pt idx="106">
                  <c:v>161</c:v>
                </c:pt>
                <c:pt idx="107">
                  <c:v>162</c:v>
                </c:pt>
                <c:pt idx="108">
                  <c:v>163</c:v>
                </c:pt>
                <c:pt idx="109">
                  <c:v>164</c:v>
                </c:pt>
                <c:pt idx="110">
                  <c:v>165</c:v>
                </c:pt>
                <c:pt idx="111">
                  <c:v>166</c:v>
                </c:pt>
                <c:pt idx="112">
                  <c:v>167</c:v>
                </c:pt>
                <c:pt idx="113">
                  <c:v>168</c:v>
                </c:pt>
                <c:pt idx="114">
                  <c:v>169</c:v>
                </c:pt>
                <c:pt idx="115">
                  <c:v>170</c:v>
                </c:pt>
                <c:pt idx="116">
                  <c:v>171</c:v>
                </c:pt>
                <c:pt idx="117">
                  <c:v>172</c:v>
                </c:pt>
                <c:pt idx="118">
                  <c:v>173</c:v>
                </c:pt>
                <c:pt idx="119">
                  <c:v>174</c:v>
                </c:pt>
                <c:pt idx="120">
                  <c:v>175</c:v>
                </c:pt>
                <c:pt idx="121">
                  <c:v>176</c:v>
                </c:pt>
                <c:pt idx="122">
                  <c:v>177</c:v>
                </c:pt>
                <c:pt idx="123">
                  <c:v>178</c:v>
                </c:pt>
                <c:pt idx="124">
                  <c:v>179</c:v>
                </c:pt>
                <c:pt idx="125">
                  <c:v>180</c:v>
                </c:pt>
                <c:pt idx="126">
                  <c:v>181</c:v>
                </c:pt>
                <c:pt idx="127">
                  <c:v>182</c:v>
                </c:pt>
                <c:pt idx="128">
                  <c:v>183</c:v>
                </c:pt>
                <c:pt idx="129">
                  <c:v>184</c:v>
                </c:pt>
                <c:pt idx="130">
                  <c:v>185</c:v>
                </c:pt>
                <c:pt idx="131">
                  <c:v>186</c:v>
                </c:pt>
                <c:pt idx="132">
                  <c:v>187</c:v>
                </c:pt>
                <c:pt idx="133">
                  <c:v>188</c:v>
                </c:pt>
                <c:pt idx="134">
                  <c:v>189</c:v>
                </c:pt>
                <c:pt idx="135">
                  <c:v>190</c:v>
                </c:pt>
                <c:pt idx="136">
                  <c:v>191</c:v>
                </c:pt>
                <c:pt idx="137">
                  <c:v>192</c:v>
                </c:pt>
                <c:pt idx="138">
                  <c:v>193</c:v>
                </c:pt>
                <c:pt idx="139">
                  <c:v>194</c:v>
                </c:pt>
                <c:pt idx="140">
                  <c:v>195</c:v>
                </c:pt>
                <c:pt idx="141">
                  <c:v>196</c:v>
                </c:pt>
                <c:pt idx="142">
                  <c:v>197</c:v>
                </c:pt>
                <c:pt idx="143">
                  <c:v>198</c:v>
                </c:pt>
                <c:pt idx="144">
                  <c:v>199</c:v>
                </c:pt>
                <c:pt idx="145">
                  <c:v>200</c:v>
                </c:pt>
                <c:pt idx="146">
                  <c:v>201</c:v>
                </c:pt>
                <c:pt idx="147">
                  <c:v>202</c:v>
                </c:pt>
                <c:pt idx="148">
                  <c:v>203</c:v>
                </c:pt>
                <c:pt idx="149">
                  <c:v>204</c:v>
                </c:pt>
                <c:pt idx="150">
                  <c:v>205</c:v>
                </c:pt>
                <c:pt idx="151">
                  <c:v>206</c:v>
                </c:pt>
                <c:pt idx="152">
                  <c:v>207</c:v>
                </c:pt>
                <c:pt idx="153">
                  <c:v>208</c:v>
                </c:pt>
                <c:pt idx="154">
                  <c:v>209</c:v>
                </c:pt>
                <c:pt idx="155">
                  <c:v>210</c:v>
                </c:pt>
                <c:pt idx="156">
                  <c:v>211</c:v>
                </c:pt>
                <c:pt idx="157">
                  <c:v>212</c:v>
                </c:pt>
                <c:pt idx="158">
                  <c:v>213</c:v>
                </c:pt>
                <c:pt idx="159">
                  <c:v>214</c:v>
                </c:pt>
                <c:pt idx="160">
                  <c:v>215</c:v>
                </c:pt>
                <c:pt idx="161">
                  <c:v>216</c:v>
                </c:pt>
                <c:pt idx="162">
                  <c:v>217</c:v>
                </c:pt>
                <c:pt idx="163">
                  <c:v>218</c:v>
                </c:pt>
                <c:pt idx="164">
                  <c:v>219</c:v>
                </c:pt>
                <c:pt idx="165">
                  <c:v>220</c:v>
                </c:pt>
                <c:pt idx="166">
                  <c:v>221</c:v>
                </c:pt>
                <c:pt idx="167">
                  <c:v>222</c:v>
                </c:pt>
                <c:pt idx="168">
                  <c:v>223</c:v>
                </c:pt>
                <c:pt idx="169">
                  <c:v>224</c:v>
                </c:pt>
                <c:pt idx="170">
                  <c:v>225</c:v>
                </c:pt>
                <c:pt idx="171">
                  <c:v>226</c:v>
                </c:pt>
                <c:pt idx="172">
                  <c:v>227</c:v>
                </c:pt>
                <c:pt idx="173">
                  <c:v>228</c:v>
                </c:pt>
                <c:pt idx="174">
                  <c:v>229</c:v>
                </c:pt>
                <c:pt idx="175">
                  <c:v>230</c:v>
                </c:pt>
                <c:pt idx="176">
                  <c:v>231</c:v>
                </c:pt>
                <c:pt idx="177">
                  <c:v>232</c:v>
                </c:pt>
                <c:pt idx="178">
                  <c:v>233</c:v>
                </c:pt>
                <c:pt idx="179">
                  <c:v>234</c:v>
                </c:pt>
                <c:pt idx="180">
                  <c:v>235</c:v>
                </c:pt>
                <c:pt idx="181">
                  <c:v>236</c:v>
                </c:pt>
                <c:pt idx="182">
                  <c:v>237</c:v>
                </c:pt>
                <c:pt idx="183">
                  <c:v>238</c:v>
                </c:pt>
                <c:pt idx="184">
                  <c:v>239</c:v>
                </c:pt>
                <c:pt idx="185">
                  <c:v>240</c:v>
                </c:pt>
                <c:pt idx="186">
                  <c:v>241</c:v>
                </c:pt>
                <c:pt idx="187">
                  <c:v>242</c:v>
                </c:pt>
                <c:pt idx="188">
                  <c:v>243</c:v>
                </c:pt>
                <c:pt idx="189">
                  <c:v>244</c:v>
                </c:pt>
                <c:pt idx="190">
                  <c:v>245</c:v>
                </c:pt>
                <c:pt idx="191">
                  <c:v>246</c:v>
                </c:pt>
                <c:pt idx="192">
                  <c:v>247</c:v>
                </c:pt>
                <c:pt idx="193">
                  <c:v>248</c:v>
                </c:pt>
                <c:pt idx="194">
                  <c:v>249</c:v>
                </c:pt>
                <c:pt idx="195">
                  <c:v>250</c:v>
                </c:pt>
                <c:pt idx="196">
                  <c:v>251</c:v>
                </c:pt>
                <c:pt idx="197">
                  <c:v>252</c:v>
                </c:pt>
                <c:pt idx="198">
                  <c:v>253</c:v>
                </c:pt>
                <c:pt idx="199">
                  <c:v>254</c:v>
                </c:pt>
                <c:pt idx="200">
                  <c:v>255</c:v>
                </c:pt>
                <c:pt idx="201">
                  <c:v>256</c:v>
                </c:pt>
                <c:pt idx="202">
                  <c:v>257</c:v>
                </c:pt>
                <c:pt idx="203">
                  <c:v>258</c:v>
                </c:pt>
                <c:pt idx="204">
                  <c:v>259</c:v>
                </c:pt>
                <c:pt idx="205">
                  <c:v>260</c:v>
                </c:pt>
                <c:pt idx="206">
                  <c:v>261</c:v>
                </c:pt>
                <c:pt idx="207">
                  <c:v>262</c:v>
                </c:pt>
                <c:pt idx="208">
                  <c:v>263</c:v>
                </c:pt>
                <c:pt idx="209">
                  <c:v>264</c:v>
                </c:pt>
                <c:pt idx="210">
                  <c:v>265</c:v>
                </c:pt>
                <c:pt idx="211">
                  <c:v>266</c:v>
                </c:pt>
                <c:pt idx="212">
                  <c:v>267</c:v>
                </c:pt>
                <c:pt idx="213">
                  <c:v>268</c:v>
                </c:pt>
                <c:pt idx="214">
                  <c:v>269</c:v>
                </c:pt>
                <c:pt idx="215">
                  <c:v>270</c:v>
                </c:pt>
                <c:pt idx="216">
                  <c:v>271</c:v>
                </c:pt>
                <c:pt idx="217">
                  <c:v>272</c:v>
                </c:pt>
                <c:pt idx="218">
                  <c:v>273</c:v>
                </c:pt>
                <c:pt idx="219">
                  <c:v>274</c:v>
                </c:pt>
              </c:numCache>
            </c:numRef>
          </c:xVal>
          <c:yVal>
            <c:numRef>
              <c:f>'New_removed - bSIR'!$Z$62:$Z$281</c:f>
              <c:numCache>
                <c:formatCode>General</c:formatCode>
                <c:ptCount val="220"/>
                <c:pt idx="0">
                  <c:v>14.865479662063601</c:v>
                </c:pt>
                <c:pt idx="1">
                  <c:v>15.67760406574914</c:v>
                </c:pt>
                <c:pt idx="2">
                  <c:v>16.531102973403353</c:v>
                </c:pt>
                <c:pt idx="3">
                  <c:v>17.427739652397136</c:v>
                </c:pt>
                <c:pt idx="4">
                  <c:v>18.369312091273478</c:v>
                </c:pt>
                <c:pt idx="5">
                  <c:v>19.357648388642112</c:v>
                </c:pt>
                <c:pt idx="6">
                  <c:v>20.394601319470279</c:v>
                </c:pt>
                <c:pt idx="7">
                  <c:v>21.482042001296499</c:v>
                </c:pt>
                <c:pt idx="8">
                  <c:v>22.621852580021038</c:v>
                </c:pt>
                <c:pt idx="9">
                  <c:v>23.815917852703663</c:v>
                </c:pt>
                <c:pt idx="10">
                  <c:v>25.066115743405614</c:v>
                </c:pt>
                <c:pt idx="11">
                  <c:v>26.374306547759637</c:v>
                </c:pt>
                <c:pt idx="12">
                  <c:v>27.742320862869523</c:v>
                </c:pt>
                <c:pt idx="13">
                  <c:v>29.171946121590004</c:v>
                </c:pt>
                <c:pt idx="14">
                  <c:v>30.664911654503587</c:v>
                </c:pt>
                <c:pt idx="15">
                  <c:v>32.222872209298011</c:v>
                </c:pt>
                <c:pt idx="16">
                  <c:v>33.847389866087639</c:v>
                </c:pt>
                <c:pt idx="17">
                  <c:v>35.539914298856431</c:v>
                </c:pt>
                <c:pt idx="18">
                  <c:v>37.301761347983359</c:v>
                </c:pt>
                <c:pt idx="19">
                  <c:v>39.134089887097304</c:v>
                </c:pt>
                <c:pt idx="20">
                  <c:v>41.037876989642982</c:v>
                </c:pt>
                <c:pt idx="21">
                  <c:v>43.013891426841987</c:v>
                </c:pt>
                <c:pt idx="22">
                  <c:v>45.062665559485005</c:v>
                </c:pt>
                <c:pt idx="23">
                  <c:v>47.184465721412373</c:v>
                </c:pt>
                <c:pt idx="24">
                  <c:v>49.37926123276646</c:v>
                </c:pt>
                <c:pt idx="25">
                  <c:v>51.646692226162791</c:v>
                </c:pt>
                <c:pt idx="26">
                  <c:v>53.986036518713341</c:v>
                </c:pt>
                <c:pt idx="27">
                  <c:v>56.396175817072752</c:v>
                </c:pt>
                <c:pt idx="28">
                  <c:v>58.875561600888808</c:v>
                </c:pt>
                <c:pt idx="29">
                  <c:v>61.422181091512115</c:v>
                </c:pt>
                <c:pt idx="30">
                  <c:v>64.033523776595501</c:v>
                </c:pt>
                <c:pt idx="31">
                  <c:v>66.706549026027517</c:v>
                </c:pt>
                <c:pt idx="32">
                  <c:v>69.437655398940805</c:v>
                </c:pt>
                <c:pt idx="33">
                  <c:v>72.222652303432596</c:v>
                </c:pt>
                <c:pt idx="34">
                  <c:v>75.056734727929353</c:v>
                </c:pt>
                <c:pt idx="35">
                  <c:v>77.934461813330699</c:v>
                </c:pt>
                <c:pt idx="36">
                  <c:v>80.849740075400007</c:v>
                </c:pt>
                <c:pt idx="37">
                  <c:v>83.795812114364338</c:v>
                </c:pt>
                <c:pt idx="38">
                  <c:v>86.765251660229168</c:v>
                </c:pt>
                <c:pt idx="39">
                  <c:v>89.749965794764407</c:v>
                </c:pt>
                <c:pt idx="40">
                  <c:v>92.741205161447823</c:v>
                </c:pt>
                <c:pt idx="41">
                  <c:v>95.729582920078158</c:v>
                </c:pt>
                <c:pt idx="42">
                  <c:v>98.705103120941359</c:v>
                </c:pt>
                <c:pt idx="43">
                  <c:v>101.65719906260496</c:v>
                </c:pt>
                <c:pt idx="44">
                  <c:v>104.57478205671082</c:v>
                </c:pt>
                <c:pt idx="45">
                  <c:v>107.44630085262033</c:v>
                </c:pt>
                <c:pt idx="46">
                  <c:v>110.25981177572147</c:v>
                </c:pt>
                <c:pt idx="47">
                  <c:v>113.00305940821912</c:v>
                </c:pt>
                <c:pt idx="48">
                  <c:v>115.663567394317</c:v>
                </c:pt>
                <c:pt idx="49">
                  <c:v>118.22873868833913</c:v>
                </c:pt>
                <c:pt idx="50">
                  <c:v>120.68596429140617</c:v>
                </c:pt>
                <c:pt idx="51">
                  <c:v>123.02273924795995</c:v>
                </c:pt>
                <c:pt idx="52">
                  <c:v>125.2267844069582</c:v>
                </c:pt>
                <c:pt idx="53">
                  <c:v>127.28617220393699</c:v>
                </c:pt>
                <c:pt idx="54">
                  <c:v>129.18945449972719</c:v>
                </c:pt>
                <c:pt idx="55">
                  <c:v>130.92579032964943</c:v>
                </c:pt>
                <c:pt idx="56">
                  <c:v>132.48507128312363</c:v>
                </c:pt>
                <c:pt idx="57">
                  <c:v>133.85804215624799</c:v>
                </c:pt>
                <c:pt idx="58">
                  <c:v>135.03641450576106</c:v>
                </c:pt>
                <c:pt idx="59">
                  <c:v>136.01297078645584</c:v>
                </c:pt>
                <c:pt idx="60">
                  <c:v>136.78165687752391</c:v>
                </c:pt>
                <c:pt idx="61">
                  <c:v>137.33766099559634</c:v>
                </c:pt>
                <c:pt idx="62">
                  <c:v>137.67747724954512</c:v>
                </c:pt>
                <c:pt idx="63">
                  <c:v>137.79895240762775</c:v>
                </c:pt>
                <c:pt idx="64">
                  <c:v>137.70131481176921</c:v>
                </c:pt>
                <c:pt idx="65">
                  <c:v>137.38518477485567</c:v>
                </c:pt>
                <c:pt idx="66">
                  <c:v>136.85256622119792</c:v>
                </c:pt>
                <c:pt idx="67">
                  <c:v>136.10681976304252</c:v>
                </c:pt>
                <c:pt idx="68">
                  <c:v>135.15261783194293</c:v>
                </c:pt>
                <c:pt idx="69">
                  <c:v>133.99588288809386</c:v>
                </c:pt>
                <c:pt idx="70">
                  <c:v>132.64371009957173</c:v>
                </c:pt>
                <c:pt idx="71">
                  <c:v>131.1042762047478</c:v>
                </c:pt>
                <c:pt idx="72">
                  <c:v>129.3867365351567</c:v>
                </c:pt>
                <c:pt idx="73">
                  <c:v>127.50111237570927</c:v>
                </c:pt>
                <c:pt idx="74">
                  <c:v>125.45817097013882</c:v>
                </c:pt>
                <c:pt idx="75">
                  <c:v>123.26930054077478</c:v>
                </c:pt>
                <c:pt idx="76">
                  <c:v>120.94638268479598</c:v>
                </c:pt>
                <c:pt idx="77">
                  <c:v>118.50166443832879</c:v>
                </c:pt>
                <c:pt idx="78">
                  <c:v>115.94763217163239</c:v>
                </c:pt>
                <c:pt idx="79">
                  <c:v>113.29688930143743</c:v>
                </c:pt>
                <c:pt idx="80">
                  <c:v>110.56203958978521</c:v>
                </c:pt>
                <c:pt idx="81">
                  <c:v>107.75557755265866</c:v>
                </c:pt>
                <c:pt idx="82">
                  <c:v>104.8897872366708</c:v>
                </c:pt>
                <c:pt idx="83">
                  <c:v>101.97665034814506</c:v>
                </c:pt>
                <c:pt idx="84">
                  <c:v>99.027764445420772</c:v>
                </c:pt>
                <c:pt idx="85">
                  <c:v>96.054271640455042</c:v>
                </c:pt>
                <c:pt idx="86">
                  <c:v>93.066798006797015</c:v>
                </c:pt>
                <c:pt idx="87">
                  <c:v>90.075403663419394</c:v>
                </c:pt>
                <c:pt idx="88">
                  <c:v>87.0895433018662</c:v>
                </c:pt>
                <c:pt idx="89">
                  <c:v>84.11803675047554</c:v>
                </c:pt>
                <c:pt idx="90">
                  <c:v>81.169049025460509</c:v>
                </c:pt>
                <c:pt idx="91">
                  <c:v>78.250079204594826</c:v>
                </c:pt>
                <c:pt idx="92">
                  <c:v>75.367957374340619</c:v>
                </c:pt>
                <c:pt idx="93">
                  <c:v>72.528848843818281</c:v>
                </c:pt>
                <c:pt idx="94">
                  <c:v>69.738264786763963</c:v>
                </c:pt>
                <c:pt idx="95">
                  <c:v>67.001078462812515</c:v>
                </c:pt>
                <c:pt idx="96">
                  <c:v>64.321546179053598</c:v>
                </c:pt>
                <c:pt idx="97">
                  <c:v>61.703332178724686</c:v>
                </c:pt>
                <c:pt idx="98">
                  <c:v>59.149536682985598</c:v>
                </c:pt>
                <c:pt idx="99">
                  <c:v>56.66272636098499</c:v>
                </c:pt>
                <c:pt idx="100">
                  <c:v>54.244966560081032</c:v>
                </c:pt>
                <c:pt idx="101">
                  <c:v>51.897854689584868</c:v>
                </c:pt>
                <c:pt idx="102">
                  <c:v>49.622554215526335</c:v>
                </c:pt>
                <c:pt idx="103">
                  <c:v>47.419828788784017</c:v>
                </c:pt>
                <c:pt idx="104">
                  <c:v>45.290076092872333</c:v>
                </c:pt>
                <c:pt idx="105">
                  <c:v>43.233361059457479</c:v>
                </c:pt>
                <c:pt idx="106">
                  <c:v>41.24944815827682</c:v>
                </c:pt>
                <c:pt idx="107">
                  <c:v>39.337832522833985</c:v>
                </c:pt>
                <c:pt idx="108">
                  <c:v>37.497769723529686</c:v>
                </c:pt>
                <c:pt idx="109">
                  <c:v>35.728304045472669</c:v>
                </c:pt>
                <c:pt idx="110">
                  <c:v>34.028295168970338</c:v>
                </c:pt>
                <c:pt idx="111">
                  <c:v>32.396443186637171</c:v>
                </c:pt>
                <c:pt idx="112">
                  <c:v>30.831311922309357</c:v>
                </c:pt>
                <c:pt idx="113">
                  <c:v>29.331350543729314</c:v>
                </c:pt>
                <c:pt idx="114">
                  <c:v>27.894913483536055</c:v>
                </c:pt>
                <c:pt idx="115">
                  <c:v>26.520278701786186</c:v>
                </c:pt>
                <c:pt idx="116">
                  <c:v>25.20566433837832</c:v>
                </c:pt>
                <c:pt idx="117">
                  <c:v>23.949243815712837</c:v>
                </c:pt>
                <c:pt idx="118">
                  <c:v>22.749159461045625</c:v>
                </c:pt>
                <c:pt idx="119">
                  <c:v>21.603534724633523</c:v>
                </c:pt>
                <c:pt idx="120">
                  <c:v>20.510485074249125</c:v>
                </c:pt>
                <c:pt idx="121">
                  <c:v>19.468127649276077</c:v>
                </c:pt>
                <c:pt idx="122">
                  <c:v>18.474589758667346</c:v>
                </c:pt>
                <c:pt idx="123">
                  <c:v>17.528016306822405</c:v>
                </c:pt>
                <c:pt idx="124">
                  <c:v>16.626576230148213</c:v>
                </c:pt>
                <c:pt idx="125">
                  <c:v>15.768468024926502</c:v>
                </c:pt>
                <c:pt idx="126">
                  <c:v>14.951924444300136</c:v>
                </c:pt>
                <c:pt idx="127">
                  <c:v>14.175216438876145</c:v>
                </c:pt>
                <c:pt idx="128">
                  <c:v>13.436656411762257</c:v>
                </c:pt>
                <c:pt idx="129">
                  <c:v>12.734600854927153</c:v>
                </c:pt>
                <c:pt idx="130">
                  <c:v>12.067452429700822</c:v>
                </c:pt>
                <c:pt idx="131">
                  <c:v>11.433661550095387</c:v>
                </c:pt>
                <c:pt idx="132">
                  <c:v>10.831727523497044</c:v>
                </c:pt>
                <c:pt idx="133">
                  <c:v>10.260199299210324</c:v>
                </c:pt>
                <c:pt idx="134">
                  <c:v>9.7176758713717604</c:v>
                </c:pt>
                <c:pt idx="135">
                  <c:v>9.2028063789247465</c:v>
                </c:pt>
                <c:pt idx="136">
                  <c:v>8.7142899416852622</c:v>
                </c:pt>
                <c:pt idx="137">
                  <c:v>8.2508752680478796</c:v>
                </c:pt>
                <c:pt idx="138">
                  <c:v>7.8113600665945588</c:v>
                </c:pt>
                <c:pt idx="139">
                  <c:v>7.3945902907820749</c:v>
                </c:pt>
                <c:pt idx="140">
                  <c:v>6.9994592429989844</c:v>
                </c:pt>
                <c:pt idx="141">
                  <c:v>6.6249065616008798</c:v>
                </c:pt>
                <c:pt idx="142">
                  <c:v>6.2699171120481791</c:v>
                </c:pt>
                <c:pt idx="143">
                  <c:v>5.9335198009784289</c:v>
                </c:pt>
                <c:pt idx="144">
                  <c:v>5.6147863299392062</c:v>
                </c:pt>
                <c:pt idx="145">
                  <c:v>5.3128299035783479</c:v>
                </c:pt>
                <c:pt idx="146">
                  <c:v>5.0268039053267994</c:v>
                </c:pt>
                <c:pt idx="147">
                  <c:v>4.7559005520070867</c:v>
                </c:pt>
                <c:pt idx="148">
                  <c:v>4.4993495373462773</c:v>
                </c:pt>
                <c:pt idx="149">
                  <c:v>4.2564166730567949</c:v>
                </c:pt>
                <c:pt idx="150">
                  <c:v>4.0264025349624477</c:v>
                </c:pt>
                <c:pt idx="151">
                  <c:v>3.8086411205799044</c:v>
                </c:pt>
                <c:pt idx="152">
                  <c:v>3.6024985236090048</c:v>
                </c:pt>
                <c:pt idx="153">
                  <c:v>3.4073716299295653</c:v>
                </c:pt>
                <c:pt idx="154">
                  <c:v>3.2226868389395111</c:v>
                </c:pt>
                <c:pt idx="155">
                  <c:v>3.047898813390939</c:v>
                </c:pt>
                <c:pt idx="156">
                  <c:v>2.8824892602795051</c:v>
                </c:pt>
                <c:pt idx="157">
                  <c:v>2.7259657448118055</c:v>
                </c:pt>
                <c:pt idx="158">
                  <c:v>2.5778605390080598</c:v>
                </c:pt>
                <c:pt idx="159">
                  <c:v>2.4377295060873636</c:v>
                </c:pt>
                <c:pt idx="160">
                  <c:v>2.3051510214248765</c:v>
                </c:pt>
                <c:pt idx="161">
                  <c:v>2.1797249305588728</c:v>
                </c:pt>
                <c:pt idx="162">
                  <c:v>2.0610715444558951</c:v>
                </c:pt>
                <c:pt idx="163">
                  <c:v>1.9488306720103019</c:v>
                </c:pt>
                <c:pt idx="164">
                  <c:v>1.8426606895559079</c:v>
                </c:pt>
                <c:pt idx="165">
                  <c:v>1.7422376469985743</c:v>
                </c:pt>
                <c:pt idx="166">
                  <c:v>1.6472544100366338</c:v>
                </c:pt>
                <c:pt idx="167">
                  <c:v>1.5574198378172184</c:v>
                </c:pt>
                <c:pt idx="168">
                  <c:v>1.4724579952788883</c:v>
                </c:pt>
                <c:pt idx="169">
                  <c:v>1.3921073993515625</c:v>
                </c:pt>
                <c:pt idx="170">
                  <c:v>1.3161202981214073</c:v>
                </c:pt>
                <c:pt idx="171">
                  <c:v>1.2442619820193914</c:v>
                </c:pt>
                <c:pt idx="172">
                  <c:v>1.1763101260555269</c:v>
                </c:pt>
                <c:pt idx="173">
                  <c:v>1.1120541620948878</c:v>
                </c:pt>
                <c:pt idx="174">
                  <c:v>1.0512946801550551</c:v>
                </c:pt>
                <c:pt idx="175">
                  <c:v>0.99384285769620517</c:v>
                </c:pt>
                <c:pt idx="176">
                  <c:v>0.93951991587351469</c:v>
                </c:pt>
                <c:pt idx="177">
                  <c:v>0.88815660172606781</c:v>
                </c:pt>
                <c:pt idx="178">
                  <c:v>0.83959269528591685</c:v>
                </c:pt>
                <c:pt idx="179">
                  <c:v>0.79367654060460469</c:v>
                </c:pt>
                <c:pt idx="180">
                  <c:v>0.75026459971180126</c:v>
                </c:pt>
                <c:pt idx="181">
                  <c:v>0.70922102854076052</c:v>
                </c:pt>
                <c:pt idx="182">
                  <c:v>0.6704172738778934</c:v>
                </c:pt>
                <c:pt idx="183">
                  <c:v>0.63373169041816113</c:v>
                </c:pt>
                <c:pt idx="184">
                  <c:v>0.59904917703382321</c:v>
                </c:pt>
                <c:pt idx="185">
                  <c:v>0.56626083139112227</c:v>
                </c:pt>
                <c:pt idx="186">
                  <c:v>0.5352636220772401</c:v>
                </c:pt>
                <c:pt idx="187">
                  <c:v>0.50596007742813121</c:v>
                </c:pt>
                <c:pt idx="188">
                  <c:v>0.47825799027643984</c:v>
                </c:pt>
                <c:pt idx="189">
                  <c:v>0.45207013786734868</c:v>
                </c:pt>
                <c:pt idx="190">
                  <c:v>0.42731401621873172</c:v>
                </c:pt>
                <c:pt idx="191">
                  <c:v>0.4039115882303207</c:v>
                </c:pt>
                <c:pt idx="192">
                  <c:v>0.3817890448745318</c:v>
                </c:pt>
                <c:pt idx="193">
                  <c:v>0.36087657882905222</c:v>
                </c:pt>
                <c:pt idx="194">
                  <c:v>0.34110816993823334</c:v>
                </c:pt>
                <c:pt idx="195">
                  <c:v>0.32242138191663144</c:v>
                </c:pt>
                <c:pt idx="196">
                  <c:v>0.30475716973364858</c:v>
                </c:pt>
                <c:pt idx="197">
                  <c:v>0.28805969714315133</c:v>
                </c:pt>
                <c:pt idx="198">
                  <c:v>0.2722761638460991</c:v>
                </c:pt>
                <c:pt idx="199">
                  <c:v>0.25735664179758161</c:v>
                </c:pt>
                <c:pt idx="200">
                  <c:v>0.2432539201922812</c:v>
                </c:pt>
                <c:pt idx="201">
                  <c:v>0.22992335868416242</c:v>
                </c:pt>
                <c:pt idx="202">
                  <c:v>0.21732274841718952</c:v>
                </c:pt>
                <c:pt idx="203">
                  <c:v>0.20541218046407692</c:v>
                </c:pt>
                <c:pt idx="204">
                  <c:v>0.19415392128949399</c:v>
                </c:pt>
                <c:pt idx="205">
                  <c:v>0.18351229487276297</c:v>
                </c:pt>
                <c:pt idx="206">
                  <c:v>0.17345357114296395</c:v>
                </c:pt>
                <c:pt idx="207">
                  <c:v>0.1639458603964698</c:v>
                </c:pt>
                <c:pt idx="208">
                  <c:v>0.1549590133833022</c:v>
                </c:pt>
                <c:pt idx="209">
                  <c:v>0.14646452676436927</c:v>
                </c:pt>
                <c:pt idx="210">
                  <c:v>0.13843545365660775</c:v>
                </c:pt>
                <c:pt idx="211">
                  <c:v>0.13084631899733393</c:v>
                </c:pt>
                <c:pt idx="212">
                  <c:v>0.12367303947275748</c:v>
                </c:pt>
                <c:pt idx="213">
                  <c:v>0.11689284776860276</c:v>
                </c:pt>
                <c:pt idx="214">
                  <c:v>0.11048422091318721</c:v>
                </c:pt>
                <c:pt idx="215">
                  <c:v>0.10442681249511529</c:v>
                </c:pt>
                <c:pt idx="216">
                  <c:v>9.8701388548984109E-2</c:v>
                </c:pt>
                <c:pt idx="217">
                  <c:v>9.3289766913208019E-2</c:v>
                </c:pt>
                <c:pt idx="218">
                  <c:v>8.8174759874248998E-2</c:v>
                </c:pt>
                <c:pt idx="219">
                  <c:v>8.3340119921220576E-2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C74-42C3-AEA3-0FCF0C9EED54}"/>
            </c:ext>
          </c:extLst>
        </c:ser>
        <c:ser>
          <c:idx val="5"/>
          <c:order val="5"/>
          <c:tx>
            <c:strRef>
              <c:f>'New_removed - bSIR'!$AC$7</c:f>
              <c:strCache>
                <c:ptCount val="1"/>
                <c:pt idx="0">
                  <c:v>6-days moving avg fit</c:v>
                </c:pt>
              </c:strCache>
            </c:strRef>
          </c:tx>
          <c:spPr>
            <a:ln w="19050" cap="rnd">
              <a:solidFill>
                <a:schemeClr val="accent3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'New_removed - bSIR'!$C$62:$C$142</c:f>
              <c:numCache>
                <c:formatCode>General</c:formatCode>
                <c:ptCount val="81"/>
                <c:pt idx="0">
                  <c:v>55</c:v>
                </c:pt>
                <c:pt idx="1">
                  <c:v>56</c:v>
                </c:pt>
                <c:pt idx="2">
                  <c:v>57</c:v>
                </c:pt>
                <c:pt idx="3">
                  <c:v>58</c:v>
                </c:pt>
                <c:pt idx="4">
                  <c:v>59</c:v>
                </c:pt>
                <c:pt idx="5">
                  <c:v>60</c:v>
                </c:pt>
                <c:pt idx="6">
                  <c:v>61</c:v>
                </c:pt>
                <c:pt idx="7">
                  <c:v>62</c:v>
                </c:pt>
                <c:pt idx="8">
                  <c:v>63</c:v>
                </c:pt>
                <c:pt idx="9">
                  <c:v>64</c:v>
                </c:pt>
                <c:pt idx="10">
                  <c:v>65</c:v>
                </c:pt>
                <c:pt idx="11">
                  <c:v>66</c:v>
                </c:pt>
                <c:pt idx="12">
                  <c:v>67</c:v>
                </c:pt>
                <c:pt idx="13">
                  <c:v>68</c:v>
                </c:pt>
                <c:pt idx="14">
                  <c:v>69</c:v>
                </c:pt>
                <c:pt idx="15">
                  <c:v>70</c:v>
                </c:pt>
                <c:pt idx="16">
                  <c:v>71</c:v>
                </c:pt>
                <c:pt idx="17">
                  <c:v>72</c:v>
                </c:pt>
                <c:pt idx="18">
                  <c:v>73</c:v>
                </c:pt>
                <c:pt idx="19">
                  <c:v>74</c:v>
                </c:pt>
                <c:pt idx="20">
                  <c:v>75</c:v>
                </c:pt>
                <c:pt idx="21">
                  <c:v>76</c:v>
                </c:pt>
                <c:pt idx="22">
                  <c:v>77</c:v>
                </c:pt>
                <c:pt idx="23">
                  <c:v>78</c:v>
                </c:pt>
                <c:pt idx="24">
                  <c:v>79</c:v>
                </c:pt>
                <c:pt idx="25">
                  <c:v>80</c:v>
                </c:pt>
                <c:pt idx="26">
                  <c:v>81</c:v>
                </c:pt>
                <c:pt idx="27">
                  <c:v>82</c:v>
                </c:pt>
                <c:pt idx="28">
                  <c:v>83</c:v>
                </c:pt>
                <c:pt idx="29">
                  <c:v>84</c:v>
                </c:pt>
                <c:pt idx="30">
                  <c:v>85</c:v>
                </c:pt>
                <c:pt idx="31">
                  <c:v>86</c:v>
                </c:pt>
                <c:pt idx="32">
                  <c:v>87</c:v>
                </c:pt>
                <c:pt idx="33">
                  <c:v>88</c:v>
                </c:pt>
                <c:pt idx="34">
                  <c:v>89</c:v>
                </c:pt>
                <c:pt idx="35">
                  <c:v>90</c:v>
                </c:pt>
                <c:pt idx="36">
                  <c:v>91</c:v>
                </c:pt>
                <c:pt idx="37">
                  <c:v>92</c:v>
                </c:pt>
                <c:pt idx="38">
                  <c:v>93</c:v>
                </c:pt>
                <c:pt idx="39">
                  <c:v>94</c:v>
                </c:pt>
                <c:pt idx="40">
                  <c:v>95</c:v>
                </c:pt>
                <c:pt idx="41">
                  <c:v>96</c:v>
                </c:pt>
                <c:pt idx="42">
                  <c:v>97</c:v>
                </c:pt>
                <c:pt idx="43">
                  <c:v>98</c:v>
                </c:pt>
                <c:pt idx="44">
                  <c:v>99</c:v>
                </c:pt>
                <c:pt idx="45">
                  <c:v>100</c:v>
                </c:pt>
                <c:pt idx="46">
                  <c:v>101</c:v>
                </c:pt>
                <c:pt idx="47">
                  <c:v>102</c:v>
                </c:pt>
                <c:pt idx="48">
                  <c:v>103</c:v>
                </c:pt>
                <c:pt idx="49">
                  <c:v>104</c:v>
                </c:pt>
                <c:pt idx="50">
                  <c:v>105</c:v>
                </c:pt>
                <c:pt idx="51">
                  <c:v>106</c:v>
                </c:pt>
                <c:pt idx="52">
                  <c:v>107</c:v>
                </c:pt>
                <c:pt idx="53">
                  <c:v>108</c:v>
                </c:pt>
                <c:pt idx="54">
                  <c:v>109</c:v>
                </c:pt>
                <c:pt idx="55">
                  <c:v>110</c:v>
                </c:pt>
                <c:pt idx="56">
                  <c:v>111</c:v>
                </c:pt>
                <c:pt idx="57">
                  <c:v>112</c:v>
                </c:pt>
                <c:pt idx="58">
                  <c:v>113</c:v>
                </c:pt>
                <c:pt idx="59">
                  <c:v>114</c:v>
                </c:pt>
                <c:pt idx="60">
                  <c:v>115</c:v>
                </c:pt>
                <c:pt idx="61">
                  <c:v>116</c:v>
                </c:pt>
                <c:pt idx="62">
                  <c:v>117</c:v>
                </c:pt>
                <c:pt idx="63">
                  <c:v>118</c:v>
                </c:pt>
                <c:pt idx="64">
                  <c:v>119</c:v>
                </c:pt>
                <c:pt idx="65">
                  <c:v>120</c:v>
                </c:pt>
                <c:pt idx="66">
                  <c:v>121</c:v>
                </c:pt>
                <c:pt idx="67">
                  <c:v>122</c:v>
                </c:pt>
                <c:pt idx="68">
                  <c:v>123</c:v>
                </c:pt>
                <c:pt idx="69">
                  <c:v>124</c:v>
                </c:pt>
                <c:pt idx="70">
                  <c:v>125</c:v>
                </c:pt>
                <c:pt idx="71">
                  <c:v>126</c:v>
                </c:pt>
                <c:pt idx="72">
                  <c:v>127</c:v>
                </c:pt>
                <c:pt idx="73">
                  <c:v>128</c:v>
                </c:pt>
                <c:pt idx="74">
                  <c:v>129</c:v>
                </c:pt>
                <c:pt idx="75">
                  <c:v>130</c:v>
                </c:pt>
                <c:pt idx="76">
                  <c:v>131</c:v>
                </c:pt>
                <c:pt idx="77">
                  <c:v>132</c:v>
                </c:pt>
                <c:pt idx="78">
                  <c:v>133</c:v>
                </c:pt>
                <c:pt idx="79">
                  <c:v>134</c:v>
                </c:pt>
                <c:pt idx="80">
                  <c:v>135</c:v>
                </c:pt>
              </c:numCache>
            </c:numRef>
          </c:xVal>
          <c:yVal>
            <c:numRef>
              <c:f>'New_removed - bSIR'!$AC$62:$AC$142</c:f>
              <c:numCache>
                <c:formatCode>General</c:formatCode>
                <c:ptCount val="81"/>
                <c:pt idx="0">
                  <c:v>14.865479662063601</c:v>
                </c:pt>
                <c:pt idx="1">
                  <c:v>15.67760406574914</c:v>
                </c:pt>
                <c:pt idx="2">
                  <c:v>16.531102973403353</c:v>
                </c:pt>
                <c:pt idx="3">
                  <c:v>17.427739652397136</c:v>
                </c:pt>
                <c:pt idx="4">
                  <c:v>18.369312091273478</c:v>
                </c:pt>
                <c:pt idx="5">
                  <c:v>19.357648388642112</c:v>
                </c:pt>
                <c:pt idx="6">
                  <c:v>20.394601319470279</c:v>
                </c:pt>
                <c:pt idx="7">
                  <c:v>21.482042001296499</c:v>
                </c:pt>
                <c:pt idx="8">
                  <c:v>22.621852580021038</c:v>
                </c:pt>
                <c:pt idx="9">
                  <c:v>23.815917852703663</c:v>
                </c:pt>
                <c:pt idx="10">
                  <c:v>25.066115743405614</c:v>
                </c:pt>
                <c:pt idx="11">
                  <c:v>26.374306547759637</c:v>
                </c:pt>
                <c:pt idx="12">
                  <c:v>27.742320862869523</c:v>
                </c:pt>
                <c:pt idx="13">
                  <c:v>29.171946121590004</c:v>
                </c:pt>
                <c:pt idx="14">
                  <c:v>30.664911654503587</c:v>
                </c:pt>
                <c:pt idx="15">
                  <c:v>32.222872209298011</c:v>
                </c:pt>
                <c:pt idx="16">
                  <c:v>33.847389866087639</c:v>
                </c:pt>
                <c:pt idx="17">
                  <c:v>35.539914298856431</c:v>
                </c:pt>
                <c:pt idx="18">
                  <c:v>37.301761347983359</c:v>
                </c:pt>
                <c:pt idx="19">
                  <c:v>39.134089887097304</c:v>
                </c:pt>
                <c:pt idx="20">
                  <c:v>41.037876989642982</c:v>
                </c:pt>
                <c:pt idx="21">
                  <c:v>43.013891426841987</c:v>
                </c:pt>
                <c:pt idx="22">
                  <c:v>45.062665559485005</c:v>
                </c:pt>
                <c:pt idx="23">
                  <c:v>47.184465721412373</c:v>
                </c:pt>
                <c:pt idx="24">
                  <c:v>49.37926123276646</c:v>
                </c:pt>
                <c:pt idx="25">
                  <c:v>51.646692226162791</c:v>
                </c:pt>
                <c:pt idx="26">
                  <c:v>53.986036518713341</c:v>
                </c:pt>
                <c:pt idx="27">
                  <c:v>56.396175817072752</c:v>
                </c:pt>
                <c:pt idx="28">
                  <c:v>58.875561600888808</c:v>
                </c:pt>
                <c:pt idx="29">
                  <c:v>61.422181091512115</c:v>
                </c:pt>
                <c:pt idx="30">
                  <c:v>64.033523776595501</c:v>
                </c:pt>
                <c:pt idx="31">
                  <c:v>66.706549026027517</c:v>
                </c:pt>
                <c:pt idx="32">
                  <c:v>69.437655398940805</c:v>
                </c:pt>
                <c:pt idx="33">
                  <c:v>72.222652303432596</c:v>
                </c:pt>
                <c:pt idx="34">
                  <c:v>75.056734727929353</c:v>
                </c:pt>
                <c:pt idx="35">
                  <c:v>77.934461813330699</c:v>
                </c:pt>
                <c:pt idx="36">
                  <c:v>80.849740075400007</c:v>
                </c:pt>
                <c:pt idx="37">
                  <c:v>83.795812114364338</c:v>
                </c:pt>
                <c:pt idx="38">
                  <c:v>86.765251660229168</c:v>
                </c:pt>
                <c:pt idx="39">
                  <c:v>89.749965794764407</c:v>
                </c:pt>
                <c:pt idx="40">
                  <c:v>92.741205161447823</c:v>
                </c:pt>
                <c:pt idx="41">
                  <c:v>95.729582920078158</c:v>
                </c:pt>
                <c:pt idx="42">
                  <c:v>98.705103120941359</c:v>
                </c:pt>
                <c:pt idx="43">
                  <c:v>101.65719906260496</c:v>
                </c:pt>
                <c:pt idx="44">
                  <c:v>104.57478205671082</c:v>
                </c:pt>
                <c:pt idx="45">
                  <c:v>107.44630085262033</c:v>
                </c:pt>
                <c:pt idx="46">
                  <c:v>110.25981177572147</c:v>
                </c:pt>
                <c:pt idx="47">
                  <c:v>113.00305940821912</c:v>
                </c:pt>
                <c:pt idx="48">
                  <c:v>115.663567394317</c:v>
                </c:pt>
                <c:pt idx="49">
                  <c:v>118.22873868833913</c:v>
                </c:pt>
                <c:pt idx="50">
                  <c:v>120.68596429140617</c:v>
                </c:pt>
                <c:pt idx="51">
                  <c:v>123.02273924795995</c:v>
                </c:pt>
                <c:pt idx="52">
                  <c:v>125.2267844069582</c:v>
                </c:pt>
                <c:pt idx="53">
                  <c:v>127.28617220393699</c:v>
                </c:pt>
                <c:pt idx="54">
                  <c:v>129.18945449972719</c:v>
                </c:pt>
                <c:pt idx="55">
                  <c:v>130.92579032964943</c:v>
                </c:pt>
                <c:pt idx="56">
                  <c:v>132.48507128312363</c:v>
                </c:pt>
                <c:pt idx="57">
                  <c:v>133.85804215624799</c:v>
                </c:pt>
                <c:pt idx="58">
                  <c:v>135.03641450576106</c:v>
                </c:pt>
                <c:pt idx="59">
                  <c:v>136.01297078645584</c:v>
                </c:pt>
                <c:pt idx="60">
                  <c:v>136.78165687752391</c:v>
                </c:pt>
                <c:pt idx="61">
                  <c:v>137.33766099559634</c:v>
                </c:pt>
                <c:pt idx="62">
                  <c:v>137.67747724954512</c:v>
                </c:pt>
                <c:pt idx="63">
                  <c:v>137.79895240762775</c:v>
                </c:pt>
                <c:pt idx="64">
                  <c:v>137.70131481176921</c:v>
                </c:pt>
                <c:pt idx="65">
                  <c:v>137.38518477485567</c:v>
                </c:pt>
                <c:pt idx="66">
                  <c:v>136.85256622119792</c:v>
                </c:pt>
                <c:pt idx="67">
                  <c:v>136.10681976304252</c:v>
                </c:pt>
                <c:pt idx="68">
                  <c:v>135.15261783194293</c:v>
                </c:pt>
                <c:pt idx="69">
                  <c:v>133.99588288809386</c:v>
                </c:pt>
                <c:pt idx="70">
                  <c:v>132.64371009957173</c:v>
                </c:pt>
                <c:pt idx="71">
                  <c:v>131.1042762047478</c:v>
                </c:pt>
                <c:pt idx="72">
                  <c:v>129.3867365351567</c:v>
                </c:pt>
                <c:pt idx="73">
                  <c:v>127.50111237570927</c:v>
                </c:pt>
                <c:pt idx="74">
                  <c:v>125.45817097013882</c:v>
                </c:pt>
                <c:pt idx="75">
                  <c:v>123.26930054077478</c:v>
                </c:pt>
                <c:pt idx="76">
                  <c:v>120.94638268479598</c:v>
                </c:pt>
                <c:pt idx="77">
                  <c:v>118.50166443832879</c:v>
                </c:pt>
                <c:pt idx="78">
                  <c:v>115.94763217163239</c:v>
                </c:pt>
                <c:pt idx="79">
                  <c:v>113.29688930143743</c:v>
                </c:pt>
                <c:pt idx="80">
                  <c:v>110.56203958978521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F524-497E-B5EB-EF96344AF3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9487760"/>
        <c:axId val="969487440"/>
        <c:extLst>
          <c:ext xmlns:c15="http://schemas.microsoft.com/office/drawing/2012/chart" uri="{02D57815-91ED-43cb-92C2-25804820EDAC}">
            <c15:filteredScatter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'New_removed - bSIR'!$AE$7</c15:sqref>
                        </c15:formulaRef>
                      </c:ext>
                    </c:extLst>
                    <c:strCache>
                      <c:ptCount val="1"/>
                      <c:pt idx="0">
                        <c:v>Upper CI_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prstDash val="lgDash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'New_removed - bSIR'!$C$55:$C$281</c15:sqref>
                        </c15:formulaRef>
                      </c:ext>
                    </c:extLst>
                    <c:numCache>
                      <c:formatCode>General</c:formatCode>
                      <c:ptCount val="227"/>
                      <c:pt idx="0">
                        <c:v>48</c:v>
                      </c:pt>
                      <c:pt idx="1">
                        <c:v>49</c:v>
                      </c:pt>
                      <c:pt idx="2">
                        <c:v>50</c:v>
                      </c:pt>
                      <c:pt idx="3">
                        <c:v>51</c:v>
                      </c:pt>
                      <c:pt idx="4">
                        <c:v>52</c:v>
                      </c:pt>
                      <c:pt idx="5">
                        <c:v>53</c:v>
                      </c:pt>
                      <c:pt idx="6">
                        <c:v>54</c:v>
                      </c:pt>
                      <c:pt idx="7">
                        <c:v>55</c:v>
                      </c:pt>
                      <c:pt idx="8">
                        <c:v>56</c:v>
                      </c:pt>
                      <c:pt idx="9">
                        <c:v>57</c:v>
                      </c:pt>
                      <c:pt idx="10">
                        <c:v>58</c:v>
                      </c:pt>
                      <c:pt idx="11">
                        <c:v>59</c:v>
                      </c:pt>
                      <c:pt idx="12">
                        <c:v>60</c:v>
                      </c:pt>
                      <c:pt idx="13">
                        <c:v>61</c:v>
                      </c:pt>
                      <c:pt idx="14">
                        <c:v>62</c:v>
                      </c:pt>
                      <c:pt idx="15">
                        <c:v>63</c:v>
                      </c:pt>
                      <c:pt idx="16">
                        <c:v>64</c:v>
                      </c:pt>
                      <c:pt idx="17">
                        <c:v>65</c:v>
                      </c:pt>
                      <c:pt idx="18">
                        <c:v>66</c:v>
                      </c:pt>
                      <c:pt idx="19">
                        <c:v>67</c:v>
                      </c:pt>
                      <c:pt idx="20">
                        <c:v>68</c:v>
                      </c:pt>
                      <c:pt idx="21">
                        <c:v>69</c:v>
                      </c:pt>
                      <c:pt idx="22">
                        <c:v>70</c:v>
                      </c:pt>
                      <c:pt idx="23">
                        <c:v>71</c:v>
                      </c:pt>
                      <c:pt idx="24">
                        <c:v>72</c:v>
                      </c:pt>
                      <c:pt idx="25">
                        <c:v>73</c:v>
                      </c:pt>
                      <c:pt idx="26">
                        <c:v>74</c:v>
                      </c:pt>
                      <c:pt idx="27">
                        <c:v>75</c:v>
                      </c:pt>
                      <c:pt idx="28">
                        <c:v>76</c:v>
                      </c:pt>
                      <c:pt idx="29">
                        <c:v>77</c:v>
                      </c:pt>
                      <c:pt idx="30">
                        <c:v>78</c:v>
                      </c:pt>
                      <c:pt idx="31">
                        <c:v>79</c:v>
                      </c:pt>
                      <c:pt idx="32">
                        <c:v>80</c:v>
                      </c:pt>
                      <c:pt idx="33">
                        <c:v>81</c:v>
                      </c:pt>
                      <c:pt idx="34">
                        <c:v>82</c:v>
                      </c:pt>
                      <c:pt idx="35">
                        <c:v>83</c:v>
                      </c:pt>
                      <c:pt idx="36">
                        <c:v>84</c:v>
                      </c:pt>
                      <c:pt idx="37">
                        <c:v>85</c:v>
                      </c:pt>
                      <c:pt idx="38">
                        <c:v>86</c:v>
                      </c:pt>
                      <c:pt idx="39">
                        <c:v>87</c:v>
                      </c:pt>
                      <c:pt idx="40">
                        <c:v>88</c:v>
                      </c:pt>
                      <c:pt idx="41">
                        <c:v>89</c:v>
                      </c:pt>
                      <c:pt idx="42">
                        <c:v>90</c:v>
                      </c:pt>
                      <c:pt idx="43">
                        <c:v>91</c:v>
                      </c:pt>
                      <c:pt idx="44">
                        <c:v>92</c:v>
                      </c:pt>
                      <c:pt idx="45">
                        <c:v>93</c:v>
                      </c:pt>
                      <c:pt idx="46">
                        <c:v>94</c:v>
                      </c:pt>
                      <c:pt idx="47">
                        <c:v>95</c:v>
                      </c:pt>
                      <c:pt idx="48">
                        <c:v>96</c:v>
                      </c:pt>
                      <c:pt idx="49">
                        <c:v>97</c:v>
                      </c:pt>
                      <c:pt idx="50">
                        <c:v>98</c:v>
                      </c:pt>
                      <c:pt idx="51">
                        <c:v>99</c:v>
                      </c:pt>
                      <c:pt idx="52">
                        <c:v>100</c:v>
                      </c:pt>
                      <c:pt idx="53">
                        <c:v>101</c:v>
                      </c:pt>
                      <c:pt idx="54">
                        <c:v>102</c:v>
                      </c:pt>
                      <c:pt idx="55">
                        <c:v>103</c:v>
                      </c:pt>
                      <c:pt idx="56">
                        <c:v>104</c:v>
                      </c:pt>
                      <c:pt idx="57">
                        <c:v>105</c:v>
                      </c:pt>
                      <c:pt idx="58">
                        <c:v>106</c:v>
                      </c:pt>
                      <c:pt idx="59">
                        <c:v>107</c:v>
                      </c:pt>
                      <c:pt idx="60">
                        <c:v>108</c:v>
                      </c:pt>
                      <c:pt idx="61">
                        <c:v>109</c:v>
                      </c:pt>
                      <c:pt idx="62">
                        <c:v>110</c:v>
                      </c:pt>
                      <c:pt idx="63">
                        <c:v>111</c:v>
                      </c:pt>
                      <c:pt idx="64">
                        <c:v>112</c:v>
                      </c:pt>
                      <c:pt idx="65">
                        <c:v>113</c:v>
                      </c:pt>
                      <c:pt idx="66">
                        <c:v>114</c:v>
                      </c:pt>
                      <c:pt idx="67">
                        <c:v>115</c:v>
                      </c:pt>
                      <c:pt idx="68">
                        <c:v>116</c:v>
                      </c:pt>
                      <c:pt idx="69">
                        <c:v>117</c:v>
                      </c:pt>
                      <c:pt idx="70">
                        <c:v>118</c:v>
                      </c:pt>
                      <c:pt idx="71">
                        <c:v>119</c:v>
                      </c:pt>
                      <c:pt idx="72">
                        <c:v>120</c:v>
                      </c:pt>
                      <c:pt idx="73">
                        <c:v>121</c:v>
                      </c:pt>
                      <c:pt idx="74">
                        <c:v>122</c:v>
                      </c:pt>
                      <c:pt idx="75">
                        <c:v>123</c:v>
                      </c:pt>
                      <c:pt idx="76">
                        <c:v>124</c:v>
                      </c:pt>
                      <c:pt idx="77">
                        <c:v>125</c:v>
                      </c:pt>
                      <c:pt idx="78">
                        <c:v>126</c:v>
                      </c:pt>
                      <c:pt idx="79">
                        <c:v>127</c:v>
                      </c:pt>
                      <c:pt idx="80">
                        <c:v>128</c:v>
                      </c:pt>
                      <c:pt idx="81">
                        <c:v>129</c:v>
                      </c:pt>
                      <c:pt idx="82">
                        <c:v>130</c:v>
                      </c:pt>
                      <c:pt idx="83">
                        <c:v>131</c:v>
                      </c:pt>
                      <c:pt idx="84">
                        <c:v>132</c:v>
                      </c:pt>
                      <c:pt idx="85">
                        <c:v>133</c:v>
                      </c:pt>
                      <c:pt idx="86">
                        <c:v>134</c:v>
                      </c:pt>
                      <c:pt idx="87">
                        <c:v>135</c:v>
                      </c:pt>
                      <c:pt idx="88">
                        <c:v>136</c:v>
                      </c:pt>
                      <c:pt idx="89">
                        <c:v>137</c:v>
                      </c:pt>
                      <c:pt idx="90">
                        <c:v>138</c:v>
                      </c:pt>
                      <c:pt idx="91">
                        <c:v>139</c:v>
                      </c:pt>
                      <c:pt idx="92">
                        <c:v>140</c:v>
                      </c:pt>
                      <c:pt idx="93">
                        <c:v>141</c:v>
                      </c:pt>
                      <c:pt idx="94">
                        <c:v>142</c:v>
                      </c:pt>
                      <c:pt idx="95">
                        <c:v>143</c:v>
                      </c:pt>
                      <c:pt idx="96">
                        <c:v>144</c:v>
                      </c:pt>
                      <c:pt idx="97">
                        <c:v>145</c:v>
                      </c:pt>
                      <c:pt idx="98">
                        <c:v>146</c:v>
                      </c:pt>
                      <c:pt idx="99">
                        <c:v>147</c:v>
                      </c:pt>
                      <c:pt idx="100">
                        <c:v>148</c:v>
                      </c:pt>
                      <c:pt idx="101">
                        <c:v>149</c:v>
                      </c:pt>
                      <c:pt idx="102">
                        <c:v>150</c:v>
                      </c:pt>
                      <c:pt idx="103">
                        <c:v>151</c:v>
                      </c:pt>
                      <c:pt idx="104">
                        <c:v>152</c:v>
                      </c:pt>
                      <c:pt idx="105">
                        <c:v>153</c:v>
                      </c:pt>
                      <c:pt idx="106">
                        <c:v>154</c:v>
                      </c:pt>
                      <c:pt idx="107">
                        <c:v>155</c:v>
                      </c:pt>
                      <c:pt idx="108">
                        <c:v>156</c:v>
                      </c:pt>
                      <c:pt idx="109">
                        <c:v>157</c:v>
                      </c:pt>
                      <c:pt idx="110">
                        <c:v>158</c:v>
                      </c:pt>
                      <c:pt idx="111">
                        <c:v>159</c:v>
                      </c:pt>
                      <c:pt idx="112">
                        <c:v>160</c:v>
                      </c:pt>
                      <c:pt idx="113">
                        <c:v>161</c:v>
                      </c:pt>
                      <c:pt idx="114">
                        <c:v>162</c:v>
                      </c:pt>
                      <c:pt idx="115">
                        <c:v>163</c:v>
                      </c:pt>
                      <c:pt idx="116">
                        <c:v>164</c:v>
                      </c:pt>
                      <c:pt idx="117">
                        <c:v>165</c:v>
                      </c:pt>
                      <c:pt idx="118">
                        <c:v>166</c:v>
                      </c:pt>
                      <c:pt idx="119">
                        <c:v>167</c:v>
                      </c:pt>
                      <c:pt idx="120">
                        <c:v>168</c:v>
                      </c:pt>
                      <c:pt idx="121">
                        <c:v>169</c:v>
                      </c:pt>
                      <c:pt idx="122">
                        <c:v>170</c:v>
                      </c:pt>
                      <c:pt idx="123">
                        <c:v>171</c:v>
                      </c:pt>
                      <c:pt idx="124">
                        <c:v>172</c:v>
                      </c:pt>
                      <c:pt idx="125">
                        <c:v>173</c:v>
                      </c:pt>
                      <c:pt idx="126">
                        <c:v>174</c:v>
                      </c:pt>
                      <c:pt idx="127">
                        <c:v>175</c:v>
                      </c:pt>
                      <c:pt idx="128">
                        <c:v>176</c:v>
                      </c:pt>
                      <c:pt idx="129">
                        <c:v>177</c:v>
                      </c:pt>
                      <c:pt idx="130">
                        <c:v>178</c:v>
                      </c:pt>
                      <c:pt idx="131">
                        <c:v>179</c:v>
                      </c:pt>
                      <c:pt idx="132">
                        <c:v>180</c:v>
                      </c:pt>
                      <c:pt idx="133">
                        <c:v>181</c:v>
                      </c:pt>
                      <c:pt idx="134">
                        <c:v>182</c:v>
                      </c:pt>
                      <c:pt idx="135">
                        <c:v>183</c:v>
                      </c:pt>
                      <c:pt idx="136">
                        <c:v>184</c:v>
                      </c:pt>
                      <c:pt idx="137">
                        <c:v>185</c:v>
                      </c:pt>
                      <c:pt idx="138">
                        <c:v>186</c:v>
                      </c:pt>
                      <c:pt idx="139">
                        <c:v>187</c:v>
                      </c:pt>
                      <c:pt idx="140">
                        <c:v>188</c:v>
                      </c:pt>
                      <c:pt idx="141">
                        <c:v>189</c:v>
                      </c:pt>
                      <c:pt idx="142">
                        <c:v>190</c:v>
                      </c:pt>
                      <c:pt idx="143">
                        <c:v>191</c:v>
                      </c:pt>
                      <c:pt idx="144">
                        <c:v>192</c:v>
                      </c:pt>
                      <c:pt idx="145">
                        <c:v>193</c:v>
                      </c:pt>
                      <c:pt idx="146">
                        <c:v>194</c:v>
                      </c:pt>
                      <c:pt idx="147">
                        <c:v>195</c:v>
                      </c:pt>
                      <c:pt idx="148">
                        <c:v>196</c:v>
                      </c:pt>
                      <c:pt idx="149">
                        <c:v>197</c:v>
                      </c:pt>
                      <c:pt idx="150">
                        <c:v>198</c:v>
                      </c:pt>
                      <c:pt idx="151">
                        <c:v>199</c:v>
                      </c:pt>
                      <c:pt idx="152">
                        <c:v>200</c:v>
                      </c:pt>
                      <c:pt idx="153">
                        <c:v>201</c:v>
                      </c:pt>
                      <c:pt idx="154">
                        <c:v>202</c:v>
                      </c:pt>
                      <c:pt idx="155">
                        <c:v>203</c:v>
                      </c:pt>
                      <c:pt idx="156">
                        <c:v>204</c:v>
                      </c:pt>
                      <c:pt idx="157">
                        <c:v>205</c:v>
                      </c:pt>
                      <c:pt idx="158">
                        <c:v>206</c:v>
                      </c:pt>
                      <c:pt idx="159">
                        <c:v>207</c:v>
                      </c:pt>
                      <c:pt idx="160">
                        <c:v>208</c:v>
                      </c:pt>
                      <c:pt idx="161">
                        <c:v>209</c:v>
                      </c:pt>
                      <c:pt idx="162">
                        <c:v>210</c:v>
                      </c:pt>
                      <c:pt idx="163">
                        <c:v>211</c:v>
                      </c:pt>
                      <c:pt idx="164">
                        <c:v>212</c:v>
                      </c:pt>
                      <c:pt idx="165">
                        <c:v>213</c:v>
                      </c:pt>
                      <c:pt idx="166">
                        <c:v>214</c:v>
                      </c:pt>
                      <c:pt idx="167">
                        <c:v>215</c:v>
                      </c:pt>
                      <c:pt idx="168">
                        <c:v>216</c:v>
                      </c:pt>
                      <c:pt idx="169">
                        <c:v>217</c:v>
                      </c:pt>
                      <c:pt idx="170">
                        <c:v>218</c:v>
                      </c:pt>
                      <c:pt idx="171">
                        <c:v>219</c:v>
                      </c:pt>
                      <c:pt idx="172">
                        <c:v>220</c:v>
                      </c:pt>
                      <c:pt idx="173">
                        <c:v>221</c:v>
                      </c:pt>
                      <c:pt idx="174">
                        <c:v>222</c:v>
                      </c:pt>
                      <c:pt idx="175">
                        <c:v>223</c:v>
                      </c:pt>
                      <c:pt idx="176">
                        <c:v>224</c:v>
                      </c:pt>
                      <c:pt idx="177">
                        <c:v>225</c:v>
                      </c:pt>
                      <c:pt idx="178">
                        <c:v>226</c:v>
                      </c:pt>
                      <c:pt idx="179">
                        <c:v>227</c:v>
                      </c:pt>
                      <c:pt idx="180">
                        <c:v>228</c:v>
                      </c:pt>
                      <c:pt idx="181">
                        <c:v>229</c:v>
                      </c:pt>
                      <c:pt idx="182">
                        <c:v>230</c:v>
                      </c:pt>
                      <c:pt idx="183">
                        <c:v>231</c:v>
                      </c:pt>
                      <c:pt idx="184">
                        <c:v>232</c:v>
                      </c:pt>
                      <c:pt idx="185">
                        <c:v>233</c:v>
                      </c:pt>
                      <c:pt idx="186">
                        <c:v>234</c:v>
                      </c:pt>
                      <c:pt idx="187">
                        <c:v>235</c:v>
                      </c:pt>
                      <c:pt idx="188">
                        <c:v>236</c:v>
                      </c:pt>
                      <c:pt idx="189">
                        <c:v>237</c:v>
                      </c:pt>
                      <c:pt idx="190">
                        <c:v>238</c:v>
                      </c:pt>
                      <c:pt idx="191">
                        <c:v>239</c:v>
                      </c:pt>
                      <c:pt idx="192">
                        <c:v>240</c:v>
                      </c:pt>
                      <c:pt idx="193">
                        <c:v>241</c:v>
                      </c:pt>
                      <c:pt idx="194">
                        <c:v>242</c:v>
                      </c:pt>
                      <c:pt idx="195">
                        <c:v>243</c:v>
                      </c:pt>
                      <c:pt idx="196">
                        <c:v>244</c:v>
                      </c:pt>
                      <c:pt idx="197">
                        <c:v>245</c:v>
                      </c:pt>
                      <c:pt idx="198">
                        <c:v>246</c:v>
                      </c:pt>
                      <c:pt idx="199">
                        <c:v>247</c:v>
                      </c:pt>
                      <c:pt idx="200">
                        <c:v>248</c:v>
                      </c:pt>
                      <c:pt idx="201">
                        <c:v>249</c:v>
                      </c:pt>
                      <c:pt idx="202">
                        <c:v>250</c:v>
                      </c:pt>
                      <c:pt idx="203">
                        <c:v>251</c:v>
                      </c:pt>
                      <c:pt idx="204">
                        <c:v>252</c:v>
                      </c:pt>
                      <c:pt idx="205">
                        <c:v>253</c:v>
                      </c:pt>
                      <c:pt idx="206">
                        <c:v>254</c:v>
                      </c:pt>
                      <c:pt idx="207">
                        <c:v>255</c:v>
                      </c:pt>
                      <c:pt idx="208">
                        <c:v>256</c:v>
                      </c:pt>
                      <c:pt idx="209">
                        <c:v>257</c:v>
                      </c:pt>
                      <c:pt idx="210">
                        <c:v>258</c:v>
                      </c:pt>
                      <c:pt idx="211">
                        <c:v>259</c:v>
                      </c:pt>
                      <c:pt idx="212">
                        <c:v>260</c:v>
                      </c:pt>
                      <c:pt idx="213">
                        <c:v>261</c:v>
                      </c:pt>
                      <c:pt idx="214">
                        <c:v>262</c:v>
                      </c:pt>
                      <c:pt idx="215">
                        <c:v>263</c:v>
                      </c:pt>
                      <c:pt idx="216">
                        <c:v>264</c:v>
                      </c:pt>
                      <c:pt idx="217">
                        <c:v>265</c:v>
                      </c:pt>
                      <c:pt idx="218">
                        <c:v>266</c:v>
                      </c:pt>
                      <c:pt idx="219">
                        <c:v>267</c:v>
                      </c:pt>
                      <c:pt idx="220">
                        <c:v>268</c:v>
                      </c:pt>
                      <c:pt idx="221">
                        <c:v>269</c:v>
                      </c:pt>
                      <c:pt idx="222">
                        <c:v>270</c:v>
                      </c:pt>
                      <c:pt idx="223">
                        <c:v>271</c:v>
                      </c:pt>
                      <c:pt idx="224">
                        <c:v>272</c:v>
                      </c:pt>
                      <c:pt idx="225">
                        <c:v>273</c:v>
                      </c:pt>
                      <c:pt idx="226">
                        <c:v>274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'New_removed - bSIR'!$AE$55:$AE$281</c15:sqref>
                        </c15:formulaRef>
                      </c:ext>
                    </c:extLst>
                    <c:numCache>
                      <c:formatCode>General</c:formatCode>
                      <c:ptCount val="227"/>
                      <c:pt idx="0">
                        <c:v>63.964604846435229</c:v>
                      </c:pt>
                      <c:pt idx="1">
                        <c:v>64.532908897304551</c:v>
                      </c:pt>
                      <c:pt idx="2">
                        <c:v>65.131463821949026</c:v>
                      </c:pt>
                      <c:pt idx="3">
                        <c:v>65.761715237530453</c:v>
                      </c:pt>
                      <c:pt idx="4">
                        <c:v>66.425158462951316</c:v>
                      </c:pt>
                      <c:pt idx="5">
                        <c:v>67.123337810118201</c:v>
                      </c:pt>
                      <c:pt idx="6">
                        <c:v>67.857845488310716</c:v>
                      </c:pt>
                      <c:pt idx="7">
                        <c:v>68.630320071612061</c:v>
                      </c:pt>
                      <c:pt idx="8">
                        <c:v>69.442444475297592</c:v>
                      </c:pt>
                      <c:pt idx="9">
                        <c:v>70.295943382951805</c:v>
                      </c:pt>
                      <c:pt idx="10">
                        <c:v>71.192580061945591</c:v>
                      </c:pt>
                      <c:pt idx="11">
                        <c:v>72.134152500821926</c:v>
                      </c:pt>
                      <c:pt idx="12">
                        <c:v>73.122488798190574</c:v>
                      </c:pt>
                      <c:pt idx="13">
                        <c:v>74.159441729018738</c:v>
                      </c:pt>
                      <c:pt idx="14">
                        <c:v>75.246882410844961</c:v>
                      </c:pt>
                      <c:pt idx="15">
                        <c:v>76.386692989569497</c:v>
                      </c:pt>
                      <c:pt idx="16">
                        <c:v>77.580758262252118</c:v>
                      </c:pt>
                      <c:pt idx="17">
                        <c:v>78.830956152954073</c:v>
                      </c:pt>
                      <c:pt idx="18">
                        <c:v>80.1391469573081</c:v>
                      </c:pt>
                      <c:pt idx="19">
                        <c:v>81.507161272417974</c:v>
                      </c:pt>
                      <c:pt idx="20">
                        <c:v>82.936786531138466</c:v>
                      </c:pt>
                      <c:pt idx="21">
                        <c:v>84.429752064052039</c:v>
                      </c:pt>
                      <c:pt idx="22">
                        <c:v>85.987712618846473</c:v>
                      </c:pt>
                      <c:pt idx="23">
                        <c:v>87.612230275636094</c:v>
                      </c:pt>
                      <c:pt idx="24">
                        <c:v>89.304754708404886</c:v>
                      </c:pt>
                      <c:pt idx="25">
                        <c:v>91.066601757531814</c:v>
                      </c:pt>
                      <c:pt idx="26">
                        <c:v>92.898930296645759</c:v>
                      </c:pt>
                      <c:pt idx="27">
                        <c:v>94.802717399191437</c:v>
                      </c:pt>
                      <c:pt idx="28">
                        <c:v>96.778731836390449</c:v>
                      </c:pt>
                      <c:pt idx="29">
                        <c:v>98.827505969033467</c:v>
                      </c:pt>
                      <c:pt idx="30">
                        <c:v>100.94930613096082</c:v>
                      </c:pt>
                      <c:pt idx="31">
                        <c:v>103.14410164231492</c:v>
                      </c:pt>
                      <c:pt idx="32">
                        <c:v>105.41153263571124</c:v>
                      </c:pt>
                      <c:pt idx="33">
                        <c:v>107.75087692826179</c:v>
                      </c:pt>
                      <c:pt idx="34">
                        <c:v>110.1610162266212</c:v>
                      </c:pt>
                      <c:pt idx="35">
                        <c:v>112.64040201043727</c:v>
                      </c:pt>
                      <c:pt idx="36">
                        <c:v>115.18702150106057</c:v>
                      </c:pt>
                      <c:pt idx="37">
                        <c:v>117.79836418614396</c:v>
                      </c:pt>
                      <c:pt idx="38">
                        <c:v>120.47138943557597</c:v>
                      </c:pt>
                      <c:pt idx="39">
                        <c:v>123.20249580848926</c:v>
                      </c:pt>
                      <c:pt idx="40">
                        <c:v>125.98749271298105</c:v>
                      </c:pt>
                      <c:pt idx="41">
                        <c:v>128.82157513747779</c:v>
                      </c:pt>
                      <c:pt idx="42">
                        <c:v>131.69930222287917</c:v>
                      </c:pt>
                      <c:pt idx="43">
                        <c:v>134.61458048494848</c:v>
                      </c:pt>
                      <c:pt idx="44">
                        <c:v>137.56065252391278</c:v>
                      </c:pt>
                      <c:pt idx="45">
                        <c:v>140.53009206977762</c:v>
                      </c:pt>
                      <c:pt idx="46">
                        <c:v>143.51480620431286</c:v>
                      </c:pt>
                      <c:pt idx="47">
                        <c:v>146.50604557099626</c:v>
                      </c:pt>
                      <c:pt idx="48">
                        <c:v>149.49442332962661</c:v>
                      </c:pt>
                      <c:pt idx="49">
                        <c:v>152.46994353048981</c:v>
                      </c:pt>
                      <c:pt idx="50">
                        <c:v>155.42203947215341</c:v>
                      </c:pt>
                      <c:pt idx="51">
                        <c:v>158.33962246625927</c:v>
                      </c:pt>
                      <c:pt idx="52">
                        <c:v>161.21114126216878</c:v>
                      </c:pt>
                      <c:pt idx="53">
                        <c:v>164.02465218526993</c:v>
                      </c:pt>
                      <c:pt idx="54">
                        <c:v>166.76789981776756</c:v>
                      </c:pt>
                      <c:pt idx="55">
                        <c:v>169.42840780386547</c:v>
                      </c:pt>
                      <c:pt idx="56">
                        <c:v>171.99357909788759</c:v>
                      </c:pt>
                      <c:pt idx="57">
                        <c:v>174.45080470095462</c:v>
                      </c:pt>
                      <c:pt idx="58">
                        <c:v>176.78757965750839</c:v>
                      </c:pt>
                      <c:pt idx="59">
                        <c:v>178.99162481650666</c:v>
                      </c:pt>
                      <c:pt idx="60">
                        <c:v>181.05101261348545</c:v>
                      </c:pt>
                      <c:pt idx="61">
                        <c:v>182.95429490927563</c:v>
                      </c:pt>
                      <c:pt idx="62">
                        <c:v>184.6906307391979</c:v>
                      </c:pt>
                      <c:pt idx="63">
                        <c:v>186.24991169267207</c:v>
                      </c:pt>
                      <c:pt idx="64">
                        <c:v>187.62288256579643</c:v>
                      </c:pt>
                      <c:pt idx="65">
                        <c:v>188.80125491530953</c:v>
                      </c:pt>
                      <c:pt idx="66">
                        <c:v>189.77781119600428</c:v>
                      </c:pt>
                      <c:pt idx="67">
                        <c:v>190.54649728707238</c:v>
                      </c:pt>
                      <c:pt idx="68">
                        <c:v>191.10250140514478</c:v>
                      </c:pt>
                      <c:pt idx="69">
                        <c:v>191.44231765909359</c:v>
                      </c:pt>
                      <c:pt idx="70">
                        <c:v>191.56379281717619</c:v>
                      </c:pt>
                      <c:pt idx="71">
                        <c:v>191.46615522131765</c:v>
                      </c:pt>
                      <c:pt idx="72">
                        <c:v>191.15002518440411</c:v>
                      </c:pt>
                      <c:pt idx="73">
                        <c:v>190.61740663074636</c:v>
                      </c:pt>
                      <c:pt idx="74">
                        <c:v>189.87166017259096</c:v>
                      </c:pt>
                      <c:pt idx="75">
                        <c:v>188.91745824149137</c:v>
                      </c:pt>
                      <c:pt idx="76">
                        <c:v>187.7607232976423</c:v>
                      </c:pt>
                      <c:pt idx="77">
                        <c:v>186.40855050912018</c:v>
                      </c:pt>
                      <c:pt idx="78">
                        <c:v>184.86911661429627</c:v>
                      </c:pt>
                      <c:pt idx="79">
                        <c:v>183.15157694470514</c:v>
                      </c:pt>
                      <c:pt idx="80">
                        <c:v>181.26595278525772</c:v>
                      </c:pt>
                      <c:pt idx="81">
                        <c:v>179.22301137968728</c:v>
                      </c:pt>
                      <c:pt idx="82">
                        <c:v>177.03414095032323</c:v>
                      </c:pt>
                      <c:pt idx="83">
                        <c:v>174.71122309434443</c:v>
                      </c:pt>
                      <c:pt idx="84">
                        <c:v>172.26650484787723</c:v>
                      </c:pt>
                      <c:pt idx="85">
                        <c:v>169.71247258118086</c:v>
                      </c:pt>
                      <c:pt idx="86">
                        <c:v>167.0617297109859</c:v>
                      </c:pt>
                      <c:pt idx="87">
                        <c:v>164.32687999933367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2-5C74-42C3-AEA3-0FCF0C9EED54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'New_removed - bSIR'!$AF$7</c15:sqref>
                        </c15:formulaRef>
                      </c:ext>
                    </c:extLst>
                    <c:strCache>
                      <c:ptCount val="1"/>
                      <c:pt idx="0">
                        <c:v>Lower CI_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prstDash val="lgDash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'New_removed - bSIR'!$C$55:$C$281</c15:sqref>
                        </c15:formulaRef>
                      </c:ext>
                    </c:extLst>
                    <c:numCache>
                      <c:formatCode>General</c:formatCode>
                      <c:ptCount val="227"/>
                      <c:pt idx="0">
                        <c:v>48</c:v>
                      </c:pt>
                      <c:pt idx="1">
                        <c:v>49</c:v>
                      </c:pt>
                      <c:pt idx="2">
                        <c:v>50</c:v>
                      </c:pt>
                      <c:pt idx="3">
                        <c:v>51</c:v>
                      </c:pt>
                      <c:pt idx="4">
                        <c:v>52</c:v>
                      </c:pt>
                      <c:pt idx="5">
                        <c:v>53</c:v>
                      </c:pt>
                      <c:pt idx="6">
                        <c:v>54</c:v>
                      </c:pt>
                      <c:pt idx="7">
                        <c:v>55</c:v>
                      </c:pt>
                      <c:pt idx="8">
                        <c:v>56</c:v>
                      </c:pt>
                      <c:pt idx="9">
                        <c:v>57</c:v>
                      </c:pt>
                      <c:pt idx="10">
                        <c:v>58</c:v>
                      </c:pt>
                      <c:pt idx="11">
                        <c:v>59</c:v>
                      </c:pt>
                      <c:pt idx="12">
                        <c:v>60</c:v>
                      </c:pt>
                      <c:pt idx="13">
                        <c:v>61</c:v>
                      </c:pt>
                      <c:pt idx="14">
                        <c:v>62</c:v>
                      </c:pt>
                      <c:pt idx="15">
                        <c:v>63</c:v>
                      </c:pt>
                      <c:pt idx="16">
                        <c:v>64</c:v>
                      </c:pt>
                      <c:pt idx="17">
                        <c:v>65</c:v>
                      </c:pt>
                      <c:pt idx="18">
                        <c:v>66</c:v>
                      </c:pt>
                      <c:pt idx="19">
                        <c:v>67</c:v>
                      </c:pt>
                      <c:pt idx="20">
                        <c:v>68</c:v>
                      </c:pt>
                      <c:pt idx="21">
                        <c:v>69</c:v>
                      </c:pt>
                      <c:pt idx="22">
                        <c:v>70</c:v>
                      </c:pt>
                      <c:pt idx="23">
                        <c:v>71</c:v>
                      </c:pt>
                      <c:pt idx="24">
                        <c:v>72</c:v>
                      </c:pt>
                      <c:pt idx="25">
                        <c:v>73</c:v>
                      </c:pt>
                      <c:pt idx="26">
                        <c:v>74</c:v>
                      </c:pt>
                      <c:pt idx="27">
                        <c:v>75</c:v>
                      </c:pt>
                      <c:pt idx="28">
                        <c:v>76</c:v>
                      </c:pt>
                      <c:pt idx="29">
                        <c:v>77</c:v>
                      </c:pt>
                      <c:pt idx="30">
                        <c:v>78</c:v>
                      </c:pt>
                      <c:pt idx="31">
                        <c:v>79</c:v>
                      </c:pt>
                      <c:pt idx="32">
                        <c:v>80</c:v>
                      </c:pt>
                      <c:pt idx="33">
                        <c:v>81</c:v>
                      </c:pt>
                      <c:pt idx="34">
                        <c:v>82</c:v>
                      </c:pt>
                      <c:pt idx="35">
                        <c:v>83</c:v>
                      </c:pt>
                      <c:pt idx="36">
                        <c:v>84</c:v>
                      </c:pt>
                      <c:pt idx="37">
                        <c:v>85</c:v>
                      </c:pt>
                      <c:pt idx="38">
                        <c:v>86</c:v>
                      </c:pt>
                      <c:pt idx="39">
                        <c:v>87</c:v>
                      </c:pt>
                      <c:pt idx="40">
                        <c:v>88</c:v>
                      </c:pt>
                      <c:pt idx="41">
                        <c:v>89</c:v>
                      </c:pt>
                      <c:pt idx="42">
                        <c:v>90</c:v>
                      </c:pt>
                      <c:pt idx="43">
                        <c:v>91</c:v>
                      </c:pt>
                      <c:pt idx="44">
                        <c:v>92</c:v>
                      </c:pt>
                      <c:pt idx="45">
                        <c:v>93</c:v>
                      </c:pt>
                      <c:pt idx="46">
                        <c:v>94</c:v>
                      </c:pt>
                      <c:pt idx="47">
                        <c:v>95</c:v>
                      </c:pt>
                      <c:pt idx="48">
                        <c:v>96</c:v>
                      </c:pt>
                      <c:pt idx="49">
                        <c:v>97</c:v>
                      </c:pt>
                      <c:pt idx="50">
                        <c:v>98</c:v>
                      </c:pt>
                      <c:pt idx="51">
                        <c:v>99</c:v>
                      </c:pt>
                      <c:pt idx="52">
                        <c:v>100</c:v>
                      </c:pt>
                      <c:pt idx="53">
                        <c:v>101</c:v>
                      </c:pt>
                      <c:pt idx="54">
                        <c:v>102</c:v>
                      </c:pt>
                      <c:pt idx="55">
                        <c:v>103</c:v>
                      </c:pt>
                      <c:pt idx="56">
                        <c:v>104</c:v>
                      </c:pt>
                      <c:pt idx="57">
                        <c:v>105</c:v>
                      </c:pt>
                      <c:pt idx="58">
                        <c:v>106</c:v>
                      </c:pt>
                      <c:pt idx="59">
                        <c:v>107</c:v>
                      </c:pt>
                      <c:pt idx="60">
                        <c:v>108</c:v>
                      </c:pt>
                      <c:pt idx="61">
                        <c:v>109</c:v>
                      </c:pt>
                      <c:pt idx="62">
                        <c:v>110</c:v>
                      </c:pt>
                      <c:pt idx="63">
                        <c:v>111</c:v>
                      </c:pt>
                      <c:pt idx="64">
                        <c:v>112</c:v>
                      </c:pt>
                      <c:pt idx="65">
                        <c:v>113</c:v>
                      </c:pt>
                      <c:pt idx="66">
                        <c:v>114</c:v>
                      </c:pt>
                      <c:pt idx="67">
                        <c:v>115</c:v>
                      </c:pt>
                      <c:pt idx="68">
                        <c:v>116</c:v>
                      </c:pt>
                      <c:pt idx="69">
                        <c:v>117</c:v>
                      </c:pt>
                      <c:pt idx="70">
                        <c:v>118</c:v>
                      </c:pt>
                      <c:pt idx="71">
                        <c:v>119</c:v>
                      </c:pt>
                      <c:pt idx="72">
                        <c:v>120</c:v>
                      </c:pt>
                      <c:pt idx="73">
                        <c:v>121</c:v>
                      </c:pt>
                      <c:pt idx="74">
                        <c:v>122</c:v>
                      </c:pt>
                      <c:pt idx="75">
                        <c:v>123</c:v>
                      </c:pt>
                      <c:pt idx="76">
                        <c:v>124</c:v>
                      </c:pt>
                      <c:pt idx="77">
                        <c:v>125</c:v>
                      </c:pt>
                      <c:pt idx="78">
                        <c:v>126</c:v>
                      </c:pt>
                      <c:pt idx="79">
                        <c:v>127</c:v>
                      </c:pt>
                      <c:pt idx="80">
                        <c:v>128</c:v>
                      </c:pt>
                      <c:pt idx="81">
                        <c:v>129</c:v>
                      </c:pt>
                      <c:pt idx="82">
                        <c:v>130</c:v>
                      </c:pt>
                      <c:pt idx="83">
                        <c:v>131</c:v>
                      </c:pt>
                      <c:pt idx="84">
                        <c:v>132</c:v>
                      </c:pt>
                      <c:pt idx="85">
                        <c:v>133</c:v>
                      </c:pt>
                      <c:pt idx="86">
                        <c:v>134</c:v>
                      </c:pt>
                      <c:pt idx="87">
                        <c:v>135</c:v>
                      </c:pt>
                      <c:pt idx="88">
                        <c:v>136</c:v>
                      </c:pt>
                      <c:pt idx="89">
                        <c:v>137</c:v>
                      </c:pt>
                      <c:pt idx="90">
                        <c:v>138</c:v>
                      </c:pt>
                      <c:pt idx="91">
                        <c:v>139</c:v>
                      </c:pt>
                      <c:pt idx="92">
                        <c:v>140</c:v>
                      </c:pt>
                      <c:pt idx="93">
                        <c:v>141</c:v>
                      </c:pt>
                      <c:pt idx="94">
                        <c:v>142</c:v>
                      </c:pt>
                      <c:pt idx="95">
                        <c:v>143</c:v>
                      </c:pt>
                      <c:pt idx="96">
                        <c:v>144</c:v>
                      </c:pt>
                      <c:pt idx="97">
                        <c:v>145</c:v>
                      </c:pt>
                      <c:pt idx="98">
                        <c:v>146</c:v>
                      </c:pt>
                      <c:pt idx="99">
                        <c:v>147</c:v>
                      </c:pt>
                      <c:pt idx="100">
                        <c:v>148</c:v>
                      </c:pt>
                      <c:pt idx="101">
                        <c:v>149</c:v>
                      </c:pt>
                      <c:pt idx="102">
                        <c:v>150</c:v>
                      </c:pt>
                      <c:pt idx="103">
                        <c:v>151</c:v>
                      </c:pt>
                      <c:pt idx="104">
                        <c:v>152</c:v>
                      </c:pt>
                      <c:pt idx="105">
                        <c:v>153</c:v>
                      </c:pt>
                      <c:pt idx="106">
                        <c:v>154</c:v>
                      </c:pt>
                      <c:pt idx="107">
                        <c:v>155</c:v>
                      </c:pt>
                      <c:pt idx="108">
                        <c:v>156</c:v>
                      </c:pt>
                      <c:pt idx="109">
                        <c:v>157</c:v>
                      </c:pt>
                      <c:pt idx="110">
                        <c:v>158</c:v>
                      </c:pt>
                      <c:pt idx="111">
                        <c:v>159</c:v>
                      </c:pt>
                      <c:pt idx="112">
                        <c:v>160</c:v>
                      </c:pt>
                      <c:pt idx="113">
                        <c:v>161</c:v>
                      </c:pt>
                      <c:pt idx="114">
                        <c:v>162</c:v>
                      </c:pt>
                      <c:pt idx="115">
                        <c:v>163</c:v>
                      </c:pt>
                      <c:pt idx="116">
                        <c:v>164</c:v>
                      </c:pt>
                      <c:pt idx="117">
                        <c:v>165</c:v>
                      </c:pt>
                      <c:pt idx="118">
                        <c:v>166</c:v>
                      </c:pt>
                      <c:pt idx="119">
                        <c:v>167</c:v>
                      </c:pt>
                      <c:pt idx="120">
                        <c:v>168</c:v>
                      </c:pt>
                      <c:pt idx="121">
                        <c:v>169</c:v>
                      </c:pt>
                      <c:pt idx="122">
                        <c:v>170</c:v>
                      </c:pt>
                      <c:pt idx="123">
                        <c:v>171</c:v>
                      </c:pt>
                      <c:pt idx="124">
                        <c:v>172</c:v>
                      </c:pt>
                      <c:pt idx="125">
                        <c:v>173</c:v>
                      </c:pt>
                      <c:pt idx="126">
                        <c:v>174</c:v>
                      </c:pt>
                      <c:pt idx="127">
                        <c:v>175</c:v>
                      </c:pt>
                      <c:pt idx="128">
                        <c:v>176</c:v>
                      </c:pt>
                      <c:pt idx="129">
                        <c:v>177</c:v>
                      </c:pt>
                      <c:pt idx="130">
                        <c:v>178</c:v>
                      </c:pt>
                      <c:pt idx="131">
                        <c:v>179</c:v>
                      </c:pt>
                      <c:pt idx="132">
                        <c:v>180</c:v>
                      </c:pt>
                      <c:pt idx="133">
                        <c:v>181</c:v>
                      </c:pt>
                      <c:pt idx="134">
                        <c:v>182</c:v>
                      </c:pt>
                      <c:pt idx="135">
                        <c:v>183</c:v>
                      </c:pt>
                      <c:pt idx="136">
                        <c:v>184</c:v>
                      </c:pt>
                      <c:pt idx="137">
                        <c:v>185</c:v>
                      </c:pt>
                      <c:pt idx="138">
                        <c:v>186</c:v>
                      </c:pt>
                      <c:pt idx="139">
                        <c:v>187</c:v>
                      </c:pt>
                      <c:pt idx="140">
                        <c:v>188</c:v>
                      </c:pt>
                      <c:pt idx="141">
                        <c:v>189</c:v>
                      </c:pt>
                      <c:pt idx="142">
                        <c:v>190</c:v>
                      </c:pt>
                      <c:pt idx="143">
                        <c:v>191</c:v>
                      </c:pt>
                      <c:pt idx="144">
                        <c:v>192</c:v>
                      </c:pt>
                      <c:pt idx="145">
                        <c:v>193</c:v>
                      </c:pt>
                      <c:pt idx="146">
                        <c:v>194</c:v>
                      </c:pt>
                      <c:pt idx="147">
                        <c:v>195</c:v>
                      </c:pt>
                      <c:pt idx="148">
                        <c:v>196</c:v>
                      </c:pt>
                      <c:pt idx="149">
                        <c:v>197</c:v>
                      </c:pt>
                      <c:pt idx="150">
                        <c:v>198</c:v>
                      </c:pt>
                      <c:pt idx="151">
                        <c:v>199</c:v>
                      </c:pt>
                      <c:pt idx="152">
                        <c:v>200</c:v>
                      </c:pt>
                      <c:pt idx="153">
                        <c:v>201</c:v>
                      </c:pt>
                      <c:pt idx="154">
                        <c:v>202</c:v>
                      </c:pt>
                      <c:pt idx="155">
                        <c:v>203</c:v>
                      </c:pt>
                      <c:pt idx="156">
                        <c:v>204</c:v>
                      </c:pt>
                      <c:pt idx="157">
                        <c:v>205</c:v>
                      </c:pt>
                      <c:pt idx="158">
                        <c:v>206</c:v>
                      </c:pt>
                      <c:pt idx="159">
                        <c:v>207</c:v>
                      </c:pt>
                      <c:pt idx="160">
                        <c:v>208</c:v>
                      </c:pt>
                      <c:pt idx="161">
                        <c:v>209</c:v>
                      </c:pt>
                      <c:pt idx="162">
                        <c:v>210</c:v>
                      </c:pt>
                      <c:pt idx="163">
                        <c:v>211</c:v>
                      </c:pt>
                      <c:pt idx="164">
                        <c:v>212</c:v>
                      </c:pt>
                      <c:pt idx="165">
                        <c:v>213</c:v>
                      </c:pt>
                      <c:pt idx="166">
                        <c:v>214</c:v>
                      </c:pt>
                      <c:pt idx="167">
                        <c:v>215</c:v>
                      </c:pt>
                      <c:pt idx="168">
                        <c:v>216</c:v>
                      </c:pt>
                      <c:pt idx="169">
                        <c:v>217</c:v>
                      </c:pt>
                      <c:pt idx="170">
                        <c:v>218</c:v>
                      </c:pt>
                      <c:pt idx="171">
                        <c:v>219</c:v>
                      </c:pt>
                      <c:pt idx="172">
                        <c:v>220</c:v>
                      </c:pt>
                      <c:pt idx="173">
                        <c:v>221</c:v>
                      </c:pt>
                      <c:pt idx="174">
                        <c:v>222</c:v>
                      </c:pt>
                      <c:pt idx="175">
                        <c:v>223</c:v>
                      </c:pt>
                      <c:pt idx="176">
                        <c:v>224</c:v>
                      </c:pt>
                      <c:pt idx="177">
                        <c:v>225</c:v>
                      </c:pt>
                      <c:pt idx="178">
                        <c:v>226</c:v>
                      </c:pt>
                      <c:pt idx="179">
                        <c:v>227</c:v>
                      </c:pt>
                      <c:pt idx="180">
                        <c:v>228</c:v>
                      </c:pt>
                      <c:pt idx="181">
                        <c:v>229</c:v>
                      </c:pt>
                      <c:pt idx="182">
                        <c:v>230</c:v>
                      </c:pt>
                      <c:pt idx="183">
                        <c:v>231</c:v>
                      </c:pt>
                      <c:pt idx="184">
                        <c:v>232</c:v>
                      </c:pt>
                      <c:pt idx="185">
                        <c:v>233</c:v>
                      </c:pt>
                      <c:pt idx="186">
                        <c:v>234</c:v>
                      </c:pt>
                      <c:pt idx="187">
                        <c:v>235</c:v>
                      </c:pt>
                      <c:pt idx="188">
                        <c:v>236</c:v>
                      </c:pt>
                      <c:pt idx="189">
                        <c:v>237</c:v>
                      </c:pt>
                      <c:pt idx="190">
                        <c:v>238</c:v>
                      </c:pt>
                      <c:pt idx="191">
                        <c:v>239</c:v>
                      </c:pt>
                      <c:pt idx="192">
                        <c:v>240</c:v>
                      </c:pt>
                      <c:pt idx="193">
                        <c:v>241</c:v>
                      </c:pt>
                      <c:pt idx="194">
                        <c:v>242</c:v>
                      </c:pt>
                      <c:pt idx="195">
                        <c:v>243</c:v>
                      </c:pt>
                      <c:pt idx="196">
                        <c:v>244</c:v>
                      </c:pt>
                      <c:pt idx="197">
                        <c:v>245</c:v>
                      </c:pt>
                      <c:pt idx="198">
                        <c:v>246</c:v>
                      </c:pt>
                      <c:pt idx="199">
                        <c:v>247</c:v>
                      </c:pt>
                      <c:pt idx="200">
                        <c:v>248</c:v>
                      </c:pt>
                      <c:pt idx="201">
                        <c:v>249</c:v>
                      </c:pt>
                      <c:pt idx="202">
                        <c:v>250</c:v>
                      </c:pt>
                      <c:pt idx="203">
                        <c:v>251</c:v>
                      </c:pt>
                      <c:pt idx="204">
                        <c:v>252</c:v>
                      </c:pt>
                      <c:pt idx="205">
                        <c:v>253</c:v>
                      </c:pt>
                      <c:pt idx="206">
                        <c:v>254</c:v>
                      </c:pt>
                      <c:pt idx="207">
                        <c:v>255</c:v>
                      </c:pt>
                      <c:pt idx="208">
                        <c:v>256</c:v>
                      </c:pt>
                      <c:pt idx="209">
                        <c:v>257</c:v>
                      </c:pt>
                      <c:pt idx="210">
                        <c:v>258</c:v>
                      </c:pt>
                      <c:pt idx="211">
                        <c:v>259</c:v>
                      </c:pt>
                      <c:pt idx="212">
                        <c:v>260</c:v>
                      </c:pt>
                      <c:pt idx="213">
                        <c:v>261</c:v>
                      </c:pt>
                      <c:pt idx="214">
                        <c:v>262</c:v>
                      </c:pt>
                      <c:pt idx="215">
                        <c:v>263</c:v>
                      </c:pt>
                      <c:pt idx="216">
                        <c:v>264</c:v>
                      </c:pt>
                      <c:pt idx="217">
                        <c:v>265</c:v>
                      </c:pt>
                      <c:pt idx="218">
                        <c:v>266</c:v>
                      </c:pt>
                      <c:pt idx="219">
                        <c:v>267</c:v>
                      </c:pt>
                      <c:pt idx="220">
                        <c:v>268</c:v>
                      </c:pt>
                      <c:pt idx="221">
                        <c:v>269</c:v>
                      </c:pt>
                      <c:pt idx="222">
                        <c:v>270</c:v>
                      </c:pt>
                      <c:pt idx="223">
                        <c:v>271</c:v>
                      </c:pt>
                      <c:pt idx="224">
                        <c:v>272</c:v>
                      </c:pt>
                      <c:pt idx="225">
                        <c:v>273</c:v>
                      </c:pt>
                      <c:pt idx="226">
                        <c:v>274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'New_removed - bSIR'!$AF$55:$AF$281</c15:sqref>
                        </c15:formulaRef>
                      </c:ext>
                    </c:extLst>
                    <c:numCache>
                      <c:formatCode>General</c:formatCode>
                      <c:ptCount val="22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0.22119610916488597</c:v>
                      </c:pt>
                      <c:pt idx="34">
                        <c:v>2.631335407524297</c:v>
                      </c:pt>
                      <c:pt idx="35">
                        <c:v>5.1107211913403532</c:v>
                      </c:pt>
                      <c:pt idx="36">
                        <c:v>7.6573406819636602</c:v>
                      </c:pt>
                      <c:pt idx="37">
                        <c:v>10.268683367047046</c:v>
                      </c:pt>
                      <c:pt idx="38">
                        <c:v>12.941708616479062</c:v>
                      </c:pt>
                      <c:pt idx="39">
                        <c:v>15.67281498939235</c:v>
                      </c:pt>
                      <c:pt idx="40">
                        <c:v>18.457811893884141</c:v>
                      </c:pt>
                      <c:pt idx="41">
                        <c:v>21.291894318380898</c:v>
                      </c:pt>
                      <c:pt idx="42">
                        <c:v>24.169621403782244</c:v>
                      </c:pt>
                      <c:pt idx="43">
                        <c:v>27.084899665851552</c:v>
                      </c:pt>
                      <c:pt idx="44">
                        <c:v>30.030971704815883</c:v>
                      </c:pt>
                      <c:pt idx="45">
                        <c:v>33.000411250680713</c:v>
                      </c:pt>
                      <c:pt idx="46">
                        <c:v>35.985125385215952</c:v>
                      </c:pt>
                      <c:pt idx="47">
                        <c:v>38.976364751899368</c:v>
                      </c:pt>
                      <c:pt idx="48">
                        <c:v>41.964742510529703</c:v>
                      </c:pt>
                      <c:pt idx="49">
                        <c:v>44.940262711392904</c:v>
                      </c:pt>
                      <c:pt idx="50">
                        <c:v>47.892358653056505</c:v>
                      </c:pt>
                      <c:pt idx="51">
                        <c:v>50.809941647162361</c:v>
                      </c:pt>
                      <c:pt idx="52">
                        <c:v>53.68146044307187</c:v>
                      </c:pt>
                      <c:pt idx="53">
                        <c:v>56.494971366173019</c:v>
                      </c:pt>
                      <c:pt idx="54">
                        <c:v>59.238218998670661</c:v>
                      </c:pt>
                      <c:pt idx="55">
                        <c:v>61.898726984768544</c:v>
                      </c:pt>
                      <c:pt idx="56">
                        <c:v>64.46389827879068</c:v>
                      </c:pt>
                      <c:pt idx="57">
                        <c:v>66.92112388185771</c:v>
                      </c:pt>
                      <c:pt idx="58">
                        <c:v>69.257898838411492</c:v>
                      </c:pt>
                      <c:pt idx="59">
                        <c:v>71.461943997409747</c:v>
                      </c:pt>
                      <c:pt idx="60">
                        <c:v>73.52133179438853</c:v>
                      </c:pt>
                      <c:pt idx="61">
                        <c:v>75.424614090178736</c:v>
                      </c:pt>
                      <c:pt idx="62">
                        <c:v>77.160949920100975</c:v>
                      </c:pt>
                      <c:pt idx="63">
                        <c:v>78.720230873575176</c:v>
                      </c:pt>
                      <c:pt idx="64">
                        <c:v>80.093201746699535</c:v>
                      </c:pt>
                      <c:pt idx="65">
                        <c:v>81.271574096212603</c:v>
                      </c:pt>
                      <c:pt idx="66">
                        <c:v>82.248130376907383</c:v>
                      </c:pt>
                      <c:pt idx="67">
                        <c:v>83.01681646797546</c:v>
                      </c:pt>
                      <c:pt idx="68">
                        <c:v>83.572820586047882</c:v>
                      </c:pt>
                      <c:pt idx="69">
                        <c:v>83.912636839996665</c:v>
                      </c:pt>
                      <c:pt idx="70">
                        <c:v>84.034111998079297</c:v>
                      </c:pt>
                      <c:pt idx="71">
                        <c:v>83.936474402220753</c:v>
                      </c:pt>
                      <c:pt idx="72">
                        <c:v>83.620344365307218</c:v>
                      </c:pt>
                      <c:pt idx="73">
                        <c:v>83.087725811649463</c:v>
                      </c:pt>
                      <c:pt idx="74">
                        <c:v>82.341979353494068</c:v>
                      </c:pt>
                      <c:pt idx="75">
                        <c:v>81.387777422394478</c:v>
                      </c:pt>
                      <c:pt idx="76">
                        <c:v>80.231042478545405</c:v>
                      </c:pt>
                      <c:pt idx="77">
                        <c:v>78.878869690023279</c:v>
                      </c:pt>
                      <c:pt idx="78">
                        <c:v>77.33943579519935</c:v>
                      </c:pt>
                      <c:pt idx="79">
                        <c:v>75.621896125608245</c:v>
                      </c:pt>
                      <c:pt idx="80">
                        <c:v>73.736271966160814</c:v>
                      </c:pt>
                      <c:pt idx="81">
                        <c:v>71.693330560590368</c:v>
                      </c:pt>
                      <c:pt idx="82">
                        <c:v>69.504460131226324</c:v>
                      </c:pt>
                      <c:pt idx="83">
                        <c:v>67.181542275247523</c:v>
                      </c:pt>
                      <c:pt idx="84">
                        <c:v>64.736824028780333</c:v>
                      </c:pt>
                      <c:pt idx="85">
                        <c:v>62.182791762083937</c:v>
                      </c:pt>
                      <c:pt idx="86">
                        <c:v>59.532048891888977</c:v>
                      </c:pt>
                      <c:pt idx="87">
                        <c:v>56.79719918023676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5C74-42C3-AEA3-0FCF0C9EED54}"/>
                  </c:ext>
                </c:extLst>
              </c15:ser>
            </c15:filteredScatterSeries>
          </c:ext>
        </c:extLst>
      </c:scatterChart>
      <c:valAx>
        <c:axId val="9694877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kern="1200" baseline="0">
                    <a:solidFill>
                      <a:srgbClr val="595959"/>
                    </a:solidFill>
                    <a:effectLst/>
                  </a:rPr>
                  <a:t>Days from </a:t>
                </a:r>
                <a:endParaRPr lang="it-IT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69487440"/>
        <c:crosses val="autoZero"/>
        <c:crossBetween val="midCat"/>
      </c:valAx>
      <c:valAx>
        <c:axId val="969487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removal rate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694877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>
                <a:solidFill>
                  <a:srgbClr val="FF0000"/>
                </a:solidFill>
              </a:rPr>
              <a:t>Italy selected region - removal rate (# of people removed/day) - basic SIR - log-linear plot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428793038537132"/>
          <c:y val="0.11220881326088156"/>
          <c:w val="0.79059594956695434"/>
          <c:h val="0.79304813164644039"/>
        </c:manualLayout>
      </c:layout>
      <c:scatterChart>
        <c:scatterStyle val="lineMarker"/>
        <c:varyColors val="0"/>
        <c:ser>
          <c:idx val="0"/>
          <c:order val="0"/>
          <c:tx>
            <c:strRef>
              <c:f>'New_removed - bSIR'!$T$7</c:f>
              <c:strCache>
                <c:ptCount val="1"/>
                <c:pt idx="0">
                  <c:v>region data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xVal>
            <c:numRef>
              <c:f>'New_removed - bSIR'!$C$62:$C$281</c:f>
              <c:numCache>
                <c:formatCode>General</c:formatCode>
                <c:ptCount val="220"/>
                <c:pt idx="0">
                  <c:v>55</c:v>
                </c:pt>
                <c:pt idx="1">
                  <c:v>56</c:v>
                </c:pt>
                <c:pt idx="2">
                  <c:v>57</c:v>
                </c:pt>
                <c:pt idx="3">
                  <c:v>58</c:v>
                </c:pt>
                <c:pt idx="4">
                  <c:v>59</c:v>
                </c:pt>
                <c:pt idx="5">
                  <c:v>60</c:v>
                </c:pt>
                <c:pt idx="6">
                  <c:v>61</c:v>
                </c:pt>
                <c:pt idx="7">
                  <c:v>62</c:v>
                </c:pt>
                <c:pt idx="8">
                  <c:v>63</c:v>
                </c:pt>
                <c:pt idx="9">
                  <c:v>64</c:v>
                </c:pt>
                <c:pt idx="10">
                  <c:v>65</c:v>
                </c:pt>
                <c:pt idx="11">
                  <c:v>66</c:v>
                </c:pt>
                <c:pt idx="12">
                  <c:v>67</c:v>
                </c:pt>
                <c:pt idx="13">
                  <c:v>68</c:v>
                </c:pt>
                <c:pt idx="14">
                  <c:v>69</c:v>
                </c:pt>
                <c:pt idx="15">
                  <c:v>70</c:v>
                </c:pt>
                <c:pt idx="16">
                  <c:v>71</c:v>
                </c:pt>
                <c:pt idx="17">
                  <c:v>72</c:v>
                </c:pt>
                <c:pt idx="18">
                  <c:v>73</c:v>
                </c:pt>
                <c:pt idx="19">
                  <c:v>74</c:v>
                </c:pt>
                <c:pt idx="20">
                  <c:v>75</c:v>
                </c:pt>
                <c:pt idx="21">
                  <c:v>76</c:v>
                </c:pt>
                <c:pt idx="22">
                  <c:v>77</c:v>
                </c:pt>
                <c:pt idx="23">
                  <c:v>78</c:v>
                </c:pt>
                <c:pt idx="24">
                  <c:v>79</c:v>
                </c:pt>
                <c:pt idx="25">
                  <c:v>80</c:v>
                </c:pt>
                <c:pt idx="26">
                  <c:v>81</c:v>
                </c:pt>
                <c:pt idx="27">
                  <c:v>82</c:v>
                </c:pt>
                <c:pt idx="28">
                  <c:v>83</c:v>
                </c:pt>
                <c:pt idx="29">
                  <c:v>84</c:v>
                </c:pt>
                <c:pt idx="30">
                  <c:v>85</c:v>
                </c:pt>
                <c:pt idx="31">
                  <c:v>86</c:v>
                </c:pt>
                <c:pt idx="32">
                  <c:v>87</c:v>
                </c:pt>
                <c:pt idx="33">
                  <c:v>88</c:v>
                </c:pt>
                <c:pt idx="34">
                  <c:v>89</c:v>
                </c:pt>
                <c:pt idx="35">
                  <c:v>90</c:v>
                </c:pt>
                <c:pt idx="36">
                  <c:v>91</c:v>
                </c:pt>
                <c:pt idx="37">
                  <c:v>92</c:v>
                </c:pt>
                <c:pt idx="38">
                  <c:v>93</c:v>
                </c:pt>
                <c:pt idx="39">
                  <c:v>94</c:v>
                </c:pt>
                <c:pt idx="40">
                  <c:v>95</c:v>
                </c:pt>
                <c:pt idx="41">
                  <c:v>96</c:v>
                </c:pt>
                <c:pt idx="42">
                  <c:v>97</c:v>
                </c:pt>
                <c:pt idx="43">
                  <c:v>98</c:v>
                </c:pt>
                <c:pt idx="44">
                  <c:v>99</c:v>
                </c:pt>
                <c:pt idx="45">
                  <c:v>100</c:v>
                </c:pt>
                <c:pt idx="46">
                  <c:v>101</c:v>
                </c:pt>
                <c:pt idx="47">
                  <c:v>102</c:v>
                </c:pt>
                <c:pt idx="48">
                  <c:v>103</c:v>
                </c:pt>
                <c:pt idx="49">
                  <c:v>104</c:v>
                </c:pt>
                <c:pt idx="50">
                  <c:v>105</c:v>
                </c:pt>
                <c:pt idx="51">
                  <c:v>106</c:v>
                </c:pt>
                <c:pt idx="52">
                  <c:v>107</c:v>
                </c:pt>
                <c:pt idx="53">
                  <c:v>108</c:v>
                </c:pt>
                <c:pt idx="54">
                  <c:v>109</c:v>
                </c:pt>
                <c:pt idx="55">
                  <c:v>110</c:v>
                </c:pt>
                <c:pt idx="56">
                  <c:v>111</c:v>
                </c:pt>
                <c:pt idx="57">
                  <c:v>112</c:v>
                </c:pt>
                <c:pt idx="58">
                  <c:v>113</c:v>
                </c:pt>
                <c:pt idx="59">
                  <c:v>114</c:v>
                </c:pt>
                <c:pt idx="60">
                  <c:v>115</c:v>
                </c:pt>
                <c:pt idx="61">
                  <c:v>116</c:v>
                </c:pt>
                <c:pt idx="62">
                  <c:v>117</c:v>
                </c:pt>
                <c:pt idx="63">
                  <c:v>118</c:v>
                </c:pt>
                <c:pt idx="64">
                  <c:v>119</c:v>
                </c:pt>
                <c:pt idx="65">
                  <c:v>120</c:v>
                </c:pt>
                <c:pt idx="66">
                  <c:v>121</c:v>
                </c:pt>
                <c:pt idx="67">
                  <c:v>122</c:v>
                </c:pt>
                <c:pt idx="68">
                  <c:v>123</c:v>
                </c:pt>
                <c:pt idx="69">
                  <c:v>124</c:v>
                </c:pt>
                <c:pt idx="70">
                  <c:v>125</c:v>
                </c:pt>
                <c:pt idx="71">
                  <c:v>126</c:v>
                </c:pt>
                <c:pt idx="72">
                  <c:v>127</c:v>
                </c:pt>
                <c:pt idx="73">
                  <c:v>128</c:v>
                </c:pt>
                <c:pt idx="74">
                  <c:v>129</c:v>
                </c:pt>
                <c:pt idx="75">
                  <c:v>130</c:v>
                </c:pt>
                <c:pt idx="76">
                  <c:v>131</c:v>
                </c:pt>
                <c:pt idx="77">
                  <c:v>132</c:v>
                </c:pt>
                <c:pt idx="78">
                  <c:v>133</c:v>
                </c:pt>
                <c:pt idx="79">
                  <c:v>134</c:v>
                </c:pt>
                <c:pt idx="80">
                  <c:v>135</c:v>
                </c:pt>
                <c:pt idx="81">
                  <c:v>136</c:v>
                </c:pt>
                <c:pt idx="82">
                  <c:v>137</c:v>
                </c:pt>
                <c:pt idx="83">
                  <c:v>138</c:v>
                </c:pt>
                <c:pt idx="84">
                  <c:v>139</c:v>
                </c:pt>
                <c:pt idx="85">
                  <c:v>140</c:v>
                </c:pt>
                <c:pt idx="86">
                  <c:v>141</c:v>
                </c:pt>
                <c:pt idx="87">
                  <c:v>142</c:v>
                </c:pt>
                <c:pt idx="88">
                  <c:v>143</c:v>
                </c:pt>
                <c:pt idx="89">
                  <c:v>144</c:v>
                </c:pt>
                <c:pt idx="90">
                  <c:v>145</c:v>
                </c:pt>
                <c:pt idx="91">
                  <c:v>146</c:v>
                </c:pt>
                <c:pt idx="92">
                  <c:v>147</c:v>
                </c:pt>
                <c:pt idx="93">
                  <c:v>148</c:v>
                </c:pt>
                <c:pt idx="94">
                  <c:v>149</c:v>
                </c:pt>
                <c:pt idx="95">
                  <c:v>150</c:v>
                </c:pt>
                <c:pt idx="96">
                  <c:v>151</c:v>
                </c:pt>
                <c:pt idx="97">
                  <c:v>152</c:v>
                </c:pt>
                <c:pt idx="98">
                  <c:v>153</c:v>
                </c:pt>
                <c:pt idx="99">
                  <c:v>154</c:v>
                </c:pt>
                <c:pt idx="100">
                  <c:v>155</c:v>
                </c:pt>
                <c:pt idx="101">
                  <c:v>156</c:v>
                </c:pt>
                <c:pt idx="102">
                  <c:v>157</c:v>
                </c:pt>
                <c:pt idx="103">
                  <c:v>158</c:v>
                </c:pt>
                <c:pt idx="104">
                  <c:v>159</c:v>
                </c:pt>
                <c:pt idx="105">
                  <c:v>160</c:v>
                </c:pt>
                <c:pt idx="106">
                  <c:v>161</c:v>
                </c:pt>
                <c:pt idx="107">
                  <c:v>162</c:v>
                </c:pt>
                <c:pt idx="108">
                  <c:v>163</c:v>
                </c:pt>
                <c:pt idx="109">
                  <c:v>164</c:v>
                </c:pt>
                <c:pt idx="110">
                  <c:v>165</c:v>
                </c:pt>
                <c:pt idx="111">
                  <c:v>166</c:v>
                </c:pt>
                <c:pt idx="112">
                  <c:v>167</c:v>
                </c:pt>
                <c:pt idx="113">
                  <c:v>168</c:v>
                </c:pt>
                <c:pt idx="114">
                  <c:v>169</c:v>
                </c:pt>
                <c:pt idx="115">
                  <c:v>170</c:v>
                </c:pt>
                <c:pt idx="116">
                  <c:v>171</c:v>
                </c:pt>
                <c:pt idx="117">
                  <c:v>172</c:v>
                </c:pt>
                <c:pt idx="118">
                  <c:v>173</c:v>
                </c:pt>
                <c:pt idx="119">
                  <c:v>174</c:v>
                </c:pt>
                <c:pt idx="120">
                  <c:v>175</c:v>
                </c:pt>
                <c:pt idx="121">
                  <c:v>176</c:v>
                </c:pt>
                <c:pt idx="122">
                  <c:v>177</c:v>
                </c:pt>
                <c:pt idx="123">
                  <c:v>178</c:v>
                </c:pt>
                <c:pt idx="124">
                  <c:v>179</c:v>
                </c:pt>
                <c:pt idx="125">
                  <c:v>180</c:v>
                </c:pt>
                <c:pt idx="126">
                  <c:v>181</c:v>
                </c:pt>
                <c:pt idx="127">
                  <c:v>182</c:v>
                </c:pt>
                <c:pt idx="128">
                  <c:v>183</c:v>
                </c:pt>
                <c:pt idx="129">
                  <c:v>184</c:v>
                </c:pt>
                <c:pt idx="130">
                  <c:v>185</c:v>
                </c:pt>
                <c:pt idx="131">
                  <c:v>186</c:v>
                </c:pt>
                <c:pt idx="132">
                  <c:v>187</c:v>
                </c:pt>
                <c:pt idx="133">
                  <c:v>188</c:v>
                </c:pt>
                <c:pt idx="134">
                  <c:v>189</c:v>
                </c:pt>
                <c:pt idx="135">
                  <c:v>190</c:v>
                </c:pt>
                <c:pt idx="136">
                  <c:v>191</c:v>
                </c:pt>
                <c:pt idx="137">
                  <c:v>192</c:v>
                </c:pt>
                <c:pt idx="138">
                  <c:v>193</c:v>
                </c:pt>
                <c:pt idx="139">
                  <c:v>194</c:v>
                </c:pt>
                <c:pt idx="140">
                  <c:v>195</c:v>
                </c:pt>
                <c:pt idx="141">
                  <c:v>196</c:v>
                </c:pt>
                <c:pt idx="142">
                  <c:v>197</c:v>
                </c:pt>
                <c:pt idx="143">
                  <c:v>198</c:v>
                </c:pt>
                <c:pt idx="144">
                  <c:v>199</c:v>
                </c:pt>
                <c:pt idx="145">
                  <c:v>200</c:v>
                </c:pt>
                <c:pt idx="146">
                  <c:v>201</c:v>
                </c:pt>
                <c:pt idx="147">
                  <c:v>202</c:v>
                </c:pt>
                <c:pt idx="148">
                  <c:v>203</c:v>
                </c:pt>
                <c:pt idx="149">
                  <c:v>204</c:v>
                </c:pt>
                <c:pt idx="150">
                  <c:v>205</c:v>
                </c:pt>
                <c:pt idx="151">
                  <c:v>206</c:v>
                </c:pt>
                <c:pt idx="152">
                  <c:v>207</c:v>
                </c:pt>
                <c:pt idx="153">
                  <c:v>208</c:v>
                </c:pt>
                <c:pt idx="154">
                  <c:v>209</c:v>
                </c:pt>
                <c:pt idx="155">
                  <c:v>210</c:v>
                </c:pt>
                <c:pt idx="156">
                  <c:v>211</c:v>
                </c:pt>
                <c:pt idx="157">
                  <c:v>212</c:v>
                </c:pt>
                <c:pt idx="158">
                  <c:v>213</c:v>
                </c:pt>
                <c:pt idx="159">
                  <c:v>214</c:v>
                </c:pt>
                <c:pt idx="160">
                  <c:v>215</c:v>
                </c:pt>
                <c:pt idx="161">
                  <c:v>216</c:v>
                </c:pt>
                <c:pt idx="162">
                  <c:v>217</c:v>
                </c:pt>
                <c:pt idx="163">
                  <c:v>218</c:v>
                </c:pt>
                <c:pt idx="164">
                  <c:v>219</c:v>
                </c:pt>
                <c:pt idx="165">
                  <c:v>220</c:v>
                </c:pt>
                <c:pt idx="166">
                  <c:v>221</c:v>
                </c:pt>
                <c:pt idx="167">
                  <c:v>222</c:v>
                </c:pt>
                <c:pt idx="168">
                  <c:v>223</c:v>
                </c:pt>
                <c:pt idx="169">
                  <c:v>224</c:v>
                </c:pt>
                <c:pt idx="170">
                  <c:v>225</c:v>
                </c:pt>
                <c:pt idx="171">
                  <c:v>226</c:v>
                </c:pt>
                <c:pt idx="172">
                  <c:v>227</c:v>
                </c:pt>
                <c:pt idx="173">
                  <c:v>228</c:v>
                </c:pt>
                <c:pt idx="174">
                  <c:v>229</c:v>
                </c:pt>
                <c:pt idx="175">
                  <c:v>230</c:v>
                </c:pt>
                <c:pt idx="176">
                  <c:v>231</c:v>
                </c:pt>
                <c:pt idx="177">
                  <c:v>232</c:v>
                </c:pt>
                <c:pt idx="178">
                  <c:v>233</c:v>
                </c:pt>
                <c:pt idx="179">
                  <c:v>234</c:v>
                </c:pt>
                <c:pt idx="180">
                  <c:v>235</c:v>
                </c:pt>
                <c:pt idx="181">
                  <c:v>236</c:v>
                </c:pt>
                <c:pt idx="182">
                  <c:v>237</c:v>
                </c:pt>
                <c:pt idx="183">
                  <c:v>238</c:v>
                </c:pt>
                <c:pt idx="184">
                  <c:v>239</c:v>
                </c:pt>
                <c:pt idx="185">
                  <c:v>240</c:v>
                </c:pt>
                <c:pt idx="186">
                  <c:v>241</c:v>
                </c:pt>
                <c:pt idx="187">
                  <c:v>242</c:v>
                </c:pt>
                <c:pt idx="188">
                  <c:v>243</c:v>
                </c:pt>
                <c:pt idx="189">
                  <c:v>244</c:v>
                </c:pt>
                <c:pt idx="190">
                  <c:v>245</c:v>
                </c:pt>
                <c:pt idx="191">
                  <c:v>246</c:v>
                </c:pt>
                <c:pt idx="192">
                  <c:v>247</c:v>
                </c:pt>
                <c:pt idx="193">
                  <c:v>248</c:v>
                </c:pt>
                <c:pt idx="194">
                  <c:v>249</c:v>
                </c:pt>
                <c:pt idx="195">
                  <c:v>250</c:v>
                </c:pt>
                <c:pt idx="196">
                  <c:v>251</c:v>
                </c:pt>
                <c:pt idx="197">
                  <c:v>252</c:v>
                </c:pt>
                <c:pt idx="198">
                  <c:v>253</c:v>
                </c:pt>
                <c:pt idx="199">
                  <c:v>254</c:v>
                </c:pt>
                <c:pt idx="200">
                  <c:v>255</c:v>
                </c:pt>
                <c:pt idx="201">
                  <c:v>256</c:v>
                </c:pt>
                <c:pt idx="202">
                  <c:v>257</c:v>
                </c:pt>
                <c:pt idx="203">
                  <c:v>258</c:v>
                </c:pt>
                <c:pt idx="204">
                  <c:v>259</c:v>
                </c:pt>
                <c:pt idx="205">
                  <c:v>260</c:v>
                </c:pt>
                <c:pt idx="206">
                  <c:v>261</c:v>
                </c:pt>
                <c:pt idx="207">
                  <c:v>262</c:v>
                </c:pt>
                <c:pt idx="208">
                  <c:v>263</c:v>
                </c:pt>
                <c:pt idx="209">
                  <c:v>264</c:v>
                </c:pt>
                <c:pt idx="210">
                  <c:v>265</c:v>
                </c:pt>
                <c:pt idx="211">
                  <c:v>266</c:v>
                </c:pt>
                <c:pt idx="212">
                  <c:v>267</c:v>
                </c:pt>
                <c:pt idx="213">
                  <c:v>268</c:v>
                </c:pt>
                <c:pt idx="214">
                  <c:v>269</c:v>
                </c:pt>
                <c:pt idx="215">
                  <c:v>270</c:v>
                </c:pt>
                <c:pt idx="216">
                  <c:v>271</c:v>
                </c:pt>
                <c:pt idx="217">
                  <c:v>272</c:v>
                </c:pt>
                <c:pt idx="218">
                  <c:v>273</c:v>
                </c:pt>
                <c:pt idx="219">
                  <c:v>274</c:v>
                </c:pt>
              </c:numCache>
            </c:numRef>
          </c:xVal>
          <c:yVal>
            <c:numRef>
              <c:f>'New_removed - bSIR'!$T$62:$T$281</c:f>
              <c:numCache>
                <c:formatCode>General</c:formatCode>
                <c:ptCount val="220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4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2</c:v>
                </c:pt>
                <c:pt idx="11">
                  <c:v>1</c:v>
                </c:pt>
                <c:pt idx="12">
                  <c:v>1</c:v>
                </c:pt>
                <c:pt idx="13">
                  <c:v>2</c:v>
                </c:pt>
                <c:pt idx="14">
                  <c:v>1</c:v>
                </c:pt>
                <c:pt idx="15">
                  <c:v>1</c:v>
                </c:pt>
                <c:pt idx="16">
                  <c:v>0</c:v>
                </c:pt>
                <c:pt idx="17">
                  <c:v>18</c:v>
                </c:pt>
                <c:pt idx="18">
                  <c:v>10</c:v>
                </c:pt>
                <c:pt idx="19">
                  <c:v>38</c:v>
                </c:pt>
                <c:pt idx="20">
                  <c:v>-13</c:v>
                </c:pt>
                <c:pt idx="21">
                  <c:v>26</c:v>
                </c:pt>
                <c:pt idx="22">
                  <c:v>25</c:v>
                </c:pt>
                <c:pt idx="23">
                  <c:v>26</c:v>
                </c:pt>
                <c:pt idx="24">
                  <c:v>33</c:v>
                </c:pt>
                <c:pt idx="25">
                  <c:v>44</c:v>
                </c:pt>
                <c:pt idx="26">
                  <c:v>57</c:v>
                </c:pt>
                <c:pt idx="27">
                  <c:v>37</c:v>
                </c:pt>
                <c:pt idx="28">
                  <c:v>57</c:v>
                </c:pt>
                <c:pt idx="29">
                  <c:v>53</c:v>
                </c:pt>
                <c:pt idx="30">
                  <c:v>55</c:v>
                </c:pt>
                <c:pt idx="31">
                  <c:v>61</c:v>
                </c:pt>
                <c:pt idx="32">
                  <c:v>96</c:v>
                </c:pt>
                <c:pt idx="33">
                  <c:v>100</c:v>
                </c:pt>
                <c:pt idx="34">
                  <c:v>61</c:v>
                </c:pt>
                <c:pt idx="35">
                  <c:v>37</c:v>
                </c:pt>
                <c:pt idx="36">
                  <c:v>74</c:v>
                </c:pt>
                <c:pt idx="37">
                  <c:v>107</c:v>
                </c:pt>
                <c:pt idx="38">
                  <c:v>107</c:v>
                </c:pt>
                <c:pt idx="39">
                  <c:v>97</c:v>
                </c:pt>
                <c:pt idx="40">
                  <c:v>90</c:v>
                </c:pt>
                <c:pt idx="41">
                  <c:v>47</c:v>
                </c:pt>
                <c:pt idx="42">
                  <c:v>76</c:v>
                </c:pt>
                <c:pt idx="43">
                  <c:v>113</c:v>
                </c:pt>
                <c:pt idx="44">
                  <c:v>116</c:v>
                </c:pt>
                <c:pt idx="45">
                  <c:v>106</c:v>
                </c:pt>
                <c:pt idx="46">
                  <c:v>123</c:v>
                </c:pt>
                <c:pt idx="47">
                  <c:v>153</c:v>
                </c:pt>
                <c:pt idx="48">
                  <c:v>118</c:v>
                </c:pt>
                <c:pt idx="49">
                  <c:v>70</c:v>
                </c:pt>
                <c:pt idx="50">
                  <c:v>111</c:v>
                </c:pt>
                <c:pt idx="51">
                  <c:v>130</c:v>
                </c:pt>
                <c:pt idx="52">
                  <c:v>130</c:v>
                </c:pt>
                <c:pt idx="53">
                  <c:v>127</c:v>
                </c:pt>
                <c:pt idx="54">
                  <c:v>160</c:v>
                </c:pt>
                <c:pt idx="55">
                  <c:v>149</c:v>
                </c:pt>
                <c:pt idx="56">
                  <c:v>135</c:v>
                </c:pt>
                <c:pt idx="57">
                  <c:v>128</c:v>
                </c:pt>
                <c:pt idx="58">
                  <c:v>141</c:v>
                </c:pt>
                <c:pt idx="59">
                  <c:v>141</c:v>
                </c:pt>
                <c:pt idx="60">
                  <c:v>153</c:v>
                </c:pt>
                <c:pt idx="61">
                  <c:v>132</c:v>
                </c:pt>
                <c:pt idx="62">
                  <c:v>140</c:v>
                </c:pt>
                <c:pt idx="63">
                  <c:v>54</c:v>
                </c:pt>
                <c:pt idx="64">
                  <c:v>139</c:v>
                </c:pt>
                <c:pt idx="65">
                  <c:v>112</c:v>
                </c:pt>
                <c:pt idx="66">
                  <c:v>129</c:v>
                </c:pt>
                <c:pt idx="67">
                  <c:v>166</c:v>
                </c:pt>
                <c:pt idx="68">
                  <c:v>106</c:v>
                </c:pt>
                <c:pt idx="69">
                  <c:v>94</c:v>
                </c:pt>
                <c:pt idx="70">
                  <c:v>96</c:v>
                </c:pt>
                <c:pt idx="71">
                  <c:v>144</c:v>
                </c:pt>
                <c:pt idx="72">
                  <c:v>197</c:v>
                </c:pt>
                <c:pt idx="73">
                  <c:v>152</c:v>
                </c:pt>
                <c:pt idx="74">
                  <c:v>150</c:v>
                </c:pt>
                <c:pt idx="75">
                  <c:v>209</c:v>
                </c:pt>
                <c:pt idx="76">
                  <c:v>132</c:v>
                </c:pt>
                <c:pt idx="77">
                  <c:v>100</c:v>
                </c:pt>
                <c:pt idx="78">
                  <c:v>96</c:v>
                </c:pt>
                <c:pt idx="79">
                  <c:v>128</c:v>
                </c:pt>
                <c:pt idx="80">
                  <c:v>123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2D2-4346-8DCD-ABBA25EACD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9487760"/>
        <c:axId val="969487440"/>
      </c:scatterChart>
      <c:scatterChart>
        <c:scatterStyle val="smoothMarker"/>
        <c:varyColors val="0"/>
        <c:ser>
          <c:idx val="1"/>
          <c:order val="1"/>
          <c:tx>
            <c:strRef>
              <c:f>'New_removed - bSIR'!$Z$7</c:f>
              <c:strCache>
                <c:ptCount val="1"/>
                <c:pt idx="0">
                  <c:v>region fit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'New_removed - bSIR'!$C$62:$C$281</c:f>
              <c:numCache>
                <c:formatCode>General</c:formatCode>
                <c:ptCount val="220"/>
                <c:pt idx="0">
                  <c:v>55</c:v>
                </c:pt>
                <c:pt idx="1">
                  <c:v>56</c:v>
                </c:pt>
                <c:pt idx="2">
                  <c:v>57</c:v>
                </c:pt>
                <c:pt idx="3">
                  <c:v>58</c:v>
                </c:pt>
                <c:pt idx="4">
                  <c:v>59</c:v>
                </c:pt>
                <c:pt idx="5">
                  <c:v>60</c:v>
                </c:pt>
                <c:pt idx="6">
                  <c:v>61</c:v>
                </c:pt>
                <c:pt idx="7">
                  <c:v>62</c:v>
                </c:pt>
                <c:pt idx="8">
                  <c:v>63</c:v>
                </c:pt>
                <c:pt idx="9">
                  <c:v>64</c:v>
                </c:pt>
                <c:pt idx="10">
                  <c:v>65</c:v>
                </c:pt>
                <c:pt idx="11">
                  <c:v>66</c:v>
                </c:pt>
                <c:pt idx="12">
                  <c:v>67</c:v>
                </c:pt>
                <c:pt idx="13">
                  <c:v>68</c:v>
                </c:pt>
                <c:pt idx="14">
                  <c:v>69</c:v>
                </c:pt>
                <c:pt idx="15">
                  <c:v>70</c:v>
                </c:pt>
                <c:pt idx="16">
                  <c:v>71</c:v>
                </c:pt>
                <c:pt idx="17">
                  <c:v>72</c:v>
                </c:pt>
                <c:pt idx="18">
                  <c:v>73</c:v>
                </c:pt>
                <c:pt idx="19">
                  <c:v>74</c:v>
                </c:pt>
                <c:pt idx="20">
                  <c:v>75</c:v>
                </c:pt>
                <c:pt idx="21">
                  <c:v>76</c:v>
                </c:pt>
                <c:pt idx="22">
                  <c:v>77</c:v>
                </c:pt>
                <c:pt idx="23">
                  <c:v>78</c:v>
                </c:pt>
                <c:pt idx="24">
                  <c:v>79</c:v>
                </c:pt>
                <c:pt idx="25">
                  <c:v>80</c:v>
                </c:pt>
                <c:pt idx="26">
                  <c:v>81</c:v>
                </c:pt>
                <c:pt idx="27">
                  <c:v>82</c:v>
                </c:pt>
                <c:pt idx="28">
                  <c:v>83</c:v>
                </c:pt>
                <c:pt idx="29">
                  <c:v>84</c:v>
                </c:pt>
                <c:pt idx="30">
                  <c:v>85</c:v>
                </c:pt>
                <c:pt idx="31">
                  <c:v>86</c:v>
                </c:pt>
                <c:pt idx="32">
                  <c:v>87</c:v>
                </c:pt>
                <c:pt idx="33">
                  <c:v>88</c:v>
                </c:pt>
                <c:pt idx="34">
                  <c:v>89</c:v>
                </c:pt>
                <c:pt idx="35">
                  <c:v>90</c:v>
                </c:pt>
                <c:pt idx="36">
                  <c:v>91</c:v>
                </c:pt>
                <c:pt idx="37">
                  <c:v>92</c:v>
                </c:pt>
                <c:pt idx="38">
                  <c:v>93</c:v>
                </c:pt>
                <c:pt idx="39">
                  <c:v>94</c:v>
                </c:pt>
                <c:pt idx="40">
                  <c:v>95</c:v>
                </c:pt>
                <c:pt idx="41">
                  <c:v>96</c:v>
                </c:pt>
                <c:pt idx="42">
                  <c:v>97</c:v>
                </c:pt>
                <c:pt idx="43">
                  <c:v>98</c:v>
                </c:pt>
                <c:pt idx="44">
                  <c:v>99</c:v>
                </c:pt>
                <c:pt idx="45">
                  <c:v>100</c:v>
                </c:pt>
                <c:pt idx="46">
                  <c:v>101</c:v>
                </c:pt>
                <c:pt idx="47">
                  <c:v>102</c:v>
                </c:pt>
                <c:pt idx="48">
                  <c:v>103</c:v>
                </c:pt>
                <c:pt idx="49">
                  <c:v>104</c:v>
                </c:pt>
                <c:pt idx="50">
                  <c:v>105</c:v>
                </c:pt>
                <c:pt idx="51">
                  <c:v>106</c:v>
                </c:pt>
                <c:pt idx="52">
                  <c:v>107</c:v>
                </c:pt>
                <c:pt idx="53">
                  <c:v>108</c:v>
                </c:pt>
                <c:pt idx="54">
                  <c:v>109</c:v>
                </c:pt>
                <c:pt idx="55">
                  <c:v>110</c:v>
                </c:pt>
                <c:pt idx="56">
                  <c:v>111</c:v>
                </c:pt>
                <c:pt idx="57">
                  <c:v>112</c:v>
                </c:pt>
                <c:pt idx="58">
                  <c:v>113</c:v>
                </c:pt>
                <c:pt idx="59">
                  <c:v>114</c:v>
                </c:pt>
                <c:pt idx="60">
                  <c:v>115</c:v>
                </c:pt>
                <c:pt idx="61">
                  <c:v>116</c:v>
                </c:pt>
                <c:pt idx="62">
                  <c:v>117</c:v>
                </c:pt>
                <c:pt idx="63">
                  <c:v>118</c:v>
                </c:pt>
                <c:pt idx="64">
                  <c:v>119</c:v>
                </c:pt>
                <c:pt idx="65">
                  <c:v>120</c:v>
                </c:pt>
                <c:pt idx="66">
                  <c:v>121</c:v>
                </c:pt>
                <c:pt idx="67">
                  <c:v>122</c:v>
                </c:pt>
                <c:pt idx="68">
                  <c:v>123</c:v>
                </c:pt>
                <c:pt idx="69">
                  <c:v>124</c:v>
                </c:pt>
                <c:pt idx="70">
                  <c:v>125</c:v>
                </c:pt>
                <c:pt idx="71">
                  <c:v>126</c:v>
                </c:pt>
                <c:pt idx="72">
                  <c:v>127</c:v>
                </c:pt>
                <c:pt idx="73">
                  <c:v>128</c:v>
                </c:pt>
                <c:pt idx="74">
                  <c:v>129</c:v>
                </c:pt>
                <c:pt idx="75">
                  <c:v>130</c:v>
                </c:pt>
                <c:pt idx="76">
                  <c:v>131</c:v>
                </c:pt>
                <c:pt idx="77">
                  <c:v>132</c:v>
                </c:pt>
                <c:pt idx="78">
                  <c:v>133</c:v>
                </c:pt>
                <c:pt idx="79">
                  <c:v>134</c:v>
                </c:pt>
                <c:pt idx="80">
                  <c:v>135</c:v>
                </c:pt>
                <c:pt idx="81">
                  <c:v>136</c:v>
                </c:pt>
                <c:pt idx="82">
                  <c:v>137</c:v>
                </c:pt>
                <c:pt idx="83">
                  <c:v>138</c:v>
                </c:pt>
                <c:pt idx="84">
                  <c:v>139</c:v>
                </c:pt>
                <c:pt idx="85">
                  <c:v>140</c:v>
                </c:pt>
                <c:pt idx="86">
                  <c:v>141</c:v>
                </c:pt>
                <c:pt idx="87">
                  <c:v>142</c:v>
                </c:pt>
                <c:pt idx="88">
                  <c:v>143</c:v>
                </c:pt>
                <c:pt idx="89">
                  <c:v>144</c:v>
                </c:pt>
                <c:pt idx="90">
                  <c:v>145</c:v>
                </c:pt>
                <c:pt idx="91">
                  <c:v>146</c:v>
                </c:pt>
                <c:pt idx="92">
                  <c:v>147</c:v>
                </c:pt>
                <c:pt idx="93">
                  <c:v>148</c:v>
                </c:pt>
                <c:pt idx="94">
                  <c:v>149</c:v>
                </c:pt>
                <c:pt idx="95">
                  <c:v>150</c:v>
                </c:pt>
                <c:pt idx="96">
                  <c:v>151</c:v>
                </c:pt>
                <c:pt idx="97">
                  <c:v>152</c:v>
                </c:pt>
                <c:pt idx="98">
                  <c:v>153</c:v>
                </c:pt>
                <c:pt idx="99">
                  <c:v>154</c:v>
                </c:pt>
                <c:pt idx="100">
                  <c:v>155</c:v>
                </c:pt>
                <c:pt idx="101">
                  <c:v>156</c:v>
                </c:pt>
                <c:pt idx="102">
                  <c:v>157</c:v>
                </c:pt>
                <c:pt idx="103">
                  <c:v>158</c:v>
                </c:pt>
                <c:pt idx="104">
                  <c:v>159</c:v>
                </c:pt>
                <c:pt idx="105">
                  <c:v>160</c:v>
                </c:pt>
                <c:pt idx="106">
                  <c:v>161</c:v>
                </c:pt>
                <c:pt idx="107">
                  <c:v>162</c:v>
                </c:pt>
                <c:pt idx="108">
                  <c:v>163</c:v>
                </c:pt>
                <c:pt idx="109">
                  <c:v>164</c:v>
                </c:pt>
                <c:pt idx="110">
                  <c:v>165</c:v>
                </c:pt>
                <c:pt idx="111">
                  <c:v>166</c:v>
                </c:pt>
                <c:pt idx="112">
                  <c:v>167</c:v>
                </c:pt>
                <c:pt idx="113">
                  <c:v>168</c:v>
                </c:pt>
                <c:pt idx="114">
                  <c:v>169</c:v>
                </c:pt>
                <c:pt idx="115">
                  <c:v>170</c:v>
                </c:pt>
                <c:pt idx="116">
                  <c:v>171</c:v>
                </c:pt>
                <c:pt idx="117">
                  <c:v>172</c:v>
                </c:pt>
                <c:pt idx="118">
                  <c:v>173</c:v>
                </c:pt>
                <c:pt idx="119">
                  <c:v>174</c:v>
                </c:pt>
                <c:pt idx="120">
                  <c:v>175</c:v>
                </c:pt>
                <c:pt idx="121">
                  <c:v>176</c:v>
                </c:pt>
                <c:pt idx="122">
                  <c:v>177</c:v>
                </c:pt>
                <c:pt idx="123">
                  <c:v>178</c:v>
                </c:pt>
                <c:pt idx="124">
                  <c:v>179</c:v>
                </c:pt>
                <c:pt idx="125">
                  <c:v>180</c:v>
                </c:pt>
                <c:pt idx="126">
                  <c:v>181</c:v>
                </c:pt>
                <c:pt idx="127">
                  <c:v>182</c:v>
                </c:pt>
                <c:pt idx="128">
                  <c:v>183</c:v>
                </c:pt>
                <c:pt idx="129">
                  <c:v>184</c:v>
                </c:pt>
                <c:pt idx="130">
                  <c:v>185</c:v>
                </c:pt>
                <c:pt idx="131">
                  <c:v>186</c:v>
                </c:pt>
                <c:pt idx="132">
                  <c:v>187</c:v>
                </c:pt>
                <c:pt idx="133">
                  <c:v>188</c:v>
                </c:pt>
                <c:pt idx="134">
                  <c:v>189</c:v>
                </c:pt>
                <c:pt idx="135">
                  <c:v>190</c:v>
                </c:pt>
                <c:pt idx="136">
                  <c:v>191</c:v>
                </c:pt>
                <c:pt idx="137">
                  <c:v>192</c:v>
                </c:pt>
                <c:pt idx="138">
                  <c:v>193</c:v>
                </c:pt>
                <c:pt idx="139">
                  <c:v>194</c:v>
                </c:pt>
                <c:pt idx="140">
                  <c:v>195</c:v>
                </c:pt>
                <c:pt idx="141">
                  <c:v>196</c:v>
                </c:pt>
                <c:pt idx="142">
                  <c:v>197</c:v>
                </c:pt>
                <c:pt idx="143">
                  <c:v>198</c:v>
                </c:pt>
                <c:pt idx="144">
                  <c:v>199</c:v>
                </c:pt>
                <c:pt idx="145">
                  <c:v>200</c:v>
                </c:pt>
                <c:pt idx="146">
                  <c:v>201</c:v>
                </c:pt>
                <c:pt idx="147">
                  <c:v>202</c:v>
                </c:pt>
                <c:pt idx="148">
                  <c:v>203</c:v>
                </c:pt>
                <c:pt idx="149">
                  <c:v>204</c:v>
                </c:pt>
                <c:pt idx="150">
                  <c:v>205</c:v>
                </c:pt>
                <c:pt idx="151">
                  <c:v>206</c:v>
                </c:pt>
                <c:pt idx="152">
                  <c:v>207</c:v>
                </c:pt>
                <c:pt idx="153">
                  <c:v>208</c:v>
                </c:pt>
                <c:pt idx="154">
                  <c:v>209</c:v>
                </c:pt>
                <c:pt idx="155">
                  <c:v>210</c:v>
                </c:pt>
                <c:pt idx="156">
                  <c:v>211</c:v>
                </c:pt>
                <c:pt idx="157">
                  <c:v>212</c:v>
                </c:pt>
                <c:pt idx="158">
                  <c:v>213</c:v>
                </c:pt>
                <c:pt idx="159">
                  <c:v>214</c:v>
                </c:pt>
                <c:pt idx="160">
                  <c:v>215</c:v>
                </c:pt>
                <c:pt idx="161">
                  <c:v>216</c:v>
                </c:pt>
                <c:pt idx="162">
                  <c:v>217</c:v>
                </c:pt>
                <c:pt idx="163">
                  <c:v>218</c:v>
                </c:pt>
                <c:pt idx="164">
                  <c:v>219</c:v>
                </c:pt>
                <c:pt idx="165">
                  <c:v>220</c:v>
                </c:pt>
                <c:pt idx="166">
                  <c:v>221</c:v>
                </c:pt>
                <c:pt idx="167">
                  <c:v>222</c:v>
                </c:pt>
                <c:pt idx="168">
                  <c:v>223</c:v>
                </c:pt>
                <c:pt idx="169">
                  <c:v>224</c:v>
                </c:pt>
                <c:pt idx="170">
                  <c:v>225</c:v>
                </c:pt>
                <c:pt idx="171">
                  <c:v>226</c:v>
                </c:pt>
                <c:pt idx="172">
                  <c:v>227</c:v>
                </c:pt>
                <c:pt idx="173">
                  <c:v>228</c:v>
                </c:pt>
                <c:pt idx="174">
                  <c:v>229</c:v>
                </c:pt>
                <c:pt idx="175">
                  <c:v>230</c:v>
                </c:pt>
                <c:pt idx="176">
                  <c:v>231</c:v>
                </c:pt>
                <c:pt idx="177">
                  <c:v>232</c:v>
                </c:pt>
                <c:pt idx="178">
                  <c:v>233</c:v>
                </c:pt>
                <c:pt idx="179">
                  <c:v>234</c:v>
                </c:pt>
                <c:pt idx="180">
                  <c:v>235</c:v>
                </c:pt>
                <c:pt idx="181">
                  <c:v>236</c:v>
                </c:pt>
                <c:pt idx="182">
                  <c:v>237</c:v>
                </c:pt>
                <c:pt idx="183">
                  <c:v>238</c:v>
                </c:pt>
                <c:pt idx="184">
                  <c:v>239</c:v>
                </c:pt>
                <c:pt idx="185">
                  <c:v>240</c:v>
                </c:pt>
                <c:pt idx="186">
                  <c:v>241</c:v>
                </c:pt>
                <c:pt idx="187">
                  <c:v>242</c:v>
                </c:pt>
                <c:pt idx="188">
                  <c:v>243</c:v>
                </c:pt>
                <c:pt idx="189">
                  <c:v>244</c:v>
                </c:pt>
                <c:pt idx="190">
                  <c:v>245</c:v>
                </c:pt>
                <c:pt idx="191">
                  <c:v>246</c:v>
                </c:pt>
                <c:pt idx="192">
                  <c:v>247</c:v>
                </c:pt>
                <c:pt idx="193">
                  <c:v>248</c:v>
                </c:pt>
                <c:pt idx="194">
                  <c:v>249</c:v>
                </c:pt>
                <c:pt idx="195">
                  <c:v>250</c:v>
                </c:pt>
                <c:pt idx="196">
                  <c:v>251</c:v>
                </c:pt>
                <c:pt idx="197">
                  <c:v>252</c:v>
                </c:pt>
                <c:pt idx="198">
                  <c:v>253</c:v>
                </c:pt>
                <c:pt idx="199">
                  <c:v>254</c:v>
                </c:pt>
                <c:pt idx="200">
                  <c:v>255</c:v>
                </c:pt>
                <c:pt idx="201">
                  <c:v>256</c:v>
                </c:pt>
                <c:pt idx="202">
                  <c:v>257</c:v>
                </c:pt>
                <c:pt idx="203">
                  <c:v>258</c:v>
                </c:pt>
                <c:pt idx="204">
                  <c:v>259</c:v>
                </c:pt>
                <c:pt idx="205">
                  <c:v>260</c:v>
                </c:pt>
                <c:pt idx="206">
                  <c:v>261</c:v>
                </c:pt>
                <c:pt idx="207">
                  <c:v>262</c:v>
                </c:pt>
                <c:pt idx="208">
                  <c:v>263</c:v>
                </c:pt>
                <c:pt idx="209">
                  <c:v>264</c:v>
                </c:pt>
                <c:pt idx="210">
                  <c:v>265</c:v>
                </c:pt>
                <c:pt idx="211">
                  <c:v>266</c:v>
                </c:pt>
                <c:pt idx="212">
                  <c:v>267</c:v>
                </c:pt>
                <c:pt idx="213">
                  <c:v>268</c:v>
                </c:pt>
                <c:pt idx="214">
                  <c:v>269</c:v>
                </c:pt>
                <c:pt idx="215">
                  <c:v>270</c:v>
                </c:pt>
                <c:pt idx="216">
                  <c:v>271</c:v>
                </c:pt>
                <c:pt idx="217">
                  <c:v>272</c:v>
                </c:pt>
                <c:pt idx="218">
                  <c:v>273</c:v>
                </c:pt>
                <c:pt idx="219">
                  <c:v>274</c:v>
                </c:pt>
              </c:numCache>
            </c:numRef>
          </c:xVal>
          <c:yVal>
            <c:numRef>
              <c:f>'New_removed - bSIR'!$Z$62:$Z$281</c:f>
              <c:numCache>
                <c:formatCode>General</c:formatCode>
                <c:ptCount val="220"/>
                <c:pt idx="0">
                  <c:v>14.865479662063601</c:v>
                </c:pt>
                <c:pt idx="1">
                  <c:v>15.67760406574914</c:v>
                </c:pt>
                <c:pt idx="2">
                  <c:v>16.531102973403353</c:v>
                </c:pt>
                <c:pt idx="3">
                  <c:v>17.427739652397136</c:v>
                </c:pt>
                <c:pt idx="4">
                  <c:v>18.369312091273478</c:v>
                </c:pt>
                <c:pt idx="5">
                  <c:v>19.357648388642112</c:v>
                </c:pt>
                <c:pt idx="6">
                  <c:v>20.394601319470279</c:v>
                </c:pt>
                <c:pt idx="7">
                  <c:v>21.482042001296499</c:v>
                </c:pt>
                <c:pt idx="8">
                  <c:v>22.621852580021038</c:v>
                </c:pt>
                <c:pt idx="9">
                  <c:v>23.815917852703663</c:v>
                </c:pt>
                <c:pt idx="10">
                  <c:v>25.066115743405614</c:v>
                </c:pt>
                <c:pt idx="11">
                  <c:v>26.374306547759637</c:v>
                </c:pt>
                <c:pt idx="12">
                  <c:v>27.742320862869523</c:v>
                </c:pt>
                <c:pt idx="13">
                  <c:v>29.171946121590004</c:v>
                </c:pt>
                <c:pt idx="14">
                  <c:v>30.664911654503587</c:v>
                </c:pt>
                <c:pt idx="15">
                  <c:v>32.222872209298011</c:v>
                </c:pt>
                <c:pt idx="16">
                  <c:v>33.847389866087639</c:v>
                </c:pt>
                <c:pt idx="17">
                  <c:v>35.539914298856431</c:v>
                </c:pt>
                <c:pt idx="18">
                  <c:v>37.301761347983359</c:v>
                </c:pt>
                <c:pt idx="19">
                  <c:v>39.134089887097304</c:v>
                </c:pt>
                <c:pt idx="20">
                  <c:v>41.037876989642982</c:v>
                </c:pt>
                <c:pt idx="21">
                  <c:v>43.013891426841987</c:v>
                </c:pt>
                <c:pt idx="22">
                  <c:v>45.062665559485005</c:v>
                </c:pt>
                <c:pt idx="23">
                  <c:v>47.184465721412373</c:v>
                </c:pt>
                <c:pt idx="24">
                  <c:v>49.37926123276646</c:v>
                </c:pt>
                <c:pt idx="25">
                  <c:v>51.646692226162791</c:v>
                </c:pt>
                <c:pt idx="26">
                  <c:v>53.986036518713341</c:v>
                </c:pt>
                <c:pt idx="27">
                  <c:v>56.396175817072752</c:v>
                </c:pt>
                <c:pt idx="28">
                  <c:v>58.875561600888808</c:v>
                </c:pt>
                <c:pt idx="29">
                  <c:v>61.422181091512115</c:v>
                </c:pt>
                <c:pt idx="30">
                  <c:v>64.033523776595501</c:v>
                </c:pt>
                <c:pt idx="31">
                  <c:v>66.706549026027517</c:v>
                </c:pt>
                <c:pt idx="32">
                  <c:v>69.437655398940805</c:v>
                </c:pt>
                <c:pt idx="33">
                  <c:v>72.222652303432596</c:v>
                </c:pt>
                <c:pt idx="34">
                  <c:v>75.056734727929353</c:v>
                </c:pt>
                <c:pt idx="35">
                  <c:v>77.934461813330699</c:v>
                </c:pt>
                <c:pt idx="36">
                  <c:v>80.849740075400007</c:v>
                </c:pt>
                <c:pt idx="37">
                  <c:v>83.795812114364338</c:v>
                </c:pt>
                <c:pt idx="38">
                  <c:v>86.765251660229168</c:v>
                </c:pt>
                <c:pt idx="39">
                  <c:v>89.749965794764407</c:v>
                </c:pt>
                <c:pt idx="40">
                  <c:v>92.741205161447823</c:v>
                </c:pt>
                <c:pt idx="41">
                  <c:v>95.729582920078158</c:v>
                </c:pt>
                <c:pt idx="42">
                  <c:v>98.705103120941359</c:v>
                </c:pt>
                <c:pt idx="43">
                  <c:v>101.65719906260496</c:v>
                </c:pt>
                <c:pt idx="44">
                  <c:v>104.57478205671082</c:v>
                </c:pt>
                <c:pt idx="45">
                  <c:v>107.44630085262033</c:v>
                </c:pt>
                <c:pt idx="46">
                  <c:v>110.25981177572147</c:v>
                </c:pt>
                <c:pt idx="47">
                  <c:v>113.00305940821912</c:v>
                </c:pt>
                <c:pt idx="48">
                  <c:v>115.663567394317</c:v>
                </c:pt>
                <c:pt idx="49">
                  <c:v>118.22873868833913</c:v>
                </c:pt>
                <c:pt idx="50">
                  <c:v>120.68596429140617</c:v>
                </c:pt>
                <c:pt idx="51">
                  <c:v>123.02273924795995</c:v>
                </c:pt>
                <c:pt idx="52">
                  <c:v>125.2267844069582</c:v>
                </c:pt>
                <c:pt idx="53">
                  <c:v>127.28617220393699</c:v>
                </c:pt>
                <c:pt idx="54">
                  <c:v>129.18945449972719</c:v>
                </c:pt>
                <c:pt idx="55">
                  <c:v>130.92579032964943</c:v>
                </c:pt>
                <c:pt idx="56">
                  <c:v>132.48507128312363</c:v>
                </c:pt>
                <c:pt idx="57">
                  <c:v>133.85804215624799</c:v>
                </c:pt>
                <c:pt idx="58">
                  <c:v>135.03641450576106</c:v>
                </c:pt>
                <c:pt idx="59">
                  <c:v>136.01297078645584</c:v>
                </c:pt>
                <c:pt idx="60">
                  <c:v>136.78165687752391</c:v>
                </c:pt>
                <c:pt idx="61">
                  <c:v>137.33766099559634</c:v>
                </c:pt>
                <c:pt idx="62">
                  <c:v>137.67747724954512</c:v>
                </c:pt>
                <c:pt idx="63">
                  <c:v>137.79895240762775</c:v>
                </c:pt>
                <c:pt idx="64">
                  <c:v>137.70131481176921</c:v>
                </c:pt>
                <c:pt idx="65">
                  <c:v>137.38518477485567</c:v>
                </c:pt>
                <c:pt idx="66">
                  <c:v>136.85256622119792</c:v>
                </c:pt>
                <c:pt idx="67">
                  <c:v>136.10681976304252</c:v>
                </c:pt>
                <c:pt idx="68">
                  <c:v>135.15261783194293</c:v>
                </c:pt>
                <c:pt idx="69">
                  <c:v>133.99588288809386</c:v>
                </c:pt>
                <c:pt idx="70">
                  <c:v>132.64371009957173</c:v>
                </c:pt>
                <c:pt idx="71">
                  <c:v>131.1042762047478</c:v>
                </c:pt>
                <c:pt idx="72">
                  <c:v>129.3867365351567</c:v>
                </c:pt>
                <c:pt idx="73">
                  <c:v>127.50111237570927</c:v>
                </c:pt>
                <c:pt idx="74">
                  <c:v>125.45817097013882</c:v>
                </c:pt>
                <c:pt idx="75">
                  <c:v>123.26930054077478</c:v>
                </c:pt>
                <c:pt idx="76">
                  <c:v>120.94638268479598</c:v>
                </c:pt>
                <c:pt idx="77">
                  <c:v>118.50166443832879</c:v>
                </c:pt>
                <c:pt idx="78">
                  <c:v>115.94763217163239</c:v>
                </c:pt>
                <c:pt idx="79">
                  <c:v>113.29688930143743</c:v>
                </c:pt>
                <c:pt idx="80">
                  <c:v>110.56203958978521</c:v>
                </c:pt>
                <c:pt idx="81">
                  <c:v>107.75557755265866</c:v>
                </c:pt>
                <c:pt idx="82">
                  <c:v>104.8897872366708</c:v>
                </c:pt>
                <c:pt idx="83">
                  <c:v>101.97665034814506</c:v>
                </c:pt>
                <c:pt idx="84">
                  <c:v>99.027764445420772</c:v>
                </c:pt>
                <c:pt idx="85">
                  <c:v>96.054271640455042</c:v>
                </c:pt>
                <c:pt idx="86">
                  <c:v>93.066798006797015</c:v>
                </c:pt>
                <c:pt idx="87">
                  <c:v>90.075403663419394</c:v>
                </c:pt>
                <c:pt idx="88">
                  <c:v>87.0895433018662</c:v>
                </c:pt>
                <c:pt idx="89">
                  <c:v>84.11803675047554</c:v>
                </c:pt>
                <c:pt idx="90">
                  <c:v>81.169049025460509</c:v>
                </c:pt>
                <c:pt idx="91">
                  <c:v>78.250079204594826</c:v>
                </c:pt>
                <c:pt idx="92">
                  <c:v>75.367957374340619</c:v>
                </c:pt>
                <c:pt idx="93">
                  <c:v>72.528848843818281</c:v>
                </c:pt>
                <c:pt idx="94">
                  <c:v>69.738264786763963</c:v>
                </c:pt>
                <c:pt idx="95">
                  <c:v>67.001078462812515</c:v>
                </c:pt>
                <c:pt idx="96">
                  <c:v>64.321546179053598</c:v>
                </c:pt>
                <c:pt idx="97">
                  <c:v>61.703332178724686</c:v>
                </c:pt>
                <c:pt idx="98">
                  <c:v>59.149536682985598</c:v>
                </c:pt>
                <c:pt idx="99">
                  <c:v>56.66272636098499</c:v>
                </c:pt>
                <c:pt idx="100">
                  <c:v>54.244966560081032</c:v>
                </c:pt>
                <c:pt idx="101">
                  <c:v>51.897854689584868</c:v>
                </c:pt>
                <c:pt idx="102">
                  <c:v>49.622554215526335</c:v>
                </c:pt>
                <c:pt idx="103">
                  <c:v>47.419828788784017</c:v>
                </c:pt>
                <c:pt idx="104">
                  <c:v>45.290076092872333</c:v>
                </c:pt>
                <c:pt idx="105">
                  <c:v>43.233361059457479</c:v>
                </c:pt>
                <c:pt idx="106">
                  <c:v>41.24944815827682</c:v>
                </c:pt>
                <c:pt idx="107">
                  <c:v>39.337832522833985</c:v>
                </c:pt>
                <c:pt idx="108">
                  <c:v>37.497769723529686</c:v>
                </c:pt>
                <c:pt idx="109">
                  <c:v>35.728304045472669</c:v>
                </c:pt>
                <c:pt idx="110">
                  <c:v>34.028295168970338</c:v>
                </c:pt>
                <c:pt idx="111">
                  <c:v>32.396443186637171</c:v>
                </c:pt>
                <c:pt idx="112">
                  <c:v>30.831311922309357</c:v>
                </c:pt>
                <c:pt idx="113">
                  <c:v>29.331350543729314</c:v>
                </c:pt>
                <c:pt idx="114">
                  <c:v>27.894913483536055</c:v>
                </c:pt>
                <c:pt idx="115">
                  <c:v>26.520278701786186</c:v>
                </c:pt>
                <c:pt idx="116">
                  <c:v>25.20566433837832</c:v>
                </c:pt>
                <c:pt idx="117">
                  <c:v>23.949243815712837</c:v>
                </c:pt>
                <c:pt idx="118">
                  <c:v>22.749159461045625</c:v>
                </c:pt>
                <c:pt idx="119">
                  <c:v>21.603534724633523</c:v>
                </c:pt>
                <c:pt idx="120">
                  <c:v>20.510485074249125</c:v>
                </c:pt>
                <c:pt idx="121">
                  <c:v>19.468127649276077</c:v>
                </c:pt>
                <c:pt idx="122">
                  <c:v>18.474589758667346</c:v>
                </c:pt>
                <c:pt idx="123">
                  <c:v>17.528016306822405</c:v>
                </c:pt>
                <c:pt idx="124">
                  <c:v>16.626576230148213</c:v>
                </c:pt>
                <c:pt idx="125">
                  <c:v>15.768468024926502</c:v>
                </c:pt>
                <c:pt idx="126">
                  <c:v>14.951924444300136</c:v>
                </c:pt>
                <c:pt idx="127">
                  <c:v>14.175216438876145</c:v>
                </c:pt>
                <c:pt idx="128">
                  <c:v>13.436656411762257</c:v>
                </c:pt>
                <c:pt idx="129">
                  <c:v>12.734600854927153</c:v>
                </c:pt>
                <c:pt idx="130">
                  <c:v>12.067452429700822</c:v>
                </c:pt>
                <c:pt idx="131">
                  <c:v>11.433661550095387</c:v>
                </c:pt>
                <c:pt idx="132">
                  <c:v>10.831727523497044</c:v>
                </c:pt>
                <c:pt idx="133">
                  <c:v>10.260199299210324</c:v>
                </c:pt>
                <c:pt idx="134">
                  <c:v>9.7176758713717604</c:v>
                </c:pt>
                <c:pt idx="135">
                  <c:v>9.2028063789247465</c:v>
                </c:pt>
                <c:pt idx="136">
                  <c:v>8.7142899416852622</c:v>
                </c:pt>
                <c:pt idx="137">
                  <c:v>8.2508752680478796</c:v>
                </c:pt>
                <c:pt idx="138">
                  <c:v>7.8113600665945588</c:v>
                </c:pt>
                <c:pt idx="139">
                  <c:v>7.3945902907820749</c:v>
                </c:pt>
                <c:pt idx="140">
                  <c:v>6.9994592429989844</c:v>
                </c:pt>
                <c:pt idx="141">
                  <c:v>6.6249065616008798</c:v>
                </c:pt>
                <c:pt idx="142">
                  <c:v>6.2699171120481791</c:v>
                </c:pt>
                <c:pt idx="143">
                  <c:v>5.9335198009784289</c:v>
                </c:pt>
                <c:pt idx="144">
                  <c:v>5.6147863299392062</c:v>
                </c:pt>
                <c:pt idx="145">
                  <c:v>5.3128299035783479</c:v>
                </c:pt>
                <c:pt idx="146">
                  <c:v>5.0268039053267994</c:v>
                </c:pt>
                <c:pt idx="147">
                  <c:v>4.7559005520070867</c:v>
                </c:pt>
                <c:pt idx="148">
                  <c:v>4.4993495373462773</c:v>
                </c:pt>
                <c:pt idx="149">
                  <c:v>4.2564166730567949</c:v>
                </c:pt>
                <c:pt idx="150">
                  <c:v>4.0264025349624477</c:v>
                </c:pt>
                <c:pt idx="151">
                  <c:v>3.8086411205799044</c:v>
                </c:pt>
                <c:pt idx="152">
                  <c:v>3.6024985236090048</c:v>
                </c:pt>
                <c:pt idx="153">
                  <c:v>3.4073716299295653</c:v>
                </c:pt>
                <c:pt idx="154">
                  <c:v>3.2226868389395111</c:v>
                </c:pt>
                <c:pt idx="155">
                  <c:v>3.047898813390939</c:v>
                </c:pt>
                <c:pt idx="156">
                  <c:v>2.8824892602795051</c:v>
                </c:pt>
                <c:pt idx="157">
                  <c:v>2.7259657448118055</c:v>
                </c:pt>
                <c:pt idx="158">
                  <c:v>2.5778605390080598</c:v>
                </c:pt>
                <c:pt idx="159">
                  <c:v>2.4377295060873636</c:v>
                </c:pt>
                <c:pt idx="160">
                  <c:v>2.3051510214248765</c:v>
                </c:pt>
                <c:pt idx="161">
                  <c:v>2.1797249305588728</c:v>
                </c:pt>
                <c:pt idx="162">
                  <c:v>2.0610715444558951</c:v>
                </c:pt>
                <c:pt idx="163">
                  <c:v>1.9488306720103019</c:v>
                </c:pt>
                <c:pt idx="164">
                  <c:v>1.8426606895559079</c:v>
                </c:pt>
                <c:pt idx="165">
                  <c:v>1.7422376469985743</c:v>
                </c:pt>
                <c:pt idx="166">
                  <c:v>1.6472544100366338</c:v>
                </c:pt>
                <c:pt idx="167">
                  <c:v>1.5574198378172184</c:v>
                </c:pt>
                <c:pt idx="168">
                  <c:v>1.4724579952788883</c:v>
                </c:pt>
                <c:pt idx="169">
                  <c:v>1.3921073993515625</c:v>
                </c:pt>
                <c:pt idx="170">
                  <c:v>1.3161202981214073</c:v>
                </c:pt>
                <c:pt idx="171">
                  <c:v>1.2442619820193914</c:v>
                </c:pt>
                <c:pt idx="172">
                  <c:v>1.1763101260555269</c:v>
                </c:pt>
                <c:pt idx="173">
                  <c:v>1.1120541620948878</c:v>
                </c:pt>
                <c:pt idx="174">
                  <c:v>1.0512946801550551</c:v>
                </c:pt>
                <c:pt idx="175">
                  <c:v>0.99384285769620517</c:v>
                </c:pt>
                <c:pt idx="176">
                  <c:v>0.93951991587351469</c:v>
                </c:pt>
                <c:pt idx="177">
                  <c:v>0.88815660172606781</c:v>
                </c:pt>
                <c:pt idx="178">
                  <c:v>0.83959269528591685</c:v>
                </c:pt>
                <c:pt idx="179">
                  <c:v>0.79367654060460469</c:v>
                </c:pt>
                <c:pt idx="180">
                  <c:v>0.75026459971180126</c:v>
                </c:pt>
                <c:pt idx="181">
                  <c:v>0.70922102854076052</c:v>
                </c:pt>
                <c:pt idx="182">
                  <c:v>0.6704172738778934</c:v>
                </c:pt>
                <c:pt idx="183">
                  <c:v>0.63373169041816113</c:v>
                </c:pt>
                <c:pt idx="184">
                  <c:v>0.59904917703382321</c:v>
                </c:pt>
                <c:pt idx="185">
                  <c:v>0.56626083139112227</c:v>
                </c:pt>
                <c:pt idx="186">
                  <c:v>0.5352636220772401</c:v>
                </c:pt>
                <c:pt idx="187">
                  <c:v>0.50596007742813121</c:v>
                </c:pt>
                <c:pt idx="188">
                  <c:v>0.47825799027643984</c:v>
                </c:pt>
                <c:pt idx="189">
                  <c:v>0.45207013786734868</c:v>
                </c:pt>
                <c:pt idx="190">
                  <c:v>0.42731401621873172</c:v>
                </c:pt>
                <c:pt idx="191">
                  <c:v>0.4039115882303207</c:v>
                </c:pt>
                <c:pt idx="192">
                  <c:v>0.3817890448745318</c:v>
                </c:pt>
                <c:pt idx="193">
                  <c:v>0.36087657882905222</c:v>
                </c:pt>
                <c:pt idx="194">
                  <c:v>0.34110816993823334</c:v>
                </c:pt>
                <c:pt idx="195">
                  <c:v>0.32242138191663144</c:v>
                </c:pt>
                <c:pt idx="196">
                  <c:v>0.30475716973364858</c:v>
                </c:pt>
                <c:pt idx="197">
                  <c:v>0.28805969714315133</c:v>
                </c:pt>
                <c:pt idx="198">
                  <c:v>0.2722761638460991</c:v>
                </c:pt>
                <c:pt idx="199">
                  <c:v>0.25735664179758161</c:v>
                </c:pt>
                <c:pt idx="200">
                  <c:v>0.2432539201922812</c:v>
                </c:pt>
                <c:pt idx="201">
                  <c:v>0.22992335868416242</c:v>
                </c:pt>
                <c:pt idx="202">
                  <c:v>0.21732274841718952</c:v>
                </c:pt>
                <c:pt idx="203">
                  <c:v>0.20541218046407692</c:v>
                </c:pt>
                <c:pt idx="204">
                  <c:v>0.19415392128949399</c:v>
                </c:pt>
                <c:pt idx="205">
                  <c:v>0.18351229487276297</c:v>
                </c:pt>
                <c:pt idx="206">
                  <c:v>0.17345357114296395</c:v>
                </c:pt>
                <c:pt idx="207">
                  <c:v>0.1639458603964698</c:v>
                </c:pt>
                <c:pt idx="208">
                  <c:v>0.1549590133833022</c:v>
                </c:pt>
                <c:pt idx="209">
                  <c:v>0.14646452676436927</c:v>
                </c:pt>
                <c:pt idx="210">
                  <c:v>0.13843545365660775</c:v>
                </c:pt>
                <c:pt idx="211">
                  <c:v>0.13084631899733393</c:v>
                </c:pt>
                <c:pt idx="212">
                  <c:v>0.12367303947275748</c:v>
                </c:pt>
                <c:pt idx="213">
                  <c:v>0.11689284776860276</c:v>
                </c:pt>
                <c:pt idx="214">
                  <c:v>0.11048422091318721</c:v>
                </c:pt>
                <c:pt idx="215">
                  <c:v>0.10442681249511529</c:v>
                </c:pt>
                <c:pt idx="216">
                  <c:v>9.8701388548984109E-2</c:v>
                </c:pt>
                <c:pt idx="217">
                  <c:v>9.3289766913208019E-2</c:v>
                </c:pt>
                <c:pt idx="218">
                  <c:v>8.8174759874248998E-2</c:v>
                </c:pt>
                <c:pt idx="219">
                  <c:v>8.3340119921220576E-2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2D2-4346-8DCD-ABBA25EACD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9487760"/>
        <c:axId val="969487440"/>
        <c:extLst>
          <c:ext xmlns:c15="http://schemas.microsoft.com/office/drawing/2012/chart" uri="{02D57815-91ED-43cb-92C2-25804820EDAC}">
            <c15:filteredScatter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'New_removed - bSIR'!$AE$7</c15:sqref>
                        </c15:formulaRef>
                      </c:ext>
                    </c:extLst>
                    <c:strCache>
                      <c:ptCount val="1"/>
                      <c:pt idx="0">
                        <c:v>Upper CI_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prstDash val="lgDash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'New_removed - bSIR'!$C$55:$C$281</c15:sqref>
                        </c15:formulaRef>
                      </c:ext>
                    </c:extLst>
                    <c:numCache>
                      <c:formatCode>General</c:formatCode>
                      <c:ptCount val="227"/>
                      <c:pt idx="0">
                        <c:v>48</c:v>
                      </c:pt>
                      <c:pt idx="1">
                        <c:v>49</c:v>
                      </c:pt>
                      <c:pt idx="2">
                        <c:v>50</c:v>
                      </c:pt>
                      <c:pt idx="3">
                        <c:v>51</c:v>
                      </c:pt>
                      <c:pt idx="4">
                        <c:v>52</c:v>
                      </c:pt>
                      <c:pt idx="5">
                        <c:v>53</c:v>
                      </c:pt>
                      <c:pt idx="6">
                        <c:v>54</c:v>
                      </c:pt>
                      <c:pt idx="7">
                        <c:v>55</c:v>
                      </c:pt>
                      <c:pt idx="8">
                        <c:v>56</c:v>
                      </c:pt>
                      <c:pt idx="9">
                        <c:v>57</c:v>
                      </c:pt>
                      <c:pt idx="10">
                        <c:v>58</c:v>
                      </c:pt>
                      <c:pt idx="11">
                        <c:v>59</c:v>
                      </c:pt>
                      <c:pt idx="12">
                        <c:v>60</c:v>
                      </c:pt>
                      <c:pt idx="13">
                        <c:v>61</c:v>
                      </c:pt>
                      <c:pt idx="14">
                        <c:v>62</c:v>
                      </c:pt>
                      <c:pt idx="15">
                        <c:v>63</c:v>
                      </c:pt>
                      <c:pt idx="16">
                        <c:v>64</c:v>
                      </c:pt>
                      <c:pt idx="17">
                        <c:v>65</c:v>
                      </c:pt>
                      <c:pt idx="18">
                        <c:v>66</c:v>
                      </c:pt>
                      <c:pt idx="19">
                        <c:v>67</c:v>
                      </c:pt>
                      <c:pt idx="20">
                        <c:v>68</c:v>
                      </c:pt>
                      <c:pt idx="21">
                        <c:v>69</c:v>
                      </c:pt>
                      <c:pt idx="22">
                        <c:v>70</c:v>
                      </c:pt>
                      <c:pt idx="23">
                        <c:v>71</c:v>
                      </c:pt>
                      <c:pt idx="24">
                        <c:v>72</c:v>
                      </c:pt>
                      <c:pt idx="25">
                        <c:v>73</c:v>
                      </c:pt>
                      <c:pt idx="26">
                        <c:v>74</c:v>
                      </c:pt>
                      <c:pt idx="27">
                        <c:v>75</c:v>
                      </c:pt>
                      <c:pt idx="28">
                        <c:v>76</c:v>
                      </c:pt>
                      <c:pt idx="29">
                        <c:v>77</c:v>
                      </c:pt>
                      <c:pt idx="30">
                        <c:v>78</c:v>
                      </c:pt>
                      <c:pt idx="31">
                        <c:v>79</c:v>
                      </c:pt>
                      <c:pt idx="32">
                        <c:v>80</c:v>
                      </c:pt>
                      <c:pt idx="33">
                        <c:v>81</c:v>
                      </c:pt>
                      <c:pt idx="34">
                        <c:v>82</c:v>
                      </c:pt>
                      <c:pt idx="35">
                        <c:v>83</c:v>
                      </c:pt>
                      <c:pt idx="36">
                        <c:v>84</c:v>
                      </c:pt>
                      <c:pt idx="37">
                        <c:v>85</c:v>
                      </c:pt>
                      <c:pt idx="38">
                        <c:v>86</c:v>
                      </c:pt>
                      <c:pt idx="39">
                        <c:v>87</c:v>
                      </c:pt>
                      <c:pt idx="40">
                        <c:v>88</c:v>
                      </c:pt>
                      <c:pt idx="41">
                        <c:v>89</c:v>
                      </c:pt>
                      <c:pt idx="42">
                        <c:v>90</c:v>
                      </c:pt>
                      <c:pt idx="43">
                        <c:v>91</c:v>
                      </c:pt>
                      <c:pt idx="44">
                        <c:v>92</c:v>
                      </c:pt>
                      <c:pt idx="45">
                        <c:v>93</c:v>
                      </c:pt>
                      <c:pt idx="46">
                        <c:v>94</c:v>
                      </c:pt>
                      <c:pt idx="47">
                        <c:v>95</c:v>
                      </c:pt>
                      <c:pt idx="48">
                        <c:v>96</c:v>
                      </c:pt>
                      <c:pt idx="49">
                        <c:v>97</c:v>
                      </c:pt>
                      <c:pt idx="50">
                        <c:v>98</c:v>
                      </c:pt>
                      <c:pt idx="51">
                        <c:v>99</c:v>
                      </c:pt>
                      <c:pt idx="52">
                        <c:v>100</c:v>
                      </c:pt>
                      <c:pt idx="53">
                        <c:v>101</c:v>
                      </c:pt>
                      <c:pt idx="54">
                        <c:v>102</c:v>
                      </c:pt>
                      <c:pt idx="55">
                        <c:v>103</c:v>
                      </c:pt>
                      <c:pt idx="56">
                        <c:v>104</c:v>
                      </c:pt>
                      <c:pt idx="57">
                        <c:v>105</c:v>
                      </c:pt>
                      <c:pt idx="58">
                        <c:v>106</c:v>
                      </c:pt>
                      <c:pt idx="59">
                        <c:v>107</c:v>
                      </c:pt>
                      <c:pt idx="60">
                        <c:v>108</c:v>
                      </c:pt>
                      <c:pt idx="61">
                        <c:v>109</c:v>
                      </c:pt>
                      <c:pt idx="62">
                        <c:v>110</c:v>
                      </c:pt>
                      <c:pt idx="63">
                        <c:v>111</c:v>
                      </c:pt>
                      <c:pt idx="64">
                        <c:v>112</c:v>
                      </c:pt>
                      <c:pt idx="65">
                        <c:v>113</c:v>
                      </c:pt>
                      <c:pt idx="66">
                        <c:v>114</c:v>
                      </c:pt>
                      <c:pt idx="67">
                        <c:v>115</c:v>
                      </c:pt>
                      <c:pt idx="68">
                        <c:v>116</c:v>
                      </c:pt>
                      <c:pt idx="69">
                        <c:v>117</c:v>
                      </c:pt>
                      <c:pt idx="70">
                        <c:v>118</c:v>
                      </c:pt>
                      <c:pt idx="71">
                        <c:v>119</c:v>
                      </c:pt>
                      <c:pt idx="72">
                        <c:v>120</c:v>
                      </c:pt>
                      <c:pt idx="73">
                        <c:v>121</c:v>
                      </c:pt>
                      <c:pt idx="74">
                        <c:v>122</c:v>
                      </c:pt>
                      <c:pt idx="75">
                        <c:v>123</c:v>
                      </c:pt>
                      <c:pt idx="76">
                        <c:v>124</c:v>
                      </c:pt>
                      <c:pt idx="77">
                        <c:v>125</c:v>
                      </c:pt>
                      <c:pt idx="78">
                        <c:v>126</c:v>
                      </c:pt>
                      <c:pt idx="79">
                        <c:v>127</c:v>
                      </c:pt>
                      <c:pt idx="80">
                        <c:v>128</c:v>
                      </c:pt>
                      <c:pt idx="81">
                        <c:v>129</c:v>
                      </c:pt>
                      <c:pt idx="82">
                        <c:v>130</c:v>
                      </c:pt>
                      <c:pt idx="83">
                        <c:v>131</c:v>
                      </c:pt>
                      <c:pt idx="84">
                        <c:v>132</c:v>
                      </c:pt>
                      <c:pt idx="85">
                        <c:v>133</c:v>
                      </c:pt>
                      <c:pt idx="86">
                        <c:v>134</c:v>
                      </c:pt>
                      <c:pt idx="87">
                        <c:v>135</c:v>
                      </c:pt>
                      <c:pt idx="88">
                        <c:v>136</c:v>
                      </c:pt>
                      <c:pt idx="89">
                        <c:v>137</c:v>
                      </c:pt>
                      <c:pt idx="90">
                        <c:v>138</c:v>
                      </c:pt>
                      <c:pt idx="91">
                        <c:v>139</c:v>
                      </c:pt>
                      <c:pt idx="92">
                        <c:v>140</c:v>
                      </c:pt>
                      <c:pt idx="93">
                        <c:v>141</c:v>
                      </c:pt>
                      <c:pt idx="94">
                        <c:v>142</c:v>
                      </c:pt>
                      <c:pt idx="95">
                        <c:v>143</c:v>
                      </c:pt>
                      <c:pt idx="96">
                        <c:v>144</c:v>
                      </c:pt>
                      <c:pt idx="97">
                        <c:v>145</c:v>
                      </c:pt>
                      <c:pt idx="98">
                        <c:v>146</c:v>
                      </c:pt>
                      <c:pt idx="99">
                        <c:v>147</c:v>
                      </c:pt>
                      <c:pt idx="100">
                        <c:v>148</c:v>
                      </c:pt>
                      <c:pt idx="101">
                        <c:v>149</c:v>
                      </c:pt>
                      <c:pt idx="102">
                        <c:v>150</c:v>
                      </c:pt>
                      <c:pt idx="103">
                        <c:v>151</c:v>
                      </c:pt>
                      <c:pt idx="104">
                        <c:v>152</c:v>
                      </c:pt>
                      <c:pt idx="105">
                        <c:v>153</c:v>
                      </c:pt>
                      <c:pt idx="106">
                        <c:v>154</c:v>
                      </c:pt>
                      <c:pt idx="107">
                        <c:v>155</c:v>
                      </c:pt>
                      <c:pt idx="108">
                        <c:v>156</c:v>
                      </c:pt>
                      <c:pt idx="109">
                        <c:v>157</c:v>
                      </c:pt>
                      <c:pt idx="110">
                        <c:v>158</c:v>
                      </c:pt>
                      <c:pt idx="111">
                        <c:v>159</c:v>
                      </c:pt>
                      <c:pt idx="112">
                        <c:v>160</c:v>
                      </c:pt>
                      <c:pt idx="113">
                        <c:v>161</c:v>
                      </c:pt>
                      <c:pt idx="114">
                        <c:v>162</c:v>
                      </c:pt>
                      <c:pt idx="115">
                        <c:v>163</c:v>
                      </c:pt>
                      <c:pt idx="116">
                        <c:v>164</c:v>
                      </c:pt>
                      <c:pt idx="117">
                        <c:v>165</c:v>
                      </c:pt>
                      <c:pt idx="118">
                        <c:v>166</c:v>
                      </c:pt>
                      <c:pt idx="119">
                        <c:v>167</c:v>
                      </c:pt>
                      <c:pt idx="120">
                        <c:v>168</c:v>
                      </c:pt>
                      <c:pt idx="121">
                        <c:v>169</c:v>
                      </c:pt>
                      <c:pt idx="122">
                        <c:v>170</c:v>
                      </c:pt>
                      <c:pt idx="123">
                        <c:v>171</c:v>
                      </c:pt>
                      <c:pt idx="124">
                        <c:v>172</c:v>
                      </c:pt>
                      <c:pt idx="125">
                        <c:v>173</c:v>
                      </c:pt>
                      <c:pt idx="126">
                        <c:v>174</c:v>
                      </c:pt>
                      <c:pt idx="127">
                        <c:v>175</c:v>
                      </c:pt>
                      <c:pt idx="128">
                        <c:v>176</c:v>
                      </c:pt>
                      <c:pt idx="129">
                        <c:v>177</c:v>
                      </c:pt>
                      <c:pt idx="130">
                        <c:v>178</c:v>
                      </c:pt>
                      <c:pt idx="131">
                        <c:v>179</c:v>
                      </c:pt>
                      <c:pt idx="132">
                        <c:v>180</c:v>
                      </c:pt>
                      <c:pt idx="133">
                        <c:v>181</c:v>
                      </c:pt>
                      <c:pt idx="134">
                        <c:v>182</c:v>
                      </c:pt>
                      <c:pt idx="135">
                        <c:v>183</c:v>
                      </c:pt>
                      <c:pt idx="136">
                        <c:v>184</c:v>
                      </c:pt>
                      <c:pt idx="137">
                        <c:v>185</c:v>
                      </c:pt>
                      <c:pt idx="138">
                        <c:v>186</c:v>
                      </c:pt>
                      <c:pt idx="139">
                        <c:v>187</c:v>
                      </c:pt>
                      <c:pt idx="140">
                        <c:v>188</c:v>
                      </c:pt>
                      <c:pt idx="141">
                        <c:v>189</c:v>
                      </c:pt>
                      <c:pt idx="142">
                        <c:v>190</c:v>
                      </c:pt>
                      <c:pt idx="143">
                        <c:v>191</c:v>
                      </c:pt>
                      <c:pt idx="144">
                        <c:v>192</c:v>
                      </c:pt>
                      <c:pt idx="145">
                        <c:v>193</c:v>
                      </c:pt>
                      <c:pt idx="146">
                        <c:v>194</c:v>
                      </c:pt>
                      <c:pt idx="147">
                        <c:v>195</c:v>
                      </c:pt>
                      <c:pt idx="148">
                        <c:v>196</c:v>
                      </c:pt>
                      <c:pt idx="149">
                        <c:v>197</c:v>
                      </c:pt>
                      <c:pt idx="150">
                        <c:v>198</c:v>
                      </c:pt>
                      <c:pt idx="151">
                        <c:v>199</c:v>
                      </c:pt>
                      <c:pt idx="152">
                        <c:v>200</c:v>
                      </c:pt>
                      <c:pt idx="153">
                        <c:v>201</c:v>
                      </c:pt>
                      <c:pt idx="154">
                        <c:v>202</c:v>
                      </c:pt>
                      <c:pt idx="155">
                        <c:v>203</c:v>
                      </c:pt>
                      <c:pt idx="156">
                        <c:v>204</c:v>
                      </c:pt>
                      <c:pt idx="157">
                        <c:v>205</c:v>
                      </c:pt>
                      <c:pt idx="158">
                        <c:v>206</c:v>
                      </c:pt>
                      <c:pt idx="159">
                        <c:v>207</c:v>
                      </c:pt>
                      <c:pt idx="160">
                        <c:v>208</c:v>
                      </c:pt>
                      <c:pt idx="161">
                        <c:v>209</c:v>
                      </c:pt>
                      <c:pt idx="162">
                        <c:v>210</c:v>
                      </c:pt>
                      <c:pt idx="163">
                        <c:v>211</c:v>
                      </c:pt>
                      <c:pt idx="164">
                        <c:v>212</c:v>
                      </c:pt>
                      <c:pt idx="165">
                        <c:v>213</c:v>
                      </c:pt>
                      <c:pt idx="166">
                        <c:v>214</c:v>
                      </c:pt>
                      <c:pt idx="167">
                        <c:v>215</c:v>
                      </c:pt>
                      <c:pt idx="168">
                        <c:v>216</c:v>
                      </c:pt>
                      <c:pt idx="169">
                        <c:v>217</c:v>
                      </c:pt>
                      <c:pt idx="170">
                        <c:v>218</c:v>
                      </c:pt>
                      <c:pt idx="171">
                        <c:v>219</c:v>
                      </c:pt>
                      <c:pt idx="172">
                        <c:v>220</c:v>
                      </c:pt>
                      <c:pt idx="173">
                        <c:v>221</c:v>
                      </c:pt>
                      <c:pt idx="174">
                        <c:v>222</c:v>
                      </c:pt>
                      <c:pt idx="175">
                        <c:v>223</c:v>
                      </c:pt>
                      <c:pt idx="176">
                        <c:v>224</c:v>
                      </c:pt>
                      <c:pt idx="177">
                        <c:v>225</c:v>
                      </c:pt>
                      <c:pt idx="178">
                        <c:v>226</c:v>
                      </c:pt>
                      <c:pt idx="179">
                        <c:v>227</c:v>
                      </c:pt>
                      <c:pt idx="180">
                        <c:v>228</c:v>
                      </c:pt>
                      <c:pt idx="181">
                        <c:v>229</c:v>
                      </c:pt>
                      <c:pt idx="182">
                        <c:v>230</c:v>
                      </c:pt>
                      <c:pt idx="183">
                        <c:v>231</c:v>
                      </c:pt>
                      <c:pt idx="184">
                        <c:v>232</c:v>
                      </c:pt>
                      <c:pt idx="185">
                        <c:v>233</c:v>
                      </c:pt>
                      <c:pt idx="186">
                        <c:v>234</c:v>
                      </c:pt>
                      <c:pt idx="187">
                        <c:v>235</c:v>
                      </c:pt>
                      <c:pt idx="188">
                        <c:v>236</c:v>
                      </c:pt>
                      <c:pt idx="189">
                        <c:v>237</c:v>
                      </c:pt>
                      <c:pt idx="190">
                        <c:v>238</c:v>
                      </c:pt>
                      <c:pt idx="191">
                        <c:v>239</c:v>
                      </c:pt>
                      <c:pt idx="192">
                        <c:v>240</c:v>
                      </c:pt>
                      <c:pt idx="193">
                        <c:v>241</c:v>
                      </c:pt>
                      <c:pt idx="194">
                        <c:v>242</c:v>
                      </c:pt>
                      <c:pt idx="195">
                        <c:v>243</c:v>
                      </c:pt>
                      <c:pt idx="196">
                        <c:v>244</c:v>
                      </c:pt>
                      <c:pt idx="197">
                        <c:v>245</c:v>
                      </c:pt>
                      <c:pt idx="198">
                        <c:v>246</c:v>
                      </c:pt>
                      <c:pt idx="199">
                        <c:v>247</c:v>
                      </c:pt>
                      <c:pt idx="200">
                        <c:v>248</c:v>
                      </c:pt>
                      <c:pt idx="201">
                        <c:v>249</c:v>
                      </c:pt>
                      <c:pt idx="202">
                        <c:v>250</c:v>
                      </c:pt>
                      <c:pt idx="203">
                        <c:v>251</c:v>
                      </c:pt>
                      <c:pt idx="204">
                        <c:v>252</c:v>
                      </c:pt>
                      <c:pt idx="205">
                        <c:v>253</c:v>
                      </c:pt>
                      <c:pt idx="206">
                        <c:v>254</c:v>
                      </c:pt>
                      <c:pt idx="207">
                        <c:v>255</c:v>
                      </c:pt>
                      <c:pt idx="208">
                        <c:v>256</c:v>
                      </c:pt>
                      <c:pt idx="209">
                        <c:v>257</c:v>
                      </c:pt>
                      <c:pt idx="210">
                        <c:v>258</c:v>
                      </c:pt>
                      <c:pt idx="211">
                        <c:v>259</c:v>
                      </c:pt>
                      <c:pt idx="212">
                        <c:v>260</c:v>
                      </c:pt>
                      <c:pt idx="213">
                        <c:v>261</c:v>
                      </c:pt>
                      <c:pt idx="214">
                        <c:v>262</c:v>
                      </c:pt>
                      <c:pt idx="215">
                        <c:v>263</c:v>
                      </c:pt>
                      <c:pt idx="216">
                        <c:v>264</c:v>
                      </c:pt>
                      <c:pt idx="217">
                        <c:v>265</c:v>
                      </c:pt>
                      <c:pt idx="218">
                        <c:v>266</c:v>
                      </c:pt>
                      <c:pt idx="219">
                        <c:v>267</c:v>
                      </c:pt>
                      <c:pt idx="220">
                        <c:v>268</c:v>
                      </c:pt>
                      <c:pt idx="221">
                        <c:v>269</c:v>
                      </c:pt>
                      <c:pt idx="222">
                        <c:v>270</c:v>
                      </c:pt>
                      <c:pt idx="223">
                        <c:v>271</c:v>
                      </c:pt>
                      <c:pt idx="224">
                        <c:v>272</c:v>
                      </c:pt>
                      <c:pt idx="225">
                        <c:v>273</c:v>
                      </c:pt>
                      <c:pt idx="226">
                        <c:v>274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'New_removed - bSIR'!$AE$55:$AE$281</c15:sqref>
                        </c15:formulaRef>
                      </c:ext>
                    </c:extLst>
                    <c:numCache>
                      <c:formatCode>General</c:formatCode>
                      <c:ptCount val="227"/>
                      <c:pt idx="0">
                        <c:v>63.964604846435229</c:v>
                      </c:pt>
                      <c:pt idx="1">
                        <c:v>64.532908897304551</c:v>
                      </c:pt>
                      <c:pt idx="2">
                        <c:v>65.131463821949026</c:v>
                      </c:pt>
                      <c:pt idx="3">
                        <c:v>65.761715237530453</c:v>
                      </c:pt>
                      <c:pt idx="4">
                        <c:v>66.425158462951316</c:v>
                      </c:pt>
                      <c:pt idx="5">
                        <c:v>67.123337810118201</c:v>
                      </c:pt>
                      <c:pt idx="6">
                        <c:v>67.857845488310716</c:v>
                      </c:pt>
                      <c:pt idx="7">
                        <c:v>68.630320071612061</c:v>
                      </c:pt>
                      <c:pt idx="8">
                        <c:v>69.442444475297592</c:v>
                      </c:pt>
                      <c:pt idx="9">
                        <c:v>70.295943382951805</c:v>
                      </c:pt>
                      <c:pt idx="10">
                        <c:v>71.192580061945591</c:v>
                      </c:pt>
                      <c:pt idx="11">
                        <c:v>72.134152500821926</c:v>
                      </c:pt>
                      <c:pt idx="12">
                        <c:v>73.122488798190574</c:v>
                      </c:pt>
                      <c:pt idx="13">
                        <c:v>74.159441729018738</c:v>
                      </c:pt>
                      <c:pt idx="14">
                        <c:v>75.246882410844961</c:v>
                      </c:pt>
                      <c:pt idx="15">
                        <c:v>76.386692989569497</c:v>
                      </c:pt>
                      <c:pt idx="16">
                        <c:v>77.580758262252118</c:v>
                      </c:pt>
                      <c:pt idx="17">
                        <c:v>78.830956152954073</c:v>
                      </c:pt>
                      <c:pt idx="18">
                        <c:v>80.1391469573081</c:v>
                      </c:pt>
                      <c:pt idx="19">
                        <c:v>81.507161272417974</c:v>
                      </c:pt>
                      <c:pt idx="20">
                        <c:v>82.936786531138466</c:v>
                      </c:pt>
                      <c:pt idx="21">
                        <c:v>84.429752064052039</c:v>
                      </c:pt>
                      <c:pt idx="22">
                        <c:v>85.987712618846473</c:v>
                      </c:pt>
                      <c:pt idx="23">
                        <c:v>87.612230275636094</c:v>
                      </c:pt>
                      <c:pt idx="24">
                        <c:v>89.304754708404886</c:v>
                      </c:pt>
                      <c:pt idx="25">
                        <c:v>91.066601757531814</c:v>
                      </c:pt>
                      <c:pt idx="26">
                        <c:v>92.898930296645759</c:v>
                      </c:pt>
                      <c:pt idx="27">
                        <c:v>94.802717399191437</c:v>
                      </c:pt>
                      <c:pt idx="28">
                        <c:v>96.778731836390449</c:v>
                      </c:pt>
                      <c:pt idx="29">
                        <c:v>98.827505969033467</c:v>
                      </c:pt>
                      <c:pt idx="30">
                        <c:v>100.94930613096082</c:v>
                      </c:pt>
                      <c:pt idx="31">
                        <c:v>103.14410164231492</c:v>
                      </c:pt>
                      <c:pt idx="32">
                        <c:v>105.41153263571124</c:v>
                      </c:pt>
                      <c:pt idx="33">
                        <c:v>107.75087692826179</c:v>
                      </c:pt>
                      <c:pt idx="34">
                        <c:v>110.1610162266212</c:v>
                      </c:pt>
                      <c:pt idx="35">
                        <c:v>112.64040201043727</c:v>
                      </c:pt>
                      <c:pt idx="36">
                        <c:v>115.18702150106057</c:v>
                      </c:pt>
                      <c:pt idx="37">
                        <c:v>117.79836418614396</c:v>
                      </c:pt>
                      <c:pt idx="38">
                        <c:v>120.47138943557597</c:v>
                      </c:pt>
                      <c:pt idx="39">
                        <c:v>123.20249580848926</c:v>
                      </c:pt>
                      <c:pt idx="40">
                        <c:v>125.98749271298105</c:v>
                      </c:pt>
                      <c:pt idx="41">
                        <c:v>128.82157513747779</c:v>
                      </c:pt>
                      <c:pt idx="42">
                        <c:v>131.69930222287917</c:v>
                      </c:pt>
                      <c:pt idx="43">
                        <c:v>134.61458048494848</c:v>
                      </c:pt>
                      <c:pt idx="44">
                        <c:v>137.56065252391278</c:v>
                      </c:pt>
                      <c:pt idx="45">
                        <c:v>140.53009206977762</c:v>
                      </c:pt>
                      <c:pt idx="46">
                        <c:v>143.51480620431286</c:v>
                      </c:pt>
                      <c:pt idx="47">
                        <c:v>146.50604557099626</c:v>
                      </c:pt>
                      <c:pt idx="48">
                        <c:v>149.49442332962661</c:v>
                      </c:pt>
                      <c:pt idx="49">
                        <c:v>152.46994353048981</c:v>
                      </c:pt>
                      <c:pt idx="50">
                        <c:v>155.42203947215341</c:v>
                      </c:pt>
                      <c:pt idx="51">
                        <c:v>158.33962246625927</c:v>
                      </c:pt>
                      <c:pt idx="52">
                        <c:v>161.21114126216878</c:v>
                      </c:pt>
                      <c:pt idx="53">
                        <c:v>164.02465218526993</c:v>
                      </c:pt>
                      <c:pt idx="54">
                        <c:v>166.76789981776756</c:v>
                      </c:pt>
                      <c:pt idx="55">
                        <c:v>169.42840780386547</c:v>
                      </c:pt>
                      <c:pt idx="56">
                        <c:v>171.99357909788759</c:v>
                      </c:pt>
                      <c:pt idx="57">
                        <c:v>174.45080470095462</c:v>
                      </c:pt>
                      <c:pt idx="58">
                        <c:v>176.78757965750839</c:v>
                      </c:pt>
                      <c:pt idx="59">
                        <c:v>178.99162481650666</c:v>
                      </c:pt>
                      <c:pt idx="60">
                        <c:v>181.05101261348545</c:v>
                      </c:pt>
                      <c:pt idx="61">
                        <c:v>182.95429490927563</c:v>
                      </c:pt>
                      <c:pt idx="62">
                        <c:v>184.6906307391979</c:v>
                      </c:pt>
                      <c:pt idx="63">
                        <c:v>186.24991169267207</c:v>
                      </c:pt>
                      <c:pt idx="64">
                        <c:v>187.62288256579643</c:v>
                      </c:pt>
                      <c:pt idx="65">
                        <c:v>188.80125491530953</c:v>
                      </c:pt>
                      <c:pt idx="66">
                        <c:v>189.77781119600428</c:v>
                      </c:pt>
                      <c:pt idx="67">
                        <c:v>190.54649728707238</c:v>
                      </c:pt>
                      <c:pt idx="68">
                        <c:v>191.10250140514478</c:v>
                      </c:pt>
                      <c:pt idx="69">
                        <c:v>191.44231765909359</c:v>
                      </c:pt>
                      <c:pt idx="70">
                        <c:v>191.56379281717619</c:v>
                      </c:pt>
                      <c:pt idx="71">
                        <c:v>191.46615522131765</c:v>
                      </c:pt>
                      <c:pt idx="72">
                        <c:v>191.15002518440411</c:v>
                      </c:pt>
                      <c:pt idx="73">
                        <c:v>190.61740663074636</c:v>
                      </c:pt>
                      <c:pt idx="74">
                        <c:v>189.87166017259096</c:v>
                      </c:pt>
                      <c:pt idx="75">
                        <c:v>188.91745824149137</c:v>
                      </c:pt>
                      <c:pt idx="76">
                        <c:v>187.7607232976423</c:v>
                      </c:pt>
                      <c:pt idx="77">
                        <c:v>186.40855050912018</c:v>
                      </c:pt>
                      <c:pt idx="78">
                        <c:v>184.86911661429627</c:v>
                      </c:pt>
                      <c:pt idx="79">
                        <c:v>183.15157694470514</c:v>
                      </c:pt>
                      <c:pt idx="80">
                        <c:v>181.26595278525772</c:v>
                      </c:pt>
                      <c:pt idx="81">
                        <c:v>179.22301137968728</c:v>
                      </c:pt>
                      <c:pt idx="82">
                        <c:v>177.03414095032323</c:v>
                      </c:pt>
                      <c:pt idx="83">
                        <c:v>174.71122309434443</c:v>
                      </c:pt>
                      <c:pt idx="84">
                        <c:v>172.26650484787723</c:v>
                      </c:pt>
                      <c:pt idx="85">
                        <c:v>169.71247258118086</c:v>
                      </c:pt>
                      <c:pt idx="86">
                        <c:v>167.0617297109859</c:v>
                      </c:pt>
                      <c:pt idx="87">
                        <c:v>164.32687999933367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2-72D2-4346-8DCD-ABBA25EACD7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'New_removed - bSIR'!$AF$7</c15:sqref>
                        </c15:formulaRef>
                      </c:ext>
                    </c:extLst>
                    <c:strCache>
                      <c:ptCount val="1"/>
                      <c:pt idx="0">
                        <c:v>Lower CI_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prstDash val="lgDash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'New_removed - bSIR'!$C$55:$C$281</c15:sqref>
                        </c15:formulaRef>
                      </c:ext>
                    </c:extLst>
                    <c:numCache>
                      <c:formatCode>General</c:formatCode>
                      <c:ptCount val="227"/>
                      <c:pt idx="0">
                        <c:v>48</c:v>
                      </c:pt>
                      <c:pt idx="1">
                        <c:v>49</c:v>
                      </c:pt>
                      <c:pt idx="2">
                        <c:v>50</c:v>
                      </c:pt>
                      <c:pt idx="3">
                        <c:v>51</c:v>
                      </c:pt>
                      <c:pt idx="4">
                        <c:v>52</c:v>
                      </c:pt>
                      <c:pt idx="5">
                        <c:v>53</c:v>
                      </c:pt>
                      <c:pt idx="6">
                        <c:v>54</c:v>
                      </c:pt>
                      <c:pt idx="7">
                        <c:v>55</c:v>
                      </c:pt>
                      <c:pt idx="8">
                        <c:v>56</c:v>
                      </c:pt>
                      <c:pt idx="9">
                        <c:v>57</c:v>
                      </c:pt>
                      <c:pt idx="10">
                        <c:v>58</c:v>
                      </c:pt>
                      <c:pt idx="11">
                        <c:v>59</c:v>
                      </c:pt>
                      <c:pt idx="12">
                        <c:v>60</c:v>
                      </c:pt>
                      <c:pt idx="13">
                        <c:v>61</c:v>
                      </c:pt>
                      <c:pt idx="14">
                        <c:v>62</c:v>
                      </c:pt>
                      <c:pt idx="15">
                        <c:v>63</c:v>
                      </c:pt>
                      <c:pt idx="16">
                        <c:v>64</c:v>
                      </c:pt>
                      <c:pt idx="17">
                        <c:v>65</c:v>
                      </c:pt>
                      <c:pt idx="18">
                        <c:v>66</c:v>
                      </c:pt>
                      <c:pt idx="19">
                        <c:v>67</c:v>
                      </c:pt>
                      <c:pt idx="20">
                        <c:v>68</c:v>
                      </c:pt>
                      <c:pt idx="21">
                        <c:v>69</c:v>
                      </c:pt>
                      <c:pt idx="22">
                        <c:v>70</c:v>
                      </c:pt>
                      <c:pt idx="23">
                        <c:v>71</c:v>
                      </c:pt>
                      <c:pt idx="24">
                        <c:v>72</c:v>
                      </c:pt>
                      <c:pt idx="25">
                        <c:v>73</c:v>
                      </c:pt>
                      <c:pt idx="26">
                        <c:v>74</c:v>
                      </c:pt>
                      <c:pt idx="27">
                        <c:v>75</c:v>
                      </c:pt>
                      <c:pt idx="28">
                        <c:v>76</c:v>
                      </c:pt>
                      <c:pt idx="29">
                        <c:v>77</c:v>
                      </c:pt>
                      <c:pt idx="30">
                        <c:v>78</c:v>
                      </c:pt>
                      <c:pt idx="31">
                        <c:v>79</c:v>
                      </c:pt>
                      <c:pt idx="32">
                        <c:v>80</c:v>
                      </c:pt>
                      <c:pt idx="33">
                        <c:v>81</c:v>
                      </c:pt>
                      <c:pt idx="34">
                        <c:v>82</c:v>
                      </c:pt>
                      <c:pt idx="35">
                        <c:v>83</c:v>
                      </c:pt>
                      <c:pt idx="36">
                        <c:v>84</c:v>
                      </c:pt>
                      <c:pt idx="37">
                        <c:v>85</c:v>
                      </c:pt>
                      <c:pt idx="38">
                        <c:v>86</c:v>
                      </c:pt>
                      <c:pt idx="39">
                        <c:v>87</c:v>
                      </c:pt>
                      <c:pt idx="40">
                        <c:v>88</c:v>
                      </c:pt>
                      <c:pt idx="41">
                        <c:v>89</c:v>
                      </c:pt>
                      <c:pt idx="42">
                        <c:v>90</c:v>
                      </c:pt>
                      <c:pt idx="43">
                        <c:v>91</c:v>
                      </c:pt>
                      <c:pt idx="44">
                        <c:v>92</c:v>
                      </c:pt>
                      <c:pt idx="45">
                        <c:v>93</c:v>
                      </c:pt>
                      <c:pt idx="46">
                        <c:v>94</c:v>
                      </c:pt>
                      <c:pt idx="47">
                        <c:v>95</c:v>
                      </c:pt>
                      <c:pt idx="48">
                        <c:v>96</c:v>
                      </c:pt>
                      <c:pt idx="49">
                        <c:v>97</c:v>
                      </c:pt>
                      <c:pt idx="50">
                        <c:v>98</c:v>
                      </c:pt>
                      <c:pt idx="51">
                        <c:v>99</c:v>
                      </c:pt>
                      <c:pt idx="52">
                        <c:v>100</c:v>
                      </c:pt>
                      <c:pt idx="53">
                        <c:v>101</c:v>
                      </c:pt>
                      <c:pt idx="54">
                        <c:v>102</c:v>
                      </c:pt>
                      <c:pt idx="55">
                        <c:v>103</c:v>
                      </c:pt>
                      <c:pt idx="56">
                        <c:v>104</c:v>
                      </c:pt>
                      <c:pt idx="57">
                        <c:v>105</c:v>
                      </c:pt>
                      <c:pt idx="58">
                        <c:v>106</c:v>
                      </c:pt>
                      <c:pt idx="59">
                        <c:v>107</c:v>
                      </c:pt>
                      <c:pt idx="60">
                        <c:v>108</c:v>
                      </c:pt>
                      <c:pt idx="61">
                        <c:v>109</c:v>
                      </c:pt>
                      <c:pt idx="62">
                        <c:v>110</c:v>
                      </c:pt>
                      <c:pt idx="63">
                        <c:v>111</c:v>
                      </c:pt>
                      <c:pt idx="64">
                        <c:v>112</c:v>
                      </c:pt>
                      <c:pt idx="65">
                        <c:v>113</c:v>
                      </c:pt>
                      <c:pt idx="66">
                        <c:v>114</c:v>
                      </c:pt>
                      <c:pt idx="67">
                        <c:v>115</c:v>
                      </c:pt>
                      <c:pt idx="68">
                        <c:v>116</c:v>
                      </c:pt>
                      <c:pt idx="69">
                        <c:v>117</c:v>
                      </c:pt>
                      <c:pt idx="70">
                        <c:v>118</c:v>
                      </c:pt>
                      <c:pt idx="71">
                        <c:v>119</c:v>
                      </c:pt>
                      <c:pt idx="72">
                        <c:v>120</c:v>
                      </c:pt>
                      <c:pt idx="73">
                        <c:v>121</c:v>
                      </c:pt>
                      <c:pt idx="74">
                        <c:v>122</c:v>
                      </c:pt>
                      <c:pt idx="75">
                        <c:v>123</c:v>
                      </c:pt>
                      <c:pt idx="76">
                        <c:v>124</c:v>
                      </c:pt>
                      <c:pt idx="77">
                        <c:v>125</c:v>
                      </c:pt>
                      <c:pt idx="78">
                        <c:v>126</c:v>
                      </c:pt>
                      <c:pt idx="79">
                        <c:v>127</c:v>
                      </c:pt>
                      <c:pt idx="80">
                        <c:v>128</c:v>
                      </c:pt>
                      <c:pt idx="81">
                        <c:v>129</c:v>
                      </c:pt>
                      <c:pt idx="82">
                        <c:v>130</c:v>
                      </c:pt>
                      <c:pt idx="83">
                        <c:v>131</c:v>
                      </c:pt>
                      <c:pt idx="84">
                        <c:v>132</c:v>
                      </c:pt>
                      <c:pt idx="85">
                        <c:v>133</c:v>
                      </c:pt>
                      <c:pt idx="86">
                        <c:v>134</c:v>
                      </c:pt>
                      <c:pt idx="87">
                        <c:v>135</c:v>
                      </c:pt>
                      <c:pt idx="88">
                        <c:v>136</c:v>
                      </c:pt>
                      <c:pt idx="89">
                        <c:v>137</c:v>
                      </c:pt>
                      <c:pt idx="90">
                        <c:v>138</c:v>
                      </c:pt>
                      <c:pt idx="91">
                        <c:v>139</c:v>
                      </c:pt>
                      <c:pt idx="92">
                        <c:v>140</c:v>
                      </c:pt>
                      <c:pt idx="93">
                        <c:v>141</c:v>
                      </c:pt>
                      <c:pt idx="94">
                        <c:v>142</c:v>
                      </c:pt>
                      <c:pt idx="95">
                        <c:v>143</c:v>
                      </c:pt>
                      <c:pt idx="96">
                        <c:v>144</c:v>
                      </c:pt>
                      <c:pt idx="97">
                        <c:v>145</c:v>
                      </c:pt>
                      <c:pt idx="98">
                        <c:v>146</c:v>
                      </c:pt>
                      <c:pt idx="99">
                        <c:v>147</c:v>
                      </c:pt>
                      <c:pt idx="100">
                        <c:v>148</c:v>
                      </c:pt>
                      <c:pt idx="101">
                        <c:v>149</c:v>
                      </c:pt>
                      <c:pt idx="102">
                        <c:v>150</c:v>
                      </c:pt>
                      <c:pt idx="103">
                        <c:v>151</c:v>
                      </c:pt>
                      <c:pt idx="104">
                        <c:v>152</c:v>
                      </c:pt>
                      <c:pt idx="105">
                        <c:v>153</c:v>
                      </c:pt>
                      <c:pt idx="106">
                        <c:v>154</c:v>
                      </c:pt>
                      <c:pt idx="107">
                        <c:v>155</c:v>
                      </c:pt>
                      <c:pt idx="108">
                        <c:v>156</c:v>
                      </c:pt>
                      <c:pt idx="109">
                        <c:v>157</c:v>
                      </c:pt>
                      <c:pt idx="110">
                        <c:v>158</c:v>
                      </c:pt>
                      <c:pt idx="111">
                        <c:v>159</c:v>
                      </c:pt>
                      <c:pt idx="112">
                        <c:v>160</c:v>
                      </c:pt>
                      <c:pt idx="113">
                        <c:v>161</c:v>
                      </c:pt>
                      <c:pt idx="114">
                        <c:v>162</c:v>
                      </c:pt>
                      <c:pt idx="115">
                        <c:v>163</c:v>
                      </c:pt>
                      <c:pt idx="116">
                        <c:v>164</c:v>
                      </c:pt>
                      <c:pt idx="117">
                        <c:v>165</c:v>
                      </c:pt>
                      <c:pt idx="118">
                        <c:v>166</c:v>
                      </c:pt>
                      <c:pt idx="119">
                        <c:v>167</c:v>
                      </c:pt>
                      <c:pt idx="120">
                        <c:v>168</c:v>
                      </c:pt>
                      <c:pt idx="121">
                        <c:v>169</c:v>
                      </c:pt>
                      <c:pt idx="122">
                        <c:v>170</c:v>
                      </c:pt>
                      <c:pt idx="123">
                        <c:v>171</c:v>
                      </c:pt>
                      <c:pt idx="124">
                        <c:v>172</c:v>
                      </c:pt>
                      <c:pt idx="125">
                        <c:v>173</c:v>
                      </c:pt>
                      <c:pt idx="126">
                        <c:v>174</c:v>
                      </c:pt>
                      <c:pt idx="127">
                        <c:v>175</c:v>
                      </c:pt>
                      <c:pt idx="128">
                        <c:v>176</c:v>
                      </c:pt>
                      <c:pt idx="129">
                        <c:v>177</c:v>
                      </c:pt>
                      <c:pt idx="130">
                        <c:v>178</c:v>
                      </c:pt>
                      <c:pt idx="131">
                        <c:v>179</c:v>
                      </c:pt>
                      <c:pt idx="132">
                        <c:v>180</c:v>
                      </c:pt>
                      <c:pt idx="133">
                        <c:v>181</c:v>
                      </c:pt>
                      <c:pt idx="134">
                        <c:v>182</c:v>
                      </c:pt>
                      <c:pt idx="135">
                        <c:v>183</c:v>
                      </c:pt>
                      <c:pt idx="136">
                        <c:v>184</c:v>
                      </c:pt>
                      <c:pt idx="137">
                        <c:v>185</c:v>
                      </c:pt>
                      <c:pt idx="138">
                        <c:v>186</c:v>
                      </c:pt>
                      <c:pt idx="139">
                        <c:v>187</c:v>
                      </c:pt>
                      <c:pt idx="140">
                        <c:v>188</c:v>
                      </c:pt>
                      <c:pt idx="141">
                        <c:v>189</c:v>
                      </c:pt>
                      <c:pt idx="142">
                        <c:v>190</c:v>
                      </c:pt>
                      <c:pt idx="143">
                        <c:v>191</c:v>
                      </c:pt>
                      <c:pt idx="144">
                        <c:v>192</c:v>
                      </c:pt>
                      <c:pt idx="145">
                        <c:v>193</c:v>
                      </c:pt>
                      <c:pt idx="146">
                        <c:v>194</c:v>
                      </c:pt>
                      <c:pt idx="147">
                        <c:v>195</c:v>
                      </c:pt>
                      <c:pt idx="148">
                        <c:v>196</c:v>
                      </c:pt>
                      <c:pt idx="149">
                        <c:v>197</c:v>
                      </c:pt>
                      <c:pt idx="150">
                        <c:v>198</c:v>
                      </c:pt>
                      <c:pt idx="151">
                        <c:v>199</c:v>
                      </c:pt>
                      <c:pt idx="152">
                        <c:v>200</c:v>
                      </c:pt>
                      <c:pt idx="153">
                        <c:v>201</c:v>
                      </c:pt>
                      <c:pt idx="154">
                        <c:v>202</c:v>
                      </c:pt>
                      <c:pt idx="155">
                        <c:v>203</c:v>
                      </c:pt>
                      <c:pt idx="156">
                        <c:v>204</c:v>
                      </c:pt>
                      <c:pt idx="157">
                        <c:v>205</c:v>
                      </c:pt>
                      <c:pt idx="158">
                        <c:v>206</c:v>
                      </c:pt>
                      <c:pt idx="159">
                        <c:v>207</c:v>
                      </c:pt>
                      <c:pt idx="160">
                        <c:v>208</c:v>
                      </c:pt>
                      <c:pt idx="161">
                        <c:v>209</c:v>
                      </c:pt>
                      <c:pt idx="162">
                        <c:v>210</c:v>
                      </c:pt>
                      <c:pt idx="163">
                        <c:v>211</c:v>
                      </c:pt>
                      <c:pt idx="164">
                        <c:v>212</c:v>
                      </c:pt>
                      <c:pt idx="165">
                        <c:v>213</c:v>
                      </c:pt>
                      <c:pt idx="166">
                        <c:v>214</c:v>
                      </c:pt>
                      <c:pt idx="167">
                        <c:v>215</c:v>
                      </c:pt>
                      <c:pt idx="168">
                        <c:v>216</c:v>
                      </c:pt>
                      <c:pt idx="169">
                        <c:v>217</c:v>
                      </c:pt>
                      <c:pt idx="170">
                        <c:v>218</c:v>
                      </c:pt>
                      <c:pt idx="171">
                        <c:v>219</c:v>
                      </c:pt>
                      <c:pt idx="172">
                        <c:v>220</c:v>
                      </c:pt>
                      <c:pt idx="173">
                        <c:v>221</c:v>
                      </c:pt>
                      <c:pt idx="174">
                        <c:v>222</c:v>
                      </c:pt>
                      <c:pt idx="175">
                        <c:v>223</c:v>
                      </c:pt>
                      <c:pt idx="176">
                        <c:v>224</c:v>
                      </c:pt>
                      <c:pt idx="177">
                        <c:v>225</c:v>
                      </c:pt>
                      <c:pt idx="178">
                        <c:v>226</c:v>
                      </c:pt>
                      <c:pt idx="179">
                        <c:v>227</c:v>
                      </c:pt>
                      <c:pt idx="180">
                        <c:v>228</c:v>
                      </c:pt>
                      <c:pt idx="181">
                        <c:v>229</c:v>
                      </c:pt>
                      <c:pt idx="182">
                        <c:v>230</c:v>
                      </c:pt>
                      <c:pt idx="183">
                        <c:v>231</c:v>
                      </c:pt>
                      <c:pt idx="184">
                        <c:v>232</c:v>
                      </c:pt>
                      <c:pt idx="185">
                        <c:v>233</c:v>
                      </c:pt>
                      <c:pt idx="186">
                        <c:v>234</c:v>
                      </c:pt>
                      <c:pt idx="187">
                        <c:v>235</c:v>
                      </c:pt>
                      <c:pt idx="188">
                        <c:v>236</c:v>
                      </c:pt>
                      <c:pt idx="189">
                        <c:v>237</c:v>
                      </c:pt>
                      <c:pt idx="190">
                        <c:v>238</c:v>
                      </c:pt>
                      <c:pt idx="191">
                        <c:v>239</c:v>
                      </c:pt>
                      <c:pt idx="192">
                        <c:v>240</c:v>
                      </c:pt>
                      <c:pt idx="193">
                        <c:v>241</c:v>
                      </c:pt>
                      <c:pt idx="194">
                        <c:v>242</c:v>
                      </c:pt>
                      <c:pt idx="195">
                        <c:v>243</c:v>
                      </c:pt>
                      <c:pt idx="196">
                        <c:v>244</c:v>
                      </c:pt>
                      <c:pt idx="197">
                        <c:v>245</c:v>
                      </c:pt>
                      <c:pt idx="198">
                        <c:v>246</c:v>
                      </c:pt>
                      <c:pt idx="199">
                        <c:v>247</c:v>
                      </c:pt>
                      <c:pt idx="200">
                        <c:v>248</c:v>
                      </c:pt>
                      <c:pt idx="201">
                        <c:v>249</c:v>
                      </c:pt>
                      <c:pt idx="202">
                        <c:v>250</c:v>
                      </c:pt>
                      <c:pt idx="203">
                        <c:v>251</c:v>
                      </c:pt>
                      <c:pt idx="204">
                        <c:v>252</c:v>
                      </c:pt>
                      <c:pt idx="205">
                        <c:v>253</c:v>
                      </c:pt>
                      <c:pt idx="206">
                        <c:v>254</c:v>
                      </c:pt>
                      <c:pt idx="207">
                        <c:v>255</c:v>
                      </c:pt>
                      <c:pt idx="208">
                        <c:v>256</c:v>
                      </c:pt>
                      <c:pt idx="209">
                        <c:v>257</c:v>
                      </c:pt>
                      <c:pt idx="210">
                        <c:v>258</c:v>
                      </c:pt>
                      <c:pt idx="211">
                        <c:v>259</c:v>
                      </c:pt>
                      <c:pt idx="212">
                        <c:v>260</c:v>
                      </c:pt>
                      <c:pt idx="213">
                        <c:v>261</c:v>
                      </c:pt>
                      <c:pt idx="214">
                        <c:v>262</c:v>
                      </c:pt>
                      <c:pt idx="215">
                        <c:v>263</c:v>
                      </c:pt>
                      <c:pt idx="216">
                        <c:v>264</c:v>
                      </c:pt>
                      <c:pt idx="217">
                        <c:v>265</c:v>
                      </c:pt>
                      <c:pt idx="218">
                        <c:v>266</c:v>
                      </c:pt>
                      <c:pt idx="219">
                        <c:v>267</c:v>
                      </c:pt>
                      <c:pt idx="220">
                        <c:v>268</c:v>
                      </c:pt>
                      <c:pt idx="221">
                        <c:v>269</c:v>
                      </c:pt>
                      <c:pt idx="222">
                        <c:v>270</c:v>
                      </c:pt>
                      <c:pt idx="223">
                        <c:v>271</c:v>
                      </c:pt>
                      <c:pt idx="224">
                        <c:v>272</c:v>
                      </c:pt>
                      <c:pt idx="225">
                        <c:v>273</c:v>
                      </c:pt>
                      <c:pt idx="226">
                        <c:v>274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'New_removed - bSIR'!$AF$55:$AF$281</c15:sqref>
                        </c15:formulaRef>
                      </c:ext>
                    </c:extLst>
                    <c:numCache>
                      <c:formatCode>General</c:formatCode>
                      <c:ptCount val="22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0.22119610916488597</c:v>
                      </c:pt>
                      <c:pt idx="34">
                        <c:v>2.631335407524297</c:v>
                      </c:pt>
                      <c:pt idx="35">
                        <c:v>5.1107211913403532</c:v>
                      </c:pt>
                      <c:pt idx="36">
                        <c:v>7.6573406819636602</c:v>
                      </c:pt>
                      <c:pt idx="37">
                        <c:v>10.268683367047046</c:v>
                      </c:pt>
                      <c:pt idx="38">
                        <c:v>12.941708616479062</c:v>
                      </c:pt>
                      <c:pt idx="39">
                        <c:v>15.67281498939235</c:v>
                      </c:pt>
                      <c:pt idx="40">
                        <c:v>18.457811893884141</c:v>
                      </c:pt>
                      <c:pt idx="41">
                        <c:v>21.291894318380898</c:v>
                      </c:pt>
                      <c:pt idx="42">
                        <c:v>24.169621403782244</c:v>
                      </c:pt>
                      <c:pt idx="43">
                        <c:v>27.084899665851552</c:v>
                      </c:pt>
                      <c:pt idx="44">
                        <c:v>30.030971704815883</c:v>
                      </c:pt>
                      <c:pt idx="45">
                        <c:v>33.000411250680713</c:v>
                      </c:pt>
                      <c:pt idx="46">
                        <c:v>35.985125385215952</c:v>
                      </c:pt>
                      <c:pt idx="47">
                        <c:v>38.976364751899368</c:v>
                      </c:pt>
                      <c:pt idx="48">
                        <c:v>41.964742510529703</c:v>
                      </c:pt>
                      <c:pt idx="49">
                        <c:v>44.940262711392904</c:v>
                      </c:pt>
                      <c:pt idx="50">
                        <c:v>47.892358653056505</c:v>
                      </c:pt>
                      <c:pt idx="51">
                        <c:v>50.809941647162361</c:v>
                      </c:pt>
                      <c:pt idx="52">
                        <c:v>53.68146044307187</c:v>
                      </c:pt>
                      <c:pt idx="53">
                        <c:v>56.494971366173019</c:v>
                      </c:pt>
                      <c:pt idx="54">
                        <c:v>59.238218998670661</c:v>
                      </c:pt>
                      <c:pt idx="55">
                        <c:v>61.898726984768544</c:v>
                      </c:pt>
                      <c:pt idx="56">
                        <c:v>64.46389827879068</c:v>
                      </c:pt>
                      <c:pt idx="57">
                        <c:v>66.92112388185771</c:v>
                      </c:pt>
                      <c:pt idx="58">
                        <c:v>69.257898838411492</c:v>
                      </c:pt>
                      <c:pt idx="59">
                        <c:v>71.461943997409747</c:v>
                      </c:pt>
                      <c:pt idx="60">
                        <c:v>73.52133179438853</c:v>
                      </c:pt>
                      <c:pt idx="61">
                        <c:v>75.424614090178736</c:v>
                      </c:pt>
                      <c:pt idx="62">
                        <c:v>77.160949920100975</c:v>
                      </c:pt>
                      <c:pt idx="63">
                        <c:v>78.720230873575176</c:v>
                      </c:pt>
                      <c:pt idx="64">
                        <c:v>80.093201746699535</c:v>
                      </c:pt>
                      <c:pt idx="65">
                        <c:v>81.271574096212603</c:v>
                      </c:pt>
                      <c:pt idx="66">
                        <c:v>82.248130376907383</c:v>
                      </c:pt>
                      <c:pt idx="67">
                        <c:v>83.01681646797546</c:v>
                      </c:pt>
                      <c:pt idx="68">
                        <c:v>83.572820586047882</c:v>
                      </c:pt>
                      <c:pt idx="69">
                        <c:v>83.912636839996665</c:v>
                      </c:pt>
                      <c:pt idx="70">
                        <c:v>84.034111998079297</c:v>
                      </c:pt>
                      <c:pt idx="71">
                        <c:v>83.936474402220753</c:v>
                      </c:pt>
                      <c:pt idx="72">
                        <c:v>83.620344365307218</c:v>
                      </c:pt>
                      <c:pt idx="73">
                        <c:v>83.087725811649463</c:v>
                      </c:pt>
                      <c:pt idx="74">
                        <c:v>82.341979353494068</c:v>
                      </c:pt>
                      <c:pt idx="75">
                        <c:v>81.387777422394478</c:v>
                      </c:pt>
                      <c:pt idx="76">
                        <c:v>80.231042478545405</c:v>
                      </c:pt>
                      <c:pt idx="77">
                        <c:v>78.878869690023279</c:v>
                      </c:pt>
                      <c:pt idx="78">
                        <c:v>77.33943579519935</c:v>
                      </c:pt>
                      <c:pt idx="79">
                        <c:v>75.621896125608245</c:v>
                      </c:pt>
                      <c:pt idx="80">
                        <c:v>73.736271966160814</c:v>
                      </c:pt>
                      <c:pt idx="81">
                        <c:v>71.693330560590368</c:v>
                      </c:pt>
                      <c:pt idx="82">
                        <c:v>69.504460131226324</c:v>
                      </c:pt>
                      <c:pt idx="83">
                        <c:v>67.181542275247523</c:v>
                      </c:pt>
                      <c:pt idx="84">
                        <c:v>64.736824028780333</c:v>
                      </c:pt>
                      <c:pt idx="85">
                        <c:v>62.182791762083937</c:v>
                      </c:pt>
                      <c:pt idx="86">
                        <c:v>59.532048891888977</c:v>
                      </c:pt>
                      <c:pt idx="87">
                        <c:v>56.79719918023676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72D2-4346-8DCD-ABBA25EACD7C}"/>
                  </c:ext>
                </c:extLst>
              </c15:ser>
            </c15:filteredScatterSeries>
          </c:ext>
        </c:extLst>
      </c:scatterChart>
      <c:valAx>
        <c:axId val="9694877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kern="1200" baseline="0">
                    <a:solidFill>
                      <a:srgbClr val="595959"/>
                    </a:solidFill>
                    <a:effectLst/>
                  </a:rPr>
                  <a:t>Days from </a:t>
                </a:r>
                <a:endParaRPr lang="it-IT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69487440"/>
        <c:crosses val="autoZero"/>
        <c:crossBetween val="midCat"/>
      </c:valAx>
      <c:valAx>
        <c:axId val="969487440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removal rate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694877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4559432029216846"/>
          <c:y val="0.29995932162913086"/>
          <c:w val="0.17309550729317555"/>
          <c:h val="0.190973589801624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>
                <a:solidFill>
                  <a:srgbClr val="0070C0"/>
                </a:solidFill>
              </a:rPr>
              <a:t>Italy - rate of new removals per day (acceleration) - basic SIR</a:t>
            </a:r>
          </a:p>
          <a:p>
            <a:pPr>
              <a:defRPr/>
            </a:pPr>
            <a:r>
              <a:rPr lang="it-IT">
                <a:solidFill>
                  <a:srgbClr val="0070C0"/>
                </a:solidFill>
              </a:rPr>
              <a:t>Italy and sum of regions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0"/>
          <c:tx>
            <c:strRef>
              <c:f>'New_removed_rate - bSIR'!$F$7</c:f>
              <c:strCache>
                <c:ptCount val="1"/>
                <c:pt idx="0">
                  <c:v>Italy accel. data 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'New_removed_rate - bSIR'!$C$8:$C$184</c:f>
              <c:numCache>
                <c:formatCode>General</c:formatCode>
                <c:ptCount val="17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</c:numCache>
            </c:numRef>
          </c:xVal>
          <c:yVal>
            <c:numRef>
              <c:f>'New_removed_rate - bSIR'!$F$8:$F$184</c:f>
              <c:numCache>
                <c:formatCode>General</c:formatCode>
                <c:ptCount val="177"/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8</c:v>
                </c:pt>
                <c:pt idx="55">
                  <c:v>-5</c:v>
                </c:pt>
                <c:pt idx="56">
                  <c:v>1</c:v>
                </c:pt>
                <c:pt idx="57">
                  <c:v>43</c:v>
                </c:pt>
                <c:pt idx="58">
                  <c:v>-42</c:v>
                </c:pt>
                <c:pt idx="59">
                  <c:v>7</c:v>
                </c:pt>
                <c:pt idx="60">
                  <c:v>26</c:v>
                </c:pt>
                <c:pt idx="61">
                  <c:v>46</c:v>
                </c:pt>
                <c:pt idx="62">
                  <c:v>-46</c:v>
                </c:pt>
                <c:pt idx="63">
                  <c:v>106</c:v>
                </c:pt>
                <c:pt idx="64">
                  <c:v>35</c:v>
                </c:pt>
                <c:pt idx="65">
                  <c:v>-21</c:v>
                </c:pt>
                <c:pt idx="66">
                  <c:v>-56</c:v>
                </c:pt>
                <c:pt idx="67">
                  <c:v>64</c:v>
                </c:pt>
                <c:pt idx="68">
                  <c:v>33</c:v>
                </c:pt>
                <c:pt idx="69">
                  <c:v>249</c:v>
                </c:pt>
                <c:pt idx="70">
                  <c:v>-211</c:v>
                </c:pt>
                <c:pt idx="71">
                  <c:v>165</c:v>
                </c:pt>
                <c:pt idx="72">
                  <c:v>29</c:v>
                </c:pt>
                <c:pt idx="73">
                  <c:v>271</c:v>
                </c:pt>
                <c:pt idx="74">
                  <c:v>35</c:v>
                </c:pt>
                <c:pt idx="75">
                  <c:v>26</c:v>
                </c:pt>
                <c:pt idx="76">
                  <c:v>-226</c:v>
                </c:pt>
                <c:pt idx="77">
                  <c:v>1022</c:v>
                </c:pt>
                <c:pt idx="78">
                  <c:v>-717</c:v>
                </c:pt>
                <c:pt idx="79">
                  <c:v>474</c:v>
                </c:pt>
                <c:pt idx="80">
                  <c:v>420</c:v>
                </c:pt>
                <c:pt idx="81">
                  <c:v>-133</c:v>
                </c:pt>
                <c:pt idx="82">
                  <c:v>-594</c:v>
                </c:pt>
                <c:pt idx="83">
                  <c:v>628</c:v>
                </c:pt>
                <c:pt idx="84">
                  <c:v>82</c:v>
                </c:pt>
                <c:pt idx="85">
                  <c:v>-58</c:v>
                </c:pt>
                <c:pt idx="86">
                  <c:v>-103</c:v>
                </c:pt>
                <c:pt idx="87">
                  <c:v>765</c:v>
                </c:pt>
                <c:pt idx="88">
                  <c:v>-921</c:v>
                </c:pt>
                <c:pt idx="89">
                  <c:v>1000</c:v>
                </c:pt>
                <c:pt idx="90">
                  <c:v>-456</c:v>
                </c:pt>
                <c:pt idx="91">
                  <c:v>-101</c:v>
                </c:pt>
                <c:pt idx="92">
                  <c:v>346</c:v>
                </c:pt>
                <c:pt idx="93">
                  <c:v>55</c:v>
                </c:pt>
                <c:pt idx="94">
                  <c:v>-327</c:v>
                </c:pt>
                <c:pt idx="95">
                  <c:v>-575</c:v>
                </c:pt>
                <c:pt idx="96">
                  <c:v>314</c:v>
                </c:pt>
                <c:pt idx="97">
                  <c:v>501</c:v>
                </c:pt>
                <c:pt idx="98">
                  <c:v>482</c:v>
                </c:pt>
                <c:pt idx="99">
                  <c:v>-52</c:v>
                </c:pt>
                <c:pt idx="100">
                  <c:v>-34</c:v>
                </c:pt>
                <c:pt idx="101">
                  <c:v>143</c:v>
                </c:pt>
                <c:pt idx="102">
                  <c:v>-590</c:v>
                </c:pt>
                <c:pt idx="103">
                  <c:v>-318</c:v>
                </c:pt>
                <c:pt idx="104">
                  <c:v>507</c:v>
                </c:pt>
                <c:pt idx="105">
                  <c:v>-757</c:v>
                </c:pt>
                <c:pt idx="106">
                  <c:v>1057</c:v>
                </c:pt>
                <c:pt idx="107">
                  <c:v>541</c:v>
                </c:pt>
                <c:pt idx="108">
                  <c:v>-456</c:v>
                </c:pt>
                <c:pt idx="109">
                  <c:v>-121</c:v>
                </c:pt>
                <c:pt idx="110">
                  <c:v>-285</c:v>
                </c:pt>
                <c:pt idx="111">
                  <c:v>981</c:v>
                </c:pt>
                <c:pt idx="112">
                  <c:v>123</c:v>
                </c:pt>
                <c:pt idx="113">
                  <c:v>117</c:v>
                </c:pt>
                <c:pt idx="114">
                  <c:v>-155</c:v>
                </c:pt>
                <c:pt idx="115">
                  <c:v>-305</c:v>
                </c:pt>
                <c:pt idx="116">
                  <c:v>-969</c:v>
                </c:pt>
                <c:pt idx="117">
                  <c:v>-39</c:v>
                </c:pt>
                <c:pt idx="118">
                  <c:v>670</c:v>
                </c:pt>
                <c:pt idx="119">
                  <c:v>-65</c:v>
                </c:pt>
                <c:pt idx="120">
                  <c:v>2344</c:v>
                </c:pt>
                <c:pt idx="121">
                  <c:v>-2405</c:v>
                </c:pt>
                <c:pt idx="122">
                  <c:v>-434</c:v>
                </c:pt>
                <c:pt idx="123">
                  <c:v>-225</c:v>
                </c:pt>
                <c:pt idx="124">
                  <c:v>-494</c:v>
                </c:pt>
                <c:pt idx="125">
                  <c:v>1168</c:v>
                </c:pt>
                <c:pt idx="126">
                  <c:v>5795</c:v>
                </c:pt>
                <c:pt idx="127">
                  <c:v>-5078</c:v>
                </c:pt>
                <c:pt idx="128">
                  <c:v>-315</c:v>
                </c:pt>
                <c:pt idx="129">
                  <c:v>1212</c:v>
                </c:pt>
                <c:pt idx="130">
                  <c:v>-1882</c:v>
                </c:pt>
                <c:pt idx="131">
                  <c:v>-740</c:v>
                </c:pt>
                <c:pt idx="132">
                  <c:v>1044</c:v>
                </c:pt>
                <c:pt idx="133">
                  <c:v>1073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4E8D-459A-841F-BE1B280B1827}"/>
            </c:ext>
          </c:extLst>
        </c:ser>
        <c:ser>
          <c:idx val="2"/>
          <c:order val="1"/>
          <c:tx>
            <c:strRef>
              <c:f>'New_removed_rate - bSIR'!$Z$7</c:f>
              <c:strCache>
                <c:ptCount val="1"/>
                <c:pt idx="0">
                  <c:v>Italy acc. fit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'New_removed_rate - bSIR'!$C$8:$C$184</c:f>
              <c:numCache>
                <c:formatCode>General</c:formatCode>
                <c:ptCount val="17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</c:numCache>
            </c:numRef>
          </c:xVal>
          <c:yVal>
            <c:numRef>
              <c:f>'New_removed_rate - bSIR'!$Z$8:$Z$184</c:f>
              <c:numCache>
                <c:formatCode>General</c:formatCode>
                <c:ptCount val="177"/>
                <c:pt idx="0">
                  <c:v>1.5713212169658599</c:v>
                </c:pt>
                <c:pt idx="1">
                  <c:v>1.6499876950206425</c:v>
                </c:pt>
                <c:pt idx="2">
                  <c:v>1.7325450707267027</c:v>
                </c:pt>
                <c:pt idx="3">
                  <c:v>1.8191808748262537</c:v>
                </c:pt>
                <c:pt idx="4">
                  <c:v>1.910091164836121</c:v>
                </c:pt>
                <c:pt idx="5">
                  <c:v>2.005480858680623</c:v>
                </c:pt>
                <c:pt idx="6">
                  <c:v>2.1055640754173082</c:v>
                </c:pt>
                <c:pt idx="7">
                  <c:v>2.2105644824576118</c:v>
                </c:pt>
                <c:pt idx="8">
                  <c:v>2.3207156485642138</c:v>
                </c:pt>
                <c:pt idx="9">
                  <c:v>2.4362614017727133</c:v>
                </c:pt>
                <c:pt idx="10">
                  <c:v>2.5574561912356222</c:v>
                </c:pt>
                <c:pt idx="11">
                  <c:v>2.6845654518205002</c:v>
                </c:pt>
                <c:pt idx="12">
                  <c:v>2.817865970109688</c:v>
                </c:pt>
                <c:pt idx="13">
                  <c:v>2.9576462502446645</c:v>
                </c:pt>
                <c:pt idx="14">
                  <c:v>3.1042068778325214</c:v>
                </c:pt>
                <c:pt idx="15">
                  <c:v>3.2578608798828008</c:v>
                </c:pt>
                <c:pt idx="16">
                  <c:v>3.4189340784685891</c:v>
                </c:pt>
                <c:pt idx="17">
                  <c:v>3.5877654355043016</c:v>
                </c:pt>
                <c:pt idx="18">
                  <c:v>3.7647073857012807</c:v>
                </c:pt>
                <c:pt idx="19">
                  <c:v>3.9501261543999817</c:v>
                </c:pt>
                <c:pt idx="20">
                  <c:v>4.1444020565808222</c:v>
                </c:pt>
                <c:pt idx="21">
                  <c:v>4.3479297729229716</c:v>
                </c:pt>
                <c:pt idx="22">
                  <c:v>4.5611185983090072</c:v>
                </c:pt>
                <c:pt idx="23">
                  <c:v>4.7843926576606695</c:v>
                </c:pt>
                <c:pt idx="24">
                  <c:v>5.0181910834347487</c:v>
                </c:pt>
                <c:pt idx="25">
                  <c:v>5.2629681485062179</c:v>
                </c:pt>
                <c:pt idx="26">
                  <c:v>5.5191933475149577</c:v>
                </c:pt>
                <c:pt idx="27">
                  <c:v>5.7873514190517064</c:v>
                </c:pt>
                <c:pt idx="28">
                  <c:v>6.0679423003051838</c:v>
                </c:pt>
                <c:pt idx="29">
                  <c:v>6.3614810049842454</c:v>
                </c:pt>
                <c:pt idx="30">
                  <c:v>6.6684974144656701</c:v>
                </c:pt>
                <c:pt idx="31">
                  <c:v>6.9895359711970988</c:v>
                </c:pt>
                <c:pt idx="32">
                  <c:v>7.3251552624073391</c:v>
                </c:pt>
                <c:pt idx="33">
                  <c:v>7.675927481141402</c:v>
                </c:pt>
                <c:pt idx="34">
                  <c:v>8.0424377505467284</c:v>
                </c:pt>
                <c:pt idx="35">
                  <c:v>8.4252832961930224</c:v>
                </c:pt>
                <c:pt idx="36">
                  <c:v>8.8250724500127404</c:v>
                </c:pt>
                <c:pt idx="37">
                  <c:v>9.2424234682086297</c:v>
                </c:pt>
                <c:pt idx="38">
                  <c:v>9.677963144194841</c:v>
                </c:pt>
                <c:pt idx="39">
                  <c:v>10.132325196326796</c:v>
                </c:pt>
                <c:pt idx="40">
                  <c:v>10.606148408844106</c:v>
                </c:pt>
                <c:pt idx="41">
                  <c:v>11.100074503112781</c:v>
                </c:pt>
                <c:pt idx="42">
                  <c:v>11.614745714924274</c:v>
                </c:pt>
                <c:pt idx="43">
                  <c:v>12.150802052309805</c:v>
                </c:pt>
                <c:pt idx="44">
                  <c:v>12.708878207081984</c:v>
                </c:pt>
                <c:pt idx="45">
                  <c:v>13.289600092150321</c:v>
                </c:pt>
                <c:pt idx="46">
                  <c:v>13.893580975605326</c:v>
                </c:pt>
                <c:pt idx="47">
                  <c:v>14.52141718166574</c:v>
                </c:pt>
                <c:pt idx="48">
                  <c:v>15.173683327879315</c:v>
                </c:pt>
                <c:pt idx="49">
                  <c:v>15.85092706750895</c:v>
                </c:pt>
                <c:pt idx="50">
                  <c:v>16.553663305881063</c:v>
                </c:pt>
                <c:pt idx="51">
                  <c:v>17.2823678596855</c:v>
                </c:pt>
                <c:pt idx="52">
                  <c:v>18.037470528868798</c:v>
                </c:pt>
                <c:pt idx="53">
                  <c:v>18.819347551935049</c:v>
                </c:pt>
                <c:pt idx="54">
                  <c:v>19.628313417249867</c:v>
                </c:pt>
                <c:pt idx="55">
                  <c:v>20.464612005429149</c:v>
                </c:pt>
                <c:pt idx="56">
                  <c:v>21.328407041190356</c:v>
                </c:pt>
                <c:pt idx="57">
                  <c:v>22.219771837263142</c:v>
                </c:pt>
                <c:pt idx="58">
                  <c:v>23.138678318215611</c:v>
                </c:pt>
                <c:pt idx="59">
                  <c:v>24.08498531847934</c:v>
                </c:pt>
                <c:pt idx="60">
                  <c:v>25.058426156577717</c:v>
                </c:pt>
                <c:pt idx="61">
                  <c:v>26.058595496710343</c:v>
                </c:pt>
                <c:pt idx="62">
                  <c:v>27.084935519549578</c:v>
                </c:pt>
                <c:pt idx="63">
                  <c:v>28.136721436491182</c:v>
                </c:pt>
                <c:pt idx="64">
                  <c:v>29.213046395783582</c:v>
                </c:pt>
                <c:pt idx="65">
                  <c:v>30.312805845045052</c:v>
                </c:pt>
                <c:pt idx="66">
                  <c:v>31.434681432744888</c:v>
                </c:pt>
                <c:pt idx="67">
                  <c:v>32.577124551330428</c:v>
                </c:pt>
                <c:pt idx="68">
                  <c:v>33.738339646846256</c:v>
                </c:pt>
                <c:pt idx="69">
                  <c:v>34.916267444087786</c:v>
                </c:pt>
                <c:pt idx="70">
                  <c:v>36.108568262483431</c:v>
                </c:pt>
                <c:pt idx="71">
                  <c:v>37.31260562585571</c:v>
                </c:pt>
                <c:pt idx="72">
                  <c:v>38.52543039875593</c:v>
                </c:pt>
                <c:pt idx="73">
                  <c:v>39.743765712878542</c:v>
                </c:pt>
                <c:pt idx="74">
                  <c:v>40.963992978733238</c:v>
                </c:pt>
                <c:pt idx="75">
                  <c:v>42.182139309749935</c:v>
                </c:pt>
                <c:pt idx="76">
                  <c:v>43.393866717667969</c:v>
                </c:pt>
                <c:pt idx="77">
                  <c:v>44.594463468626373</c:v>
                </c:pt>
                <c:pt idx="78">
                  <c:v>45.778838017905471</c:v>
                </c:pt>
                <c:pt idx="79">
                  <c:v>46.941515966705673</c:v>
                </c:pt>
                <c:pt idx="80">
                  <c:v>48.076640505480675</c:v>
                </c:pt>
                <c:pt idx="81">
                  <c:v>49.177976823833781</c:v>
                </c:pt>
                <c:pt idx="82">
                  <c:v>50.238920975383856</c:v>
                </c:pt>
                <c:pt idx="83">
                  <c:v>51.252513685767717</c:v>
                </c:pt>
                <c:pt idx="84">
                  <c:v>52.211459581457831</c:v>
                </c:pt>
                <c:pt idx="85">
                  <c:v>53.108152294719169</c:v>
                </c:pt>
                <c:pt idx="86">
                  <c:v>53.934705864216895</c:v>
                </c:pt>
                <c:pt idx="87">
                  <c:v>54.682992800031634</c:v>
                </c:pt>
                <c:pt idx="88">
                  <c:v>55.344689114834054</c:v>
                </c:pt>
                <c:pt idx="89">
                  <c:v>55.911326538668959</c:v>
                </c:pt>
                <c:pt idx="90">
                  <c:v>56.374352032509556</c:v>
                </c:pt>
                <c:pt idx="91">
                  <c:v>56.72519459522865</c:v>
                </c:pt>
                <c:pt idx="92">
                  <c:v>56.955339220214938</c:v>
                </c:pt>
                <c:pt idx="93">
                  <c:v>57.05640770249677</c:v>
                </c:pt>
                <c:pt idx="94">
                  <c:v>57.020245826637641</c:v>
                </c:pt>
                <c:pt idx="95">
                  <c:v>56.83901628233059</c:v>
                </c:pt>
                <c:pt idx="96">
                  <c:v>56.505296461920331</c:v>
                </c:pt>
                <c:pt idx="97">
                  <c:v>56.012180096248763</c:v>
                </c:pt>
                <c:pt idx="98">
                  <c:v>55.353381487347725</c:v>
                </c:pt>
                <c:pt idx="99">
                  <c:v>54.52334090446594</c:v>
                </c:pt>
                <c:pt idx="100">
                  <c:v>53.517329530274758</c:v>
                </c:pt>
                <c:pt idx="101">
                  <c:v>52.331552183910084</c:v>
                </c:pt>
                <c:pt idx="102">
                  <c:v>50.963245914139193</c:v>
                </c:pt>
                <c:pt idx="103">
                  <c:v>49.410772456769045</c:v>
                </c:pt>
                <c:pt idx="104">
                  <c:v>47.673702492537359</c:v>
                </c:pt>
                <c:pt idx="105">
                  <c:v>45.752889631610245</c:v>
                </c:pt>
                <c:pt idx="106">
                  <c:v>43.650532093922749</c:v>
                </c:pt>
                <c:pt idx="107">
                  <c:v>41.370220155048976</c:v>
                </c:pt>
                <c:pt idx="108">
                  <c:v>38.916967587487655</c:v>
                </c:pt>
                <c:pt idx="109">
                  <c:v>36.297225547599659</c:v>
                </c:pt>
                <c:pt idx="110">
                  <c:v>33.518877637103238</c:v>
                </c:pt>
                <c:pt idx="111">
                  <c:v>30.591215200804971</c:v>
                </c:pt>
                <c:pt idx="112">
                  <c:v>27.524892302476065</c:v>
                </c:pt>
                <c:pt idx="113">
                  <c:v>24.331860239494421</c:v>
                </c:pt>
                <c:pt idx="114">
                  <c:v>21.025281902943224</c:v>
                </c:pt>
                <c:pt idx="115">
                  <c:v>17.619426750381923</c:v>
                </c:pt>
                <c:pt idx="116">
                  <c:v>14.129547619233298</c:v>
                </c:pt>
                <c:pt idx="117">
                  <c:v>10.571741054641741</c:v>
                </c:pt>
                <c:pt idx="118">
                  <c:v>6.9627932415768132</c:v>
                </c:pt>
                <c:pt idx="119">
                  <c:v>3.3200140022529814</c:v>
                </c:pt>
                <c:pt idx="120">
                  <c:v>-0.3389383668211588</c:v>
                </c:pt>
                <c:pt idx="121">
                  <c:v>-3.9962384002229969</c:v>
                </c:pt>
                <c:pt idx="122">
                  <c:v>-7.634077728612497</c:v>
                </c:pt>
                <c:pt idx="123">
                  <c:v>-11.234849040669621</c:v>
                </c:pt>
                <c:pt idx="124">
                  <c:v>-14.781326487485538</c:v>
                </c:pt>
                <c:pt idx="125">
                  <c:v>-18.256839370854635</c:v>
                </c:pt>
                <c:pt idx="126">
                  <c:v>-21.645436136928435</c:v>
                </c:pt>
                <c:pt idx="127">
                  <c:v>-24.932035953980186</c:v>
                </c:pt>
                <c:pt idx="128">
                  <c:v>-28.102565477955313</c:v>
                </c:pt>
                <c:pt idx="129">
                  <c:v>-31.144078790100281</c:v>
                </c:pt>
                <c:pt idx="130">
                  <c:v>-34.044858913563623</c:v>
                </c:pt>
                <c:pt idx="131">
                  <c:v>-36.794499765666522</c:v>
                </c:pt>
                <c:pt idx="132">
                  <c:v>-39.383967864349884</c:v>
                </c:pt>
                <c:pt idx="133">
                  <c:v>-41.805643566193574</c:v>
                </c:pt>
                <c:pt idx="134">
                  <c:v>-44.053342055336778</c:v>
                </c:pt>
                <c:pt idx="135">
                  <c:v>-46.122314714990651</c:v>
                </c:pt>
                <c:pt idx="136">
                  <c:v>-48.009231885290994</c:v>
                </c:pt>
                <c:pt idx="137">
                  <c:v>-49.712148334420725</c:v>
                </c:pt>
                <c:pt idx="138">
                  <c:v>-51.23045303805101</c:v>
                </c:pt>
                <c:pt idx="139">
                  <c:v>-52.564805071430541</c:v>
                </c:pt>
                <c:pt idx="140">
                  <c:v>-53.717057567496305</c:v>
                </c:pt>
                <c:pt idx="141">
                  <c:v>-54.690171783975885</c:v>
                </c:pt>
                <c:pt idx="142">
                  <c:v>-55.488123355352805</c:v>
                </c:pt>
                <c:pt idx="143">
                  <c:v>-56.115802786159243</c:v>
                </c:pt>
                <c:pt idx="144">
                  <c:v>-56.578912176027345</c:v>
                </c:pt>
                <c:pt idx="145">
                  <c:v>-56.883860060878511</c:v>
                </c:pt>
                <c:pt idx="146">
                  <c:v>-57.037656115735949</c:v>
                </c:pt>
                <c:pt idx="147">
                  <c:v>-57.047807300305365</c:v>
                </c:pt>
                <c:pt idx="148">
                  <c:v>-56.922216846012851</c:v>
                </c:pt>
                <c:pt idx="149">
                  <c:v>-56.669087289593897</c:v>
                </c:pt>
                <c:pt idx="150">
                  <c:v>-56.296828560042655</c:v>
                </c:pt>
                <c:pt idx="151">
                  <c:v>-55.81397192848879</c:v>
                </c:pt>
                <c:pt idx="152">
                  <c:v>-55.22909043930985</c:v>
                </c:pt>
                <c:pt idx="153">
                  <c:v>-54.550726259582781</c:v>
                </c:pt>
                <c:pt idx="154">
                  <c:v>-53.787325216032926</c:v>
                </c:pt>
                <c:pt idx="155">
                  <c:v>-52.947178636309275</c:v>
                </c:pt>
                <c:pt idx="156">
                  <c:v>-52.03837247625551</c:v>
                </c:pt>
                <c:pt idx="157">
                  <c:v>-51.068743597702927</c:v>
                </c:pt>
                <c:pt idx="158">
                  <c:v>-50.045842962384903</c:v>
                </c:pt>
                <c:pt idx="159">
                  <c:v>-48.976905426535872</c:v>
                </c:pt>
                <c:pt idx="160">
                  <c:v>-47.868825756831804</c:v>
                </c:pt>
                <c:pt idx="161">
                  <c:v>-46.728140440444463</c:v>
                </c:pt>
                <c:pt idx="162">
                  <c:v>-45.561014828777509</c:v>
                </c:pt>
                <c:pt idx="163">
                  <c:v>-44.373235134417044</c:v>
                </c:pt>
                <c:pt idx="164">
                  <c:v>-43.170204792360359</c:v>
                </c:pt>
                <c:pt idx="165">
                  <c:v>-41.956944698067453</c:v>
                </c:pt>
                <c:pt idx="166">
                  <c:v>-40.738096844703577</c:v>
                </c:pt>
                <c:pt idx="167">
                  <c:v>-39.51793089858495</c:v>
                </c:pt>
                <c:pt idx="168">
                  <c:v>-38.300353273864133</c:v>
                </c:pt>
                <c:pt idx="169">
                  <c:v>-37.088918293587767</c:v>
                </c:pt>
                <c:pt idx="170">
                  <c:v>-35.886841053245284</c:v>
                </c:pt>
                <c:pt idx="171">
                  <c:v>-34.697011633764021</c:v>
                </c:pt>
                <c:pt idx="172">
                  <c:v>-33.522010342696198</c:v>
                </c:pt>
                <c:pt idx="173">
                  <c:v>-32.364123694327176</c:v>
                </c:pt>
                <c:pt idx="174">
                  <c:v>-31.225360870980523</c:v>
                </c:pt>
                <c:pt idx="175">
                  <c:v>-30.107470438403578</c:v>
                </c:pt>
                <c:pt idx="176">
                  <c:v>-29.011957117385592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4E8D-459A-841F-BE1B280B1827}"/>
            </c:ext>
          </c:extLst>
        </c:ser>
        <c:ser>
          <c:idx val="0"/>
          <c:order val="2"/>
          <c:tx>
            <c:strRef>
              <c:f>'New_removed_rate - bSIR'!$L$7</c:f>
              <c:strCache>
                <c:ptCount val="1"/>
                <c:pt idx="0">
                  <c:v>Italy (fit of selected region + fitted sum of the other regions)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'New_removed_rate - bSIR'!$C$8:$C$184</c:f>
              <c:numCache>
                <c:formatCode>General</c:formatCode>
                <c:ptCount val="17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</c:numCache>
            </c:numRef>
          </c:xVal>
          <c:yVal>
            <c:numRef>
              <c:f>'New_removed_rate - bSIR'!$L$8:$L$184</c:f>
              <c:numCache>
                <c:formatCode>General</c:formatCode>
                <c:ptCount val="177"/>
                <c:pt idx="0">
                  <c:v>1.5874441143154365</c:v>
                </c:pt>
                <c:pt idx="1">
                  <c:v>1.6666167674157331</c:v>
                </c:pt>
                <c:pt idx="2">
                  <c:v>1.749692130362688</c:v>
                </c:pt>
                <c:pt idx="3">
                  <c:v>1.8368577339976297</c:v>
                </c:pt>
                <c:pt idx="4">
                  <c:v>1.9283096116570584</c:v>
                </c:pt>
                <c:pt idx="5">
                  <c:v>2.0242526307788</c:v>
                </c:pt>
                <c:pt idx="6">
                  <c:v>2.1249008314971842</c:v>
                </c:pt>
                <c:pt idx="7">
                  <c:v>2.2304777716279309</c:v>
                </c:pt>
                <c:pt idx="8">
                  <c:v>2.3412168773237227</c:v>
                </c:pt>
                <c:pt idx="9">
                  <c:v>2.4573617985478382</c:v>
                </c:pt>
                <c:pt idx="10">
                  <c:v>2.5791667683643982</c:v>
                </c:pt>
                <c:pt idx="11">
                  <c:v>2.7068969648782888</c:v>
                </c:pt>
                <c:pt idx="12">
                  <c:v>2.8408288744744388</c:v>
                </c:pt>
                <c:pt idx="13">
                  <c:v>2.9812506548028614</c:v>
                </c:pt>
                <c:pt idx="14">
                  <c:v>3.1284624957313167</c:v>
                </c:pt>
                <c:pt idx="15">
                  <c:v>3.2827769762396768</c:v>
                </c:pt>
                <c:pt idx="16">
                  <c:v>3.4445194149573015</c:v>
                </c:pt>
                <c:pt idx="17">
                  <c:v>3.6140282117446212</c:v>
                </c:pt>
                <c:pt idx="18">
                  <c:v>3.7916551773910285</c:v>
                </c:pt>
                <c:pt idx="19">
                  <c:v>3.9777658481405185</c:v>
                </c:pt>
                <c:pt idx="20">
                  <c:v>4.172739781362262</c:v>
                </c:pt>
                <c:pt idx="21">
                  <c:v>4.3769708282527491</c:v>
                </c:pt>
                <c:pt idx="22">
                  <c:v>4.5908673789873413</c:v>
                </c:pt>
                <c:pt idx="23">
                  <c:v>4.8148525752293345</c:v>
                </c:pt>
                <c:pt idx="24">
                  <c:v>5.0493644843513135</c:v>
                </c:pt>
                <c:pt idx="25">
                  <c:v>5.2948562291245755</c:v>
                </c:pt>
                <c:pt idx="26">
                  <c:v>5.5517960659854264</c:v>
                </c:pt>
                <c:pt idx="27">
                  <c:v>5.8206674042894075</c:v>
                </c:pt>
                <c:pt idx="28">
                  <c:v>6.1019687582144995</c:v>
                </c:pt>
                <c:pt idx="29">
                  <c:v>6.396213622170138</c:v>
                </c:pt>
                <c:pt idx="30">
                  <c:v>6.7039302597086827</c:v>
                </c:pt>
                <c:pt idx="31">
                  <c:v>7.025661395018985</c:v>
                </c:pt>
                <c:pt idx="32">
                  <c:v>7.3619637951073926</c:v>
                </c:pt>
                <c:pt idx="33">
                  <c:v>7.7134077297399513</c:v>
                </c:pt>
                <c:pt idx="34">
                  <c:v>8.080576295131598</c:v>
                </c:pt>
                <c:pt idx="35">
                  <c:v>8.4640645862259145</c:v>
                </c:pt>
                <c:pt idx="36">
                  <c:v>8.8644787012155799</c:v>
                </c:pt>
                <c:pt idx="37">
                  <c:v>9.282434560713698</c:v>
                </c:pt>
                <c:pt idx="38">
                  <c:v>9.7185565227053559</c:v>
                </c:pt>
                <c:pt idx="39">
                  <c:v>10.173475773096214</c:v>
                </c:pt>
                <c:pt idx="40">
                  <c:v>10.64782847034035</c:v>
                </c:pt>
                <c:pt idx="41">
                  <c:v>11.142253621285642</c:v>
                </c:pt>
                <c:pt idx="42">
                  <c:v>11.657390664039182</c:v>
                </c:pt>
                <c:pt idx="43">
                  <c:v>12.193876732344904</c:v>
                </c:pt>
                <c:pt idx="44">
                  <c:v>12.752343574705824</c:v>
                </c:pt>
                <c:pt idx="45">
                  <c:v>13.333414100300129</c:v>
                </c:pt>
                <c:pt idx="46">
                  <c:v>13.937698522667482</c:v>
                </c:pt>
                <c:pt idx="47">
                  <c:v>14.565790071215289</c:v>
                </c:pt>
                <c:pt idx="48">
                  <c:v>15.21826023985968</c:v>
                </c:pt>
                <c:pt idx="49">
                  <c:v>15.895653541620733</c:v>
                </c:pt>
                <c:pt idx="50">
                  <c:v>16.598481737794131</c:v>
                </c:pt>
                <c:pt idx="51">
                  <c:v>17.32721751048506</c:v>
                </c:pt>
                <c:pt idx="52">
                  <c:v>18.082287547887415</c:v>
                </c:pt>
                <c:pt idx="53">
                  <c:v>18.864065012802342</c:v>
                </c:pt>
                <c:pt idx="54">
                  <c:v>19.67286136660303</c:v>
                </c:pt>
                <c:pt idx="55">
                  <c:v>20.50891752326417</c:v>
                </c:pt>
                <c:pt idx="56">
                  <c:v>21.372394311292044</c:v>
                </c:pt>
                <c:pt idx="57">
                  <c:v>22.263362225525103</c:v>
                </c:pt>
                <c:pt idx="58">
                  <c:v>23.181790455948587</c:v>
                </c:pt>
                <c:pt idx="59">
                  <c:v>24.127535187006171</c:v>
                </c:pt>
                <c:pt idx="60">
                  <c:v>25.100327168528263</c:v>
                </c:pt>
                <c:pt idx="61">
                  <c:v>26.099758568465067</c:v>
                </c:pt>
                <c:pt idx="62">
                  <c:v>27.125269128248476</c:v>
                </c:pt>
                <c:pt idx="63">
                  <c:v>28.176131653937826</c:v>
                </c:pt>
                <c:pt idx="64">
                  <c:v>29.251436890457487</c:v>
                </c:pt>
                <c:pt idx="65">
                  <c:v>30.35007784231647</c:v>
                </c:pt>
                <c:pt idx="66">
                  <c:v>31.470733622303754</c:v>
                </c:pt>
                <c:pt idx="67">
                  <c:v>32.611852929842748</c:v>
                </c:pt>
                <c:pt idx="68">
                  <c:v>33.771637282993872</c:v>
                </c:pt>
                <c:pt idx="69">
                  <c:v>34.94802415250242</c:v>
                </c:pt>
                <c:pt idx="70">
                  <c:v>36.138670172730031</c:v>
                </c:pt>
                <c:pt idx="71">
                  <c:v>37.340934632650615</c:v>
                </c:pt>
                <c:pt idx="72">
                  <c:v>38.551863480119458</c:v>
                </c:pt>
                <c:pt idx="73">
                  <c:v>39.768174104037563</c:v>
                </c:pt>
                <c:pt idx="74">
                  <c:v>40.986241191422337</c:v>
                </c:pt>
                <c:pt idx="75">
                  <c:v>42.202083989237757</c:v>
                </c:pt>
                <c:pt idx="76">
                  <c:v>43.411355333478674</c:v>
                </c:pt>
                <c:pt idx="77">
                  <c:v>44.609332839653838</c:v>
                </c:pt>
                <c:pt idx="78">
                  <c:v>45.790912678533083</c:v>
                </c:pt>
                <c:pt idx="79">
                  <c:v>46.950606387724086</c:v>
                </c:pt>
                <c:pt idx="80">
                  <c:v>48.082541192091341</c:v>
                </c:pt>
                <c:pt idx="81">
                  <c:v>49.180464322830446</c:v>
                </c:pt>
                <c:pt idx="82">
                  <c:v>50.237751834666646</c:v>
                </c:pt>
                <c:pt idx="83">
                  <c:v>51.247422421525677</c:v>
                </c:pt>
                <c:pt idx="84">
                  <c:v>52.20215672144365</c:v>
                </c:pt>
                <c:pt idx="85">
                  <c:v>53.094322579713193</c:v>
                </c:pt>
                <c:pt idx="86">
                  <c:v>53.916006703610222</c:v>
                </c:pt>
                <c:pt idx="87">
                  <c:v>54.659053090905068</c:v>
                </c:pt>
                <c:pt idx="88">
                  <c:v>55.315108546306838</c:v>
                </c:pt>
                <c:pt idx="89">
                  <c:v>55.875675513857864</c:v>
                </c:pt>
                <c:pt idx="90">
                  <c:v>56.332172348296027</c:v>
                </c:pt>
                <c:pt idx="91">
                  <c:v>56.676001024214692</c:v>
                </c:pt>
                <c:pt idx="92">
                  <c:v>56.898622138752266</c:v>
                </c:pt>
                <c:pt idx="93">
                  <c:v>56.991636902489944</c:v>
                </c:pt>
                <c:pt idx="94">
                  <c:v>56.946875635997557</c:v>
                </c:pt>
                <c:pt idx="95">
                  <c:v>56.756492098668183</c:v>
                </c:pt>
                <c:pt idx="96">
                  <c:v>56.413062775690982</c:v>
                </c:pt>
                <c:pt idx="97">
                  <c:v>55.909690042752771</c:v>
                </c:pt>
                <c:pt idx="98">
                  <c:v>55.240107921782979</c:v>
                </c:pt>
                <c:pt idx="99">
                  <c:v>54.398788941088071</c:v>
                </c:pt>
                <c:pt idx="100">
                  <c:v>53.381050426628775</c:v>
                </c:pt>
                <c:pt idx="101">
                  <c:v>52.183158385584356</c:v>
                </c:pt>
                <c:pt idx="102">
                  <c:v>50.802427006659244</c:v>
                </c:pt>
                <c:pt idx="103">
                  <c:v>49.23731170174112</c:v>
                </c:pt>
                <c:pt idx="104">
                  <c:v>47.487493558099921</c:v>
                </c:pt>
                <c:pt idx="105">
                  <c:v>45.553953066165917</c:v>
                </c:pt>
                <c:pt idx="106">
                  <c:v>43.439031040735486</c:v>
                </c:pt>
                <c:pt idx="107">
                  <c:v>41.146474767363941</c:v>
                </c:pt>
                <c:pt idx="108">
                  <c:v>38.681467582930225</c:v>
                </c:pt>
                <c:pt idx="109">
                  <c:v>36.050640339850496</c:v>
                </c:pt>
                <c:pt idx="110">
                  <c:v>33.262063504645418</c:v>
                </c:pt>
                <c:pt idx="111">
                  <c:v>30.325218998372531</c:v>
                </c:pt>
                <c:pt idx="112">
                  <c:v>27.250951291034635</c:v>
                </c:pt>
                <c:pt idx="113">
                  <c:v>24.051397704198784</c:v>
                </c:pt>
                <c:pt idx="114">
                  <c:v>20.739898343231211</c:v>
                </c:pt>
                <c:pt idx="115">
                  <c:v>17.330886558522916</c:v>
                </c:pt>
                <c:pt idx="116">
                  <c:v>13.839761308371882</c:v>
                </c:pt>
                <c:pt idx="117">
                  <c:v>10.282743248763259</c:v>
                </c:pt>
                <c:pt idx="118">
                  <c:v>6.6767167912523719</c:v>
                </c:pt>
                <c:pt idx="119">
                  <c:v>3.0390607345182015</c:v>
                </c:pt>
                <c:pt idx="120">
                  <c:v>-0.61252962545761691</c:v>
                </c:pt>
                <c:pt idx="121">
                  <c:v>-4.2602257783081212</c:v>
                </c:pt>
                <c:pt idx="122">
                  <c:v>-7.8862514080127628</c:v>
                </c:pt>
                <c:pt idx="123">
                  <c:v>-11.473066610494287</c:v>
                </c:pt>
                <c:pt idx="124">
                  <c:v>-15.003547644330078</c:v>
                </c:pt>
                <c:pt idx="125">
                  <c:v>-18.461159068890137</c:v>
                </c:pt>
                <c:pt idx="126">
                  <c:v>-21.830115337728962</c:v>
                </c:pt>
                <c:pt idx="127">
                  <c:v>-25.095529203514413</c:v>
                </c:pt>
                <c:pt idx="128">
                  <c:v>-28.243544643013482</c:v>
                </c:pt>
                <c:pt idx="129">
                  <c:v>-31.261452413451185</c:v>
                </c:pt>
                <c:pt idx="130">
                  <c:v>-34.13778679028033</c:v>
                </c:pt>
                <c:pt idx="131">
                  <c:v>-36.862402495709524</c:v>
                </c:pt>
                <c:pt idx="132">
                  <c:v>-39.426531291888693</c:v>
                </c:pt>
                <c:pt idx="133">
                  <c:v>-41.822818167746426</c:v>
                </c:pt>
                <c:pt idx="134">
                  <c:v>-44.045337480648286</c:v>
                </c:pt>
                <c:pt idx="135">
                  <c:v>-46.089589811544315</c:v>
                </c:pt>
                <c:pt idx="136">
                  <c:v>-47.952480645415896</c:v>
                </c:pt>
                <c:pt idx="137">
                  <c:v>-49.632282290245136</c:v>
                </c:pt>
                <c:pt idx="138">
                  <c:v>-51.128580692442675</c:v>
                </c:pt>
                <c:pt idx="139">
                  <c:v>-52.442208992109954</c:v>
                </c:pt>
                <c:pt idx="140">
                  <c:v>-53.575169787367017</c:v>
                </c:pt>
                <c:pt idx="141">
                  <c:v>-54.530548144982433</c:v>
                </c:pt>
                <c:pt idx="142">
                  <c:v>-55.312417408203387</c:v>
                </c:pt>
                <c:pt idx="143">
                  <c:v>-55.925739816939938</c:v>
                </c:pt>
                <c:pt idx="144">
                  <c:v>-56.37626387632973</c:v>
                </c:pt>
                <c:pt idx="145">
                  <c:v>-56.670420293952191</c:v>
                </c:pt>
                <c:pt idx="146">
                  <c:v>-56.815218160715602</c:v>
                </c:pt>
                <c:pt idx="147">
                  <c:v>-56.818142882920554</c:v>
                </c:pt>
                <c:pt idx="148">
                  <c:v>-56.68705719023604</c:v>
                </c:pt>
                <c:pt idx="149">
                  <c:v>-56.430106352905028</c:v>
                </c:pt>
                <c:pt idx="150">
                  <c:v>-56.055628547436775</c:v>
                </c:pt>
                <c:pt idx="151">
                  <c:v>-55.572071118618943</c:v>
                </c:pt>
                <c:pt idx="152">
                  <c:v>-54.987913301385241</c:v>
                </c:pt>
                <c:pt idx="153">
                  <c:v>-54.311595792542789</c:v>
                </c:pt>
                <c:pt idx="154">
                  <c:v>-53.551457402427125</c:v>
                </c:pt>
                <c:pt idx="155">
                  <c:v>-52.715678872223954</c:v>
                </c:pt>
                <c:pt idx="156">
                  <c:v>-51.812233815263639</c:v>
                </c:pt>
                <c:pt idx="157">
                  <c:v>-50.848846630679255</c:v>
                </c:pt>
                <c:pt idx="158">
                  <c:v>-49.832957145467006</c:v>
                </c:pt>
                <c:pt idx="159">
                  <c:v>-48.771691665766028</c:v>
                </c:pt>
                <c:pt idx="160">
                  <c:v>-47.671840059263822</c:v>
                </c:pt>
                <c:pt idx="161">
                  <c:v>-46.539838446909805</c:v>
                </c:pt>
                <c:pt idx="162">
                  <c:v>-45.381757052257441</c:v>
                </c:pt>
                <c:pt idx="163">
                  <c:v>-44.203292739281977</c:v>
                </c:pt>
                <c:pt idx="164">
                  <c:v>-43.009765762902511</c:v>
                </c:pt>
                <c:pt idx="165">
                  <c:v>-41.806120259121606</c:v>
                </c:pt>
                <c:pt idx="166">
                  <c:v>-40.596928012167332</c:v>
                </c:pt>
                <c:pt idx="167">
                  <c:v>-39.386395052832746</c:v>
                </c:pt>
                <c:pt idx="168">
                  <c:v>-38.178370664009044</c:v>
                </c:pt>
                <c:pt idx="169">
                  <c:v>-36.976358394963945</c:v>
                </c:pt>
                <c:pt idx="170">
                  <c:v>-35.783528714122482</c:v>
                </c:pt>
                <c:pt idx="171">
                  <c:v>-34.602732959987989</c:v>
                </c:pt>
                <c:pt idx="172">
                  <c:v>-33.436518280557465</c:v>
                </c:pt>
                <c:pt idx="173">
                  <c:v>-32.287143282428353</c:v>
                </c:pt>
                <c:pt idx="174">
                  <c:v>-31.156594141175592</c:v>
                </c:pt>
                <c:pt idx="175">
                  <c:v>-30.046600954025244</c:v>
                </c:pt>
                <c:pt idx="176">
                  <c:v>-28.958654143998864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4E8D-459A-841F-BE1B280B18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9487760"/>
        <c:axId val="969487440"/>
        <c:extLst>
          <c:ext xmlns:c15="http://schemas.microsoft.com/office/drawing/2012/chart" uri="{02D57815-91ED-43cb-92C2-25804820EDAC}">
            <c15:filteredScatter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'New_removed_rate - bSIR'!$AI$7</c15:sqref>
                        </c15:formulaRef>
                      </c:ext>
                    </c:extLst>
                    <c:strCache>
                      <c:ptCount val="1"/>
                      <c:pt idx="0">
                        <c:v>selected region accel. data 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'New_removed_rate - bSIR'!$C$8:$C$184</c15:sqref>
                        </c15:formulaRef>
                      </c:ext>
                    </c:extLst>
                    <c:numCache>
                      <c:formatCode>General</c:formatCode>
                      <c:ptCount val="17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'New_removed_rate - bSIR'!$AI$8:$AI$184</c15:sqref>
                        </c15:formulaRef>
                      </c:ext>
                    </c:extLst>
                    <c:numCache>
                      <c:formatCode>0</c:formatCode>
                      <c:ptCount val="177"/>
                      <c:pt idx="56" formatCode="General">
                        <c:v>0</c:v>
                      </c:pt>
                      <c:pt idx="57" formatCode="General">
                        <c:v>0</c:v>
                      </c:pt>
                      <c:pt idx="58" formatCode="General">
                        <c:v>0</c:v>
                      </c:pt>
                      <c:pt idx="59" formatCode="General">
                        <c:v>4</c:v>
                      </c:pt>
                      <c:pt idx="60" formatCode="General">
                        <c:v>-4</c:v>
                      </c:pt>
                      <c:pt idx="61" formatCode="General">
                        <c:v>0</c:v>
                      </c:pt>
                      <c:pt idx="62" formatCode="General">
                        <c:v>1</c:v>
                      </c:pt>
                      <c:pt idx="63" formatCode="General">
                        <c:v>-1</c:v>
                      </c:pt>
                      <c:pt idx="64" formatCode="General">
                        <c:v>2</c:v>
                      </c:pt>
                      <c:pt idx="65" formatCode="General">
                        <c:v>-1</c:v>
                      </c:pt>
                      <c:pt idx="66" formatCode="General">
                        <c:v>0</c:v>
                      </c:pt>
                      <c:pt idx="67" formatCode="General">
                        <c:v>1</c:v>
                      </c:pt>
                      <c:pt idx="68" formatCode="General">
                        <c:v>-1</c:v>
                      </c:pt>
                      <c:pt idx="69" formatCode="General">
                        <c:v>0</c:v>
                      </c:pt>
                      <c:pt idx="70" formatCode="General">
                        <c:v>-1</c:v>
                      </c:pt>
                      <c:pt idx="71" formatCode="General">
                        <c:v>18</c:v>
                      </c:pt>
                      <c:pt idx="72" formatCode="General">
                        <c:v>-8</c:v>
                      </c:pt>
                      <c:pt idx="73" formatCode="General">
                        <c:v>28</c:v>
                      </c:pt>
                      <c:pt idx="74" formatCode="General">
                        <c:v>-51</c:v>
                      </c:pt>
                      <c:pt idx="75" formatCode="General">
                        <c:v>39</c:v>
                      </c:pt>
                      <c:pt idx="76" formatCode="General">
                        <c:v>-1</c:v>
                      </c:pt>
                      <c:pt idx="77" formatCode="General">
                        <c:v>1</c:v>
                      </c:pt>
                      <c:pt idx="78" formatCode="General">
                        <c:v>7</c:v>
                      </c:pt>
                      <c:pt idx="79" formatCode="General">
                        <c:v>11</c:v>
                      </c:pt>
                      <c:pt idx="80" formatCode="General">
                        <c:v>13</c:v>
                      </c:pt>
                      <c:pt idx="81" formatCode="General">
                        <c:v>-20</c:v>
                      </c:pt>
                      <c:pt idx="82" formatCode="General">
                        <c:v>20</c:v>
                      </c:pt>
                      <c:pt idx="83" formatCode="General">
                        <c:v>-4</c:v>
                      </c:pt>
                      <c:pt idx="84" formatCode="General">
                        <c:v>2</c:v>
                      </c:pt>
                      <c:pt idx="85" formatCode="General">
                        <c:v>6</c:v>
                      </c:pt>
                      <c:pt idx="86" formatCode="General">
                        <c:v>35</c:v>
                      </c:pt>
                      <c:pt idx="87" formatCode="General">
                        <c:v>4</c:v>
                      </c:pt>
                      <c:pt idx="88" formatCode="General">
                        <c:v>-39</c:v>
                      </c:pt>
                      <c:pt idx="89" formatCode="General">
                        <c:v>-24</c:v>
                      </c:pt>
                      <c:pt idx="90" formatCode="General">
                        <c:v>37</c:v>
                      </c:pt>
                      <c:pt idx="91" formatCode="General">
                        <c:v>33</c:v>
                      </c:pt>
                      <c:pt idx="92" formatCode="General">
                        <c:v>0</c:v>
                      </c:pt>
                      <c:pt idx="93" formatCode="General">
                        <c:v>-10</c:v>
                      </c:pt>
                      <c:pt idx="94" formatCode="General">
                        <c:v>-7</c:v>
                      </c:pt>
                      <c:pt idx="95" formatCode="General">
                        <c:v>-43</c:v>
                      </c:pt>
                      <c:pt idx="96" formatCode="General">
                        <c:v>29</c:v>
                      </c:pt>
                      <c:pt idx="97" formatCode="General">
                        <c:v>37</c:v>
                      </c:pt>
                      <c:pt idx="98" formatCode="General">
                        <c:v>3</c:v>
                      </c:pt>
                      <c:pt idx="99" formatCode="General">
                        <c:v>-10</c:v>
                      </c:pt>
                      <c:pt idx="100" formatCode="General">
                        <c:v>17</c:v>
                      </c:pt>
                      <c:pt idx="101" formatCode="General">
                        <c:v>30</c:v>
                      </c:pt>
                      <c:pt idx="102" formatCode="General">
                        <c:v>-35</c:v>
                      </c:pt>
                      <c:pt idx="103" formatCode="General">
                        <c:v>-48</c:v>
                      </c:pt>
                      <c:pt idx="104" formatCode="General">
                        <c:v>41</c:v>
                      </c:pt>
                      <c:pt idx="105" formatCode="General">
                        <c:v>19</c:v>
                      </c:pt>
                      <c:pt idx="106" formatCode="General">
                        <c:v>0</c:v>
                      </c:pt>
                      <c:pt idx="107" formatCode="General">
                        <c:v>-3</c:v>
                      </c:pt>
                      <c:pt idx="108" formatCode="General">
                        <c:v>33</c:v>
                      </c:pt>
                      <c:pt idx="109" formatCode="General">
                        <c:v>-11</c:v>
                      </c:pt>
                      <c:pt idx="110" formatCode="General">
                        <c:v>-14</c:v>
                      </c:pt>
                      <c:pt idx="111" formatCode="General">
                        <c:v>-7</c:v>
                      </c:pt>
                      <c:pt idx="112" formatCode="General">
                        <c:v>13</c:v>
                      </c:pt>
                      <c:pt idx="113" formatCode="General">
                        <c:v>0</c:v>
                      </c:pt>
                      <c:pt idx="114" formatCode="General">
                        <c:v>12</c:v>
                      </c:pt>
                      <c:pt idx="115" formatCode="General">
                        <c:v>-21</c:v>
                      </c:pt>
                      <c:pt idx="116" formatCode="General">
                        <c:v>8</c:v>
                      </c:pt>
                      <c:pt idx="117" formatCode="General">
                        <c:v>-86</c:v>
                      </c:pt>
                      <c:pt idx="118" formatCode="General">
                        <c:v>85</c:v>
                      </c:pt>
                      <c:pt idx="119" formatCode="General">
                        <c:v>-27</c:v>
                      </c:pt>
                      <c:pt idx="120" formatCode="General">
                        <c:v>17</c:v>
                      </c:pt>
                      <c:pt idx="121" formatCode="General">
                        <c:v>37</c:v>
                      </c:pt>
                      <c:pt idx="122" formatCode="General">
                        <c:v>-60</c:v>
                      </c:pt>
                      <c:pt idx="123" formatCode="General">
                        <c:v>-12</c:v>
                      </c:pt>
                      <c:pt idx="124" formatCode="General">
                        <c:v>2</c:v>
                      </c:pt>
                      <c:pt idx="125" formatCode="General">
                        <c:v>48</c:v>
                      </c:pt>
                      <c:pt idx="126" formatCode="General">
                        <c:v>53</c:v>
                      </c:pt>
                      <c:pt idx="127" formatCode="General">
                        <c:v>-45</c:v>
                      </c:pt>
                      <c:pt idx="128" formatCode="General">
                        <c:v>-2</c:v>
                      </c:pt>
                      <c:pt idx="129" formatCode="General">
                        <c:v>59</c:v>
                      </c:pt>
                      <c:pt idx="130" formatCode="General">
                        <c:v>-77</c:v>
                      </c:pt>
                      <c:pt idx="131" formatCode="General">
                        <c:v>-32</c:v>
                      </c:pt>
                      <c:pt idx="132" formatCode="General">
                        <c:v>-4</c:v>
                      </c:pt>
                      <c:pt idx="133" formatCode="General">
                        <c:v>32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4E8D-459A-841F-BE1B280B1827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'New_removed_rate - bSIR'!$AW$7</c15:sqref>
                        </c15:formulaRef>
                      </c:ext>
                    </c:extLst>
                    <c:strCache>
                      <c:ptCount val="1"/>
                      <c:pt idx="0">
                        <c:v>sel. region acc. fit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'New_removed_rate - bSIR'!$C$8:$C$184</c15:sqref>
                        </c15:formulaRef>
                      </c:ext>
                    </c:extLst>
                    <c:numCache>
                      <c:formatCode>General</c:formatCode>
                      <c:ptCount val="17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'New_removed_rate - bSIR'!$AW$8:$AW$184</c15:sqref>
                        </c15:formulaRef>
                      </c:ext>
                    </c:extLst>
                    <c:numCache>
                      <c:formatCode>General</c:formatCode>
                      <c:ptCount val="177"/>
                      <c:pt idx="0">
                        <c:v>4.1948790050871716E-2</c:v>
                      </c:pt>
                      <c:pt idx="1">
                        <c:v>4.4369095285325462E-2</c:v>
                      </c:pt>
                      <c:pt idx="2">
                        <c:v>4.692818780848261E-2</c:v>
                      </c:pt>
                      <c:pt idx="3">
                        <c:v>4.963392395525431E-2</c:v>
                      </c:pt>
                      <c:pt idx="4">
                        <c:v>5.2494592574241591E-2</c:v>
                      </c:pt>
                      <c:pt idx="5">
                        <c:v>5.5518937368665346E-2</c:v>
                      </c:pt>
                      <c:pt idx="6">
                        <c:v>5.8716180210843946E-2</c:v>
                      </c:pt>
                      <c:pt idx="7">
                        <c:v>6.2096045449329312E-2</c:v>
                      </c:pt>
                      <c:pt idx="8">
                        <c:v>6.5668785224670775E-2</c:v>
                      </c:pt>
                      <c:pt idx="9">
                        <c:v>6.9445205805981777E-2</c:v>
                      </c:pt>
                      <c:pt idx="10">
                        <c:v>7.3436694955954326E-2</c:v>
                      </c:pt>
                      <c:pt idx="11">
                        <c:v>7.7655250326601311E-2</c:v>
                      </c:pt>
                      <c:pt idx="12">
                        <c:v>8.2113508881697536E-2</c:v>
                      </c:pt>
                      <c:pt idx="13">
                        <c:v>8.6824777334523026E-2</c:v>
                      </c:pt>
                      <c:pt idx="14">
                        <c:v>9.1803063580955982E-2</c:v>
                      </c:pt>
                      <c:pt idx="15">
                        <c:v>9.7063109098061956E-2</c:v>
                      </c:pt>
                      <c:pt idx="16">
                        <c:v>0.10262042226694083</c:v>
                      </c:pt>
                      <c:pt idx="17">
                        <c:v>0.10849131256552814</c:v>
                      </c:pt>
                      <c:pt idx="18">
                        <c:v>0.11469292556212421</c:v>
                      </c:pt>
                      <c:pt idx="19">
                        <c:v>0.12124327862342667</c:v>
                      </c:pt>
                      <c:pt idx="20">
                        <c:v>0.12816129723154474</c:v>
                      </c:pt>
                      <c:pt idx="21">
                        <c:v>0.13546685178261539</c:v>
                      </c:pt>
                      <c:pt idx="22">
                        <c:v>0.14318079471497278</c:v>
                      </c:pt>
                      <c:pt idx="23">
                        <c:v>0.1513249977870246</c:v>
                      </c:pt>
                      <c:pt idx="24">
                        <c:v>0.15992238929376226</c:v>
                      </c:pt>
                      <c:pt idx="25">
                        <c:v>0.16899699097583565</c:v>
                      </c:pt>
                      <c:pt idx="26">
                        <c:v>0.17857395433598225</c:v>
                      </c:pt>
                      <c:pt idx="27">
                        <c:v>0.18867959603393983</c:v>
                      </c:pt>
                      <c:pt idx="28">
                        <c:v>0.199341431982381</c:v>
                      </c:pt>
                      <c:pt idx="29">
                        <c:v>0.2105882097124456</c:v>
                      </c:pt>
                      <c:pt idx="30">
                        <c:v>0.22244993851767075</c:v>
                      </c:pt>
                      <c:pt idx="31">
                        <c:v>0.2349579168190746</c:v>
                      </c:pt>
                      <c:pt idx="32">
                        <c:v>0.24814475612132583</c:v>
                      </c:pt>
                      <c:pt idx="33">
                        <c:v>0.26204440084988645</c:v>
                      </c:pt>
                      <c:pt idx="34">
                        <c:v>0.27669214327123492</c:v>
                      </c:pt>
                      <c:pt idx="35">
                        <c:v>0.2921246326023122</c:v>
                      </c:pt>
                      <c:pt idx="36">
                        <c:v>0.3083798773107097</c:v>
                      </c:pt>
                      <c:pt idx="37">
                        <c:v>0.32549723949347437</c:v>
                      </c:pt>
                      <c:pt idx="38">
                        <c:v>0.3435174200993148</c:v>
                      </c:pt>
                      <c:pt idx="39">
                        <c:v>0.36248243362625221</c:v>
                      </c:pt>
                      <c:pt idx="40">
                        <c:v>0.38243557078414425</c:v>
                      </c:pt>
                      <c:pt idx="41">
                        <c:v>0.40342134745898262</c:v>
                      </c:pt>
                      <c:pt idx="42">
                        <c:v>0.42548543815359452</c:v>
                      </c:pt>
                      <c:pt idx="43">
                        <c:v>0.44867459190763348</c:v>
                      </c:pt>
                      <c:pt idx="44">
                        <c:v>0.47303652851920797</c:v>
                      </c:pt>
                      <c:pt idx="45">
                        <c:v>0.49861981270200234</c:v>
                      </c:pt>
                      <c:pt idx="46">
                        <c:v>0.52547370361668477</c:v>
                      </c:pt>
                      <c:pt idx="47">
                        <c:v>0.55364797701541824</c:v>
                      </c:pt>
                      <c:pt idx="48">
                        <c:v>0.58319271703580589</c:v>
                      </c:pt>
                      <c:pt idx="49">
                        <c:v>0.61415807447843873</c:v>
                      </c:pt>
                      <c:pt idx="50">
                        <c:v>0.64659398820407143</c:v>
                      </c:pt>
                      <c:pt idx="51">
                        <c:v>0.68054986609683688</c:v>
                      </c:pt>
                      <c:pt idx="52">
                        <c:v>0.7160742218642383</c:v>
                      </c:pt>
                      <c:pt idx="53">
                        <c:v>0.75321426378953527</c:v>
                      </c:pt>
                      <c:pt idx="54">
                        <c:v>0.79201543142524244</c:v>
                      </c:pt>
                      <c:pt idx="55">
                        <c:v>0.83252087612702441</c:v>
                      </c:pt>
                      <c:pt idx="56">
                        <c:v>0.87477088128574398</c:v>
                      </c:pt>
                      <c:pt idx="57">
                        <c:v>0.91880221813413387</c:v>
                      </c:pt>
                      <c:pt idx="58">
                        <c:v>0.96464743309735701</c:v>
                      </c:pt>
                      <c:pt idx="59">
                        <c:v>1.0123340628393316</c:v>
                      </c:pt>
                      <c:pt idx="60">
                        <c:v>1.0618837734466655</c:v>
                      </c:pt>
                      <c:pt idx="61">
                        <c:v>1.113311420608865</c:v>
                      </c:pt>
                      <c:pt idx="62">
                        <c:v>1.1666240282182287</c:v>
                      </c:pt>
                      <c:pt idx="63">
                        <c:v>1.2218196835485331</c:v>
                      </c:pt>
                      <c:pt idx="64">
                        <c:v>1.2788863481023707</c:v>
                      </c:pt>
                      <c:pt idx="65">
                        <c:v>1.337800584368251</c:v>
                      </c:pt>
                      <c:pt idx="66">
                        <c:v>1.3985262001260073</c:v>
                      </c:pt>
                      <c:pt idx="67">
                        <c:v>1.4610128136082969</c:v>
                      </c:pt>
                      <c:pt idx="68">
                        <c:v>1.5251943447916014</c:v>
                      </c:pt>
                      <c:pt idx="69">
                        <c:v>1.5909874403741184</c:v>
                      </c:pt>
                      <c:pt idx="70">
                        <c:v>1.6582898426189518</c:v>
                      </c:pt>
                      <c:pt idx="71">
                        <c:v>1.7269787152120317</c:v>
                      </c:pt>
                      <c:pt idx="72">
                        <c:v>1.7969089426108789</c:v>
                      </c:pt>
                      <c:pt idx="73">
                        <c:v>1.867911423038596</c:v>
                      </c:pt>
                      <c:pt idx="74">
                        <c:v>1.9397913792908947</c:v>
                      </c:pt>
                      <c:pt idx="75">
                        <c:v>2.0123267158410321</c:v>
                      </c:pt>
                      <c:pt idx="76">
                        <c:v>2.0852664552983855</c:v>
                      </c:pt>
                      <c:pt idx="77">
                        <c:v>2.1583292920300545</c:v>
                      </c:pt>
                      <c:pt idx="78">
                        <c:v>2.2312023055958168</c:v>
                      </c:pt>
                      <c:pt idx="79">
                        <c:v>2.3035398814524379</c:v>
                      </c:pt>
                      <c:pt idx="80">
                        <c:v>2.3749628910013252</c:v>
                      </c:pt>
                      <c:pt idx="81">
                        <c:v>2.4450581873004396</c:v>
                      </c:pt>
                      <c:pt idx="82">
                        <c:v>2.5133784764218263</c:v>
                      </c:pt>
                      <c:pt idx="83">
                        <c:v>2.5794426272635764</c:v>
                      </c:pt>
                      <c:pt idx="84">
                        <c:v>2.6427364843449408</c:v>
                      </c:pt>
                      <c:pt idx="85">
                        <c:v>2.7027142484270259</c:v>
                      </c:pt>
                      <c:pt idx="86">
                        <c:v>2.7588004883948898</c:v>
                      </c:pt>
                      <c:pt idx="87">
                        <c:v>2.8103928443897095</c:v>
                      </c:pt>
                      <c:pt idx="88">
                        <c:v>2.8568654763796677</c:v>
                      </c:pt>
                      <c:pt idx="89">
                        <c:v>2.8975733039181355</c:v>
                      </c:pt>
                      <c:pt idx="90">
                        <c:v>2.9318570715141012</c:v>
                      </c:pt>
                      <c:pt idx="91">
                        <c:v>2.9590492596572449</c:v>
                      </c:pt>
                      <c:pt idx="92">
                        <c:v>2.9784808440142783</c:v>
                      </c:pt>
                      <c:pt idx="93">
                        <c:v>2.98948888467734</c:v>
                      </c:pt>
                      <c:pt idx="94">
                        <c:v>2.9914249037748388</c:v>
                      </c:pt>
                      <c:pt idx="95">
                        <c:v>2.9836639835902363</c:v>
                      </c:pt>
                      <c:pt idx="96">
                        <c:v>2.9656144890976019</c:v>
                      </c:pt>
                      <c:pt idx="97">
                        <c:v>2.9367282892310467</c:v>
                      </c:pt>
                      <c:pt idx="98">
                        <c:v>2.896511321170383</c:v>
                      </c:pt>
                      <c:pt idx="99">
                        <c:v>2.8445343125445799</c:v>
                      </c:pt>
                      <c:pt idx="100">
                        <c:v>2.7804434489868957</c:v>
                      </c:pt>
                      <c:pt idx="101">
                        <c:v>2.703970750301925</c:v>
                      </c:pt>
                      <c:pt idx="102">
                        <c:v>2.6149438990746545</c:v>
                      </c:pt>
                      <c:pt idx="103">
                        <c:v>2.5132952523139931</c:v>
                      </c:pt>
                      <c:pt idx="104">
                        <c:v>2.399069761044037</c:v>
                      </c:pt>
                      <c:pt idx="105">
                        <c:v>2.2724315258301364</c:v>
                      </c:pt>
                      <c:pt idx="106">
                        <c:v>2.1336687289812866</c:v>
                      </c:pt>
                      <c:pt idx="107">
                        <c:v>1.9831967071769225</c:v>
                      </c:pt>
                      <c:pt idx="108">
                        <c:v>1.821558961658561</c:v>
                      </c:pt>
                      <c:pt idx="109">
                        <c:v>1.6494259465391681</c:v>
                      </c:pt>
                      <c:pt idx="110">
                        <c:v>1.4675915283128365</c:v>
                      </c:pt>
                      <c:pt idx="111">
                        <c:v>1.2769670698494591</c:v>
                      </c:pt>
                      <c:pt idx="112">
                        <c:v>1.0785731580765308</c:v>
                      </c:pt>
                      <c:pt idx="113">
                        <c:v>0.87352906378303918</c:v>
                      </c:pt>
                      <c:pt idx="114">
                        <c:v>0.66304009178876544</c:v>
                      </c:pt>
                      <c:pt idx="115">
                        <c:v>0.44838304716464095</c:v>
                      </c:pt>
                      <c:pt idx="116">
                        <c:v>0.23089010528064008</c:v>
                      </c:pt>
                      <c:pt idx="117">
                        <c:v>1.1931427342773292E-2</c:v>
                      </c:pt>
                      <c:pt idx="118">
                        <c:v>-0.20710309379126185</c:v>
                      </c:pt>
                      <c:pt idx="119">
                        <c:v>-0.42482254244388157</c:v>
                      </c:pt>
                      <c:pt idx="120">
                        <c:v>-0.63985371256987456</c:v>
                      </c:pt>
                      <c:pt idx="121">
                        <c:v>-0.85085943197104918</c:v>
                      </c:pt>
                      <c:pt idx="122">
                        <c:v>-1.0565560607475155</c:v>
                      </c:pt>
                      <c:pt idx="123">
                        <c:v>-1.2557297752444989</c:v>
                      </c:pt>
                      <c:pt idx="124">
                        <c:v>-1.4472512905752037</c:v>
                      </c:pt>
                      <c:pt idx="125">
                        <c:v>-1.6300887276309644</c:v>
                      </c:pt>
                      <c:pt idx="126">
                        <c:v>-1.8033183918221578</c:v>
                      </c:pt>
                      <c:pt idx="127">
                        <c:v>-1.96613329779704</c:v>
                      </c:pt>
                      <c:pt idx="128">
                        <c:v>-2.1178493440813924</c:v>
                      </c:pt>
                      <c:pt idx="129">
                        <c:v>-2.2579091110150622</c:v>
                      </c:pt>
                      <c:pt idx="130">
                        <c:v>-2.385883321763373</c:v>
                      </c:pt>
                      <c:pt idx="131">
                        <c:v>-2.5014700671090577</c:v>
                      </c:pt>
                      <c:pt idx="132">
                        <c:v>-2.6044919481749416</c:v>
                      </c:pt>
                      <c:pt idx="133">
                        <c:v>-2.6948913356859658</c:v>
                      </c:pt>
                      <c:pt idx="134">
                        <c:v>-2.7727239788893381</c:v>
                      </c:pt>
                      <c:pt idx="135">
                        <c:v>-2.8381512213906799</c:v>
                      </c:pt>
                      <c:pt idx="136">
                        <c:v>-2.8914310950138722</c:v>
                      </c:pt>
                      <c:pt idx="137">
                        <c:v>-2.9329085668804824</c:v>
                      </c:pt>
                      <c:pt idx="138">
                        <c:v>-2.9630052101243458</c:v>
                      </c:pt>
                      <c:pt idx="139">
                        <c:v>-2.9822085561778575</c:v>
                      </c:pt>
                      <c:pt idx="140">
                        <c:v>-2.9910613677409921</c:v>
                      </c:pt>
                      <c:pt idx="141">
                        <c:v>-2.990151047815921</c:v>
                      </c:pt>
                      <c:pt idx="142">
                        <c:v>-2.980099373011988</c:v>
                      </c:pt>
                      <c:pt idx="143">
                        <c:v>-2.9615527100898942</c:v>
                      </c:pt>
                      <c:pt idx="144">
                        <c:v>-2.9351728446938523</c:v>
                      </c:pt>
                      <c:pt idx="145">
                        <c:v>-2.9016285215328468</c:v>
                      </c:pt>
                      <c:pt idx="146">
                        <c:v>-2.8615877668497598</c:v>
                      </c:pt>
                      <c:pt idx="147">
                        <c:v>-2.8157110375979064</c:v>
                      </c:pt>
                      <c:pt idx="148">
                        <c:v>-2.7646452178720398</c:v>
                      </c:pt>
                      <c:pt idx="149">
                        <c:v>-2.7090184621744871</c:v>
                      </c:pt>
                      <c:pt idx="150">
                        <c:v>-2.6494358672286391</c:v>
                      </c:pt>
                      <c:pt idx="151">
                        <c:v>-2.5864759393296657</c:v>
                      </c:pt>
                      <c:pt idx="152">
                        <c:v>-2.5206878125728109</c:v>
                      </c:pt>
                      <c:pt idx="153">
                        <c:v>-2.4525891645563878</c:v>
                      </c:pt>
                      <c:pt idx="154">
                        <c:v>-2.3826647700826173</c:v>
                      </c:pt>
                      <c:pt idx="155">
                        <c:v>-2.3113656296910601</c:v>
                      </c:pt>
                      <c:pt idx="156">
                        <c:v>-2.2391086082460463</c:v>
                      </c:pt>
                      <c:pt idx="157">
                        <c:v>-2.1662765189416278</c:v>
                      </c:pt>
                      <c:pt idx="158">
                        <c:v>-2.0932185896690498</c:v>
                      </c:pt>
                      <c:pt idx="159">
                        <c:v>-2.0202512514125712</c:v>
                      </c:pt>
                      <c:pt idx="160">
                        <c:v>-1.9476591919216502</c:v>
                      </c:pt>
                      <c:pt idx="161">
                        <c:v>-1.875696622101668</c:v>
                      </c:pt>
                      <c:pt idx="162">
                        <c:v>-1.8045887071524038</c:v>
                      </c:pt>
                      <c:pt idx="163">
                        <c:v>-1.734533119276652</c:v>
                      </c:pt>
                      <c:pt idx="164">
                        <c:v>-1.665701673624947</c:v>
                      </c:pt>
                      <c:pt idx="165">
                        <c:v>-1.5982420139106117</c:v>
                      </c:pt>
                      <c:pt idx="166">
                        <c:v>-1.5322793187239498</c:v>
                      </c:pt>
                      <c:pt idx="167">
                        <c:v>-1.4679180039218698</c:v>
                      </c:pt>
                      <c:pt idx="168">
                        <c:v>-1.4052434005175345</c:v>
                      </c:pt>
                      <c:pt idx="169">
                        <c:v>-1.3443233912104036</c:v>
                      </c:pt>
                      <c:pt idx="170">
                        <c:v>-1.2852099920624287</c:v>
                      </c:pt>
                      <c:pt idx="171">
                        <c:v>-1.2279408688357378</c:v>
                      </c:pt>
                      <c:pt idx="172">
                        <c:v>-1.172540780165733</c:v>
                      </c:pt>
                      <c:pt idx="173">
                        <c:v>-1.1190229420634421</c:v>
                      </c:pt>
                      <c:pt idx="174">
                        <c:v>-1.0673903102401472</c:v>
                      </c:pt>
                      <c:pt idx="175">
                        <c:v>-1.0176367784476921</c:v>
                      </c:pt>
                      <c:pt idx="176">
                        <c:v>-0.96974829245365457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4E8D-459A-841F-BE1B280B1827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'New_removed_rate - bSIR'!$BD$7</c15:sqref>
                        </c15:formulaRef>
                      </c:ext>
                    </c:extLst>
                    <c:strCache>
                      <c:ptCount val="1"/>
                      <c:pt idx="0">
                        <c:v>rest of Italy accel. data 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'New_removed_rate - bSIR'!$C$8:$C$184</c15:sqref>
                        </c15:formulaRef>
                      </c:ext>
                    </c:extLst>
                    <c:numCache>
                      <c:formatCode>General</c:formatCode>
                      <c:ptCount val="17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'New_removed_rate - bSIR'!$BD$8:$BD$184</c15:sqref>
                        </c15:formulaRef>
                      </c:ext>
                    </c:extLst>
                    <c:numCache>
                      <c:formatCode>0</c:formatCode>
                      <c:ptCount val="177"/>
                      <c:pt idx="56">
                        <c:v>1</c:v>
                      </c:pt>
                      <c:pt idx="57">
                        <c:v>43</c:v>
                      </c:pt>
                      <c:pt idx="58">
                        <c:v>-42</c:v>
                      </c:pt>
                      <c:pt idx="59">
                        <c:v>3</c:v>
                      </c:pt>
                      <c:pt idx="60">
                        <c:v>30</c:v>
                      </c:pt>
                      <c:pt idx="61">
                        <c:v>46</c:v>
                      </c:pt>
                      <c:pt idx="62">
                        <c:v>-47</c:v>
                      </c:pt>
                      <c:pt idx="63">
                        <c:v>107</c:v>
                      </c:pt>
                      <c:pt idx="64">
                        <c:v>33</c:v>
                      </c:pt>
                      <c:pt idx="65">
                        <c:v>-20</c:v>
                      </c:pt>
                      <c:pt idx="66">
                        <c:v>-56</c:v>
                      </c:pt>
                      <c:pt idx="67">
                        <c:v>63</c:v>
                      </c:pt>
                      <c:pt idx="68">
                        <c:v>34</c:v>
                      </c:pt>
                      <c:pt idx="69">
                        <c:v>249</c:v>
                      </c:pt>
                      <c:pt idx="70">
                        <c:v>-210</c:v>
                      </c:pt>
                      <c:pt idx="71">
                        <c:v>147</c:v>
                      </c:pt>
                      <c:pt idx="72">
                        <c:v>37</c:v>
                      </c:pt>
                      <c:pt idx="73">
                        <c:v>243</c:v>
                      </c:pt>
                      <c:pt idx="74">
                        <c:v>86</c:v>
                      </c:pt>
                      <c:pt idx="75">
                        <c:v>-13</c:v>
                      </c:pt>
                      <c:pt idx="76">
                        <c:v>-225</c:v>
                      </c:pt>
                      <c:pt idx="77">
                        <c:v>1021</c:v>
                      </c:pt>
                      <c:pt idx="78">
                        <c:v>-724</c:v>
                      </c:pt>
                      <c:pt idx="79">
                        <c:v>463</c:v>
                      </c:pt>
                      <c:pt idx="80">
                        <c:v>407</c:v>
                      </c:pt>
                      <c:pt idx="81">
                        <c:v>-113</c:v>
                      </c:pt>
                      <c:pt idx="82">
                        <c:v>-614</c:v>
                      </c:pt>
                      <c:pt idx="83">
                        <c:v>632</c:v>
                      </c:pt>
                      <c:pt idx="84">
                        <c:v>80</c:v>
                      </c:pt>
                      <c:pt idx="85">
                        <c:v>-64</c:v>
                      </c:pt>
                      <c:pt idx="86">
                        <c:v>-138</c:v>
                      </c:pt>
                      <c:pt idx="87">
                        <c:v>761</c:v>
                      </c:pt>
                      <c:pt idx="88">
                        <c:v>-882</c:v>
                      </c:pt>
                      <c:pt idx="89">
                        <c:v>1024</c:v>
                      </c:pt>
                      <c:pt idx="90">
                        <c:v>-493</c:v>
                      </c:pt>
                      <c:pt idx="91">
                        <c:v>-134</c:v>
                      </c:pt>
                      <c:pt idx="92">
                        <c:v>346</c:v>
                      </c:pt>
                      <c:pt idx="93">
                        <c:v>65</c:v>
                      </c:pt>
                      <c:pt idx="94">
                        <c:v>-320</c:v>
                      </c:pt>
                      <c:pt idx="95">
                        <c:v>-532</c:v>
                      </c:pt>
                      <c:pt idx="96">
                        <c:v>285</c:v>
                      </c:pt>
                      <c:pt idx="97">
                        <c:v>464</c:v>
                      </c:pt>
                      <c:pt idx="98">
                        <c:v>479</c:v>
                      </c:pt>
                      <c:pt idx="99">
                        <c:v>-42</c:v>
                      </c:pt>
                      <c:pt idx="100">
                        <c:v>-51</c:v>
                      </c:pt>
                      <c:pt idx="101">
                        <c:v>113</c:v>
                      </c:pt>
                      <c:pt idx="102">
                        <c:v>-555</c:v>
                      </c:pt>
                      <c:pt idx="103">
                        <c:v>-270</c:v>
                      </c:pt>
                      <c:pt idx="104">
                        <c:v>466</c:v>
                      </c:pt>
                      <c:pt idx="105">
                        <c:v>-776</c:v>
                      </c:pt>
                      <c:pt idx="106">
                        <c:v>1057</c:v>
                      </c:pt>
                      <c:pt idx="107">
                        <c:v>544</c:v>
                      </c:pt>
                      <c:pt idx="108">
                        <c:v>-489</c:v>
                      </c:pt>
                      <c:pt idx="109">
                        <c:v>-110</c:v>
                      </c:pt>
                      <c:pt idx="110">
                        <c:v>-271</c:v>
                      </c:pt>
                      <c:pt idx="111">
                        <c:v>988</c:v>
                      </c:pt>
                      <c:pt idx="112">
                        <c:v>110</c:v>
                      </c:pt>
                      <c:pt idx="113">
                        <c:v>117</c:v>
                      </c:pt>
                      <c:pt idx="114">
                        <c:v>-167</c:v>
                      </c:pt>
                      <c:pt idx="115">
                        <c:v>-284</c:v>
                      </c:pt>
                      <c:pt idx="116">
                        <c:v>-977</c:v>
                      </c:pt>
                      <c:pt idx="117">
                        <c:v>47</c:v>
                      </c:pt>
                      <c:pt idx="118">
                        <c:v>585</c:v>
                      </c:pt>
                      <c:pt idx="119">
                        <c:v>-38</c:v>
                      </c:pt>
                      <c:pt idx="120">
                        <c:v>2327</c:v>
                      </c:pt>
                      <c:pt idx="121">
                        <c:v>-2442</c:v>
                      </c:pt>
                      <c:pt idx="122">
                        <c:v>-374</c:v>
                      </c:pt>
                      <c:pt idx="123">
                        <c:v>-213</c:v>
                      </c:pt>
                      <c:pt idx="124">
                        <c:v>-496</c:v>
                      </c:pt>
                      <c:pt idx="125">
                        <c:v>1120</c:v>
                      </c:pt>
                      <c:pt idx="126">
                        <c:v>5742</c:v>
                      </c:pt>
                      <c:pt idx="127">
                        <c:v>-5033</c:v>
                      </c:pt>
                      <c:pt idx="128">
                        <c:v>-313</c:v>
                      </c:pt>
                      <c:pt idx="129">
                        <c:v>1153</c:v>
                      </c:pt>
                      <c:pt idx="130">
                        <c:v>-1805</c:v>
                      </c:pt>
                      <c:pt idx="131">
                        <c:v>-708</c:v>
                      </c:pt>
                      <c:pt idx="132">
                        <c:v>1048</c:v>
                      </c:pt>
                      <c:pt idx="133">
                        <c:v>1041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4E8D-459A-841F-BE1B280B1827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'New_removed_rate - bSIR'!$BR$7</c15:sqref>
                        </c15:formulaRef>
                      </c:ext>
                    </c:extLst>
                    <c:strCache>
                      <c:ptCount val="1"/>
                      <c:pt idx="0">
                        <c:v>rest of Italy acc. fit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'New_removed_rate - bSIR'!$C$8:$C$184</c15:sqref>
                        </c15:formulaRef>
                      </c:ext>
                    </c:extLst>
                    <c:numCache>
                      <c:formatCode>General</c:formatCode>
                      <c:ptCount val="17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'New_removed_rate - bSIR'!$BR$8:$BR$184</c15:sqref>
                        </c15:formulaRef>
                      </c:ext>
                    </c:extLst>
                    <c:numCache>
                      <c:formatCode>General</c:formatCode>
                      <c:ptCount val="177"/>
                      <c:pt idx="0">
                        <c:v>1.5454953242645648</c:v>
                      </c:pt>
                      <c:pt idx="1">
                        <c:v>1.6222476721304075</c:v>
                      </c:pt>
                      <c:pt idx="2">
                        <c:v>1.7027639425542054</c:v>
                      </c:pt>
                      <c:pt idx="3">
                        <c:v>1.7872238100423754</c:v>
                      </c:pt>
                      <c:pt idx="4">
                        <c:v>1.8758150190828169</c:v>
                      </c:pt>
                      <c:pt idx="5">
                        <c:v>1.9687336934101347</c:v>
                      </c:pt>
                      <c:pt idx="6">
                        <c:v>2.0661846512863402</c:v>
                      </c:pt>
                      <c:pt idx="7">
                        <c:v>2.1683817261786018</c:v>
                      </c:pt>
                      <c:pt idx="8">
                        <c:v>2.2755480920990521</c:v>
                      </c:pt>
                      <c:pt idx="9">
                        <c:v>2.3879165927418566</c:v>
                      </c:pt>
                      <c:pt idx="10">
                        <c:v>2.505730073408444</c:v>
                      </c:pt>
                      <c:pt idx="11">
                        <c:v>2.6292417145516875</c:v>
                      </c:pt>
                      <c:pt idx="12">
                        <c:v>2.7587153655927414</c:v>
                      </c:pt>
                      <c:pt idx="13">
                        <c:v>2.8944258774683385</c:v>
                      </c:pt>
                      <c:pt idx="14">
                        <c:v>3.0366594321503606</c:v>
                      </c:pt>
                      <c:pt idx="15">
                        <c:v>3.1857138671416148</c:v>
                      </c:pt>
                      <c:pt idx="16">
                        <c:v>3.3418989926903606</c:v>
                      </c:pt>
                      <c:pt idx="17">
                        <c:v>3.5055368991790932</c:v>
                      </c:pt>
                      <c:pt idx="18">
                        <c:v>3.6769622518289045</c:v>
                      </c:pt>
                      <c:pt idx="19">
                        <c:v>3.8565225695170917</c:v>
                      </c:pt>
                      <c:pt idx="20">
                        <c:v>4.0445784841307173</c:v>
                      </c:pt>
                      <c:pt idx="21">
                        <c:v>4.2415039764701339</c:v>
                      </c:pt>
                      <c:pt idx="22">
                        <c:v>4.4476865842723683</c:v>
                      </c:pt>
                      <c:pt idx="23">
                        <c:v>4.6635275774423102</c:v>
                      </c:pt>
                      <c:pt idx="24">
                        <c:v>4.889442095057551</c:v>
                      </c:pt>
                      <c:pt idx="25">
                        <c:v>5.12585923814874</c:v>
                      </c:pt>
                      <c:pt idx="26">
                        <c:v>5.3732221116494445</c:v>
                      </c:pt>
                      <c:pt idx="27">
                        <c:v>5.6319878082554675</c:v>
                      </c:pt>
                      <c:pt idx="28">
                        <c:v>5.9026273262321185</c:v>
                      </c:pt>
                      <c:pt idx="29">
                        <c:v>6.1856254124576928</c:v>
                      </c:pt>
                      <c:pt idx="30">
                        <c:v>6.4814803211910119</c:v>
                      </c:pt>
                      <c:pt idx="31">
                        <c:v>6.7907034781999105</c:v>
                      </c:pt>
                      <c:pt idx="32">
                        <c:v>7.1138190389860672</c:v>
                      </c:pt>
                      <c:pt idx="33">
                        <c:v>7.4513633288900651</c:v>
                      </c:pt>
                      <c:pt idx="34">
                        <c:v>7.8038841518603634</c:v>
                      </c:pt>
                      <c:pt idx="35">
                        <c:v>8.1719399536236015</c:v>
                      </c:pt>
                      <c:pt idx="36">
                        <c:v>8.5560988239048701</c:v>
                      </c:pt>
                      <c:pt idx="37">
                        <c:v>8.9569373212202237</c:v>
                      </c:pt>
                      <c:pt idx="38">
                        <c:v>9.3750391026060402</c:v>
                      </c:pt>
                      <c:pt idx="39">
                        <c:v>9.8109933394699631</c:v>
                      </c:pt>
                      <c:pt idx="40">
                        <c:v>10.265392899556206</c:v>
                      </c:pt>
                      <c:pt idx="41">
                        <c:v>10.73883227382666</c:v>
                      </c:pt>
                      <c:pt idx="42">
                        <c:v>11.231905225885587</c:v>
                      </c:pt>
                      <c:pt idx="43">
                        <c:v>11.745202140437272</c:v>
                      </c:pt>
                      <c:pt idx="44">
                        <c:v>12.279307046186617</c:v>
                      </c:pt>
                      <c:pt idx="45">
                        <c:v>12.834794287598125</c:v>
                      </c:pt>
                      <c:pt idx="46">
                        <c:v>13.412224819050797</c:v>
                      </c:pt>
                      <c:pt idx="47">
                        <c:v>14.012142094199872</c:v>
                      </c:pt>
                      <c:pt idx="48">
                        <c:v>14.635067522823874</c:v>
                      </c:pt>
                      <c:pt idx="49">
                        <c:v>15.281495467142294</c:v>
                      </c:pt>
                      <c:pt idx="50">
                        <c:v>15.95188774959006</c:v>
                      </c:pt>
                      <c:pt idx="51">
                        <c:v>16.646667644388224</c:v>
                      </c:pt>
                      <c:pt idx="52">
                        <c:v>17.366213326023175</c:v>
                      </c:pt>
                      <c:pt idx="53">
                        <c:v>18.110850749012808</c:v>
                      </c:pt>
                      <c:pt idx="54">
                        <c:v>18.880845935177788</c:v>
                      </c:pt>
                      <c:pt idx="55">
                        <c:v>19.676396647137146</c:v>
                      </c:pt>
                      <c:pt idx="56">
                        <c:v>20.4976234300063</c:v>
                      </c:pt>
                      <c:pt idx="57">
                        <c:v>21.344560007390971</c:v>
                      </c:pt>
                      <c:pt idx="58">
                        <c:v>22.217143022851229</c:v>
                      </c:pt>
                      <c:pt idx="59">
                        <c:v>23.115201124166838</c:v>
                      </c:pt>
                      <c:pt idx="60">
                        <c:v>24.038443395081597</c:v>
                      </c:pt>
                      <c:pt idx="61">
                        <c:v>24.9864471478562</c:v>
                      </c:pt>
                      <c:pt idx="62">
                        <c:v>25.958645100030246</c:v>
                      </c:pt>
                      <c:pt idx="63">
                        <c:v>26.954311970389295</c:v>
                      </c:pt>
                      <c:pt idx="64">
                        <c:v>27.972550542355116</c:v>
                      </c:pt>
                      <c:pt idx="65">
                        <c:v>29.01227725794822</c:v>
                      </c:pt>
                      <c:pt idx="66">
                        <c:v>30.072207422177748</c:v>
                      </c:pt>
                      <c:pt idx="67">
                        <c:v>31.150840116234452</c:v>
                      </c:pt>
                      <c:pt idx="68">
                        <c:v>32.246442938202271</c:v>
                      </c:pt>
                      <c:pt idx="69">
                        <c:v>33.357036712128298</c:v>
                      </c:pt>
                      <c:pt idx="70">
                        <c:v>34.480380330111082</c:v>
                      </c:pt>
                      <c:pt idx="71">
                        <c:v>35.613955917438581</c:v>
                      </c:pt>
                      <c:pt idx="72">
                        <c:v>36.754954537508581</c:v>
                      </c:pt>
                      <c:pt idx="73">
                        <c:v>37.900262680998964</c:v>
                      </c:pt>
                      <c:pt idx="74">
                        <c:v>39.046449812131442</c:v>
                      </c:pt>
                      <c:pt idx="75">
                        <c:v>40.189757273396722</c:v>
                      </c:pt>
                      <c:pt idx="76">
                        <c:v>41.326088878180286</c:v>
                      </c:pt>
                      <c:pt idx="77">
                        <c:v>42.451003547623785</c:v>
                      </c:pt>
                      <c:pt idx="78">
                        <c:v>43.559710372937268</c:v>
                      </c:pt>
                      <c:pt idx="79">
                        <c:v>44.647066506271649</c:v>
                      </c:pt>
                      <c:pt idx="80">
                        <c:v>45.707578301090017</c:v>
                      </c:pt>
                      <c:pt idx="81">
                        <c:v>46.735406135530006</c:v>
                      </c:pt>
                      <c:pt idx="82">
                        <c:v>47.724373358244819</c:v>
                      </c:pt>
                      <c:pt idx="83">
                        <c:v>48.667979794262102</c:v>
                      </c:pt>
                      <c:pt idx="84">
                        <c:v>49.559420237098706</c:v>
                      </c:pt>
                      <c:pt idx="85">
                        <c:v>50.391608331286164</c:v>
                      </c:pt>
                      <c:pt idx="86">
                        <c:v>51.157206215215332</c:v>
                      </c:pt>
                      <c:pt idx="87">
                        <c:v>51.848660246515358</c:v>
                      </c:pt>
                      <c:pt idx="88">
                        <c:v>52.458243069927171</c:v>
                      </c:pt>
                      <c:pt idx="89">
                        <c:v>52.978102209939728</c:v>
                      </c:pt>
                      <c:pt idx="90">
                        <c:v>53.400315276781924</c:v>
                      </c:pt>
                      <c:pt idx="91">
                        <c:v>53.71695176455745</c:v>
                      </c:pt>
                      <c:pt idx="92">
                        <c:v>53.920141294737988</c:v>
                      </c:pt>
                      <c:pt idx="93">
                        <c:v>54.002148017812601</c:v>
                      </c:pt>
                      <c:pt idx="94">
                        <c:v>53.955450732222715</c:v>
                      </c:pt>
                      <c:pt idx="95">
                        <c:v>53.772828115077949</c:v>
                      </c:pt>
                      <c:pt idx="96">
                        <c:v>53.447448286593378</c:v>
                      </c:pt>
                      <c:pt idx="97">
                        <c:v>52.972961753521723</c:v>
                      </c:pt>
                      <c:pt idx="98">
                        <c:v>52.343596600612592</c:v>
                      </c:pt>
                      <c:pt idx="99">
                        <c:v>51.55425462854349</c:v>
                      </c:pt>
                      <c:pt idx="100">
                        <c:v>50.600606977641881</c:v>
                      </c:pt>
                      <c:pt idx="101">
                        <c:v>49.479187635282429</c:v>
                      </c:pt>
                      <c:pt idx="102">
                        <c:v>48.18748310758459</c:v>
                      </c:pt>
                      <c:pt idx="103">
                        <c:v>46.724016449427126</c:v>
                      </c:pt>
                      <c:pt idx="104">
                        <c:v>45.088423797055881</c:v>
                      </c:pt>
                      <c:pt idx="105">
                        <c:v>43.281521540335781</c:v>
                      </c:pt>
                      <c:pt idx="106">
                        <c:v>41.305362311754202</c:v>
                      </c:pt>
                      <c:pt idx="107">
                        <c:v>39.163278060187018</c:v>
                      </c:pt>
                      <c:pt idx="108">
                        <c:v>36.859908621271664</c:v>
                      </c:pt>
                      <c:pt idx="109">
                        <c:v>34.401214393311328</c:v>
                      </c:pt>
                      <c:pt idx="110">
                        <c:v>31.794471976332584</c:v>
                      </c:pt>
                      <c:pt idx="111">
                        <c:v>29.048251928523072</c:v>
                      </c:pt>
                      <c:pt idx="112">
                        <c:v>26.172378132958105</c:v>
                      </c:pt>
                      <c:pt idx="113">
                        <c:v>23.177868640415745</c:v>
                      </c:pt>
                      <c:pt idx="114">
                        <c:v>20.076858251442445</c:v>
                      </c:pt>
                      <c:pt idx="115">
                        <c:v>16.882503511358276</c:v>
                      </c:pt>
                      <c:pt idx="116">
                        <c:v>13.608871203091242</c:v>
                      </c:pt>
                      <c:pt idx="117">
                        <c:v>10.270811821420486</c:v>
                      </c:pt>
                      <c:pt idx="118">
                        <c:v>6.8838198850436338</c:v>
                      </c:pt>
                      <c:pt idx="119">
                        <c:v>3.4638832769620831</c:v>
                      </c:pt>
                      <c:pt idx="120">
                        <c:v>2.7324087112257686E-2</c:v>
                      </c:pt>
                      <c:pt idx="121">
                        <c:v>-3.4093663463370718</c:v>
                      </c:pt>
                      <c:pt idx="122">
                        <c:v>-6.8296953472652477</c:v>
                      </c:pt>
                      <c:pt idx="123">
                        <c:v>-10.217336835249789</c:v>
                      </c:pt>
                      <c:pt idx="124">
                        <c:v>-13.556296353754874</c:v>
                      </c:pt>
                      <c:pt idx="125">
                        <c:v>-16.831070341259171</c:v>
                      </c:pt>
                      <c:pt idx="126">
                        <c:v>-20.026796945906806</c:v>
                      </c:pt>
                      <c:pt idx="127">
                        <c:v>-23.129395905717374</c:v>
                      </c:pt>
                      <c:pt idx="128">
                        <c:v>-26.12569529893209</c:v>
                      </c:pt>
                      <c:pt idx="129">
                        <c:v>-29.003543302436121</c:v>
                      </c:pt>
                      <c:pt idx="130">
                        <c:v>-31.751903468516961</c:v>
                      </c:pt>
                      <c:pt idx="131">
                        <c:v>-34.360932428600464</c:v>
                      </c:pt>
                      <c:pt idx="132">
                        <c:v>-36.822039343713755</c:v>
                      </c:pt>
                      <c:pt idx="133">
                        <c:v>-39.12792683206046</c:v>
                      </c:pt>
                      <c:pt idx="134">
                        <c:v>-41.272613501758947</c:v>
                      </c:pt>
                      <c:pt idx="135">
                        <c:v>-43.251438590153633</c:v>
                      </c:pt>
                      <c:pt idx="136">
                        <c:v>-45.061049550402025</c:v>
                      </c:pt>
                      <c:pt idx="137">
                        <c:v>-46.699373723364651</c:v>
                      </c:pt>
                      <c:pt idx="138">
                        <c:v>-48.165575482318332</c:v>
                      </c:pt>
                      <c:pt idx="139">
                        <c:v>-49.460000435932095</c:v>
                      </c:pt>
                      <c:pt idx="140">
                        <c:v>-50.584108419626027</c:v>
                      </c:pt>
                      <c:pt idx="141">
                        <c:v>-51.540397097166512</c:v>
                      </c:pt>
                      <c:pt idx="142">
                        <c:v>-52.332318035191399</c:v>
                      </c:pt>
                      <c:pt idx="143">
                        <c:v>-52.964187106850041</c:v>
                      </c:pt>
                      <c:pt idx="144">
                        <c:v>-53.441091031635878</c:v>
                      </c:pt>
                      <c:pt idx="145">
                        <c:v>-53.768791772419341</c:v>
                      </c:pt>
                      <c:pt idx="146">
                        <c:v>-53.953630393865843</c:v>
                      </c:pt>
                      <c:pt idx="147">
                        <c:v>-54.002431845322647</c:v>
                      </c:pt>
                      <c:pt idx="148">
                        <c:v>-53.922411972364003</c:v>
                      </c:pt>
                      <c:pt idx="149">
                        <c:v>-53.721087890730544</c:v>
                      </c:pt>
                      <c:pt idx="150">
                        <c:v>-53.406192680208136</c:v>
                      </c:pt>
                      <c:pt idx="151">
                        <c:v>-52.985595179289277</c:v>
                      </c:pt>
                      <c:pt idx="152">
                        <c:v>-52.467225488812431</c:v>
                      </c:pt>
                      <c:pt idx="153">
                        <c:v>-51.859006627986403</c:v>
                      </c:pt>
                      <c:pt idx="154">
                        <c:v>-51.168792632344505</c:v>
                      </c:pt>
                      <c:pt idx="155">
                        <c:v>-50.404313242532893</c:v>
                      </c:pt>
                      <c:pt idx="156">
                        <c:v>-49.57312520701759</c:v>
                      </c:pt>
                      <c:pt idx="157">
                        <c:v>-48.682570111737625</c:v>
                      </c:pt>
                      <c:pt idx="158">
                        <c:v>-47.739738555797956</c:v>
                      </c:pt>
                      <c:pt idx="159">
                        <c:v>-46.751440414353453</c:v>
                      </c:pt>
                      <c:pt idx="160">
                        <c:v>-45.72418086734217</c:v>
                      </c:pt>
                      <c:pt idx="161">
                        <c:v>-44.664141824808134</c:v>
                      </c:pt>
                      <c:pt idx="162">
                        <c:v>-43.577168345105036</c:v>
                      </c:pt>
                      <c:pt idx="163">
                        <c:v>-42.468759620005322</c:v>
                      </c:pt>
                      <c:pt idx="164">
                        <c:v>-41.344064089277566</c:v>
                      </c:pt>
                      <c:pt idx="165">
                        <c:v>-40.207878245210992</c:v>
                      </c:pt>
                      <c:pt idx="166">
                        <c:v>-39.064648693443381</c:v>
                      </c:pt>
                      <c:pt idx="167">
                        <c:v>-37.91847704891088</c:v>
                      </c:pt>
                      <c:pt idx="168">
                        <c:v>-36.77312726349151</c:v>
                      </c:pt>
                      <c:pt idx="169">
                        <c:v>-35.632035003753543</c:v>
                      </c:pt>
                      <c:pt idx="170">
                        <c:v>-34.498318722060056</c:v>
                      </c:pt>
                      <c:pt idx="171">
                        <c:v>-33.374792091152251</c:v>
                      </c:pt>
                      <c:pt idx="172">
                        <c:v>-32.263977500391732</c:v>
                      </c:pt>
                      <c:pt idx="173">
                        <c:v>-31.168120340364908</c:v>
                      </c:pt>
                      <c:pt idx="174">
                        <c:v>-30.089203830935446</c:v>
                      </c:pt>
                      <c:pt idx="175">
                        <c:v>-29.028964175577553</c:v>
                      </c:pt>
                      <c:pt idx="176">
                        <c:v>-27.988905851545208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4E8D-459A-841F-BE1B280B1827}"/>
                  </c:ext>
                </c:extLst>
              </c15:ser>
            </c15:filteredScatterSeries>
          </c:ext>
        </c:extLst>
      </c:scatterChart>
      <c:valAx>
        <c:axId val="9694877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Days from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69487440"/>
        <c:crosses val="autoZero"/>
        <c:crossBetween val="midCat"/>
      </c:valAx>
      <c:valAx>
        <c:axId val="969487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Rate of new removals</a:t>
                </a:r>
                <a:r>
                  <a:rPr lang="it-IT" baseline="0"/>
                  <a:t> </a:t>
                </a:r>
                <a:r>
                  <a:rPr lang="it-IT"/>
                  <a:t>per day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694877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1399713820119715"/>
          <c:y val="0.377933419424057"/>
          <c:w val="0.25718062167529426"/>
          <c:h val="0.11497362823314093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>
                <a:solidFill>
                  <a:srgbClr val="00B050"/>
                </a:solidFill>
              </a:rPr>
              <a:t>Italy - rate of new removals per day (acceleration) - basic SIR</a:t>
            </a:r>
          </a:p>
          <a:p>
            <a:pPr>
              <a:defRPr/>
            </a:pPr>
            <a:r>
              <a:rPr lang="it-IT">
                <a:solidFill>
                  <a:srgbClr val="00B050"/>
                </a:solidFill>
              </a:rPr>
              <a:t>Italy regions outside the selected region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5"/>
          <c:order val="5"/>
          <c:tx>
            <c:strRef>
              <c:f>'New_removed_rate - bSIR'!$BD$7</c:f>
              <c:strCache>
                <c:ptCount val="1"/>
                <c:pt idx="0">
                  <c:v>rest of Italy accel. data 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'New_removed_rate - bSIR'!$C$8:$C$184</c:f>
              <c:numCache>
                <c:formatCode>General</c:formatCode>
                <c:ptCount val="17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</c:numCache>
              <c:extLst xmlns:c15="http://schemas.microsoft.com/office/drawing/2012/chart"/>
            </c:numRef>
          </c:xVal>
          <c:yVal>
            <c:numRef>
              <c:f>'New_removed_rate - bSIR'!$BD$8:$BD$184</c:f>
              <c:numCache>
                <c:formatCode>0</c:formatCode>
                <c:ptCount val="177"/>
                <c:pt idx="56">
                  <c:v>1</c:v>
                </c:pt>
                <c:pt idx="57">
                  <c:v>43</c:v>
                </c:pt>
                <c:pt idx="58">
                  <c:v>-42</c:v>
                </c:pt>
                <c:pt idx="59">
                  <c:v>3</c:v>
                </c:pt>
                <c:pt idx="60">
                  <c:v>30</c:v>
                </c:pt>
                <c:pt idx="61">
                  <c:v>46</c:v>
                </c:pt>
                <c:pt idx="62">
                  <c:v>-47</c:v>
                </c:pt>
                <c:pt idx="63">
                  <c:v>107</c:v>
                </c:pt>
                <c:pt idx="64">
                  <c:v>33</c:v>
                </c:pt>
                <c:pt idx="65">
                  <c:v>-20</c:v>
                </c:pt>
                <c:pt idx="66">
                  <c:v>-56</c:v>
                </c:pt>
                <c:pt idx="67">
                  <c:v>63</c:v>
                </c:pt>
                <c:pt idx="68">
                  <c:v>34</c:v>
                </c:pt>
                <c:pt idx="69">
                  <c:v>249</c:v>
                </c:pt>
                <c:pt idx="70">
                  <c:v>-210</c:v>
                </c:pt>
                <c:pt idx="71">
                  <c:v>147</c:v>
                </c:pt>
                <c:pt idx="72">
                  <c:v>37</c:v>
                </c:pt>
                <c:pt idx="73">
                  <c:v>243</c:v>
                </c:pt>
                <c:pt idx="74">
                  <c:v>86</c:v>
                </c:pt>
                <c:pt idx="75">
                  <c:v>-13</c:v>
                </c:pt>
                <c:pt idx="76">
                  <c:v>-225</c:v>
                </c:pt>
                <c:pt idx="77">
                  <c:v>1021</c:v>
                </c:pt>
                <c:pt idx="78">
                  <c:v>-724</c:v>
                </c:pt>
                <c:pt idx="79">
                  <c:v>463</c:v>
                </c:pt>
                <c:pt idx="80">
                  <c:v>407</c:v>
                </c:pt>
                <c:pt idx="81">
                  <c:v>-113</c:v>
                </c:pt>
                <c:pt idx="82">
                  <c:v>-614</c:v>
                </c:pt>
                <c:pt idx="83">
                  <c:v>632</c:v>
                </c:pt>
                <c:pt idx="84">
                  <c:v>80</c:v>
                </c:pt>
                <c:pt idx="85">
                  <c:v>-64</c:v>
                </c:pt>
                <c:pt idx="86">
                  <c:v>-138</c:v>
                </c:pt>
                <c:pt idx="87">
                  <c:v>761</c:v>
                </c:pt>
                <c:pt idx="88">
                  <c:v>-882</c:v>
                </c:pt>
                <c:pt idx="89">
                  <c:v>1024</c:v>
                </c:pt>
                <c:pt idx="90">
                  <c:v>-493</c:v>
                </c:pt>
                <c:pt idx="91">
                  <c:v>-134</c:v>
                </c:pt>
                <c:pt idx="92">
                  <c:v>346</c:v>
                </c:pt>
                <c:pt idx="93">
                  <c:v>65</c:v>
                </c:pt>
                <c:pt idx="94">
                  <c:v>-320</c:v>
                </c:pt>
                <c:pt idx="95">
                  <c:v>-532</c:v>
                </c:pt>
                <c:pt idx="96">
                  <c:v>285</c:v>
                </c:pt>
                <c:pt idx="97">
                  <c:v>464</c:v>
                </c:pt>
                <c:pt idx="98">
                  <c:v>479</c:v>
                </c:pt>
                <c:pt idx="99">
                  <c:v>-42</c:v>
                </c:pt>
                <c:pt idx="100">
                  <c:v>-51</c:v>
                </c:pt>
                <c:pt idx="101">
                  <c:v>113</c:v>
                </c:pt>
                <c:pt idx="102">
                  <c:v>-555</c:v>
                </c:pt>
                <c:pt idx="103">
                  <c:v>-270</c:v>
                </c:pt>
                <c:pt idx="104">
                  <c:v>466</c:v>
                </c:pt>
                <c:pt idx="105">
                  <c:v>-776</c:v>
                </c:pt>
                <c:pt idx="106">
                  <c:v>1057</c:v>
                </c:pt>
                <c:pt idx="107">
                  <c:v>544</c:v>
                </c:pt>
                <c:pt idx="108">
                  <c:v>-489</c:v>
                </c:pt>
                <c:pt idx="109">
                  <c:v>-110</c:v>
                </c:pt>
                <c:pt idx="110">
                  <c:v>-271</c:v>
                </c:pt>
                <c:pt idx="111">
                  <c:v>988</c:v>
                </c:pt>
                <c:pt idx="112">
                  <c:v>110</c:v>
                </c:pt>
                <c:pt idx="113">
                  <c:v>117</c:v>
                </c:pt>
                <c:pt idx="114">
                  <c:v>-167</c:v>
                </c:pt>
                <c:pt idx="115">
                  <c:v>-284</c:v>
                </c:pt>
                <c:pt idx="116">
                  <c:v>-977</c:v>
                </c:pt>
                <c:pt idx="117">
                  <c:v>47</c:v>
                </c:pt>
                <c:pt idx="118">
                  <c:v>585</c:v>
                </c:pt>
                <c:pt idx="119">
                  <c:v>-38</c:v>
                </c:pt>
                <c:pt idx="120">
                  <c:v>2327</c:v>
                </c:pt>
                <c:pt idx="121">
                  <c:v>-2442</c:v>
                </c:pt>
                <c:pt idx="122">
                  <c:v>-374</c:v>
                </c:pt>
                <c:pt idx="123">
                  <c:v>-213</c:v>
                </c:pt>
                <c:pt idx="124">
                  <c:v>-496</c:v>
                </c:pt>
                <c:pt idx="125">
                  <c:v>1120</c:v>
                </c:pt>
                <c:pt idx="126">
                  <c:v>5742</c:v>
                </c:pt>
                <c:pt idx="127">
                  <c:v>-5033</c:v>
                </c:pt>
                <c:pt idx="128">
                  <c:v>-313</c:v>
                </c:pt>
                <c:pt idx="129">
                  <c:v>1153</c:v>
                </c:pt>
                <c:pt idx="130">
                  <c:v>-1805</c:v>
                </c:pt>
                <c:pt idx="131">
                  <c:v>-708</c:v>
                </c:pt>
                <c:pt idx="132">
                  <c:v>1048</c:v>
                </c:pt>
                <c:pt idx="133">
                  <c:v>1041</c:v>
                </c:pt>
              </c:numCache>
              <c:extLst xmlns:c15="http://schemas.microsoft.com/office/drawing/2012/chart"/>
            </c:numRef>
          </c:yVal>
          <c:smooth val="1"/>
          <c:extLst>
            <c:ext xmlns:c16="http://schemas.microsoft.com/office/drawing/2014/chart" uri="{C3380CC4-5D6E-409C-BE32-E72D297353CC}">
              <c16:uniqueId val="{00000005-2C00-4C28-951D-B4BE550B5B7A}"/>
            </c:ext>
          </c:extLst>
        </c:ser>
        <c:ser>
          <c:idx val="6"/>
          <c:order val="6"/>
          <c:tx>
            <c:strRef>
              <c:f>'New_removed_rate - bSIR'!$BR$7</c:f>
              <c:strCache>
                <c:ptCount val="1"/>
                <c:pt idx="0">
                  <c:v>rest of Italy acc. fit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'New_removed_rate - bSIR'!$C$8:$C$184</c:f>
              <c:numCache>
                <c:formatCode>General</c:formatCode>
                <c:ptCount val="17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</c:numCache>
              <c:extLst xmlns:c15="http://schemas.microsoft.com/office/drawing/2012/chart"/>
            </c:numRef>
          </c:xVal>
          <c:yVal>
            <c:numRef>
              <c:f>'New_removed_rate - bSIR'!$BR$8:$BR$184</c:f>
              <c:numCache>
                <c:formatCode>General</c:formatCode>
                <c:ptCount val="177"/>
                <c:pt idx="0">
                  <c:v>1.5454953242645648</c:v>
                </c:pt>
                <c:pt idx="1">
                  <c:v>1.6222476721304075</c:v>
                </c:pt>
                <c:pt idx="2">
                  <c:v>1.7027639425542054</c:v>
                </c:pt>
                <c:pt idx="3">
                  <c:v>1.7872238100423754</c:v>
                </c:pt>
                <c:pt idx="4">
                  <c:v>1.8758150190828169</c:v>
                </c:pt>
                <c:pt idx="5">
                  <c:v>1.9687336934101347</c:v>
                </c:pt>
                <c:pt idx="6">
                  <c:v>2.0661846512863402</c:v>
                </c:pt>
                <c:pt idx="7">
                  <c:v>2.1683817261786018</c:v>
                </c:pt>
                <c:pt idx="8">
                  <c:v>2.2755480920990521</c:v>
                </c:pt>
                <c:pt idx="9">
                  <c:v>2.3879165927418566</c:v>
                </c:pt>
                <c:pt idx="10">
                  <c:v>2.505730073408444</c:v>
                </c:pt>
                <c:pt idx="11">
                  <c:v>2.6292417145516875</c:v>
                </c:pt>
                <c:pt idx="12">
                  <c:v>2.7587153655927414</c:v>
                </c:pt>
                <c:pt idx="13">
                  <c:v>2.8944258774683385</c:v>
                </c:pt>
                <c:pt idx="14">
                  <c:v>3.0366594321503606</c:v>
                </c:pt>
                <c:pt idx="15">
                  <c:v>3.1857138671416148</c:v>
                </c:pt>
                <c:pt idx="16">
                  <c:v>3.3418989926903606</c:v>
                </c:pt>
                <c:pt idx="17">
                  <c:v>3.5055368991790932</c:v>
                </c:pt>
                <c:pt idx="18">
                  <c:v>3.6769622518289045</c:v>
                </c:pt>
                <c:pt idx="19">
                  <c:v>3.8565225695170917</c:v>
                </c:pt>
                <c:pt idx="20">
                  <c:v>4.0445784841307173</c:v>
                </c:pt>
                <c:pt idx="21">
                  <c:v>4.2415039764701339</c:v>
                </c:pt>
                <c:pt idx="22">
                  <c:v>4.4476865842723683</c:v>
                </c:pt>
                <c:pt idx="23">
                  <c:v>4.6635275774423102</c:v>
                </c:pt>
                <c:pt idx="24">
                  <c:v>4.889442095057551</c:v>
                </c:pt>
                <c:pt idx="25">
                  <c:v>5.12585923814874</c:v>
                </c:pt>
                <c:pt idx="26">
                  <c:v>5.3732221116494445</c:v>
                </c:pt>
                <c:pt idx="27">
                  <c:v>5.6319878082554675</c:v>
                </c:pt>
                <c:pt idx="28">
                  <c:v>5.9026273262321185</c:v>
                </c:pt>
                <c:pt idx="29">
                  <c:v>6.1856254124576928</c:v>
                </c:pt>
                <c:pt idx="30">
                  <c:v>6.4814803211910119</c:v>
                </c:pt>
                <c:pt idx="31">
                  <c:v>6.7907034781999105</c:v>
                </c:pt>
                <c:pt idx="32">
                  <c:v>7.1138190389860672</c:v>
                </c:pt>
                <c:pt idx="33">
                  <c:v>7.4513633288900651</c:v>
                </c:pt>
                <c:pt idx="34">
                  <c:v>7.8038841518603634</c:v>
                </c:pt>
                <c:pt idx="35">
                  <c:v>8.1719399536236015</c:v>
                </c:pt>
                <c:pt idx="36">
                  <c:v>8.5560988239048701</c:v>
                </c:pt>
                <c:pt idx="37">
                  <c:v>8.9569373212202237</c:v>
                </c:pt>
                <c:pt idx="38">
                  <c:v>9.3750391026060402</c:v>
                </c:pt>
                <c:pt idx="39">
                  <c:v>9.8109933394699631</c:v>
                </c:pt>
                <c:pt idx="40">
                  <c:v>10.265392899556206</c:v>
                </c:pt>
                <c:pt idx="41">
                  <c:v>10.73883227382666</c:v>
                </c:pt>
                <c:pt idx="42">
                  <c:v>11.231905225885587</c:v>
                </c:pt>
                <c:pt idx="43">
                  <c:v>11.745202140437272</c:v>
                </c:pt>
                <c:pt idx="44">
                  <c:v>12.279307046186617</c:v>
                </c:pt>
                <c:pt idx="45">
                  <c:v>12.834794287598125</c:v>
                </c:pt>
                <c:pt idx="46">
                  <c:v>13.412224819050797</c:v>
                </c:pt>
                <c:pt idx="47">
                  <c:v>14.012142094199872</c:v>
                </c:pt>
                <c:pt idx="48">
                  <c:v>14.635067522823874</c:v>
                </c:pt>
                <c:pt idx="49">
                  <c:v>15.281495467142294</c:v>
                </c:pt>
                <c:pt idx="50">
                  <c:v>15.95188774959006</c:v>
                </c:pt>
                <c:pt idx="51">
                  <c:v>16.646667644388224</c:v>
                </c:pt>
                <c:pt idx="52">
                  <c:v>17.366213326023175</c:v>
                </c:pt>
                <c:pt idx="53">
                  <c:v>18.110850749012808</c:v>
                </c:pt>
                <c:pt idx="54">
                  <c:v>18.880845935177788</c:v>
                </c:pt>
                <c:pt idx="55">
                  <c:v>19.676396647137146</c:v>
                </c:pt>
                <c:pt idx="56">
                  <c:v>20.4976234300063</c:v>
                </c:pt>
                <c:pt idx="57">
                  <c:v>21.344560007390971</c:v>
                </c:pt>
                <c:pt idx="58">
                  <c:v>22.217143022851229</c:v>
                </c:pt>
                <c:pt idx="59">
                  <c:v>23.115201124166838</c:v>
                </c:pt>
                <c:pt idx="60">
                  <c:v>24.038443395081597</c:v>
                </c:pt>
                <c:pt idx="61">
                  <c:v>24.9864471478562</c:v>
                </c:pt>
                <c:pt idx="62">
                  <c:v>25.958645100030246</c:v>
                </c:pt>
                <c:pt idx="63">
                  <c:v>26.954311970389295</c:v>
                </c:pt>
                <c:pt idx="64">
                  <c:v>27.972550542355116</c:v>
                </c:pt>
                <c:pt idx="65">
                  <c:v>29.01227725794822</c:v>
                </c:pt>
                <c:pt idx="66">
                  <c:v>30.072207422177748</c:v>
                </c:pt>
                <c:pt idx="67">
                  <c:v>31.150840116234452</c:v>
                </c:pt>
                <c:pt idx="68">
                  <c:v>32.246442938202271</c:v>
                </c:pt>
                <c:pt idx="69">
                  <c:v>33.357036712128298</c:v>
                </c:pt>
                <c:pt idx="70">
                  <c:v>34.480380330111082</c:v>
                </c:pt>
                <c:pt idx="71">
                  <c:v>35.613955917438581</c:v>
                </c:pt>
                <c:pt idx="72">
                  <c:v>36.754954537508581</c:v>
                </c:pt>
                <c:pt idx="73">
                  <c:v>37.900262680998964</c:v>
                </c:pt>
                <c:pt idx="74">
                  <c:v>39.046449812131442</c:v>
                </c:pt>
                <c:pt idx="75">
                  <c:v>40.189757273396722</c:v>
                </c:pt>
                <c:pt idx="76">
                  <c:v>41.326088878180286</c:v>
                </c:pt>
                <c:pt idx="77">
                  <c:v>42.451003547623785</c:v>
                </c:pt>
                <c:pt idx="78">
                  <c:v>43.559710372937268</c:v>
                </c:pt>
                <c:pt idx="79">
                  <c:v>44.647066506271649</c:v>
                </c:pt>
                <c:pt idx="80">
                  <c:v>45.707578301090017</c:v>
                </c:pt>
                <c:pt idx="81">
                  <c:v>46.735406135530006</c:v>
                </c:pt>
                <c:pt idx="82">
                  <c:v>47.724373358244819</c:v>
                </c:pt>
                <c:pt idx="83">
                  <c:v>48.667979794262102</c:v>
                </c:pt>
                <c:pt idx="84">
                  <c:v>49.559420237098706</c:v>
                </c:pt>
                <c:pt idx="85">
                  <c:v>50.391608331286164</c:v>
                </c:pt>
                <c:pt idx="86">
                  <c:v>51.157206215215332</c:v>
                </c:pt>
                <c:pt idx="87">
                  <c:v>51.848660246515358</c:v>
                </c:pt>
                <c:pt idx="88">
                  <c:v>52.458243069927171</c:v>
                </c:pt>
                <c:pt idx="89">
                  <c:v>52.978102209939728</c:v>
                </c:pt>
                <c:pt idx="90">
                  <c:v>53.400315276781924</c:v>
                </c:pt>
                <c:pt idx="91">
                  <c:v>53.71695176455745</c:v>
                </c:pt>
                <c:pt idx="92">
                  <c:v>53.920141294737988</c:v>
                </c:pt>
                <c:pt idx="93">
                  <c:v>54.002148017812601</c:v>
                </c:pt>
                <c:pt idx="94">
                  <c:v>53.955450732222715</c:v>
                </c:pt>
                <c:pt idx="95">
                  <c:v>53.772828115077949</c:v>
                </c:pt>
                <c:pt idx="96">
                  <c:v>53.447448286593378</c:v>
                </c:pt>
                <c:pt idx="97">
                  <c:v>52.972961753521723</c:v>
                </c:pt>
                <c:pt idx="98">
                  <c:v>52.343596600612592</c:v>
                </c:pt>
                <c:pt idx="99">
                  <c:v>51.55425462854349</c:v>
                </c:pt>
                <c:pt idx="100">
                  <c:v>50.600606977641881</c:v>
                </c:pt>
                <c:pt idx="101">
                  <c:v>49.479187635282429</c:v>
                </c:pt>
                <c:pt idx="102">
                  <c:v>48.18748310758459</c:v>
                </c:pt>
                <c:pt idx="103">
                  <c:v>46.724016449427126</c:v>
                </c:pt>
                <c:pt idx="104">
                  <c:v>45.088423797055881</c:v>
                </c:pt>
                <c:pt idx="105">
                  <c:v>43.281521540335781</c:v>
                </c:pt>
                <c:pt idx="106">
                  <c:v>41.305362311754202</c:v>
                </c:pt>
                <c:pt idx="107">
                  <c:v>39.163278060187018</c:v>
                </c:pt>
                <c:pt idx="108">
                  <c:v>36.859908621271664</c:v>
                </c:pt>
                <c:pt idx="109">
                  <c:v>34.401214393311328</c:v>
                </c:pt>
                <c:pt idx="110">
                  <c:v>31.794471976332584</c:v>
                </c:pt>
                <c:pt idx="111">
                  <c:v>29.048251928523072</c:v>
                </c:pt>
                <c:pt idx="112">
                  <c:v>26.172378132958105</c:v>
                </c:pt>
                <c:pt idx="113">
                  <c:v>23.177868640415745</c:v>
                </c:pt>
                <c:pt idx="114">
                  <c:v>20.076858251442445</c:v>
                </c:pt>
                <c:pt idx="115">
                  <c:v>16.882503511358276</c:v>
                </c:pt>
                <c:pt idx="116">
                  <c:v>13.608871203091242</c:v>
                </c:pt>
                <c:pt idx="117">
                  <c:v>10.270811821420486</c:v>
                </c:pt>
                <c:pt idx="118">
                  <c:v>6.8838198850436338</c:v>
                </c:pt>
                <c:pt idx="119">
                  <c:v>3.4638832769620831</c:v>
                </c:pt>
                <c:pt idx="120">
                  <c:v>2.7324087112257686E-2</c:v>
                </c:pt>
                <c:pt idx="121">
                  <c:v>-3.4093663463370718</c:v>
                </c:pt>
                <c:pt idx="122">
                  <c:v>-6.8296953472652477</c:v>
                </c:pt>
                <c:pt idx="123">
                  <c:v>-10.217336835249789</c:v>
                </c:pt>
                <c:pt idx="124">
                  <c:v>-13.556296353754874</c:v>
                </c:pt>
                <c:pt idx="125">
                  <c:v>-16.831070341259171</c:v>
                </c:pt>
                <c:pt idx="126">
                  <c:v>-20.026796945906806</c:v>
                </c:pt>
                <c:pt idx="127">
                  <c:v>-23.129395905717374</c:v>
                </c:pt>
                <c:pt idx="128">
                  <c:v>-26.12569529893209</c:v>
                </c:pt>
                <c:pt idx="129">
                  <c:v>-29.003543302436121</c:v>
                </c:pt>
                <c:pt idx="130">
                  <c:v>-31.751903468516961</c:v>
                </c:pt>
                <c:pt idx="131">
                  <c:v>-34.360932428600464</c:v>
                </c:pt>
                <c:pt idx="132">
                  <c:v>-36.822039343713755</c:v>
                </c:pt>
                <c:pt idx="133">
                  <c:v>-39.12792683206046</c:v>
                </c:pt>
                <c:pt idx="134">
                  <c:v>-41.272613501758947</c:v>
                </c:pt>
                <c:pt idx="135">
                  <c:v>-43.251438590153633</c:v>
                </c:pt>
                <c:pt idx="136">
                  <c:v>-45.061049550402025</c:v>
                </c:pt>
                <c:pt idx="137">
                  <c:v>-46.699373723364651</c:v>
                </c:pt>
                <c:pt idx="138">
                  <c:v>-48.165575482318332</c:v>
                </c:pt>
                <c:pt idx="139">
                  <c:v>-49.460000435932095</c:v>
                </c:pt>
                <c:pt idx="140">
                  <c:v>-50.584108419626027</c:v>
                </c:pt>
                <c:pt idx="141">
                  <c:v>-51.540397097166512</c:v>
                </c:pt>
                <c:pt idx="142">
                  <c:v>-52.332318035191399</c:v>
                </c:pt>
                <c:pt idx="143">
                  <c:v>-52.964187106850041</c:v>
                </c:pt>
                <c:pt idx="144">
                  <c:v>-53.441091031635878</c:v>
                </c:pt>
                <c:pt idx="145">
                  <c:v>-53.768791772419341</c:v>
                </c:pt>
                <c:pt idx="146">
                  <c:v>-53.953630393865843</c:v>
                </c:pt>
                <c:pt idx="147">
                  <c:v>-54.002431845322647</c:v>
                </c:pt>
                <c:pt idx="148">
                  <c:v>-53.922411972364003</c:v>
                </c:pt>
                <c:pt idx="149">
                  <c:v>-53.721087890730544</c:v>
                </c:pt>
                <c:pt idx="150">
                  <c:v>-53.406192680208136</c:v>
                </c:pt>
                <c:pt idx="151">
                  <c:v>-52.985595179289277</c:v>
                </c:pt>
                <c:pt idx="152">
                  <c:v>-52.467225488812431</c:v>
                </c:pt>
                <c:pt idx="153">
                  <c:v>-51.859006627986403</c:v>
                </c:pt>
                <c:pt idx="154">
                  <c:v>-51.168792632344505</c:v>
                </c:pt>
                <c:pt idx="155">
                  <c:v>-50.404313242532893</c:v>
                </c:pt>
                <c:pt idx="156">
                  <c:v>-49.57312520701759</c:v>
                </c:pt>
                <c:pt idx="157">
                  <c:v>-48.682570111737625</c:v>
                </c:pt>
                <c:pt idx="158">
                  <c:v>-47.739738555797956</c:v>
                </c:pt>
                <c:pt idx="159">
                  <c:v>-46.751440414353453</c:v>
                </c:pt>
                <c:pt idx="160">
                  <c:v>-45.72418086734217</c:v>
                </c:pt>
                <c:pt idx="161">
                  <c:v>-44.664141824808134</c:v>
                </c:pt>
                <c:pt idx="162">
                  <c:v>-43.577168345105036</c:v>
                </c:pt>
                <c:pt idx="163">
                  <c:v>-42.468759620005322</c:v>
                </c:pt>
                <c:pt idx="164">
                  <c:v>-41.344064089277566</c:v>
                </c:pt>
                <c:pt idx="165">
                  <c:v>-40.207878245210992</c:v>
                </c:pt>
                <c:pt idx="166">
                  <c:v>-39.064648693443381</c:v>
                </c:pt>
                <c:pt idx="167">
                  <c:v>-37.91847704891088</c:v>
                </c:pt>
                <c:pt idx="168">
                  <c:v>-36.77312726349151</c:v>
                </c:pt>
                <c:pt idx="169">
                  <c:v>-35.632035003753543</c:v>
                </c:pt>
                <c:pt idx="170">
                  <c:v>-34.498318722060056</c:v>
                </c:pt>
                <c:pt idx="171">
                  <c:v>-33.374792091152251</c:v>
                </c:pt>
                <c:pt idx="172">
                  <c:v>-32.263977500391732</c:v>
                </c:pt>
                <c:pt idx="173">
                  <c:v>-31.168120340364908</c:v>
                </c:pt>
                <c:pt idx="174">
                  <c:v>-30.089203830935446</c:v>
                </c:pt>
                <c:pt idx="175">
                  <c:v>-29.028964175577553</c:v>
                </c:pt>
                <c:pt idx="176">
                  <c:v>-27.988905851545208</c:v>
                </c:pt>
              </c:numCache>
              <c:extLst xmlns:c15="http://schemas.microsoft.com/office/drawing/2012/chart"/>
            </c:numRef>
          </c:yVal>
          <c:smooth val="1"/>
          <c:extLst>
            <c:ext xmlns:c16="http://schemas.microsoft.com/office/drawing/2014/chart" uri="{C3380CC4-5D6E-409C-BE32-E72D297353CC}">
              <c16:uniqueId val="{00000006-2C00-4C28-951D-B4BE550B5B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9487760"/>
        <c:axId val="969487440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0"/>
                <c:tx>
                  <c:strRef>
                    <c:extLst>
                      <c:ext uri="{02D57815-91ED-43cb-92C2-25804820EDAC}">
                        <c15:formulaRef>
                          <c15:sqref>'New_removed_rate - bSIR'!$F$7</c15:sqref>
                        </c15:formulaRef>
                      </c:ext>
                    </c:extLst>
                    <c:strCache>
                      <c:ptCount val="1"/>
                      <c:pt idx="0">
                        <c:v>Italy accel. data 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'New_removed_rate - bSIR'!$C$8:$C$184</c15:sqref>
                        </c15:formulaRef>
                      </c:ext>
                    </c:extLst>
                    <c:numCache>
                      <c:formatCode>General</c:formatCode>
                      <c:ptCount val="17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'New_removed_rate - bSIR'!$F$8:$F$184</c15:sqref>
                        </c15:formulaRef>
                      </c:ext>
                    </c:extLst>
                    <c:numCache>
                      <c:formatCode>General</c:formatCode>
                      <c:ptCount val="177"/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8</c:v>
                      </c:pt>
                      <c:pt idx="55">
                        <c:v>-5</c:v>
                      </c:pt>
                      <c:pt idx="56">
                        <c:v>1</c:v>
                      </c:pt>
                      <c:pt idx="57">
                        <c:v>43</c:v>
                      </c:pt>
                      <c:pt idx="58">
                        <c:v>-42</c:v>
                      </c:pt>
                      <c:pt idx="59">
                        <c:v>7</c:v>
                      </c:pt>
                      <c:pt idx="60">
                        <c:v>26</c:v>
                      </c:pt>
                      <c:pt idx="61">
                        <c:v>46</c:v>
                      </c:pt>
                      <c:pt idx="62">
                        <c:v>-46</c:v>
                      </c:pt>
                      <c:pt idx="63">
                        <c:v>106</c:v>
                      </c:pt>
                      <c:pt idx="64">
                        <c:v>35</c:v>
                      </c:pt>
                      <c:pt idx="65">
                        <c:v>-21</c:v>
                      </c:pt>
                      <c:pt idx="66">
                        <c:v>-56</c:v>
                      </c:pt>
                      <c:pt idx="67">
                        <c:v>64</c:v>
                      </c:pt>
                      <c:pt idx="68">
                        <c:v>33</c:v>
                      </c:pt>
                      <c:pt idx="69">
                        <c:v>249</c:v>
                      </c:pt>
                      <c:pt idx="70">
                        <c:v>-211</c:v>
                      </c:pt>
                      <c:pt idx="71">
                        <c:v>165</c:v>
                      </c:pt>
                      <c:pt idx="72">
                        <c:v>29</c:v>
                      </c:pt>
                      <c:pt idx="73">
                        <c:v>271</c:v>
                      </c:pt>
                      <c:pt idx="74">
                        <c:v>35</c:v>
                      </c:pt>
                      <c:pt idx="75">
                        <c:v>26</c:v>
                      </c:pt>
                      <c:pt idx="76">
                        <c:v>-226</c:v>
                      </c:pt>
                      <c:pt idx="77">
                        <c:v>1022</c:v>
                      </c:pt>
                      <c:pt idx="78">
                        <c:v>-717</c:v>
                      </c:pt>
                      <c:pt idx="79">
                        <c:v>474</c:v>
                      </c:pt>
                      <c:pt idx="80">
                        <c:v>420</c:v>
                      </c:pt>
                      <c:pt idx="81">
                        <c:v>-133</c:v>
                      </c:pt>
                      <c:pt idx="82">
                        <c:v>-594</c:v>
                      </c:pt>
                      <c:pt idx="83">
                        <c:v>628</c:v>
                      </c:pt>
                      <c:pt idx="84">
                        <c:v>82</c:v>
                      </c:pt>
                      <c:pt idx="85">
                        <c:v>-58</c:v>
                      </c:pt>
                      <c:pt idx="86">
                        <c:v>-103</c:v>
                      </c:pt>
                      <c:pt idx="87">
                        <c:v>765</c:v>
                      </c:pt>
                      <c:pt idx="88">
                        <c:v>-921</c:v>
                      </c:pt>
                      <c:pt idx="89">
                        <c:v>1000</c:v>
                      </c:pt>
                      <c:pt idx="90">
                        <c:v>-456</c:v>
                      </c:pt>
                      <c:pt idx="91">
                        <c:v>-101</c:v>
                      </c:pt>
                      <c:pt idx="92">
                        <c:v>346</c:v>
                      </c:pt>
                      <c:pt idx="93">
                        <c:v>55</c:v>
                      </c:pt>
                      <c:pt idx="94">
                        <c:v>-327</c:v>
                      </c:pt>
                      <c:pt idx="95">
                        <c:v>-575</c:v>
                      </c:pt>
                      <c:pt idx="96">
                        <c:v>314</c:v>
                      </c:pt>
                      <c:pt idx="97">
                        <c:v>501</c:v>
                      </c:pt>
                      <c:pt idx="98">
                        <c:v>482</c:v>
                      </c:pt>
                      <c:pt idx="99">
                        <c:v>-52</c:v>
                      </c:pt>
                      <c:pt idx="100">
                        <c:v>-34</c:v>
                      </c:pt>
                      <c:pt idx="101">
                        <c:v>143</c:v>
                      </c:pt>
                      <c:pt idx="102">
                        <c:v>-590</c:v>
                      </c:pt>
                      <c:pt idx="103">
                        <c:v>-318</c:v>
                      </c:pt>
                      <c:pt idx="104">
                        <c:v>507</c:v>
                      </c:pt>
                      <c:pt idx="105">
                        <c:v>-757</c:v>
                      </c:pt>
                      <c:pt idx="106">
                        <c:v>1057</c:v>
                      </c:pt>
                      <c:pt idx="107">
                        <c:v>541</c:v>
                      </c:pt>
                      <c:pt idx="108">
                        <c:v>-456</c:v>
                      </c:pt>
                      <c:pt idx="109">
                        <c:v>-121</c:v>
                      </c:pt>
                      <c:pt idx="110">
                        <c:v>-285</c:v>
                      </c:pt>
                      <c:pt idx="111">
                        <c:v>981</c:v>
                      </c:pt>
                      <c:pt idx="112">
                        <c:v>123</c:v>
                      </c:pt>
                      <c:pt idx="113">
                        <c:v>117</c:v>
                      </c:pt>
                      <c:pt idx="114">
                        <c:v>-155</c:v>
                      </c:pt>
                      <c:pt idx="115">
                        <c:v>-305</c:v>
                      </c:pt>
                      <c:pt idx="116">
                        <c:v>-969</c:v>
                      </c:pt>
                      <c:pt idx="117">
                        <c:v>-39</c:v>
                      </c:pt>
                      <c:pt idx="118">
                        <c:v>670</c:v>
                      </c:pt>
                      <c:pt idx="119">
                        <c:v>-65</c:v>
                      </c:pt>
                      <c:pt idx="120">
                        <c:v>2344</c:v>
                      </c:pt>
                      <c:pt idx="121">
                        <c:v>-2405</c:v>
                      </c:pt>
                      <c:pt idx="122">
                        <c:v>-434</c:v>
                      </c:pt>
                      <c:pt idx="123">
                        <c:v>-225</c:v>
                      </c:pt>
                      <c:pt idx="124">
                        <c:v>-494</c:v>
                      </c:pt>
                      <c:pt idx="125">
                        <c:v>1168</c:v>
                      </c:pt>
                      <c:pt idx="126">
                        <c:v>5795</c:v>
                      </c:pt>
                      <c:pt idx="127">
                        <c:v>-5078</c:v>
                      </c:pt>
                      <c:pt idx="128">
                        <c:v>-315</c:v>
                      </c:pt>
                      <c:pt idx="129">
                        <c:v>1212</c:v>
                      </c:pt>
                      <c:pt idx="130">
                        <c:v>-1882</c:v>
                      </c:pt>
                      <c:pt idx="131">
                        <c:v>-740</c:v>
                      </c:pt>
                      <c:pt idx="132">
                        <c:v>1044</c:v>
                      </c:pt>
                      <c:pt idx="133">
                        <c:v>1073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2-2C00-4C28-951D-B4BE550B5B7A}"/>
                  </c:ext>
                </c:extLst>
              </c15:ser>
            </c15:filteredScatterSeries>
            <c15:filteredScatterSeries>
              <c15:ser>
                <c:idx val="2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'New_removed_rate - bSIR'!$Z$7</c15:sqref>
                        </c15:formulaRef>
                      </c:ext>
                    </c:extLst>
                    <c:strCache>
                      <c:ptCount val="1"/>
                      <c:pt idx="0">
                        <c:v>Italy acc. fit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'New_removed_rate - bSIR'!$C$8:$C$184</c15:sqref>
                        </c15:formulaRef>
                      </c:ext>
                    </c:extLst>
                    <c:numCache>
                      <c:formatCode>General</c:formatCode>
                      <c:ptCount val="17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'New_removed_rate - bSIR'!$Z$8:$Z$184</c15:sqref>
                        </c15:formulaRef>
                      </c:ext>
                    </c:extLst>
                    <c:numCache>
                      <c:formatCode>General</c:formatCode>
                      <c:ptCount val="177"/>
                      <c:pt idx="0">
                        <c:v>1.5713212169658599</c:v>
                      </c:pt>
                      <c:pt idx="1">
                        <c:v>1.6499876950206425</c:v>
                      </c:pt>
                      <c:pt idx="2">
                        <c:v>1.7325450707267027</c:v>
                      </c:pt>
                      <c:pt idx="3">
                        <c:v>1.8191808748262537</c:v>
                      </c:pt>
                      <c:pt idx="4">
                        <c:v>1.910091164836121</c:v>
                      </c:pt>
                      <c:pt idx="5">
                        <c:v>2.005480858680623</c:v>
                      </c:pt>
                      <c:pt idx="6">
                        <c:v>2.1055640754173082</c:v>
                      </c:pt>
                      <c:pt idx="7">
                        <c:v>2.2105644824576118</c:v>
                      </c:pt>
                      <c:pt idx="8">
                        <c:v>2.3207156485642138</c:v>
                      </c:pt>
                      <c:pt idx="9">
                        <c:v>2.4362614017727133</c:v>
                      </c:pt>
                      <c:pt idx="10">
                        <c:v>2.5574561912356222</c:v>
                      </c:pt>
                      <c:pt idx="11">
                        <c:v>2.6845654518205002</c:v>
                      </c:pt>
                      <c:pt idx="12">
                        <c:v>2.817865970109688</c:v>
                      </c:pt>
                      <c:pt idx="13">
                        <c:v>2.9576462502446645</c:v>
                      </c:pt>
                      <c:pt idx="14">
                        <c:v>3.1042068778325214</c:v>
                      </c:pt>
                      <c:pt idx="15">
                        <c:v>3.2578608798828008</c:v>
                      </c:pt>
                      <c:pt idx="16">
                        <c:v>3.4189340784685891</c:v>
                      </c:pt>
                      <c:pt idx="17">
                        <c:v>3.5877654355043016</c:v>
                      </c:pt>
                      <c:pt idx="18">
                        <c:v>3.7647073857012807</c:v>
                      </c:pt>
                      <c:pt idx="19">
                        <c:v>3.9501261543999817</c:v>
                      </c:pt>
                      <c:pt idx="20">
                        <c:v>4.1444020565808222</c:v>
                      </c:pt>
                      <c:pt idx="21">
                        <c:v>4.3479297729229716</c:v>
                      </c:pt>
                      <c:pt idx="22">
                        <c:v>4.5611185983090072</c:v>
                      </c:pt>
                      <c:pt idx="23">
                        <c:v>4.7843926576606695</c:v>
                      </c:pt>
                      <c:pt idx="24">
                        <c:v>5.0181910834347487</c:v>
                      </c:pt>
                      <c:pt idx="25">
                        <c:v>5.2629681485062179</c:v>
                      </c:pt>
                      <c:pt idx="26">
                        <c:v>5.5191933475149577</c:v>
                      </c:pt>
                      <c:pt idx="27">
                        <c:v>5.7873514190517064</c:v>
                      </c:pt>
                      <c:pt idx="28">
                        <c:v>6.0679423003051838</c:v>
                      </c:pt>
                      <c:pt idx="29">
                        <c:v>6.3614810049842454</c:v>
                      </c:pt>
                      <c:pt idx="30">
                        <c:v>6.6684974144656701</c:v>
                      </c:pt>
                      <c:pt idx="31">
                        <c:v>6.9895359711970988</c:v>
                      </c:pt>
                      <c:pt idx="32">
                        <c:v>7.3251552624073391</c:v>
                      </c:pt>
                      <c:pt idx="33">
                        <c:v>7.675927481141402</c:v>
                      </c:pt>
                      <c:pt idx="34">
                        <c:v>8.0424377505467284</c:v>
                      </c:pt>
                      <c:pt idx="35">
                        <c:v>8.4252832961930224</c:v>
                      </c:pt>
                      <c:pt idx="36">
                        <c:v>8.8250724500127404</c:v>
                      </c:pt>
                      <c:pt idx="37">
                        <c:v>9.2424234682086297</c:v>
                      </c:pt>
                      <c:pt idx="38">
                        <c:v>9.677963144194841</c:v>
                      </c:pt>
                      <c:pt idx="39">
                        <c:v>10.132325196326796</c:v>
                      </c:pt>
                      <c:pt idx="40">
                        <c:v>10.606148408844106</c:v>
                      </c:pt>
                      <c:pt idx="41">
                        <c:v>11.100074503112781</c:v>
                      </c:pt>
                      <c:pt idx="42">
                        <c:v>11.614745714924274</c:v>
                      </c:pt>
                      <c:pt idx="43">
                        <c:v>12.150802052309805</c:v>
                      </c:pt>
                      <c:pt idx="44">
                        <c:v>12.708878207081984</c:v>
                      </c:pt>
                      <c:pt idx="45">
                        <c:v>13.289600092150321</c:v>
                      </c:pt>
                      <c:pt idx="46">
                        <c:v>13.893580975605326</c:v>
                      </c:pt>
                      <c:pt idx="47">
                        <c:v>14.52141718166574</c:v>
                      </c:pt>
                      <c:pt idx="48">
                        <c:v>15.173683327879315</c:v>
                      </c:pt>
                      <c:pt idx="49">
                        <c:v>15.85092706750895</c:v>
                      </c:pt>
                      <c:pt idx="50">
                        <c:v>16.553663305881063</c:v>
                      </c:pt>
                      <c:pt idx="51">
                        <c:v>17.2823678596855</c:v>
                      </c:pt>
                      <c:pt idx="52">
                        <c:v>18.037470528868798</c:v>
                      </c:pt>
                      <c:pt idx="53">
                        <c:v>18.819347551935049</c:v>
                      </c:pt>
                      <c:pt idx="54">
                        <c:v>19.628313417249867</c:v>
                      </c:pt>
                      <c:pt idx="55">
                        <c:v>20.464612005429149</c:v>
                      </c:pt>
                      <c:pt idx="56">
                        <c:v>21.328407041190356</c:v>
                      </c:pt>
                      <c:pt idx="57">
                        <c:v>22.219771837263142</c:v>
                      </c:pt>
                      <c:pt idx="58">
                        <c:v>23.138678318215611</c:v>
                      </c:pt>
                      <c:pt idx="59">
                        <c:v>24.08498531847934</c:v>
                      </c:pt>
                      <c:pt idx="60">
                        <c:v>25.058426156577717</c:v>
                      </c:pt>
                      <c:pt idx="61">
                        <c:v>26.058595496710343</c:v>
                      </c:pt>
                      <c:pt idx="62">
                        <c:v>27.084935519549578</c:v>
                      </c:pt>
                      <c:pt idx="63">
                        <c:v>28.136721436491182</c:v>
                      </c:pt>
                      <c:pt idx="64">
                        <c:v>29.213046395783582</c:v>
                      </c:pt>
                      <c:pt idx="65">
                        <c:v>30.312805845045052</c:v>
                      </c:pt>
                      <c:pt idx="66">
                        <c:v>31.434681432744888</c:v>
                      </c:pt>
                      <c:pt idx="67">
                        <c:v>32.577124551330428</c:v>
                      </c:pt>
                      <c:pt idx="68">
                        <c:v>33.738339646846256</c:v>
                      </c:pt>
                      <c:pt idx="69">
                        <c:v>34.916267444087786</c:v>
                      </c:pt>
                      <c:pt idx="70">
                        <c:v>36.108568262483431</c:v>
                      </c:pt>
                      <c:pt idx="71">
                        <c:v>37.31260562585571</c:v>
                      </c:pt>
                      <c:pt idx="72">
                        <c:v>38.52543039875593</c:v>
                      </c:pt>
                      <c:pt idx="73">
                        <c:v>39.743765712878542</c:v>
                      </c:pt>
                      <c:pt idx="74">
                        <c:v>40.963992978733238</c:v>
                      </c:pt>
                      <c:pt idx="75">
                        <c:v>42.182139309749935</c:v>
                      </c:pt>
                      <c:pt idx="76">
                        <c:v>43.393866717667969</c:v>
                      </c:pt>
                      <c:pt idx="77">
                        <c:v>44.594463468626373</c:v>
                      </c:pt>
                      <c:pt idx="78">
                        <c:v>45.778838017905471</c:v>
                      </c:pt>
                      <c:pt idx="79">
                        <c:v>46.941515966705673</c:v>
                      </c:pt>
                      <c:pt idx="80">
                        <c:v>48.076640505480675</c:v>
                      </c:pt>
                      <c:pt idx="81">
                        <c:v>49.177976823833781</c:v>
                      </c:pt>
                      <c:pt idx="82">
                        <c:v>50.238920975383856</c:v>
                      </c:pt>
                      <c:pt idx="83">
                        <c:v>51.252513685767717</c:v>
                      </c:pt>
                      <c:pt idx="84">
                        <c:v>52.211459581457831</c:v>
                      </c:pt>
                      <c:pt idx="85">
                        <c:v>53.108152294719169</c:v>
                      </c:pt>
                      <c:pt idx="86">
                        <c:v>53.934705864216895</c:v>
                      </c:pt>
                      <c:pt idx="87">
                        <c:v>54.682992800031634</c:v>
                      </c:pt>
                      <c:pt idx="88">
                        <c:v>55.344689114834054</c:v>
                      </c:pt>
                      <c:pt idx="89">
                        <c:v>55.911326538668959</c:v>
                      </c:pt>
                      <c:pt idx="90">
                        <c:v>56.374352032509556</c:v>
                      </c:pt>
                      <c:pt idx="91">
                        <c:v>56.72519459522865</c:v>
                      </c:pt>
                      <c:pt idx="92">
                        <c:v>56.955339220214938</c:v>
                      </c:pt>
                      <c:pt idx="93">
                        <c:v>57.05640770249677</c:v>
                      </c:pt>
                      <c:pt idx="94">
                        <c:v>57.020245826637641</c:v>
                      </c:pt>
                      <c:pt idx="95">
                        <c:v>56.83901628233059</c:v>
                      </c:pt>
                      <c:pt idx="96">
                        <c:v>56.505296461920331</c:v>
                      </c:pt>
                      <c:pt idx="97">
                        <c:v>56.012180096248763</c:v>
                      </c:pt>
                      <c:pt idx="98">
                        <c:v>55.353381487347725</c:v>
                      </c:pt>
                      <c:pt idx="99">
                        <c:v>54.52334090446594</c:v>
                      </c:pt>
                      <c:pt idx="100">
                        <c:v>53.517329530274758</c:v>
                      </c:pt>
                      <c:pt idx="101">
                        <c:v>52.331552183910084</c:v>
                      </c:pt>
                      <c:pt idx="102">
                        <c:v>50.963245914139193</c:v>
                      </c:pt>
                      <c:pt idx="103">
                        <c:v>49.410772456769045</c:v>
                      </c:pt>
                      <c:pt idx="104">
                        <c:v>47.673702492537359</c:v>
                      </c:pt>
                      <c:pt idx="105">
                        <c:v>45.752889631610245</c:v>
                      </c:pt>
                      <c:pt idx="106">
                        <c:v>43.650532093922749</c:v>
                      </c:pt>
                      <c:pt idx="107">
                        <c:v>41.370220155048976</c:v>
                      </c:pt>
                      <c:pt idx="108">
                        <c:v>38.916967587487655</c:v>
                      </c:pt>
                      <c:pt idx="109">
                        <c:v>36.297225547599659</c:v>
                      </c:pt>
                      <c:pt idx="110">
                        <c:v>33.518877637103238</c:v>
                      </c:pt>
                      <c:pt idx="111">
                        <c:v>30.591215200804971</c:v>
                      </c:pt>
                      <c:pt idx="112">
                        <c:v>27.524892302476065</c:v>
                      </c:pt>
                      <c:pt idx="113">
                        <c:v>24.331860239494421</c:v>
                      </c:pt>
                      <c:pt idx="114">
                        <c:v>21.025281902943224</c:v>
                      </c:pt>
                      <c:pt idx="115">
                        <c:v>17.619426750381923</c:v>
                      </c:pt>
                      <c:pt idx="116">
                        <c:v>14.129547619233298</c:v>
                      </c:pt>
                      <c:pt idx="117">
                        <c:v>10.571741054641741</c:v>
                      </c:pt>
                      <c:pt idx="118">
                        <c:v>6.9627932415768132</c:v>
                      </c:pt>
                      <c:pt idx="119">
                        <c:v>3.3200140022529814</c:v>
                      </c:pt>
                      <c:pt idx="120">
                        <c:v>-0.3389383668211588</c:v>
                      </c:pt>
                      <c:pt idx="121">
                        <c:v>-3.9962384002229969</c:v>
                      </c:pt>
                      <c:pt idx="122">
                        <c:v>-7.634077728612497</c:v>
                      </c:pt>
                      <c:pt idx="123">
                        <c:v>-11.234849040669621</c:v>
                      </c:pt>
                      <c:pt idx="124">
                        <c:v>-14.781326487485538</c:v>
                      </c:pt>
                      <c:pt idx="125">
                        <c:v>-18.256839370854635</c:v>
                      </c:pt>
                      <c:pt idx="126">
                        <c:v>-21.645436136928435</c:v>
                      </c:pt>
                      <c:pt idx="127">
                        <c:v>-24.932035953980186</c:v>
                      </c:pt>
                      <c:pt idx="128">
                        <c:v>-28.102565477955313</c:v>
                      </c:pt>
                      <c:pt idx="129">
                        <c:v>-31.144078790100281</c:v>
                      </c:pt>
                      <c:pt idx="130">
                        <c:v>-34.044858913563623</c:v>
                      </c:pt>
                      <c:pt idx="131">
                        <c:v>-36.794499765666522</c:v>
                      </c:pt>
                      <c:pt idx="132">
                        <c:v>-39.383967864349884</c:v>
                      </c:pt>
                      <c:pt idx="133">
                        <c:v>-41.805643566193574</c:v>
                      </c:pt>
                      <c:pt idx="134">
                        <c:v>-44.053342055336778</c:v>
                      </c:pt>
                      <c:pt idx="135">
                        <c:v>-46.122314714990651</c:v>
                      </c:pt>
                      <c:pt idx="136">
                        <c:v>-48.009231885290994</c:v>
                      </c:pt>
                      <c:pt idx="137">
                        <c:v>-49.712148334420725</c:v>
                      </c:pt>
                      <c:pt idx="138">
                        <c:v>-51.23045303805101</c:v>
                      </c:pt>
                      <c:pt idx="139">
                        <c:v>-52.564805071430541</c:v>
                      </c:pt>
                      <c:pt idx="140">
                        <c:v>-53.717057567496305</c:v>
                      </c:pt>
                      <c:pt idx="141">
                        <c:v>-54.690171783975885</c:v>
                      </c:pt>
                      <c:pt idx="142">
                        <c:v>-55.488123355352805</c:v>
                      </c:pt>
                      <c:pt idx="143">
                        <c:v>-56.115802786159243</c:v>
                      </c:pt>
                      <c:pt idx="144">
                        <c:v>-56.578912176027345</c:v>
                      </c:pt>
                      <c:pt idx="145">
                        <c:v>-56.883860060878511</c:v>
                      </c:pt>
                      <c:pt idx="146">
                        <c:v>-57.037656115735949</c:v>
                      </c:pt>
                      <c:pt idx="147">
                        <c:v>-57.047807300305365</c:v>
                      </c:pt>
                      <c:pt idx="148">
                        <c:v>-56.922216846012851</c:v>
                      </c:pt>
                      <c:pt idx="149">
                        <c:v>-56.669087289593897</c:v>
                      </c:pt>
                      <c:pt idx="150">
                        <c:v>-56.296828560042655</c:v>
                      </c:pt>
                      <c:pt idx="151">
                        <c:v>-55.81397192848879</c:v>
                      </c:pt>
                      <c:pt idx="152">
                        <c:v>-55.22909043930985</c:v>
                      </c:pt>
                      <c:pt idx="153">
                        <c:v>-54.550726259582781</c:v>
                      </c:pt>
                      <c:pt idx="154">
                        <c:v>-53.787325216032926</c:v>
                      </c:pt>
                      <c:pt idx="155">
                        <c:v>-52.947178636309275</c:v>
                      </c:pt>
                      <c:pt idx="156">
                        <c:v>-52.03837247625551</c:v>
                      </c:pt>
                      <c:pt idx="157">
                        <c:v>-51.068743597702927</c:v>
                      </c:pt>
                      <c:pt idx="158">
                        <c:v>-50.045842962384903</c:v>
                      </c:pt>
                      <c:pt idx="159">
                        <c:v>-48.976905426535872</c:v>
                      </c:pt>
                      <c:pt idx="160">
                        <c:v>-47.868825756831804</c:v>
                      </c:pt>
                      <c:pt idx="161">
                        <c:v>-46.728140440444463</c:v>
                      </c:pt>
                      <c:pt idx="162">
                        <c:v>-45.561014828777509</c:v>
                      </c:pt>
                      <c:pt idx="163">
                        <c:v>-44.373235134417044</c:v>
                      </c:pt>
                      <c:pt idx="164">
                        <c:v>-43.170204792360359</c:v>
                      </c:pt>
                      <c:pt idx="165">
                        <c:v>-41.956944698067453</c:v>
                      </c:pt>
                      <c:pt idx="166">
                        <c:v>-40.738096844703577</c:v>
                      </c:pt>
                      <c:pt idx="167">
                        <c:v>-39.51793089858495</c:v>
                      </c:pt>
                      <c:pt idx="168">
                        <c:v>-38.300353273864133</c:v>
                      </c:pt>
                      <c:pt idx="169">
                        <c:v>-37.088918293587767</c:v>
                      </c:pt>
                      <c:pt idx="170">
                        <c:v>-35.886841053245284</c:v>
                      </c:pt>
                      <c:pt idx="171">
                        <c:v>-34.697011633764021</c:v>
                      </c:pt>
                      <c:pt idx="172">
                        <c:v>-33.522010342696198</c:v>
                      </c:pt>
                      <c:pt idx="173">
                        <c:v>-32.364123694327176</c:v>
                      </c:pt>
                      <c:pt idx="174">
                        <c:v>-31.225360870980523</c:v>
                      </c:pt>
                      <c:pt idx="175">
                        <c:v>-30.107470438403578</c:v>
                      </c:pt>
                      <c:pt idx="176">
                        <c:v>-29.011957117385592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C00-4C28-951D-B4BE550B5B7A}"/>
                  </c:ext>
                </c:extLst>
              </c15:ser>
            </c15:filteredScatterSeries>
            <c15:filteredScatterSeries>
              <c15:ser>
                <c:idx val="0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'New_removed_rate - bSIR'!$L$7</c15:sqref>
                        </c15:formulaRef>
                      </c:ext>
                    </c:extLst>
                    <c:strCache>
                      <c:ptCount val="1"/>
                      <c:pt idx="0">
                        <c:v>Italy (fit of selected region + fitted sum of the other regions)</c:v>
                      </c:pt>
                    </c:strCache>
                  </c:strRef>
                </c:tx>
                <c:spPr>
                  <a:ln w="19050" cap="rnd">
                    <a:solidFill>
                      <a:schemeClr val="tx1"/>
                    </a:solidFill>
                    <a:prstDash val="lgDash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'New_removed_rate - bSIR'!$C$8:$C$184</c15:sqref>
                        </c15:formulaRef>
                      </c:ext>
                    </c:extLst>
                    <c:numCache>
                      <c:formatCode>General</c:formatCode>
                      <c:ptCount val="17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'New_removed_rate - bSIR'!$L$8:$L$184</c15:sqref>
                        </c15:formulaRef>
                      </c:ext>
                    </c:extLst>
                    <c:numCache>
                      <c:formatCode>General</c:formatCode>
                      <c:ptCount val="177"/>
                      <c:pt idx="0">
                        <c:v>1.5874441143154365</c:v>
                      </c:pt>
                      <c:pt idx="1">
                        <c:v>1.6666167674157331</c:v>
                      </c:pt>
                      <c:pt idx="2">
                        <c:v>1.749692130362688</c:v>
                      </c:pt>
                      <c:pt idx="3">
                        <c:v>1.8368577339976297</c:v>
                      </c:pt>
                      <c:pt idx="4">
                        <c:v>1.9283096116570584</c:v>
                      </c:pt>
                      <c:pt idx="5">
                        <c:v>2.0242526307788</c:v>
                      </c:pt>
                      <c:pt idx="6">
                        <c:v>2.1249008314971842</c:v>
                      </c:pt>
                      <c:pt idx="7">
                        <c:v>2.2304777716279309</c:v>
                      </c:pt>
                      <c:pt idx="8">
                        <c:v>2.3412168773237227</c:v>
                      </c:pt>
                      <c:pt idx="9">
                        <c:v>2.4573617985478382</c:v>
                      </c:pt>
                      <c:pt idx="10">
                        <c:v>2.5791667683643982</c:v>
                      </c:pt>
                      <c:pt idx="11">
                        <c:v>2.7068969648782888</c:v>
                      </c:pt>
                      <c:pt idx="12">
                        <c:v>2.8408288744744388</c:v>
                      </c:pt>
                      <c:pt idx="13">
                        <c:v>2.9812506548028614</c:v>
                      </c:pt>
                      <c:pt idx="14">
                        <c:v>3.1284624957313167</c:v>
                      </c:pt>
                      <c:pt idx="15">
                        <c:v>3.2827769762396768</c:v>
                      </c:pt>
                      <c:pt idx="16">
                        <c:v>3.4445194149573015</c:v>
                      </c:pt>
                      <c:pt idx="17">
                        <c:v>3.6140282117446212</c:v>
                      </c:pt>
                      <c:pt idx="18">
                        <c:v>3.7916551773910285</c:v>
                      </c:pt>
                      <c:pt idx="19">
                        <c:v>3.9777658481405185</c:v>
                      </c:pt>
                      <c:pt idx="20">
                        <c:v>4.172739781362262</c:v>
                      </c:pt>
                      <c:pt idx="21">
                        <c:v>4.3769708282527491</c:v>
                      </c:pt>
                      <c:pt idx="22">
                        <c:v>4.5908673789873413</c:v>
                      </c:pt>
                      <c:pt idx="23">
                        <c:v>4.8148525752293345</c:v>
                      </c:pt>
                      <c:pt idx="24">
                        <c:v>5.0493644843513135</c:v>
                      </c:pt>
                      <c:pt idx="25">
                        <c:v>5.2948562291245755</c:v>
                      </c:pt>
                      <c:pt idx="26">
                        <c:v>5.5517960659854264</c:v>
                      </c:pt>
                      <c:pt idx="27">
                        <c:v>5.8206674042894075</c:v>
                      </c:pt>
                      <c:pt idx="28">
                        <c:v>6.1019687582144995</c:v>
                      </c:pt>
                      <c:pt idx="29">
                        <c:v>6.396213622170138</c:v>
                      </c:pt>
                      <c:pt idx="30">
                        <c:v>6.7039302597086827</c:v>
                      </c:pt>
                      <c:pt idx="31">
                        <c:v>7.025661395018985</c:v>
                      </c:pt>
                      <c:pt idx="32">
                        <c:v>7.3619637951073926</c:v>
                      </c:pt>
                      <c:pt idx="33">
                        <c:v>7.7134077297399513</c:v>
                      </c:pt>
                      <c:pt idx="34">
                        <c:v>8.080576295131598</c:v>
                      </c:pt>
                      <c:pt idx="35">
                        <c:v>8.4640645862259145</c:v>
                      </c:pt>
                      <c:pt idx="36">
                        <c:v>8.8644787012155799</c:v>
                      </c:pt>
                      <c:pt idx="37">
                        <c:v>9.282434560713698</c:v>
                      </c:pt>
                      <c:pt idx="38">
                        <c:v>9.7185565227053559</c:v>
                      </c:pt>
                      <c:pt idx="39">
                        <c:v>10.173475773096214</c:v>
                      </c:pt>
                      <c:pt idx="40">
                        <c:v>10.64782847034035</c:v>
                      </c:pt>
                      <c:pt idx="41">
                        <c:v>11.142253621285642</c:v>
                      </c:pt>
                      <c:pt idx="42">
                        <c:v>11.657390664039182</c:v>
                      </c:pt>
                      <c:pt idx="43">
                        <c:v>12.193876732344904</c:v>
                      </c:pt>
                      <c:pt idx="44">
                        <c:v>12.752343574705824</c:v>
                      </c:pt>
                      <c:pt idx="45">
                        <c:v>13.333414100300129</c:v>
                      </c:pt>
                      <c:pt idx="46">
                        <c:v>13.937698522667482</c:v>
                      </c:pt>
                      <c:pt idx="47">
                        <c:v>14.565790071215289</c:v>
                      </c:pt>
                      <c:pt idx="48">
                        <c:v>15.21826023985968</c:v>
                      </c:pt>
                      <c:pt idx="49">
                        <c:v>15.895653541620733</c:v>
                      </c:pt>
                      <c:pt idx="50">
                        <c:v>16.598481737794131</c:v>
                      </c:pt>
                      <c:pt idx="51">
                        <c:v>17.32721751048506</c:v>
                      </c:pt>
                      <c:pt idx="52">
                        <c:v>18.082287547887415</c:v>
                      </c:pt>
                      <c:pt idx="53">
                        <c:v>18.864065012802342</c:v>
                      </c:pt>
                      <c:pt idx="54">
                        <c:v>19.67286136660303</c:v>
                      </c:pt>
                      <c:pt idx="55">
                        <c:v>20.50891752326417</c:v>
                      </c:pt>
                      <c:pt idx="56">
                        <c:v>21.372394311292044</c:v>
                      </c:pt>
                      <c:pt idx="57">
                        <c:v>22.263362225525103</c:v>
                      </c:pt>
                      <c:pt idx="58">
                        <c:v>23.181790455948587</c:v>
                      </c:pt>
                      <c:pt idx="59">
                        <c:v>24.127535187006171</c:v>
                      </c:pt>
                      <c:pt idx="60">
                        <c:v>25.100327168528263</c:v>
                      </c:pt>
                      <c:pt idx="61">
                        <c:v>26.099758568465067</c:v>
                      </c:pt>
                      <c:pt idx="62">
                        <c:v>27.125269128248476</c:v>
                      </c:pt>
                      <c:pt idx="63">
                        <c:v>28.176131653937826</c:v>
                      </c:pt>
                      <c:pt idx="64">
                        <c:v>29.251436890457487</c:v>
                      </c:pt>
                      <c:pt idx="65">
                        <c:v>30.35007784231647</c:v>
                      </c:pt>
                      <c:pt idx="66">
                        <c:v>31.470733622303754</c:v>
                      </c:pt>
                      <c:pt idx="67">
                        <c:v>32.611852929842748</c:v>
                      </c:pt>
                      <c:pt idx="68">
                        <c:v>33.771637282993872</c:v>
                      </c:pt>
                      <c:pt idx="69">
                        <c:v>34.94802415250242</c:v>
                      </c:pt>
                      <c:pt idx="70">
                        <c:v>36.138670172730031</c:v>
                      </c:pt>
                      <c:pt idx="71">
                        <c:v>37.340934632650615</c:v>
                      </c:pt>
                      <c:pt idx="72">
                        <c:v>38.551863480119458</c:v>
                      </c:pt>
                      <c:pt idx="73">
                        <c:v>39.768174104037563</c:v>
                      </c:pt>
                      <c:pt idx="74">
                        <c:v>40.986241191422337</c:v>
                      </c:pt>
                      <c:pt idx="75">
                        <c:v>42.202083989237757</c:v>
                      </c:pt>
                      <c:pt idx="76">
                        <c:v>43.411355333478674</c:v>
                      </c:pt>
                      <c:pt idx="77">
                        <c:v>44.609332839653838</c:v>
                      </c:pt>
                      <c:pt idx="78">
                        <c:v>45.790912678533083</c:v>
                      </c:pt>
                      <c:pt idx="79">
                        <c:v>46.950606387724086</c:v>
                      </c:pt>
                      <c:pt idx="80">
                        <c:v>48.082541192091341</c:v>
                      </c:pt>
                      <c:pt idx="81">
                        <c:v>49.180464322830446</c:v>
                      </c:pt>
                      <c:pt idx="82">
                        <c:v>50.237751834666646</c:v>
                      </c:pt>
                      <c:pt idx="83">
                        <c:v>51.247422421525677</c:v>
                      </c:pt>
                      <c:pt idx="84">
                        <c:v>52.20215672144365</c:v>
                      </c:pt>
                      <c:pt idx="85">
                        <c:v>53.094322579713193</c:v>
                      </c:pt>
                      <c:pt idx="86">
                        <c:v>53.916006703610222</c:v>
                      </c:pt>
                      <c:pt idx="87">
                        <c:v>54.659053090905068</c:v>
                      </c:pt>
                      <c:pt idx="88">
                        <c:v>55.315108546306838</c:v>
                      </c:pt>
                      <c:pt idx="89">
                        <c:v>55.875675513857864</c:v>
                      </c:pt>
                      <c:pt idx="90">
                        <c:v>56.332172348296027</c:v>
                      </c:pt>
                      <c:pt idx="91">
                        <c:v>56.676001024214692</c:v>
                      </c:pt>
                      <c:pt idx="92">
                        <c:v>56.898622138752266</c:v>
                      </c:pt>
                      <c:pt idx="93">
                        <c:v>56.991636902489944</c:v>
                      </c:pt>
                      <c:pt idx="94">
                        <c:v>56.946875635997557</c:v>
                      </c:pt>
                      <c:pt idx="95">
                        <c:v>56.756492098668183</c:v>
                      </c:pt>
                      <c:pt idx="96">
                        <c:v>56.413062775690982</c:v>
                      </c:pt>
                      <c:pt idx="97">
                        <c:v>55.909690042752771</c:v>
                      </c:pt>
                      <c:pt idx="98">
                        <c:v>55.240107921782979</c:v>
                      </c:pt>
                      <c:pt idx="99">
                        <c:v>54.398788941088071</c:v>
                      </c:pt>
                      <c:pt idx="100">
                        <c:v>53.381050426628775</c:v>
                      </c:pt>
                      <c:pt idx="101">
                        <c:v>52.183158385584356</c:v>
                      </c:pt>
                      <c:pt idx="102">
                        <c:v>50.802427006659244</c:v>
                      </c:pt>
                      <c:pt idx="103">
                        <c:v>49.23731170174112</c:v>
                      </c:pt>
                      <c:pt idx="104">
                        <c:v>47.487493558099921</c:v>
                      </c:pt>
                      <c:pt idx="105">
                        <c:v>45.553953066165917</c:v>
                      </c:pt>
                      <c:pt idx="106">
                        <c:v>43.439031040735486</c:v>
                      </c:pt>
                      <c:pt idx="107">
                        <c:v>41.146474767363941</c:v>
                      </c:pt>
                      <c:pt idx="108">
                        <c:v>38.681467582930225</c:v>
                      </c:pt>
                      <c:pt idx="109">
                        <c:v>36.050640339850496</c:v>
                      </c:pt>
                      <c:pt idx="110">
                        <c:v>33.262063504645418</c:v>
                      </c:pt>
                      <c:pt idx="111">
                        <c:v>30.325218998372531</c:v>
                      </c:pt>
                      <c:pt idx="112">
                        <c:v>27.250951291034635</c:v>
                      </c:pt>
                      <c:pt idx="113">
                        <c:v>24.051397704198784</c:v>
                      </c:pt>
                      <c:pt idx="114">
                        <c:v>20.739898343231211</c:v>
                      </c:pt>
                      <c:pt idx="115">
                        <c:v>17.330886558522916</c:v>
                      </c:pt>
                      <c:pt idx="116">
                        <c:v>13.839761308371882</c:v>
                      </c:pt>
                      <c:pt idx="117">
                        <c:v>10.282743248763259</c:v>
                      </c:pt>
                      <c:pt idx="118">
                        <c:v>6.6767167912523719</c:v>
                      </c:pt>
                      <c:pt idx="119">
                        <c:v>3.0390607345182015</c:v>
                      </c:pt>
                      <c:pt idx="120">
                        <c:v>-0.61252962545761691</c:v>
                      </c:pt>
                      <c:pt idx="121">
                        <c:v>-4.2602257783081212</c:v>
                      </c:pt>
                      <c:pt idx="122">
                        <c:v>-7.8862514080127628</c:v>
                      </c:pt>
                      <c:pt idx="123">
                        <c:v>-11.473066610494287</c:v>
                      </c:pt>
                      <c:pt idx="124">
                        <c:v>-15.003547644330078</c:v>
                      </c:pt>
                      <c:pt idx="125">
                        <c:v>-18.461159068890137</c:v>
                      </c:pt>
                      <c:pt idx="126">
                        <c:v>-21.830115337728962</c:v>
                      </c:pt>
                      <c:pt idx="127">
                        <c:v>-25.095529203514413</c:v>
                      </c:pt>
                      <c:pt idx="128">
                        <c:v>-28.243544643013482</c:v>
                      </c:pt>
                      <c:pt idx="129">
                        <c:v>-31.261452413451185</c:v>
                      </c:pt>
                      <c:pt idx="130">
                        <c:v>-34.13778679028033</c:v>
                      </c:pt>
                      <c:pt idx="131">
                        <c:v>-36.862402495709524</c:v>
                      </c:pt>
                      <c:pt idx="132">
                        <c:v>-39.426531291888693</c:v>
                      </c:pt>
                      <c:pt idx="133">
                        <c:v>-41.822818167746426</c:v>
                      </c:pt>
                      <c:pt idx="134">
                        <c:v>-44.045337480648286</c:v>
                      </c:pt>
                      <c:pt idx="135">
                        <c:v>-46.089589811544315</c:v>
                      </c:pt>
                      <c:pt idx="136">
                        <c:v>-47.952480645415896</c:v>
                      </c:pt>
                      <c:pt idx="137">
                        <c:v>-49.632282290245136</c:v>
                      </c:pt>
                      <c:pt idx="138">
                        <c:v>-51.128580692442675</c:v>
                      </c:pt>
                      <c:pt idx="139">
                        <c:v>-52.442208992109954</c:v>
                      </c:pt>
                      <c:pt idx="140">
                        <c:v>-53.575169787367017</c:v>
                      </c:pt>
                      <c:pt idx="141">
                        <c:v>-54.530548144982433</c:v>
                      </c:pt>
                      <c:pt idx="142">
                        <c:v>-55.312417408203387</c:v>
                      </c:pt>
                      <c:pt idx="143">
                        <c:v>-55.925739816939938</c:v>
                      </c:pt>
                      <c:pt idx="144">
                        <c:v>-56.37626387632973</c:v>
                      </c:pt>
                      <c:pt idx="145">
                        <c:v>-56.670420293952191</c:v>
                      </c:pt>
                      <c:pt idx="146">
                        <c:v>-56.815218160715602</c:v>
                      </c:pt>
                      <c:pt idx="147">
                        <c:v>-56.818142882920554</c:v>
                      </c:pt>
                      <c:pt idx="148">
                        <c:v>-56.68705719023604</c:v>
                      </c:pt>
                      <c:pt idx="149">
                        <c:v>-56.430106352905028</c:v>
                      </c:pt>
                      <c:pt idx="150">
                        <c:v>-56.055628547436775</c:v>
                      </c:pt>
                      <c:pt idx="151">
                        <c:v>-55.572071118618943</c:v>
                      </c:pt>
                      <c:pt idx="152">
                        <c:v>-54.987913301385241</c:v>
                      </c:pt>
                      <c:pt idx="153">
                        <c:v>-54.311595792542789</c:v>
                      </c:pt>
                      <c:pt idx="154">
                        <c:v>-53.551457402427125</c:v>
                      </c:pt>
                      <c:pt idx="155">
                        <c:v>-52.715678872223954</c:v>
                      </c:pt>
                      <c:pt idx="156">
                        <c:v>-51.812233815263639</c:v>
                      </c:pt>
                      <c:pt idx="157">
                        <c:v>-50.848846630679255</c:v>
                      </c:pt>
                      <c:pt idx="158">
                        <c:v>-49.832957145467006</c:v>
                      </c:pt>
                      <c:pt idx="159">
                        <c:v>-48.771691665766028</c:v>
                      </c:pt>
                      <c:pt idx="160">
                        <c:v>-47.671840059263822</c:v>
                      </c:pt>
                      <c:pt idx="161">
                        <c:v>-46.539838446909805</c:v>
                      </c:pt>
                      <c:pt idx="162">
                        <c:v>-45.381757052257441</c:v>
                      </c:pt>
                      <c:pt idx="163">
                        <c:v>-44.203292739281977</c:v>
                      </c:pt>
                      <c:pt idx="164">
                        <c:v>-43.009765762902511</c:v>
                      </c:pt>
                      <c:pt idx="165">
                        <c:v>-41.806120259121606</c:v>
                      </c:pt>
                      <c:pt idx="166">
                        <c:v>-40.596928012167332</c:v>
                      </c:pt>
                      <c:pt idx="167">
                        <c:v>-39.386395052832746</c:v>
                      </c:pt>
                      <c:pt idx="168">
                        <c:v>-38.178370664009044</c:v>
                      </c:pt>
                      <c:pt idx="169">
                        <c:v>-36.976358394963945</c:v>
                      </c:pt>
                      <c:pt idx="170">
                        <c:v>-35.783528714122482</c:v>
                      </c:pt>
                      <c:pt idx="171">
                        <c:v>-34.602732959987989</c:v>
                      </c:pt>
                      <c:pt idx="172">
                        <c:v>-33.436518280557465</c:v>
                      </c:pt>
                      <c:pt idx="173">
                        <c:v>-32.287143282428353</c:v>
                      </c:pt>
                      <c:pt idx="174">
                        <c:v>-31.156594141175592</c:v>
                      </c:pt>
                      <c:pt idx="175">
                        <c:v>-30.046600954025244</c:v>
                      </c:pt>
                      <c:pt idx="176">
                        <c:v>-28.958654143998864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C00-4C28-951D-B4BE550B5B7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'New_removed_rate - bSIR'!$AI$7</c15:sqref>
                        </c15:formulaRef>
                      </c:ext>
                    </c:extLst>
                    <c:strCache>
                      <c:ptCount val="1"/>
                      <c:pt idx="0">
                        <c:v>selected region accel. data 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'New_removed_rate - bSIR'!$C$8:$C$184</c15:sqref>
                        </c15:formulaRef>
                      </c:ext>
                    </c:extLst>
                    <c:numCache>
                      <c:formatCode>General</c:formatCode>
                      <c:ptCount val="17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'New_removed_rate - bSIR'!$AI$8:$AI$184</c15:sqref>
                        </c15:formulaRef>
                      </c:ext>
                    </c:extLst>
                    <c:numCache>
                      <c:formatCode>0</c:formatCode>
                      <c:ptCount val="177"/>
                      <c:pt idx="56" formatCode="General">
                        <c:v>0</c:v>
                      </c:pt>
                      <c:pt idx="57" formatCode="General">
                        <c:v>0</c:v>
                      </c:pt>
                      <c:pt idx="58" formatCode="General">
                        <c:v>0</c:v>
                      </c:pt>
                      <c:pt idx="59" formatCode="General">
                        <c:v>4</c:v>
                      </c:pt>
                      <c:pt idx="60" formatCode="General">
                        <c:v>-4</c:v>
                      </c:pt>
                      <c:pt idx="61" formatCode="General">
                        <c:v>0</c:v>
                      </c:pt>
                      <c:pt idx="62" formatCode="General">
                        <c:v>1</c:v>
                      </c:pt>
                      <c:pt idx="63" formatCode="General">
                        <c:v>-1</c:v>
                      </c:pt>
                      <c:pt idx="64" formatCode="General">
                        <c:v>2</c:v>
                      </c:pt>
                      <c:pt idx="65" formatCode="General">
                        <c:v>-1</c:v>
                      </c:pt>
                      <c:pt idx="66" formatCode="General">
                        <c:v>0</c:v>
                      </c:pt>
                      <c:pt idx="67" formatCode="General">
                        <c:v>1</c:v>
                      </c:pt>
                      <c:pt idx="68" formatCode="General">
                        <c:v>-1</c:v>
                      </c:pt>
                      <c:pt idx="69" formatCode="General">
                        <c:v>0</c:v>
                      </c:pt>
                      <c:pt idx="70" formatCode="General">
                        <c:v>-1</c:v>
                      </c:pt>
                      <c:pt idx="71" formatCode="General">
                        <c:v>18</c:v>
                      </c:pt>
                      <c:pt idx="72" formatCode="General">
                        <c:v>-8</c:v>
                      </c:pt>
                      <c:pt idx="73" formatCode="General">
                        <c:v>28</c:v>
                      </c:pt>
                      <c:pt idx="74" formatCode="General">
                        <c:v>-51</c:v>
                      </c:pt>
                      <c:pt idx="75" formatCode="General">
                        <c:v>39</c:v>
                      </c:pt>
                      <c:pt idx="76" formatCode="General">
                        <c:v>-1</c:v>
                      </c:pt>
                      <c:pt idx="77" formatCode="General">
                        <c:v>1</c:v>
                      </c:pt>
                      <c:pt idx="78" formatCode="General">
                        <c:v>7</c:v>
                      </c:pt>
                      <c:pt idx="79" formatCode="General">
                        <c:v>11</c:v>
                      </c:pt>
                      <c:pt idx="80" formatCode="General">
                        <c:v>13</c:v>
                      </c:pt>
                      <c:pt idx="81" formatCode="General">
                        <c:v>-20</c:v>
                      </c:pt>
                      <c:pt idx="82" formatCode="General">
                        <c:v>20</c:v>
                      </c:pt>
                      <c:pt idx="83" formatCode="General">
                        <c:v>-4</c:v>
                      </c:pt>
                      <c:pt idx="84" formatCode="General">
                        <c:v>2</c:v>
                      </c:pt>
                      <c:pt idx="85" formatCode="General">
                        <c:v>6</c:v>
                      </c:pt>
                      <c:pt idx="86" formatCode="General">
                        <c:v>35</c:v>
                      </c:pt>
                      <c:pt idx="87" formatCode="General">
                        <c:v>4</c:v>
                      </c:pt>
                      <c:pt idx="88" formatCode="General">
                        <c:v>-39</c:v>
                      </c:pt>
                      <c:pt idx="89" formatCode="General">
                        <c:v>-24</c:v>
                      </c:pt>
                      <c:pt idx="90" formatCode="General">
                        <c:v>37</c:v>
                      </c:pt>
                      <c:pt idx="91" formatCode="General">
                        <c:v>33</c:v>
                      </c:pt>
                      <c:pt idx="92" formatCode="General">
                        <c:v>0</c:v>
                      </c:pt>
                      <c:pt idx="93" formatCode="General">
                        <c:v>-10</c:v>
                      </c:pt>
                      <c:pt idx="94" formatCode="General">
                        <c:v>-7</c:v>
                      </c:pt>
                      <c:pt idx="95" formatCode="General">
                        <c:v>-43</c:v>
                      </c:pt>
                      <c:pt idx="96" formatCode="General">
                        <c:v>29</c:v>
                      </c:pt>
                      <c:pt idx="97" formatCode="General">
                        <c:v>37</c:v>
                      </c:pt>
                      <c:pt idx="98" formatCode="General">
                        <c:v>3</c:v>
                      </c:pt>
                      <c:pt idx="99" formatCode="General">
                        <c:v>-10</c:v>
                      </c:pt>
                      <c:pt idx="100" formatCode="General">
                        <c:v>17</c:v>
                      </c:pt>
                      <c:pt idx="101" formatCode="General">
                        <c:v>30</c:v>
                      </c:pt>
                      <c:pt idx="102" formatCode="General">
                        <c:v>-35</c:v>
                      </c:pt>
                      <c:pt idx="103" formatCode="General">
                        <c:v>-48</c:v>
                      </c:pt>
                      <c:pt idx="104" formatCode="General">
                        <c:v>41</c:v>
                      </c:pt>
                      <c:pt idx="105" formatCode="General">
                        <c:v>19</c:v>
                      </c:pt>
                      <c:pt idx="106" formatCode="General">
                        <c:v>0</c:v>
                      </c:pt>
                      <c:pt idx="107" formatCode="General">
                        <c:v>-3</c:v>
                      </c:pt>
                      <c:pt idx="108" formatCode="General">
                        <c:v>33</c:v>
                      </c:pt>
                      <c:pt idx="109" formatCode="General">
                        <c:v>-11</c:v>
                      </c:pt>
                      <c:pt idx="110" formatCode="General">
                        <c:v>-14</c:v>
                      </c:pt>
                      <c:pt idx="111" formatCode="General">
                        <c:v>-7</c:v>
                      </c:pt>
                      <c:pt idx="112" formatCode="General">
                        <c:v>13</c:v>
                      </c:pt>
                      <c:pt idx="113" formatCode="General">
                        <c:v>0</c:v>
                      </c:pt>
                      <c:pt idx="114" formatCode="General">
                        <c:v>12</c:v>
                      </c:pt>
                      <c:pt idx="115" formatCode="General">
                        <c:v>-21</c:v>
                      </c:pt>
                      <c:pt idx="116" formatCode="General">
                        <c:v>8</c:v>
                      </c:pt>
                      <c:pt idx="117" formatCode="General">
                        <c:v>-86</c:v>
                      </c:pt>
                      <c:pt idx="118" formatCode="General">
                        <c:v>85</c:v>
                      </c:pt>
                      <c:pt idx="119" formatCode="General">
                        <c:v>-27</c:v>
                      </c:pt>
                      <c:pt idx="120" formatCode="General">
                        <c:v>17</c:v>
                      </c:pt>
                      <c:pt idx="121" formatCode="General">
                        <c:v>37</c:v>
                      </c:pt>
                      <c:pt idx="122" formatCode="General">
                        <c:v>-60</c:v>
                      </c:pt>
                      <c:pt idx="123" formatCode="General">
                        <c:v>-12</c:v>
                      </c:pt>
                      <c:pt idx="124" formatCode="General">
                        <c:v>2</c:v>
                      </c:pt>
                      <c:pt idx="125" formatCode="General">
                        <c:v>48</c:v>
                      </c:pt>
                      <c:pt idx="126" formatCode="General">
                        <c:v>53</c:v>
                      </c:pt>
                      <c:pt idx="127" formatCode="General">
                        <c:v>-45</c:v>
                      </c:pt>
                      <c:pt idx="128" formatCode="General">
                        <c:v>-2</c:v>
                      </c:pt>
                      <c:pt idx="129" formatCode="General">
                        <c:v>59</c:v>
                      </c:pt>
                      <c:pt idx="130" formatCode="General">
                        <c:v>-77</c:v>
                      </c:pt>
                      <c:pt idx="131" formatCode="General">
                        <c:v>-32</c:v>
                      </c:pt>
                      <c:pt idx="132" formatCode="General">
                        <c:v>-4</c:v>
                      </c:pt>
                      <c:pt idx="133" formatCode="General">
                        <c:v>32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2C00-4C28-951D-B4BE550B5B7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'New_removed_rate - bSIR'!$AW$7</c15:sqref>
                        </c15:formulaRef>
                      </c:ext>
                    </c:extLst>
                    <c:strCache>
                      <c:ptCount val="1"/>
                      <c:pt idx="0">
                        <c:v>sel. region acc. fit</c:v>
                      </c:pt>
                    </c:strCache>
                  </c:strRef>
                </c:tx>
                <c:spPr>
                  <a:ln w="19050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'New_removed_rate - bSIR'!$C$8:$C$184</c15:sqref>
                        </c15:formulaRef>
                      </c:ext>
                    </c:extLst>
                    <c:numCache>
                      <c:formatCode>General</c:formatCode>
                      <c:ptCount val="17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'New_removed_rate - bSIR'!$AW$8:$AW$184</c15:sqref>
                        </c15:formulaRef>
                      </c:ext>
                    </c:extLst>
                    <c:numCache>
                      <c:formatCode>General</c:formatCode>
                      <c:ptCount val="177"/>
                      <c:pt idx="0">
                        <c:v>4.1948790050871716E-2</c:v>
                      </c:pt>
                      <c:pt idx="1">
                        <c:v>4.4369095285325462E-2</c:v>
                      </c:pt>
                      <c:pt idx="2">
                        <c:v>4.692818780848261E-2</c:v>
                      </c:pt>
                      <c:pt idx="3">
                        <c:v>4.963392395525431E-2</c:v>
                      </c:pt>
                      <c:pt idx="4">
                        <c:v>5.2494592574241591E-2</c:v>
                      </c:pt>
                      <c:pt idx="5">
                        <c:v>5.5518937368665346E-2</c:v>
                      </c:pt>
                      <c:pt idx="6">
                        <c:v>5.8716180210843946E-2</c:v>
                      </c:pt>
                      <c:pt idx="7">
                        <c:v>6.2096045449329312E-2</c:v>
                      </c:pt>
                      <c:pt idx="8">
                        <c:v>6.5668785224670775E-2</c:v>
                      </c:pt>
                      <c:pt idx="9">
                        <c:v>6.9445205805981777E-2</c:v>
                      </c:pt>
                      <c:pt idx="10">
                        <c:v>7.3436694955954326E-2</c:v>
                      </c:pt>
                      <c:pt idx="11">
                        <c:v>7.7655250326601311E-2</c:v>
                      </c:pt>
                      <c:pt idx="12">
                        <c:v>8.2113508881697536E-2</c:v>
                      </c:pt>
                      <c:pt idx="13">
                        <c:v>8.6824777334523026E-2</c:v>
                      </c:pt>
                      <c:pt idx="14">
                        <c:v>9.1803063580955982E-2</c:v>
                      </c:pt>
                      <c:pt idx="15">
                        <c:v>9.7063109098061956E-2</c:v>
                      </c:pt>
                      <c:pt idx="16">
                        <c:v>0.10262042226694083</c:v>
                      </c:pt>
                      <c:pt idx="17">
                        <c:v>0.10849131256552814</c:v>
                      </c:pt>
                      <c:pt idx="18">
                        <c:v>0.11469292556212421</c:v>
                      </c:pt>
                      <c:pt idx="19">
                        <c:v>0.12124327862342667</c:v>
                      </c:pt>
                      <c:pt idx="20">
                        <c:v>0.12816129723154474</c:v>
                      </c:pt>
                      <c:pt idx="21">
                        <c:v>0.13546685178261539</c:v>
                      </c:pt>
                      <c:pt idx="22">
                        <c:v>0.14318079471497278</c:v>
                      </c:pt>
                      <c:pt idx="23">
                        <c:v>0.1513249977870246</c:v>
                      </c:pt>
                      <c:pt idx="24">
                        <c:v>0.15992238929376226</c:v>
                      </c:pt>
                      <c:pt idx="25">
                        <c:v>0.16899699097583565</c:v>
                      </c:pt>
                      <c:pt idx="26">
                        <c:v>0.17857395433598225</c:v>
                      </c:pt>
                      <c:pt idx="27">
                        <c:v>0.18867959603393983</c:v>
                      </c:pt>
                      <c:pt idx="28">
                        <c:v>0.199341431982381</c:v>
                      </c:pt>
                      <c:pt idx="29">
                        <c:v>0.2105882097124456</c:v>
                      </c:pt>
                      <c:pt idx="30">
                        <c:v>0.22244993851767075</c:v>
                      </c:pt>
                      <c:pt idx="31">
                        <c:v>0.2349579168190746</c:v>
                      </c:pt>
                      <c:pt idx="32">
                        <c:v>0.24814475612132583</c:v>
                      </c:pt>
                      <c:pt idx="33">
                        <c:v>0.26204440084988645</c:v>
                      </c:pt>
                      <c:pt idx="34">
                        <c:v>0.27669214327123492</c:v>
                      </c:pt>
                      <c:pt idx="35">
                        <c:v>0.2921246326023122</c:v>
                      </c:pt>
                      <c:pt idx="36">
                        <c:v>0.3083798773107097</c:v>
                      </c:pt>
                      <c:pt idx="37">
                        <c:v>0.32549723949347437</c:v>
                      </c:pt>
                      <c:pt idx="38">
                        <c:v>0.3435174200993148</c:v>
                      </c:pt>
                      <c:pt idx="39">
                        <c:v>0.36248243362625221</c:v>
                      </c:pt>
                      <c:pt idx="40">
                        <c:v>0.38243557078414425</c:v>
                      </c:pt>
                      <c:pt idx="41">
                        <c:v>0.40342134745898262</c:v>
                      </c:pt>
                      <c:pt idx="42">
                        <c:v>0.42548543815359452</c:v>
                      </c:pt>
                      <c:pt idx="43">
                        <c:v>0.44867459190763348</c:v>
                      </c:pt>
                      <c:pt idx="44">
                        <c:v>0.47303652851920797</c:v>
                      </c:pt>
                      <c:pt idx="45">
                        <c:v>0.49861981270200234</c:v>
                      </c:pt>
                      <c:pt idx="46">
                        <c:v>0.52547370361668477</c:v>
                      </c:pt>
                      <c:pt idx="47">
                        <c:v>0.55364797701541824</c:v>
                      </c:pt>
                      <c:pt idx="48">
                        <c:v>0.58319271703580589</c:v>
                      </c:pt>
                      <c:pt idx="49">
                        <c:v>0.61415807447843873</c:v>
                      </c:pt>
                      <c:pt idx="50">
                        <c:v>0.64659398820407143</c:v>
                      </c:pt>
                      <c:pt idx="51">
                        <c:v>0.68054986609683688</c:v>
                      </c:pt>
                      <c:pt idx="52">
                        <c:v>0.7160742218642383</c:v>
                      </c:pt>
                      <c:pt idx="53">
                        <c:v>0.75321426378953527</c:v>
                      </c:pt>
                      <c:pt idx="54">
                        <c:v>0.79201543142524244</c:v>
                      </c:pt>
                      <c:pt idx="55">
                        <c:v>0.83252087612702441</c:v>
                      </c:pt>
                      <c:pt idx="56">
                        <c:v>0.87477088128574398</c:v>
                      </c:pt>
                      <c:pt idx="57">
                        <c:v>0.91880221813413387</c:v>
                      </c:pt>
                      <c:pt idx="58">
                        <c:v>0.96464743309735701</c:v>
                      </c:pt>
                      <c:pt idx="59">
                        <c:v>1.0123340628393316</c:v>
                      </c:pt>
                      <c:pt idx="60">
                        <c:v>1.0618837734466655</c:v>
                      </c:pt>
                      <c:pt idx="61">
                        <c:v>1.113311420608865</c:v>
                      </c:pt>
                      <c:pt idx="62">
                        <c:v>1.1666240282182287</c:v>
                      </c:pt>
                      <c:pt idx="63">
                        <c:v>1.2218196835485331</c:v>
                      </c:pt>
                      <c:pt idx="64">
                        <c:v>1.2788863481023707</c:v>
                      </c:pt>
                      <c:pt idx="65">
                        <c:v>1.337800584368251</c:v>
                      </c:pt>
                      <c:pt idx="66">
                        <c:v>1.3985262001260073</c:v>
                      </c:pt>
                      <c:pt idx="67">
                        <c:v>1.4610128136082969</c:v>
                      </c:pt>
                      <c:pt idx="68">
                        <c:v>1.5251943447916014</c:v>
                      </c:pt>
                      <c:pt idx="69">
                        <c:v>1.5909874403741184</c:v>
                      </c:pt>
                      <c:pt idx="70">
                        <c:v>1.6582898426189518</c:v>
                      </c:pt>
                      <c:pt idx="71">
                        <c:v>1.7269787152120317</c:v>
                      </c:pt>
                      <c:pt idx="72">
                        <c:v>1.7969089426108789</c:v>
                      </c:pt>
                      <c:pt idx="73">
                        <c:v>1.867911423038596</c:v>
                      </c:pt>
                      <c:pt idx="74">
                        <c:v>1.9397913792908947</c:v>
                      </c:pt>
                      <c:pt idx="75">
                        <c:v>2.0123267158410321</c:v>
                      </c:pt>
                      <c:pt idx="76">
                        <c:v>2.0852664552983855</c:v>
                      </c:pt>
                      <c:pt idx="77">
                        <c:v>2.1583292920300545</c:v>
                      </c:pt>
                      <c:pt idx="78">
                        <c:v>2.2312023055958168</c:v>
                      </c:pt>
                      <c:pt idx="79">
                        <c:v>2.3035398814524379</c:v>
                      </c:pt>
                      <c:pt idx="80">
                        <c:v>2.3749628910013252</c:v>
                      </c:pt>
                      <c:pt idx="81">
                        <c:v>2.4450581873004396</c:v>
                      </c:pt>
                      <c:pt idx="82">
                        <c:v>2.5133784764218263</c:v>
                      </c:pt>
                      <c:pt idx="83">
                        <c:v>2.5794426272635764</c:v>
                      </c:pt>
                      <c:pt idx="84">
                        <c:v>2.6427364843449408</c:v>
                      </c:pt>
                      <c:pt idx="85">
                        <c:v>2.7027142484270259</c:v>
                      </c:pt>
                      <c:pt idx="86">
                        <c:v>2.7588004883948898</c:v>
                      </c:pt>
                      <c:pt idx="87">
                        <c:v>2.8103928443897095</c:v>
                      </c:pt>
                      <c:pt idx="88">
                        <c:v>2.8568654763796677</c:v>
                      </c:pt>
                      <c:pt idx="89">
                        <c:v>2.8975733039181355</c:v>
                      </c:pt>
                      <c:pt idx="90">
                        <c:v>2.9318570715141012</c:v>
                      </c:pt>
                      <c:pt idx="91">
                        <c:v>2.9590492596572449</c:v>
                      </c:pt>
                      <c:pt idx="92">
                        <c:v>2.9784808440142783</c:v>
                      </c:pt>
                      <c:pt idx="93">
                        <c:v>2.98948888467734</c:v>
                      </c:pt>
                      <c:pt idx="94">
                        <c:v>2.9914249037748388</c:v>
                      </c:pt>
                      <c:pt idx="95">
                        <c:v>2.9836639835902363</c:v>
                      </c:pt>
                      <c:pt idx="96">
                        <c:v>2.9656144890976019</c:v>
                      </c:pt>
                      <c:pt idx="97">
                        <c:v>2.9367282892310467</c:v>
                      </c:pt>
                      <c:pt idx="98">
                        <c:v>2.896511321170383</c:v>
                      </c:pt>
                      <c:pt idx="99">
                        <c:v>2.8445343125445799</c:v>
                      </c:pt>
                      <c:pt idx="100">
                        <c:v>2.7804434489868957</c:v>
                      </c:pt>
                      <c:pt idx="101">
                        <c:v>2.703970750301925</c:v>
                      </c:pt>
                      <c:pt idx="102">
                        <c:v>2.6149438990746545</c:v>
                      </c:pt>
                      <c:pt idx="103">
                        <c:v>2.5132952523139931</c:v>
                      </c:pt>
                      <c:pt idx="104">
                        <c:v>2.399069761044037</c:v>
                      </c:pt>
                      <c:pt idx="105">
                        <c:v>2.2724315258301364</c:v>
                      </c:pt>
                      <c:pt idx="106">
                        <c:v>2.1336687289812866</c:v>
                      </c:pt>
                      <c:pt idx="107">
                        <c:v>1.9831967071769225</c:v>
                      </c:pt>
                      <c:pt idx="108">
                        <c:v>1.821558961658561</c:v>
                      </c:pt>
                      <c:pt idx="109">
                        <c:v>1.6494259465391681</c:v>
                      </c:pt>
                      <c:pt idx="110">
                        <c:v>1.4675915283128365</c:v>
                      </c:pt>
                      <c:pt idx="111">
                        <c:v>1.2769670698494591</c:v>
                      </c:pt>
                      <c:pt idx="112">
                        <c:v>1.0785731580765308</c:v>
                      </c:pt>
                      <c:pt idx="113">
                        <c:v>0.87352906378303918</c:v>
                      </c:pt>
                      <c:pt idx="114">
                        <c:v>0.66304009178876544</c:v>
                      </c:pt>
                      <c:pt idx="115">
                        <c:v>0.44838304716464095</c:v>
                      </c:pt>
                      <c:pt idx="116">
                        <c:v>0.23089010528064008</c:v>
                      </c:pt>
                      <c:pt idx="117">
                        <c:v>1.1931427342773292E-2</c:v>
                      </c:pt>
                      <c:pt idx="118">
                        <c:v>-0.20710309379126185</c:v>
                      </c:pt>
                      <c:pt idx="119">
                        <c:v>-0.42482254244388157</c:v>
                      </c:pt>
                      <c:pt idx="120">
                        <c:v>-0.63985371256987456</c:v>
                      </c:pt>
                      <c:pt idx="121">
                        <c:v>-0.85085943197104918</c:v>
                      </c:pt>
                      <c:pt idx="122">
                        <c:v>-1.0565560607475155</c:v>
                      </c:pt>
                      <c:pt idx="123">
                        <c:v>-1.2557297752444989</c:v>
                      </c:pt>
                      <c:pt idx="124">
                        <c:v>-1.4472512905752037</c:v>
                      </c:pt>
                      <c:pt idx="125">
                        <c:v>-1.6300887276309644</c:v>
                      </c:pt>
                      <c:pt idx="126">
                        <c:v>-1.8033183918221578</c:v>
                      </c:pt>
                      <c:pt idx="127">
                        <c:v>-1.96613329779704</c:v>
                      </c:pt>
                      <c:pt idx="128">
                        <c:v>-2.1178493440813924</c:v>
                      </c:pt>
                      <c:pt idx="129">
                        <c:v>-2.2579091110150622</c:v>
                      </c:pt>
                      <c:pt idx="130">
                        <c:v>-2.385883321763373</c:v>
                      </c:pt>
                      <c:pt idx="131">
                        <c:v>-2.5014700671090577</c:v>
                      </c:pt>
                      <c:pt idx="132">
                        <c:v>-2.6044919481749416</c:v>
                      </c:pt>
                      <c:pt idx="133">
                        <c:v>-2.6948913356859658</c:v>
                      </c:pt>
                      <c:pt idx="134">
                        <c:v>-2.7727239788893381</c:v>
                      </c:pt>
                      <c:pt idx="135">
                        <c:v>-2.8381512213906799</c:v>
                      </c:pt>
                      <c:pt idx="136">
                        <c:v>-2.8914310950138722</c:v>
                      </c:pt>
                      <c:pt idx="137">
                        <c:v>-2.9329085668804824</c:v>
                      </c:pt>
                      <c:pt idx="138">
                        <c:v>-2.9630052101243458</c:v>
                      </c:pt>
                      <c:pt idx="139">
                        <c:v>-2.9822085561778575</c:v>
                      </c:pt>
                      <c:pt idx="140">
                        <c:v>-2.9910613677409921</c:v>
                      </c:pt>
                      <c:pt idx="141">
                        <c:v>-2.990151047815921</c:v>
                      </c:pt>
                      <c:pt idx="142">
                        <c:v>-2.980099373011988</c:v>
                      </c:pt>
                      <c:pt idx="143">
                        <c:v>-2.9615527100898942</c:v>
                      </c:pt>
                      <c:pt idx="144">
                        <c:v>-2.9351728446938523</c:v>
                      </c:pt>
                      <c:pt idx="145">
                        <c:v>-2.9016285215328468</c:v>
                      </c:pt>
                      <c:pt idx="146">
                        <c:v>-2.8615877668497598</c:v>
                      </c:pt>
                      <c:pt idx="147">
                        <c:v>-2.8157110375979064</c:v>
                      </c:pt>
                      <c:pt idx="148">
                        <c:v>-2.7646452178720398</c:v>
                      </c:pt>
                      <c:pt idx="149">
                        <c:v>-2.7090184621744871</c:v>
                      </c:pt>
                      <c:pt idx="150">
                        <c:v>-2.6494358672286391</c:v>
                      </c:pt>
                      <c:pt idx="151">
                        <c:v>-2.5864759393296657</c:v>
                      </c:pt>
                      <c:pt idx="152">
                        <c:v>-2.5206878125728109</c:v>
                      </c:pt>
                      <c:pt idx="153">
                        <c:v>-2.4525891645563878</c:v>
                      </c:pt>
                      <c:pt idx="154">
                        <c:v>-2.3826647700826173</c:v>
                      </c:pt>
                      <c:pt idx="155">
                        <c:v>-2.3113656296910601</c:v>
                      </c:pt>
                      <c:pt idx="156">
                        <c:v>-2.2391086082460463</c:v>
                      </c:pt>
                      <c:pt idx="157">
                        <c:v>-2.1662765189416278</c:v>
                      </c:pt>
                      <c:pt idx="158">
                        <c:v>-2.0932185896690498</c:v>
                      </c:pt>
                      <c:pt idx="159">
                        <c:v>-2.0202512514125712</c:v>
                      </c:pt>
                      <c:pt idx="160">
                        <c:v>-1.9476591919216502</c:v>
                      </c:pt>
                      <c:pt idx="161">
                        <c:v>-1.875696622101668</c:v>
                      </c:pt>
                      <c:pt idx="162">
                        <c:v>-1.8045887071524038</c:v>
                      </c:pt>
                      <c:pt idx="163">
                        <c:v>-1.734533119276652</c:v>
                      </c:pt>
                      <c:pt idx="164">
                        <c:v>-1.665701673624947</c:v>
                      </c:pt>
                      <c:pt idx="165">
                        <c:v>-1.5982420139106117</c:v>
                      </c:pt>
                      <c:pt idx="166">
                        <c:v>-1.5322793187239498</c:v>
                      </c:pt>
                      <c:pt idx="167">
                        <c:v>-1.4679180039218698</c:v>
                      </c:pt>
                      <c:pt idx="168">
                        <c:v>-1.4052434005175345</c:v>
                      </c:pt>
                      <c:pt idx="169">
                        <c:v>-1.3443233912104036</c:v>
                      </c:pt>
                      <c:pt idx="170">
                        <c:v>-1.2852099920624287</c:v>
                      </c:pt>
                      <c:pt idx="171">
                        <c:v>-1.2279408688357378</c:v>
                      </c:pt>
                      <c:pt idx="172">
                        <c:v>-1.172540780165733</c:v>
                      </c:pt>
                      <c:pt idx="173">
                        <c:v>-1.1190229420634421</c:v>
                      </c:pt>
                      <c:pt idx="174">
                        <c:v>-1.0673903102401472</c:v>
                      </c:pt>
                      <c:pt idx="175">
                        <c:v>-1.0176367784476921</c:v>
                      </c:pt>
                      <c:pt idx="176">
                        <c:v>-0.96974829245365457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C00-4C28-951D-B4BE550B5B7A}"/>
                  </c:ext>
                </c:extLst>
              </c15:ser>
            </c15:filteredScatterSeries>
          </c:ext>
        </c:extLst>
      </c:scatterChart>
      <c:valAx>
        <c:axId val="9694877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Days from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69487440"/>
        <c:crosses val="autoZero"/>
        <c:crossBetween val="midCat"/>
      </c:valAx>
      <c:valAx>
        <c:axId val="969487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Rate of</a:t>
                </a:r>
                <a:r>
                  <a:rPr lang="it-IT" baseline="0"/>
                  <a:t> new removals</a:t>
                </a:r>
                <a:r>
                  <a:rPr lang="it-IT"/>
                  <a:t> per day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694877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>
                <a:solidFill>
                  <a:srgbClr val="FF0000"/>
                </a:solidFill>
              </a:rPr>
              <a:t>Italy - rate of new removals per day (acceleration) - basic SIR</a:t>
            </a:r>
          </a:p>
          <a:p>
            <a:pPr>
              <a:defRPr/>
            </a:pPr>
            <a:r>
              <a:rPr lang="it-IT">
                <a:solidFill>
                  <a:srgbClr val="FF0000"/>
                </a:solidFill>
              </a:rPr>
              <a:t>selected region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3"/>
          <c:order val="3"/>
          <c:tx>
            <c:strRef>
              <c:f>'New_removed_rate - bSIR'!$AI$7</c:f>
              <c:strCache>
                <c:ptCount val="1"/>
                <c:pt idx="0">
                  <c:v>selected region accel. data 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'New_removed_rate - bSIR'!$C$8:$C$184</c:f>
              <c:numCache>
                <c:formatCode>General</c:formatCode>
                <c:ptCount val="17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</c:numCache>
              <c:extLst xmlns:c15="http://schemas.microsoft.com/office/drawing/2012/chart"/>
            </c:numRef>
          </c:xVal>
          <c:yVal>
            <c:numRef>
              <c:f>'New_removed_rate - bSIR'!$AI$8:$AI$184</c:f>
              <c:numCache>
                <c:formatCode>0</c:formatCode>
                <c:ptCount val="177"/>
                <c:pt idx="56" formatCode="General">
                  <c:v>0</c:v>
                </c:pt>
                <c:pt idx="57" formatCode="General">
                  <c:v>0</c:v>
                </c:pt>
                <c:pt idx="58" formatCode="General">
                  <c:v>0</c:v>
                </c:pt>
                <c:pt idx="59" formatCode="General">
                  <c:v>4</c:v>
                </c:pt>
                <c:pt idx="60" formatCode="General">
                  <c:v>-4</c:v>
                </c:pt>
                <c:pt idx="61" formatCode="General">
                  <c:v>0</c:v>
                </c:pt>
                <c:pt idx="62" formatCode="General">
                  <c:v>1</c:v>
                </c:pt>
                <c:pt idx="63" formatCode="General">
                  <c:v>-1</c:v>
                </c:pt>
                <c:pt idx="64" formatCode="General">
                  <c:v>2</c:v>
                </c:pt>
                <c:pt idx="65" formatCode="General">
                  <c:v>-1</c:v>
                </c:pt>
                <c:pt idx="66" formatCode="General">
                  <c:v>0</c:v>
                </c:pt>
                <c:pt idx="67" formatCode="General">
                  <c:v>1</c:v>
                </c:pt>
                <c:pt idx="68" formatCode="General">
                  <c:v>-1</c:v>
                </c:pt>
                <c:pt idx="69" formatCode="General">
                  <c:v>0</c:v>
                </c:pt>
                <c:pt idx="70" formatCode="General">
                  <c:v>-1</c:v>
                </c:pt>
                <c:pt idx="71" formatCode="General">
                  <c:v>18</c:v>
                </c:pt>
                <c:pt idx="72" formatCode="General">
                  <c:v>-8</c:v>
                </c:pt>
                <c:pt idx="73" formatCode="General">
                  <c:v>28</c:v>
                </c:pt>
                <c:pt idx="74" formatCode="General">
                  <c:v>-51</c:v>
                </c:pt>
                <c:pt idx="75" formatCode="General">
                  <c:v>39</c:v>
                </c:pt>
                <c:pt idx="76" formatCode="General">
                  <c:v>-1</c:v>
                </c:pt>
                <c:pt idx="77" formatCode="General">
                  <c:v>1</c:v>
                </c:pt>
                <c:pt idx="78" formatCode="General">
                  <c:v>7</c:v>
                </c:pt>
                <c:pt idx="79" formatCode="General">
                  <c:v>11</c:v>
                </c:pt>
                <c:pt idx="80" formatCode="General">
                  <c:v>13</c:v>
                </c:pt>
                <c:pt idx="81" formatCode="General">
                  <c:v>-20</c:v>
                </c:pt>
                <c:pt idx="82" formatCode="General">
                  <c:v>20</c:v>
                </c:pt>
                <c:pt idx="83" formatCode="General">
                  <c:v>-4</c:v>
                </c:pt>
                <c:pt idx="84" formatCode="General">
                  <c:v>2</c:v>
                </c:pt>
                <c:pt idx="85" formatCode="General">
                  <c:v>6</c:v>
                </c:pt>
                <c:pt idx="86" formatCode="General">
                  <c:v>35</c:v>
                </c:pt>
                <c:pt idx="87" formatCode="General">
                  <c:v>4</c:v>
                </c:pt>
                <c:pt idx="88" formatCode="General">
                  <c:v>-39</c:v>
                </c:pt>
                <c:pt idx="89" formatCode="General">
                  <c:v>-24</c:v>
                </c:pt>
                <c:pt idx="90" formatCode="General">
                  <c:v>37</c:v>
                </c:pt>
                <c:pt idx="91" formatCode="General">
                  <c:v>33</c:v>
                </c:pt>
                <c:pt idx="92" formatCode="General">
                  <c:v>0</c:v>
                </c:pt>
                <c:pt idx="93" formatCode="General">
                  <c:v>-10</c:v>
                </c:pt>
                <c:pt idx="94" formatCode="General">
                  <c:v>-7</c:v>
                </c:pt>
                <c:pt idx="95" formatCode="General">
                  <c:v>-43</c:v>
                </c:pt>
                <c:pt idx="96" formatCode="General">
                  <c:v>29</c:v>
                </c:pt>
                <c:pt idx="97" formatCode="General">
                  <c:v>37</c:v>
                </c:pt>
                <c:pt idx="98" formatCode="General">
                  <c:v>3</c:v>
                </c:pt>
                <c:pt idx="99" formatCode="General">
                  <c:v>-10</c:v>
                </c:pt>
                <c:pt idx="100" formatCode="General">
                  <c:v>17</c:v>
                </c:pt>
                <c:pt idx="101" formatCode="General">
                  <c:v>30</c:v>
                </c:pt>
                <c:pt idx="102" formatCode="General">
                  <c:v>-35</c:v>
                </c:pt>
                <c:pt idx="103" formatCode="General">
                  <c:v>-48</c:v>
                </c:pt>
                <c:pt idx="104" formatCode="General">
                  <c:v>41</c:v>
                </c:pt>
                <c:pt idx="105" formatCode="General">
                  <c:v>19</c:v>
                </c:pt>
                <c:pt idx="106" formatCode="General">
                  <c:v>0</c:v>
                </c:pt>
                <c:pt idx="107" formatCode="General">
                  <c:v>-3</c:v>
                </c:pt>
                <c:pt idx="108" formatCode="General">
                  <c:v>33</c:v>
                </c:pt>
                <c:pt idx="109" formatCode="General">
                  <c:v>-11</c:v>
                </c:pt>
                <c:pt idx="110" formatCode="General">
                  <c:v>-14</c:v>
                </c:pt>
                <c:pt idx="111" formatCode="General">
                  <c:v>-7</c:v>
                </c:pt>
                <c:pt idx="112" formatCode="General">
                  <c:v>13</c:v>
                </c:pt>
                <c:pt idx="113" formatCode="General">
                  <c:v>0</c:v>
                </c:pt>
                <c:pt idx="114" formatCode="General">
                  <c:v>12</c:v>
                </c:pt>
                <c:pt idx="115" formatCode="General">
                  <c:v>-21</c:v>
                </c:pt>
                <c:pt idx="116" formatCode="General">
                  <c:v>8</c:v>
                </c:pt>
                <c:pt idx="117" formatCode="General">
                  <c:v>-86</c:v>
                </c:pt>
                <c:pt idx="118" formatCode="General">
                  <c:v>85</c:v>
                </c:pt>
                <c:pt idx="119" formatCode="General">
                  <c:v>-27</c:v>
                </c:pt>
                <c:pt idx="120" formatCode="General">
                  <c:v>17</c:v>
                </c:pt>
                <c:pt idx="121" formatCode="General">
                  <c:v>37</c:v>
                </c:pt>
                <c:pt idx="122" formatCode="General">
                  <c:v>-60</c:v>
                </c:pt>
                <c:pt idx="123" formatCode="General">
                  <c:v>-12</c:v>
                </c:pt>
                <c:pt idx="124" formatCode="General">
                  <c:v>2</c:v>
                </c:pt>
                <c:pt idx="125" formatCode="General">
                  <c:v>48</c:v>
                </c:pt>
                <c:pt idx="126" formatCode="General">
                  <c:v>53</c:v>
                </c:pt>
                <c:pt idx="127" formatCode="General">
                  <c:v>-45</c:v>
                </c:pt>
                <c:pt idx="128" formatCode="General">
                  <c:v>-2</c:v>
                </c:pt>
                <c:pt idx="129" formatCode="General">
                  <c:v>59</c:v>
                </c:pt>
                <c:pt idx="130" formatCode="General">
                  <c:v>-77</c:v>
                </c:pt>
                <c:pt idx="131" formatCode="General">
                  <c:v>-32</c:v>
                </c:pt>
                <c:pt idx="132" formatCode="General">
                  <c:v>-4</c:v>
                </c:pt>
                <c:pt idx="133" formatCode="General">
                  <c:v>32</c:v>
                </c:pt>
              </c:numCache>
              <c:extLst xmlns:c15="http://schemas.microsoft.com/office/drawing/2012/chart"/>
            </c:numRef>
          </c:yVal>
          <c:smooth val="1"/>
          <c:extLst>
            <c:ext xmlns:c16="http://schemas.microsoft.com/office/drawing/2014/chart" uri="{C3380CC4-5D6E-409C-BE32-E72D297353CC}">
              <c16:uniqueId val="{00000003-E0A0-4A36-B1E8-B5700649E747}"/>
            </c:ext>
          </c:extLst>
        </c:ser>
        <c:ser>
          <c:idx val="4"/>
          <c:order val="4"/>
          <c:tx>
            <c:strRef>
              <c:f>'New_removed_rate - bSIR'!$AW$7</c:f>
              <c:strCache>
                <c:ptCount val="1"/>
                <c:pt idx="0">
                  <c:v>sel. region acc. fit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'New_removed_rate - bSIR'!$C$8:$C$184</c:f>
              <c:numCache>
                <c:formatCode>General</c:formatCode>
                <c:ptCount val="17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</c:numCache>
              <c:extLst xmlns:c15="http://schemas.microsoft.com/office/drawing/2012/chart"/>
            </c:numRef>
          </c:xVal>
          <c:yVal>
            <c:numRef>
              <c:f>'New_removed_rate - bSIR'!$AW$8:$AW$184</c:f>
              <c:numCache>
                <c:formatCode>General</c:formatCode>
                <c:ptCount val="177"/>
                <c:pt idx="0">
                  <c:v>4.1948790050871716E-2</c:v>
                </c:pt>
                <c:pt idx="1">
                  <c:v>4.4369095285325462E-2</c:v>
                </c:pt>
                <c:pt idx="2">
                  <c:v>4.692818780848261E-2</c:v>
                </c:pt>
                <c:pt idx="3">
                  <c:v>4.963392395525431E-2</c:v>
                </c:pt>
                <c:pt idx="4">
                  <c:v>5.2494592574241591E-2</c:v>
                </c:pt>
                <c:pt idx="5">
                  <c:v>5.5518937368665346E-2</c:v>
                </c:pt>
                <c:pt idx="6">
                  <c:v>5.8716180210843946E-2</c:v>
                </c:pt>
                <c:pt idx="7">
                  <c:v>6.2096045449329312E-2</c:v>
                </c:pt>
                <c:pt idx="8">
                  <c:v>6.5668785224670775E-2</c:v>
                </c:pt>
                <c:pt idx="9">
                  <c:v>6.9445205805981777E-2</c:v>
                </c:pt>
                <c:pt idx="10">
                  <c:v>7.3436694955954326E-2</c:v>
                </c:pt>
                <c:pt idx="11">
                  <c:v>7.7655250326601311E-2</c:v>
                </c:pt>
                <c:pt idx="12">
                  <c:v>8.2113508881697536E-2</c:v>
                </c:pt>
                <c:pt idx="13">
                  <c:v>8.6824777334523026E-2</c:v>
                </c:pt>
                <c:pt idx="14">
                  <c:v>9.1803063580955982E-2</c:v>
                </c:pt>
                <c:pt idx="15">
                  <c:v>9.7063109098061956E-2</c:v>
                </c:pt>
                <c:pt idx="16">
                  <c:v>0.10262042226694083</c:v>
                </c:pt>
                <c:pt idx="17">
                  <c:v>0.10849131256552814</c:v>
                </c:pt>
                <c:pt idx="18">
                  <c:v>0.11469292556212421</c:v>
                </c:pt>
                <c:pt idx="19">
                  <c:v>0.12124327862342667</c:v>
                </c:pt>
                <c:pt idx="20">
                  <c:v>0.12816129723154474</c:v>
                </c:pt>
                <c:pt idx="21">
                  <c:v>0.13546685178261539</c:v>
                </c:pt>
                <c:pt idx="22">
                  <c:v>0.14318079471497278</c:v>
                </c:pt>
                <c:pt idx="23">
                  <c:v>0.1513249977870246</c:v>
                </c:pt>
                <c:pt idx="24">
                  <c:v>0.15992238929376226</c:v>
                </c:pt>
                <c:pt idx="25">
                  <c:v>0.16899699097583565</c:v>
                </c:pt>
                <c:pt idx="26">
                  <c:v>0.17857395433598225</c:v>
                </c:pt>
                <c:pt idx="27">
                  <c:v>0.18867959603393983</c:v>
                </c:pt>
                <c:pt idx="28">
                  <c:v>0.199341431982381</c:v>
                </c:pt>
                <c:pt idx="29">
                  <c:v>0.2105882097124456</c:v>
                </c:pt>
                <c:pt idx="30">
                  <c:v>0.22244993851767075</c:v>
                </c:pt>
                <c:pt idx="31">
                  <c:v>0.2349579168190746</c:v>
                </c:pt>
                <c:pt idx="32">
                  <c:v>0.24814475612132583</c:v>
                </c:pt>
                <c:pt idx="33">
                  <c:v>0.26204440084988645</c:v>
                </c:pt>
                <c:pt idx="34">
                  <c:v>0.27669214327123492</c:v>
                </c:pt>
                <c:pt idx="35">
                  <c:v>0.2921246326023122</c:v>
                </c:pt>
                <c:pt idx="36">
                  <c:v>0.3083798773107097</c:v>
                </c:pt>
                <c:pt idx="37">
                  <c:v>0.32549723949347437</c:v>
                </c:pt>
                <c:pt idx="38">
                  <c:v>0.3435174200993148</c:v>
                </c:pt>
                <c:pt idx="39">
                  <c:v>0.36248243362625221</c:v>
                </c:pt>
                <c:pt idx="40">
                  <c:v>0.38243557078414425</c:v>
                </c:pt>
                <c:pt idx="41">
                  <c:v>0.40342134745898262</c:v>
                </c:pt>
                <c:pt idx="42">
                  <c:v>0.42548543815359452</c:v>
                </c:pt>
                <c:pt idx="43">
                  <c:v>0.44867459190763348</c:v>
                </c:pt>
                <c:pt idx="44">
                  <c:v>0.47303652851920797</c:v>
                </c:pt>
                <c:pt idx="45">
                  <c:v>0.49861981270200234</c:v>
                </c:pt>
                <c:pt idx="46">
                  <c:v>0.52547370361668477</c:v>
                </c:pt>
                <c:pt idx="47">
                  <c:v>0.55364797701541824</c:v>
                </c:pt>
                <c:pt idx="48">
                  <c:v>0.58319271703580589</c:v>
                </c:pt>
                <c:pt idx="49">
                  <c:v>0.61415807447843873</c:v>
                </c:pt>
                <c:pt idx="50">
                  <c:v>0.64659398820407143</c:v>
                </c:pt>
                <c:pt idx="51">
                  <c:v>0.68054986609683688</c:v>
                </c:pt>
                <c:pt idx="52">
                  <c:v>0.7160742218642383</c:v>
                </c:pt>
                <c:pt idx="53">
                  <c:v>0.75321426378953527</c:v>
                </c:pt>
                <c:pt idx="54">
                  <c:v>0.79201543142524244</c:v>
                </c:pt>
                <c:pt idx="55">
                  <c:v>0.83252087612702441</c:v>
                </c:pt>
                <c:pt idx="56">
                  <c:v>0.87477088128574398</c:v>
                </c:pt>
                <c:pt idx="57">
                  <c:v>0.91880221813413387</c:v>
                </c:pt>
                <c:pt idx="58">
                  <c:v>0.96464743309735701</c:v>
                </c:pt>
                <c:pt idx="59">
                  <c:v>1.0123340628393316</c:v>
                </c:pt>
                <c:pt idx="60">
                  <c:v>1.0618837734466655</c:v>
                </c:pt>
                <c:pt idx="61">
                  <c:v>1.113311420608865</c:v>
                </c:pt>
                <c:pt idx="62">
                  <c:v>1.1666240282182287</c:v>
                </c:pt>
                <c:pt idx="63">
                  <c:v>1.2218196835485331</c:v>
                </c:pt>
                <c:pt idx="64">
                  <c:v>1.2788863481023707</c:v>
                </c:pt>
                <c:pt idx="65">
                  <c:v>1.337800584368251</c:v>
                </c:pt>
                <c:pt idx="66">
                  <c:v>1.3985262001260073</c:v>
                </c:pt>
                <c:pt idx="67">
                  <c:v>1.4610128136082969</c:v>
                </c:pt>
                <c:pt idx="68">
                  <c:v>1.5251943447916014</c:v>
                </c:pt>
                <c:pt idx="69">
                  <c:v>1.5909874403741184</c:v>
                </c:pt>
                <c:pt idx="70">
                  <c:v>1.6582898426189518</c:v>
                </c:pt>
                <c:pt idx="71">
                  <c:v>1.7269787152120317</c:v>
                </c:pt>
                <c:pt idx="72">
                  <c:v>1.7969089426108789</c:v>
                </c:pt>
                <c:pt idx="73">
                  <c:v>1.867911423038596</c:v>
                </c:pt>
                <c:pt idx="74">
                  <c:v>1.9397913792908947</c:v>
                </c:pt>
                <c:pt idx="75">
                  <c:v>2.0123267158410321</c:v>
                </c:pt>
                <c:pt idx="76">
                  <c:v>2.0852664552983855</c:v>
                </c:pt>
                <c:pt idx="77">
                  <c:v>2.1583292920300545</c:v>
                </c:pt>
                <c:pt idx="78">
                  <c:v>2.2312023055958168</c:v>
                </c:pt>
                <c:pt idx="79">
                  <c:v>2.3035398814524379</c:v>
                </c:pt>
                <c:pt idx="80">
                  <c:v>2.3749628910013252</c:v>
                </c:pt>
                <c:pt idx="81">
                  <c:v>2.4450581873004396</c:v>
                </c:pt>
                <c:pt idx="82">
                  <c:v>2.5133784764218263</c:v>
                </c:pt>
                <c:pt idx="83">
                  <c:v>2.5794426272635764</c:v>
                </c:pt>
                <c:pt idx="84">
                  <c:v>2.6427364843449408</c:v>
                </c:pt>
                <c:pt idx="85">
                  <c:v>2.7027142484270259</c:v>
                </c:pt>
                <c:pt idx="86">
                  <c:v>2.7588004883948898</c:v>
                </c:pt>
                <c:pt idx="87">
                  <c:v>2.8103928443897095</c:v>
                </c:pt>
                <c:pt idx="88">
                  <c:v>2.8568654763796677</c:v>
                </c:pt>
                <c:pt idx="89">
                  <c:v>2.8975733039181355</c:v>
                </c:pt>
                <c:pt idx="90">
                  <c:v>2.9318570715141012</c:v>
                </c:pt>
                <c:pt idx="91">
                  <c:v>2.9590492596572449</c:v>
                </c:pt>
                <c:pt idx="92">
                  <c:v>2.9784808440142783</c:v>
                </c:pt>
                <c:pt idx="93">
                  <c:v>2.98948888467734</c:v>
                </c:pt>
                <c:pt idx="94">
                  <c:v>2.9914249037748388</c:v>
                </c:pt>
                <c:pt idx="95">
                  <c:v>2.9836639835902363</c:v>
                </c:pt>
                <c:pt idx="96">
                  <c:v>2.9656144890976019</c:v>
                </c:pt>
                <c:pt idx="97">
                  <c:v>2.9367282892310467</c:v>
                </c:pt>
                <c:pt idx="98">
                  <c:v>2.896511321170383</c:v>
                </c:pt>
                <c:pt idx="99">
                  <c:v>2.8445343125445799</c:v>
                </c:pt>
                <c:pt idx="100">
                  <c:v>2.7804434489868957</c:v>
                </c:pt>
                <c:pt idx="101">
                  <c:v>2.703970750301925</c:v>
                </c:pt>
                <c:pt idx="102">
                  <c:v>2.6149438990746545</c:v>
                </c:pt>
                <c:pt idx="103">
                  <c:v>2.5132952523139931</c:v>
                </c:pt>
                <c:pt idx="104">
                  <c:v>2.399069761044037</c:v>
                </c:pt>
                <c:pt idx="105">
                  <c:v>2.2724315258301364</c:v>
                </c:pt>
                <c:pt idx="106">
                  <c:v>2.1336687289812866</c:v>
                </c:pt>
                <c:pt idx="107">
                  <c:v>1.9831967071769225</c:v>
                </c:pt>
                <c:pt idx="108">
                  <c:v>1.821558961658561</c:v>
                </c:pt>
                <c:pt idx="109">
                  <c:v>1.6494259465391681</c:v>
                </c:pt>
                <c:pt idx="110">
                  <c:v>1.4675915283128365</c:v>
                </c:pt>
                <c:pt idx="111">
                  <c:v>1.2769670698494591</c:v>
                </c:pt>
                <c:pt idx="112">
                  <c:v>1.0785731580765308</c:v>
                </c:pt>
                <c:pt idx="113">
                  <c:v>0.87352906378303918</c:v>
                </c:pt>
                <c:pt idx="114">
                  <c:v>0.66304009178876544</c:v>
                </c:pt>
                <c:pt idx="115">
                  <c:v>0.44838304716464095</c:v>
                </c:pt>
                <c:pt idx="116">
                  <c:v>0.23089010528064008</c:v>
                </c:pt>
                <c:pt idx="117">
                  <c:v>1.1931427342773292E-2</c:v>
                </c:pt>
                <c:pt idx="118">
                  <c:v>-0.20710309379126185</c:v>
                </c:pt>
                <c:pt idx="119">
                  <c:v>-0.42482254244388157</c:v>
                </c:pt>
                <c:pt idx="120">
                  <c:v>-0.63985371256987456</c:v>
                </c:pt>
                <c:pt idx="121">
                  <c:v>-0.85085943197104918</c:v>
                </c:pt>
                <c:pt idx="122">
                  <c:v>-1.0565560607475155</c:v>
                </c:pt>
                <c:pt idx="123">
                  <c:v>-1.2557297752444989</c:v>
                </c:pt>
                <c:pt idx="124">
                  <c:v>-1.4472512905752037</c:v>
                </c:pt>
                <c:pt idx="125">
                  <c:v>-1.6300887276309644</c:v>
                </c:pt>
                <c:pt idx="126">
                  <c:v>-1.8033183918221578</c:v>
                </c:pt>
                <c:pt idx="127">
                  <c:v>-1.96613329779704</c:v>
                </c:pt>
                <c:pt idx="128">
                  <c:v>-2.1178493440813924</c:v>
                </c:pt>
                <c:pt idx="129">
                  <c:v>-2.2579091110150622</c:v>
                </c:pt>
                <c:pt idx="130">
                  <c:v>-2.385883321763373</c:v>
                </c:pt>
                <c:pt idx="131">
                  <c:v>-2.5014700671090577</c:v>
                </c:pt>
                <c:pt idx="132">
                  <c:v>-2.6044919481749416</c:v>
                </c:pt>
                <c:pt idx="133">
                  <c:v>-2.6948913356859658</c:v>
                </c:pt>
                <c:pt idx="134">
                  <c:v>-2.7727239788893381</c:v>
                </c:pt>
                <c:pt idx="135">
                  <c:v>-2.8381512213906799</c:v>
                </c:pt>
                <c:pt idx="136">
                  <c:v>-2.8914310950138722</c:v>
                </c:pt>
                <c:pt idx="137">
                  <c:v>-2.9329085668804824</c:v>
                </c:pt>
                <c:pt idx="138">
                  <c:v>-2.9630052101243458</c:v>
                </c:pt>
                <c:pt idx="139">
                  <c:v>-2.9822085561778575</c:v>
                </c:pt>
                <c:pt idx="140">
                  <c:v>-2.9910613677409921</c:v>
                </c:pt>
                <c:pt idx="141">
                  <c:v>-2.990151047815921</c:v>
                </c:pt>
                <c:pt idx="142">
                  <c:v>-2.980099373011988</c:v>
                </c:pt>
                <c:pt idx="143">
                  <c:v>-2.9615527100898942</c:v>
                </c:pt>
                <c:pt idx="144">
                  <c:v>-2.9351728446938523</c:v>
                </c:pt>
                <c:pt idx="145">
                  <c:v>-2.9016285215328468</c:v>
                </c:pt>
                <c:pt idx="146">
                  <c:v>-2.8615877668497598</c:v>
                </c:pt>
                <c:pt idx="147">
                  <c:v>-2.8157110375979064</c:v>
                </c:pt>
                <c:pt idx="148">
                  <c:v>-2.7646452178720398</c:v>
                </c:pt>
                <c:pt idx="149">
                  <c:v>-2.7090184621744871</c:v>
                </c:pt>
                <c:pt idx="150">
                  <c:v>-2.6494358672286391</c:v>
                </c:pt>
                <c:pt idx="151">
                  <c:v>-2.5864759393296657</c:v>
                </c:pt>
                <c:pt idx="152">
                  <c:v>-2.5206878125728109</c:v>
                </c:pt>
                <c:pt idx="153">
                  <c:v>-2.4525891645563878</c:v>
                </c:pt>
                <c:pt idx="154">
                  <c:v>-2.3826647700826173</c:v>
                </c:pt>
                <c:pt idx="155">
                  <c:v>-2.3113656296910601</c:v>
                </c:pt>
                <c:pt idx="156">
                  <c:v>-2.2391086082460463</c:v>
                </c:pt>
                <c:pt idx="157">
                  <c:v>-2.1662765189416278</c:v>
                </c:pt>
                <c:pt idx="158">
                  <c:v>-2.0932185896690498</c:v>
                </c:pt>
                <c:pt idx="159">
                  <c:v>-2.0202512514125712</c:v>
                </c:pt>
                <c:pt idx="160">
                  <c:v>-1.9476591919216502</c:v>
                </c:pt>
                <c:pt idx="161">
                  <c:v>-1.875696622101668</c:v>
                </c:pt>
                <c:pt idx="162">
                  <c:v>-1.8045887071524038</c:v>
                </c:pt>
                <c:pt idx="163">
                  <c:v>-1.734533119276652</c:v>
                </c:pt>
                <c:pt idx="164">
                  <c:v>-1.665701673624947</c:v>
                </c:pt>
                <c:pt idx="165">
                  <c:v>-1.5982420139106117</c:v>
                </c:pt>
                <c:pt idx="166">
                  <c:v>-1.5322793187239498</c:v>
                </c:pt>
                <c:pt idx="167">
                  <c:v>-1.4679180039218698</c:v>
                </c:pt>
                <c:pt idx="168">
                  <c:v>-1.4052434005175345</c:v>
                </c:pt>
                <c:pt idx="169">
                  <c:v>-1.3443233912104036</c:v>
                </c:pt>
                <c:pt idx="170">
                  <c:v>-1.2852099920624287</c:v>
                </c:pt>
                <c:pt idx="171">
                  <c:v>-1.2279408688357378</c:v>
                </c:pt>
                <c:pt idx="172">
                  <c:v>-1.172540780165733</c:v>
                </c:pt>
                <c:pt idx="173">
                  <c:v>-1.1190229420634421</c:v>
                </c:pt>
                <c:pt idx="174">
                  <c:v>-1.0673903102401472</c:v>
                </c:pt>
                <c:pt idx="175">
                  <c:v>-1.0176367784476921</c:v>
                </c:pt>
                <c:pt idx="176">
                  <c:v>-0.96974829245365457</c:v>
                </c:pt>
              </c:numCache>
              <c:extLst xmlns:c15="http://schemas.microsoft.com/office/drawing/2012/chart"/>
            </c:numRef>
          </c:yVal>
          <c:smooth val="1"/>
          <c:extLst>
            <c:ext xmlns:c16="http://schemas.microsoft.com/office/drawing/2014/chart" uri="{C3380CC4-5D6E-409C-BE32-E72D297353CC}">
              <c16:uniqueId val="{00000004-E0A0-4A36-B1E8-B5700649E7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9487760"/>
        <c:axId val="969487440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0"/>
                <c:tx>
                  <c:strRef>
                    <c:extLst>
                      <c:ext uri="{02D57815-91ED-43cb-92C2-25804820EDAC}">
                        <c15:formulaRef>
                          <c15:sqref>'New_removed_rate - bSIR'!$F$7</c15:sqref>
                        </c15:formulaRef>
                      </c:ext>
                    </c:extLst>
                    <c:strCache>
                      <c:ptCount val="1"/>
                      <c:pt idx="0">
                        <c:v>Italy accel. data 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'New_removed_rate - bSIR'!$C$8:$C$184</c15:sqref>
                        </c15:formulaRef>
                      </c:ext>
                    </c:extLst>
                    <c:numCache>
                      <c:formatCode>General</c:formatCode>
                      <c:ptCount val="17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'New_removed_rate - bSIR'!$F$8:$F$184</c15:sqref>
                        </c15:formulaRef>
                      </c:ext>
                    </c:extLst>
                    <c:numCache>
                      <c:formatCode>General</c:formatCode>
                      <c:ptCount val="177"/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8</c:v>
                      </c:pt>
                      <c:pt idx="55">
                        <c:v>-5</c:v>
                      </c:pt>
                      <c:pt idx="56">
                        <c:v>1</c:v>
                      </c:pt>
                      <c:pt idx="57">
                        <c:v>43</c:v>
                      </c:pt>
                      <c:pt idx="58">
                        <c:v>-42</c:v>
                      </c:pt>
                      <c:pt idx="59">
                        <c:v>7</c:v>
                      </c:pt>
                      <c:pt idx="60">
                        <c:v>26</c:v>
                      </c:pt>
                      <c:pt idx="61">
                        <c:v>46</c:v>
                      </c:pt>
                      <c:pt idx="62">
                        <c:v>-46</c:v>
                      </c:pt>
                      <c:pt idx="63">
                        <c:v>106</c:v>
                      </c:pt>
                      <c:pt idx="64">
                        <c:v>35</c:v>
                      </c:pt>
                      <c:pt idx="65">
                        <c:v>-21</c:v>
                      </c:pt>
                      <c:pt idx="66">
                        <c:v>-56</c:v>
                      </c:pt>
                      <c:pt idx="67">
                        <c:v>64</c:v>
                      </c:pt>
                      <c:pt idx="68">
                        <c:v>33</c:v>
                      </c:pt>
                      <c:pt idx="69">
                        <c:v>249</c:v>
                      </c:pt>
                      <c:pt idx="70">
                        <c:v>-211</c:v>
                      </c:pt>
                      <c:pt idx="71">
                        <c:v>165</c:v>
                      </c:pt>
                      <c:pt idx="72">
                        <c:v>29</c:v>
                      </c:pt>
                      <c:pt idx="73">
                        <c:v>271</c:v>
                      </c:pt>
                      <c:pt idx="74">
                        <c:v>35</c:v>
                      </c:pt>
                      <c:pt idx="75">
                        <c:v>26</c:v>
                      </c:pt>
                      <c:pt idx="76">
                        <c:v>-226</c:v>
                      </c:pt>
                      <c:pt idx="77">
                        <c:v>1022</c:v>
                      </c:pt>
                      <c:pt idx="78">
                        <c:v>-717</c:v>
                      </c:pt>
                      <c:pt idx="79">
                        <c:v>474</c:v>
                      </c:pt>
                      <c:pt idx="80">
                        <c:v>420</c:v>
                      </c:pt>
                      <c:pt idx="81">
                        <c:v>-133</c:v>
                      </c:pt>
                      <c:pt idx="82">
                        <c:v>-594</c:v>
                      </c:pt>
                      <c:pt idx="83">
                        <c:v>628</c:v>
                      </c:pt>
                      <c:pt idx="84">
                        <c:v>82</c:v>
                      </c:pt>
                      <c:pt idx="85">
                        <c:v>-58</c:v>
                      </c:pt>
                      <c:pt idx="86">
                        <c:v>-103</c:v>
                      </c:pt>
                      <c:pt idx="87">
                        <c:v>765</c:v>
                      </c:pt>
                      <c:pt idx="88">
                        <c:v>-921</c:v>
                      </c:pt>
                      <c:pt idx="89">
                        <c:v>1000</c:v>
                      </c:pt>
                      <c:pt idx="90">
                        <c:v>-456</c:v>
                      </c:pt>
                      <c:pt idx="91">
                        <c:v>-101</c:v>
                      </c:pt>
                      <c:pt idx="92">
                        <c:v>346</c:v>
                      </c:pt>
                      <c:pt idx="93">
                        <c:v>55</c:v>
                      </c:pt>
                      <c:pt idx="94">
                        <c:v>-327</c:v>
                      </c:pt>
                      <c:pt idx="95">
                        <c:v>-575</c:v>
                      </c:pt>
                      <c:pt idx="96">
                        <c:v>314</c:v>
                      </c:pt>
                      <c:pt idx="97">
                        <c:v>501</c:v>
                      </c:pt>
                      <c:pt idx="98">
                        <c:v>482</c:v>
                      </c:pt>
                      <c:pt idx="99">
                        <c:v>-52</c:v>
                      </c:pt>
                      <c:pt idx="100">
                        <c:v>-34</c:v>
                      </c:pt>
                      <c:pt idx="101">
                        <c:v>143</c:v>
                      </c:pt>
                      <c:pt idx="102">
                        <c:v>-590</c:v>
                      </c:pt>
                      <c:pt idx="103">
                        <c:v>-318</c:v>
                      </c:pt>
                      <c:pt idx="104">
                        <c:v>507</c:v>
                      </c:pt>
                      <c:pt idx="105">
                        <c:v>-757</c:v>
                      </c:pt>
                      <c:pt idx="106">
                        <c:v>1057</c:v>
                      </c:pt>
                      <c:pt idx="107">
                        <c:v>541</c:v>
                      </c:pt>
                      <c:pt idx="108">
                        <c:v>-456</c:v>
                      </c:pt>
                      <c:pt idx="109">
                        <c:v>-121</c:v>
                      </c:pt>
                      <c:pt idx="110">
                        <c:v>-285</c:v>
                      </c:pt>
                      <c:pt idx="111">
                        <c:v>981</c:v>
                      </c:pt>
                      <c:pt idx="112">
                        <c:v>123</c:v>
                      </c:pt>
                      <c:pt idx="113">
                        <c:v>117</c:v>
                      </c:pt>
                      <c:pt idx="114">
                        <c:v>-155</c:v>
                      </c:pt>
                      <c:pt idx="115">
                        <c:v>-305</c:v>
                      </c:pt>
                      <c:pt idx="116">
                        <c:v>-969</c:v>
                      </c:pt>
                      <c:pt idx="117">
                        <c:v>-39</c:v>
                      </c:pt>
                      <c:pt idx="118">
                        <c:v>670</c:v>
                      </c:pt>
                      <c:pt idx="119">
                        <c:v>-65</c:v>
                      </c:pt>
                      <c:pt idx="120">
                        <c:v>2344</c:v>
                      </c:pt>
                      <c:pt idx="121">
                        <c:v>-2405</c:v>
                      </c:pt>
                      <c:pt idx="122">
                        <c:v>-434</c:v>
                      </c:pt>
                      <c:pt idx="123">
                        <c:v>-225</c:v>
                      </c:pt>
                      <c:pt idx="124">
                        <c:v>-494</c:v>
                      </c:pt>
                      <c:pt idx="125">
                        <c:v>1168</c:v>
                      </c:pt>
                      <c:pt idx="126">
                        <c:v>5795</c:v>
                      </c:pt>
                      <c:pt idx="127">
                        <c:v>-5078</c:v>
                      </c:pt>
                      <c:pt idx="128">
                        <c:v>-315</c:v>
                      </c:pt>
                      <c:pt idx="129">
                        <c:v>1212</c:v>
                      </c:pt>
                      <c:pt idx="130">
                        <c:v>-1882</c:v>
                      </c:pt>
                      <c:pt idx="131">
                        <c:v>-740</c:v>
                      </c:pt>
                      <c:pt idx="132">
                        <c:v>1044</c:v>
                      </c:pt>
                      <c:pt idx="133">
                        <c:v>1073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E0A0-4A36-B1E8-B5700649E747}"/>
                  </c:ext>
                </c:extLst>
              </c15:ser>
            </c15:filteredScatterSeries>
            <c15:filteredScatterSeries>
              <c15:ser>
                <c:idx val="2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'New_removed_rate - bSIR'!$Z$7</c15:sqref>
                        </c15:formulaRef>
                      </c:ext>
                    </c:extLst>
                    <c:strCache>
                      <c:ptCount val="1"/>
                      <c:pt idx="0">
                        <c:v>Italy acc. fit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'New_removed_rate - bSIR'!$C$8:$C$184</c15:sqref>
                        </c15:formulaRef>
                      </c:ext>
                    </c:extLst>
                    <c:numCache>
                      <c:formatCode>General</c:formatCode>
                      <c:ptCount val="17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'New_removed_rate - bSIR'!$Z$8:$Z$184</c15:sqref>
                        </c15:formulaRef>
                      </c:ext>
                    </c:extLst>
                    <c:numCache>
                      <c:formatCode>General</c:formatCode>
                      <c:ptCount val="177"/>
                      <c:pt idx="0">
                        <c:v>1.5713212169658599</c:v>
                      </c:pt>
                      <c:pt idx="1">
                        <c:v>1.6499876950206425</c:v>
                      </c:pt>
                      <c:pt idx="2">
                        <c:v>1.7325450707267027</c:v>
                      </c:pt>
                      <c:pt idx="3">
                        <c:v>1.8191808748262537</c:v>
                      </c:pt>
                      <c:pt idx="4">
                        <c:v>1.910091164836121</c:v>
                      </c:pt>
                      <c:pt idx="5">
                        <c:v>2.005480858680623</c:v>
                      </c:pt>
                      <c:pt idx="6">
                        <c:v>2.1055640754173082</c:v>
                      </c:pt>
                      <c:pt idx="7">
                        <c:v>2.2105644824576118</c:v>
                      </c:pt>
                      <c:pt idx="8">
                        <c:v>2.3207156485642138</c:v>
                      </c:pt>
                      <c:pt idx="9">
                        <c:v>2.4362614017727133</c:v>
                      </c:pt>
                      <c:pt idx="10">
                        <c:v>2.5574561912356222</c:v>
                      </c:pt>
                      <c:pt idx="11">
                        <c:v>2.6845654518205002</c:v>
                      </c:pt>
                      <c:pt idx="12">
                        <c:v>2.817865970109688</c:v>
                      </c:pt>
                      <c:pt idx="13">
                        <c:v>2.9576462502446645</c:v>
                      </c:pt>
                      <c:pt idx="14">
                        <c:v>3.1042068778325214</c:v>
                      </c:pt>
                      <c:pt idx="15">
                        <c:v>3.2578608798828008</c:v>
                      </c:pt>
                      <c:pt idx="16">
                        <c:v>3.4189340784685891</c:v>
                      </c:pt>
                      <c:pt idx="17">
                        <c:v>3.5877654355043016</c:v>
                      </c:pt>
                      <c:pt idx="18">
                        <c:v>3.7647073857012807</c:v>
                      </c:pt>
                      <c:pt idx="19">
                        <c:v>3.9501261543999817</c:v>
                      </c:pt>
                      <c:pt idx="20">
                        <c:v>4.1444020565808222</c:v>
                      </c:pt>
                      <c:pt idx="21">
                        <c:v>4.3479297729229716</c:v>
                      </c:pt>
                      <c:pt idx="22">
                        <c:v>4.5611185983090072</c:v>
                      </c:pt>
                      <c:pt idx="23">
                        <c:v>4.7843926576606695</c:v>
                      </c:pt>
                      <c:pt idx="24">
                        <c:v>5.0181910834347487</c:v>
                      </c:pt>
                      <c:pt idx="25">
                        <c:v>5.2629681485062179</c:v>
                      </c:pt>
                      <c:pt idx="26">
                        <c:v>5.5191933475149577</c:v>
                      </c:pt>
                      <c:pt idx="27">
                        <c:v>5.7873514190517064</c:v>
                      </c:pt>
                      <c:pt idx="28">
                        <c:v>6.0679423003051838</c:v>
                      </c:pt>
                      <c:pt idx="29">
                        <c:v>6.3614810049842454</c:v>
                      </c:pt>
                      <c:pt idx="30">
                        <c:v>6.6684974144656701</c:v>
                      </c:pt>
                      <c:pt idx="31">
                        <c:v>6.9895359711970988</c:v>
                      </c:pt>
                      <c:pt idx="32">
                        <c:v>7.3251552624073391</c:v>
                      </c:pt>
                      <c:pt idx="33">
                        <c:v>7.675927481141402</c:v>
                      </c:pt>
                      <c:pt idx="34">
                        <c:v>8.0424377505467284</c:v>
                      </c:pt>
                      <c:pt idx="35">
                        <c:v>8.4252832961930224</c:v>
                      </c:pt>
                      <c:pt idx="36">
                        <c:v>8.8250724500127404</c:v>
                      </c:pt>
                      <c:pt idx="37">
                        <c:v>9.2424234682086297</c:v>
                      </c:pt>
                      <c:pt idx="38">
                        <c:v>9.677963144194841</c:v>
                      </c:pt>
                      <c:pt idx="39">
                        <c:v>10.132325196326796</c:v>
                      </c:pt>
                      <c:pt idx="40">
                        <c:v>10.606148408844106</c:v>
                      </c:pt>
                      <c:pt idx="41">
                        <c:v>11.100074503112781</c:v>
                      </c:pt>
                      <c:pt idx="42">
                        <c:v>11.614745714924274</c:v>
                      </c:pt>
                      <c:pt idx="43">
                        <c:v>12.150802052309805</c:v>
                      </c:pt>
                      <c:pt idx="44">
                        <c:v>12.708878207081984</c:v>
                      </c:pt>
                      <c:pt idx="45">
                        <c:v>13.289600092150321</c:v>
                      </c:pt>
                      <c:pt idx="46">
                        <c:v>13.893580975605326</c:v>
                      </c:pt>
                      <c:pt idx="47">
                        <c:v>14.52141718166574</c:v>
                      </c:pt>
                      <c:pt idx="48">
                        <c:v>15.173683327879315</c:v>
                      </c:pt>
                      <c:pt idx="49">
                        <c:v>15.85092706750895</c:v>
                      </c:pt>
                      <c:pt idx="50">
                        <c:v>16.553663305881063</c:v>
                      </c:pt>
                      <c:pt idx="51">
                        <c:v>17.2823678596855</c:v>
                      </c:pt>
                      <c:pt idx="52">
                        <c:v>18.037470528868798</c:v>
                      </c:pt>
                      <c:pt idx="53">
                        <c:v>18.819347551935049</c:v>
                      </c:pt>
                      <c:pt idx="54">
                        <c:v>19.628313417249867</c:v>
                      </c:pt>
                      <c:pt idx="55">
                        <c:v>20.464612005429149</c:v>
                      </c:pt>
                      <c:pt idx="56">
                        <c:v>21.328407041190356</c:v>
                      </c:pt>
                      <c:pt idx="57">
                        <c:v>22.219771837263142</c:v>
                      </c:pt>
                      <c:pt idx="58">
                        <c:v>23.138678318215611</c:v>
                      </c:pt>
                      <c:pt idx="59">
                        <c:v>24.08498531847934</c:v>
                      </c:pt>
                      <c:pt idx="60">
                        <c:v>25.058426156577717</c:v>
                      </c:pt>
                      <c:pt idx="61">
                        <c:v>26.058595496710343</c:v>
                      </c:pt>
                      <c:pt idx="62">
                        <c:v>27.084935519549578</c:v>
                      </c:pt>
                      <c:pt idx="63">
                        <c:v>28.136721436491182</c:v>
                      </c:pt>
                      <c:pt idx="64">
                        <c:v>29.213046395783582</c:v>
                      </c:pt>
                      <c:pt idx="65">
                        <c:v>30.312805845045052</c:v>
                      </c:pt>
                      <c:pt idx="66">
                        <c:v>31.434681432744888</c:v>
                      </c:pt>
                      <c:pt idx="67">
                        <c:v>32.577124551330428</c:v>
                      </c:pt>
                      <c:pt idx="68">
                        <c:v>33.738339646846256</c:v>
                      </c:pt>
                      <c:pt idx="69">
                        <c:v>34.916267444087786</c:v>
                      </c:pt>
                      <c:pt idx="70">
                        <c:v>36.108568262483431</c:v>
                      </c:pt>
                      <c:pt idx="71">
                        <c:v>37.31260562585571</c:v>
                      </c:pt>
                      <c:pt idx="72">
                        <c:v>38.52543039875593</c:v>
                      </c:pt>
                      <c:pt idx="73">
                        <c:v>39.743765712878542</c:v>
                      </c:pt>
                      <c:pt idx="74">
                        <c:v>40.963992978733238</c:v>
                      </c:pt>
                      <c:pt idx="75">
                        <c:v>42.182139309749935</c:v>
                      </c:pt>
                      <c:pt idx="76">
                        <c:v>43.393866717667969</c:v>
                      </c:pt>
                      <c:pt idx="77">
                        <c:v>44.594463468626373</c:v>
                      </c:pt>
                      <c:pt idx="78">
                        <c:v>45.778838017905471</c:v>
                      </c:pt>
                      <c:pt idx="79">
                        <c:v>46.941515966705673</c:v>
                      </c:pt>
                      <c:pt idx="80">
                        <c:v>48.076640505480675</c:v>
                      </c:pt>
                      <c:pt idx="81">
                        <c:v>49.177976823833781</c:v>
                      </c:pt>
                      <c:pt idx="82">
                        <c:v>50.238920975383856</c:v>
                      </c:pt>
                      <c:pt idx="83">
                        <c:v>51.252513685767717</c:v>
                      </c:pt>
                      <c:pt idx="84">
                        <c:v>52.211459581457831</c:v>
                      </c:pt>
                      <c:pt idx="85">
                        <c:v>53.108152294719169</c:v>
                      </c:pt>
                      <c:pt idx="86">
                        <c:v>53.934705864216895</c:v>
                      </c:pt>
                      <c:pt idx="87">
                        <c:v>54.682992800031634</c:v>
                      </c:pt>
                      <c:pt idx="88">
                        <c:v>55.344689114834054</c:v>
                      </c:pt>
                      <c:pt idx="89">
                        <c:v>55.911326538668959</c:v>
                      </c:pt>
                      <c:pt idx="90">
                        <c:v>56.374352032509556</c:v>
                      </c:pt>
                      <c:pt idx="91">
                        <c:v>56.72519459522865</c:v>
                      </c:pt>
                      <c:pt idx="92">
                        <c:v>56.955339220214938</c:v>
                      </c:pt>
                      <c:pt idx="93">
                        <c:v>57.05640770249677</c:v>
                      </c:pt>
                      <c:pt idx="94">
                        <c:v>57.020245826637641</c:v>
                      </c:pt>
                      <c:pt idx="95">
                        <c:v>56.83901628233059</c:v>
                      </c:pt>
                      <c:pt idx="96">
                        <c:v>56.505296461920331</c:v>
                      </c:pt>
                      <c:pt idx="97">
                        <c:v>56.012180096248763</c:v>
                      </c:pt>
                      <c:pt idx="98">
                        <c:v>55.353381487347725</c:v>
                      </c:pt>
                      <c:pt idx="99">
                        <c:v>54.52334090446594</c:v>
                      </c:pt>
                      <c:pt idx="100">
                        <c:v>53.517329530274758</c:v>
                      </c:pt>
                      <c:pt idx="101">
                        <c:v>52.331552183910084</c:v>
                      </c:pt>
                      <c:pt idx="102">
                        <c:v>50.963245914139193</c:v>
                      </c:pt>
                      <c:pt idx="103">
                        <c:v>49.410772456769045</c:v>
                      </c:pt>
                      <c:pt idx="104">
                        <c:v>47.673702492537359</c:v>
                      </c:pt>
                      <c:pt idx="105">
                        <c:v>45.752889631610245</c:v>
                      </c:pt>
                      <c:pt idx="106">
                        <c:v>43.650532093922749</c:v>
                      </c:pt>
                      <c:pt idx="107">
                        <c:v>41.370220155048976</c:v>
                      </c:pt>
                      <c:pt idx="108">
                        <c:v>38.916967587487655</c:v>
                      </c:pt>
                      <c:pt idx="109">
                        <c:v>36.297225547599659</c:v>
                      </c:pt>
                      <c:pt idx="110">
                        <c:v>33.518877637103238</c:v>
                      </c:pt>
                      <c:pt idx="111">
                        <c:v>30.591215200804971</c:v>
                      </c:pt>
                      <c:pt idx="112">
                        <c:v>27.524892302476065</c:v>
                      </c:pt>
                      <c:pt idx="113">
                        <c:v>24.331860239494421</c:v>
                      </c:pt>
                      <c:pt idx="114">
                        <c:v>21.025281902943224</c:v>
                      </c:pt>
                      <c:pt idx="115">
                        <c:v>17.619426750381923</c:v>
                      </c:pt>
                      <c:pt idx="116">
                        <c:v>14.129547619233298</c:v>
                      </c:pt>
                      <c:pt idx="117">
                        <c:v>10.571741054641741</c:v>
                      </c:pt>
                      <c:pt idx="118">
                        <c:v>6.9627932415768132</c:v>
                      </c:pt>
                      <c:pt idx="119">
                        <c:v>3.3200140022529814</c:v>
                      </c:pt>
                      <c:pt idx="120">
                        <c:v>-0.3389383668211588</c:v>
                      </c:pt>
                      <c:pt idx="121">
                        <c:v>-3.9962384002229969</c:v>
                      </c:pt>
                      <c:pt idx="122">
                        <c:v>-7.634077728612497</c:v>
                      </c:pt>
                      <c:pt idx="123">
                        <c:v>-11.234849040669621</c:v>
                      </c:pt>
                      <c:pt idx="124">
                        <c:v>-14.781326487485538</c:v>
                      </c:pt>
                      <c:pt idx="125">
                        <c:v>-18.256839370854635</c:v>
                      </c:pt>
                      <c:pt idx="126">
                        <c:v>-21.645436136928435</c:v>
                      </c:pt>
                      <c:pt idx="127">
                        <c:v>-24.932035953980186</c:v>
                      </c:pt>
                      <c:pt idx="128">
                        <c:v>-28.102565477955313</c:v>
                      </c:pt>
                      <c:pt idx="129">
                        <c:v>-31.144078790100281</c:v>
                      </c:pt>
                      <c:pt idx="130">
                        <c:v>-34.044858913563623</c:v>
                      </c:pt>
                      <c:pt idx="131">
                        <c:v>-36.794499765666522</c:v>
                      </c:pt>
                      <c:pt idx="132">
                        <c:v>-39.383967864349884</c:v>
                      </c:pt>
                      <c:pt idx="133">
                        <c:v>-41.805643566193574</c:v>
                      </c:pt>
                      <c:pt idx="134">
                        <c:v>-44.053342055336778</c:v>
                      </c:pt>
                      <c:pt idx="135">
                        <c:v>-46.122314714990651</c:v>
                      </c:pt>
                      <c:pt idx="136">
                        <c:v>-48.009231885290994</c:v>
                      </c:pt>
                      <c:pt idx="137">
                        <c:v>-49.712148334420725</c:v>
                      </c:pt>
                      <c:pt idx="138">
                        <c:v>-51.23045303805101</c:v>
                      </c:pt>
                      <c:pt idx="139">
                        <c:v>-52.564805071430541</c:v>
                      </c:pt>
                      <c:pt idx="140">
                        <c:v>-53.717057567496305</c:v>
                      </c:pt>
                      <c:pt idx="141">
                        <c:v>-54.690171783975885</c:v>
                      </c:pt>
                      <c:pt idx="142">
                        <c:v>-55.488123355352805</c:v>
                      </c:pt>
                      <c:pt idx="143">
                        <c:v>-56.115802786159243</c:v>
                      </c:pt>
                      <c:pt idx="144">
                        <c:v>-56.578912176027345</c:v>
                      </c:pt>
                      <c:pt idx="145">
                        <c:v>-56.883860060878511</c:v>
                      </c:pt>
                      <c:pt idx="146">
                        <c:v>-57.037656115735949</c:v>
                      </c:pt>
                      <c:pt idx="147">
                        <c:v>-57.047807300305365</c:v>
                      </c:pt>
                      <c:pt idx="148">
                        <c:v>-56.922216846012851</c:v>
                      </c:pt>
                      <c:pt idx="149">
                        <c:v>-56.669087289593897</c:v>
                      </c:pt>
                      <c:pt idx="150">
                        <c:v>-56.296828560042655</c:v>
                      </c:pt>
                      <c:pt idx="151">
                        <c:v>-55.81397192848879</c:v>
                      </c:pt>
                      <c:pt idx="152">
                        <c:v>-55.22909043930985</c:v>
                      </c:pt>
                      <c:pt idx="153">
                        <c:v>-54.550726259582781</c:v>
                      </c:pt>
                      <c:pt idx="154">
                        <c:v>-53.787325216032926</c:v>
                      </c:pt>
                      <c:pt idx="155">
                        <c:v>-52.947178636309275</c:v>
                      </c:pt>
                      <c:pt idx="156">
                        <c:v>-52.03837247625551</c:v>
                      </c:pt>
                      <c:pt idx="157">
                        <c:v>-51.068743597702927</c:v>
                      </c:pt>
                      <c:pt idx="158">
                        <c:v>-50.045842962384903</c:v>
                      </c:pt>
                      <c:pt idx="159">
                        <c:v>-48.976905426535872</c:v>
                      </c:pt>
                      <c:pt idx="160">
                        <c:v>-47.868825756831804</c:v>
                      </c:pt>
                      <c:pt idx="161">
                        <c:v>-46.728140440444463</c:v>
                      </c:pt>
                      <c:pt idx="162">
                        <c:v>-45.561014828777509</c:v>
                      </c:pt>
                      <c:pt idx="163">
                        <c:v>-44.373235134417044</c:v>
                      </c:pt>
                      <c:pt idx="164">
                        <c:v>-43.170204792360359</c:v>
                      </c:pt>
                      <c:pt idx="165">
                        <c:v>-41.956944698067453</c:v>
                      </c:pt>
                      <c:pt idx="166">
                        <c:v>-40.738096844703577</c:v>
                      </c:pt>
                      <c:pt idx="167">
                        <c:v>-39.51793089858495</c:v>
                      </c:pt>
                      <c:pt idx="168">
                        <c:v>-38.300353273864133</c:v>
                      </c:pt>
                      <c:pt idx="169">
                        <c:v>-37.088918293587767</c:v>
                      </c:pt>
                      <c:pt idx="170">
                        <c:v>-35.886841053245284</c:v>
                      </c:pt>
                      <c:pt idx="171">
                        <c:v>-34.697011633764021</c:v>
                      </c:pt>
                      <c:pt idx="172">
                        <c:v>-33.522010342696198</c:v>
                      </c:pt>
                      <c:pt idx="173">
                        <c:v>-32.364123694327176</c:v>
                      </c:pt>
                      <c:pt idx="174">
                        <c:v>-31.225360870980523</c:v>
                      </c:pt>
                      <c:pt idx="175">
                        <c:v>-30.107470438403578</c:v>
                      </c:pt>
                      <c:pt idx="176">
                        <c:v>-29.011957117385592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E0A0-4A36-B1E8-B5700649E747}"/>
                  </c:ext>
                </c:extLst>
              </c15:ser>
            </c15:filteredScatterSeries>
            <c15:filteredScatterSeries>
              <c15:ser>
                <c:idx val="0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'New_removed_rate - bSIR'!$L$7</c15:sqref>
                        </c15:formulaRef>
                      </c:ext>
                    </c:extLst>
                    <c:strCache>
                      <c:ptCount val="1"/>
                      <c:pt idx="0">
                        <c:v>Italy (fit of selected region + fitted sum of the other regions)</c:v>
                      </c:pt>
                    </c:strCache>
                  </c:strRef>
                </c:tx>
                <c:spPr>
                  <a:ln w="19050" cap="rnd">
                    <a:solidFill>
                      <a:schemeClr val="tx1"/>
                    </a:solidFill>
                    <a:prstDash val="lgDash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'New_removed_rate - bSIR'!$C$8:$C$184</c15:sqref>
                        </c15:formulaRef>
                      </c:ext>
                    </c:extLst>
                    <c:numCache>
                      <c:formatCode>General</c:formatCode>
                      <c:ptCount val="17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'New_removed_rate - bSIR'!$L$8:$L$184</c15:sqref>
                        </c15:formulaRef>
                      </c:ext>
                    </c:extLst>
                    <c:numCache>
                      <c:formatCode>General</c:formatCode>
                      <c:ptCount val="177"/>
                      <c:pt idx="0">
                        <c:v>1.5874441143154365</c:v>
                      </c:pt>
                      <c:pt idx="1">
                        <c:v>1.6666167674157331</c:v>
                      </c:pt>
                      <c:pt idx="2">
                        <c:v>1.749692130362688</c:v>
                      </c:pt>
                      <c:pt idx="3">
                        <c:v>1.8368577339976297</c:v>
                      </c:pt>
                      <c:pt idx="4">
                        <c:v>1.9283096116570584</c:v>
                      </c:pt>
                      <c:pt idx="5">
                        <c:v>2.0242526307788</c:v>
                      </c:pt>
                      <c:pt idx="6">
                        <c:v>2.1249008314971842</c:v>
                      </c:pt>
                      <c:pt idx="7">
                        <c:v>2.2304777716279309</c:v>
                      </c:pt>
                      <c:pt idx="8">
                        <c:v>2.3412168773237227</c:v>
                      </c:pt>
                      <c:pt idx="9">
                        <c:v>2.4573617985478382</c:v>
                      </c:pt>
                      <c:pt idx="10">
                        <c:v>2.5791667683643982</c:v>
                      </c:pt>
                      <c:pt idx="11">
                        <c:v>2.7068969648782888</c:v>
                      </c:pt>
                      <c:pt idx="12">
                        <c:v>2.8408288744744388</c:v>
                      </c:pt>
                      <c:pt idx="13">
                        <c:v>2.9812506548028614</c:v>
                      </c:pt>
                      <c:pt idx="14">
                        <c:v>3.1284624957313167</c:v>
                      </c:pt>
                      <c:pt idx="15">
                        <c:v>3.2827769762396768</c:v>
                      </c:pt>
                      <c:pt idx="16">
                        <c:v>3.4445194149573015</c:v>
                      </c:pt>
                      <c:pt idx="17">
                        <c:v>3.6140282117446212</c:v>
                      </c:pt>
                      <c:pt idx="18">
                        <c:v>3.7916551773910285</c:v>
                      </c:pt>
                      <c:pt idx="19">
                        <c:v>3.9777658481405185</c:v>
                      </c:pt>
                      <c:pt idx="20">
                        <c:v>4.172739781362262</c:v>
                      </c:pt>
                      <c:pt idx="21">
                        <c:v>4.3769708282527491</c:v>
                      </c:pt>
                      <c:pt idx="22">
                        <c:v>4.5908673789873413</c:v>
                      </c:pt>
                      <c:pt idx="23">
                        <c:v>4.8148525752293345</c:v>
                      </c:pt>
                      <c:pt idx="24">
                        <c:v>5.0493644843513135</c:v>
                      </c:pt>
                      <c:pt idx="25">
                        <c:v>5.2948562291245755</c:v>
                      </c:pt>
                      <c:pt idx="26">
                        <c:v>5.5517960659854264</c:v>
                      </c:pt>
                      <c:pt idx="27">
                        <c:v>5.8206674042894075</c:v>
                      </c:pt>
                      <c:pt idx="28">
                        <c:v>6.1019687582144995</c:v>
                      </c:pt>
                      <c:pt idx="29">
                        <c:v>6.396213622170138</c:v>
                      </c:pt>
                      <c:pt idx="30">
                        <c:v>6.7039302597086827</c:v>
                      </c:pt>
                      <c:pt idx="31">
                        <c:v>7.025661395018985</c:v>
                      </c:pt>
                      <c:pt idx="32">
                        <c:v>7.3619637951073926</c:v>
                      </c:pt>
                      <c:pt idx="33">
                        <c:v>7.7134077297399513</c:v>
                      </c:pt>
                      <c:pt idx="34">
                        <c:v>8.080576295131598</c:v>
                      </c:pt>
                      <c:pt idx="35">
                        <c:v>8.4640645862259145</c:v>
                      </c:pt>
                      <c:pt idx="36">
                        <c:v>8.8644787012155799</c:v>
                      </c:pt>
                      <c:pt idx="37">
                        <c:v>9.282434560713698</c:v>
                      </c:pt>
                      <c:pt idx="38">
                        <c:v>9.7185565227053559</c:v>
                      </c:pt>
                      <c:pt idx="39">
                        <c:v>10.173475773096214</c:v>
                      </c:pt>
                      <c:pt idx="40">
                        <c:v>10.64782847034035</c:v>
                      </c:pt>
                      <c:pt idx="41">
                        <c:v>11.142253621285642</c:v>
                      </c:pt>
                      <c:pt idx="42">
                        <c:v>11.657390664039182</c:v>
                      </c:pt>
                      <c:pt idx="43">
                        <c:v>12.193876732344904</c:v>
                      </c:pt>
                      <c:pt idx="44">
                        <c:v>12.752343574705824</c:v>
                      </c:pt>
                      <c:pt idx="45">
                        <c:v>13.333414100300129</c:v>
                      </c:pt>
                      <c:pt idx="46">
                        <c:v>13.937698522667482</c:v>
                      </c:pt>
                      <c:pt idx="47">
                        <c:v>14.565790071215289</c:v>
                      </c:pt>
                      <c:pt idx="48">
                        <c:v>15.21826023985968</c:v>
                      </c:pt>
                      <c:pt idx="49">
                        <c:v>15.895653541620733</c:v>
                      </c:pt>
                      <c:pt idx="50">
                        <c:v>16.598481737794131</c:v>
                      </c:pt>
                      <c:pt idx="51">
                        <c:v>17.32721751048506</c:v>
                      </c:pt>
                      <c:pt idx="52">
                        <c:v>18.082287547887415</c:v>
                      </c:pt>
                      <c:pt idx="53">
                        <c:v>18.864065012802342</c:v>
                      </c:pt>
                      <c:pt idx="54">
                        <c:v>19.67286136660303</c:v>
                      </c:pt>
                      <c:pt idx="55">
                        <c:v>20.50891752326417</c:v>
                      </c:pt>
                      <c:pt idx="56">
                        <c:v>21.372394311292044</c:v>
                      </c:pt>
                      <c:pt idx="57">
                        <c:v>22.263362225525103</c:v>
                      </c:pt>
                      <c:pt idx="58">
                        <c:v>23.181790455948587</c:v>
                      </c:pt>
                      <c:pt idx="59">
                        <c:v>24.127535187006171</c:v>
                      </c:pt>
                      <c:pt idx="60">
                        <c:v>25.100327168528263</c:v>
                      </c:pt>
                      <c:pt idx="61">
                        <c:v>26.099758568465067</c:v>
                      </c:pt>
                      <c:pt idx="62">
                        <c:v>27.125269128248476</c:v>
                      </c:pt>
                      <c:pt idx="63">
                        <c:v>28.176131653937826</c:v>
                      </c:pt>
                      <c:pt idx="64">
                        <c:v>29.251436890457487</c:v>
                      </c:pt>
                      <c:pt idx="65">
                        <c:v>30.35007784231647</c:v>
                      </c:pt>
                      <c:pt idx="66">
                        <c:v>31.470733622303754</c:v>
                      </c:pt>
                      <c:pt idx="67">
                        <c:v>32.611852929842748</c:v>
                      </c:pt>
                      <c:pt idx="68">
                        <c:v>33.771637282993872</c:v>
                      </c:pt>
                      <c:pt idx="69">
                        <c:v>34.94802415250242</c:v>
                      </c:pt>
                      <c:pt idx="70">
                        <c:v>36.138670172730031</c:v>
                      </c:pt>
                      <c:pt idx="71">
                        <c:v>37.340934632650615</c:v>
                      </c:pt>
                      <c:pt idx="72">
                        <c:v>38.551863480119458</c:v>
                      </c:pt>
                      <c:pt idx="73">
                        <c:v>39.768174104037563</c:v>
                      </c:pt>
                      <c:pt idx="74">
                        <c:v>40.986241191422337</c:v>
                      </c:pt>
                      <c:pt idx="75">
                        <c:v>42.202083989237757</c:v>
                      </c:pt>
                      <c:pt idx="76">
                        <c:v>43.411355333478674</c:v>
                      </c:pt>
                      <c:pt idx="77">
                        <c:v>44.609332839653838</c:v>
                      </c:pt>
                      <c:pt idx="78">
                        <c:v>45.790912678533083</c:v>
                      </c:pt>
                      <c:pt idx="79">
                        <c:v>46.950606387724086</c:v>
                      </c:pt>
                      <c:pt idx="80">
                        <c:v>48.082541192091341</c:v>
                      </c:pt>
                      <c:pt idx="81">
                        <c:v>49.180464322830446</c:v>
                      </c:pt>
                      <c:pt idx="82">
                        <c:v>50.237751834666646</c:v>
                      </c:pt>
                      <c:pt idx="83">
                        <c:v>51.247422421525677</c:v>
                      </c:pt>
                      <c:pt idx="84">
                        <c:v>52.20215672144365</c:v>
                      </c:pt>
                      <c:pt idx="85">
                        <c:v>53.094322579713193</c:v>
                      </c:pt>
                      <c:pt idx="86">
                        <c:v>53.916006703610222</c:v>
                      </c:pt>
                      <c:pt idx="87">
                        <c:v>54.659053090905068</c:v>
                      </c:pt>
                      <c:pt idx="88">
                        <c:v>55.315108546306838</c:v>
                      </c:pt>
                      <c:pt idx="89">
                        <c:v>55.875675513857864</c:v>
                      </c:pt>
                      <c:pt idx="90">
                        <c:v>56.332172348296027</c:v>
                      </c:pt>
                      <c:pt idx="91">
                        <c:v>56.676001024214692</c:v>
                      </c:pt>
                      <c:pt idx="92">
                        <c:v>56.898622138752266</c:v>
                      </c:pt>
                      <c:pt idx="93">
                        <c:v>56.991636902489944</c:v>
                      </c:pt>
                      <c:pt idx="94">
                        <c:v>56.946875635997557</c:v>
                      </c:pt>
                      <c:pt idx="95">
                        <c:v>56.756492098668183</c:v>
                      </c:pt>
                      <c:pt idx="96">
                        <c:v>56.413062775690982</c:v>
                      </c:pt>
                      <c:pt idx="97">
                        <c:v>55.909690042752771</c:v>
                      </c:pt>
                      <c:pt idx="98">
                        <c:v>55.240107921782979</c:v>
                      </c:pt>
                      <c:pt idx="99">
                        <c:v>54.398788941088071</c:v>
                      </c:pt>
                      <c:pt idx="100">
                        <c:v>53.381050426628775</c:v>
                      </c:pt>
                      <c:pt idx="101">
                        <c:v>52.183158385584356</c:v>
                      </c:pt>
                      <c:pt idx="102">
                        <c:v>50.802427006659244</c:v>
                      </c:pt>
                      <c:pt idx="103">
                        <c:v>49.23731170174112</c:v>
                      </c:pt>
                      <c:pt idx="104">
                        <c:v>47.487493558099921</c:v>
                      </c:pt>
                      <c:pt idx="105">
                        <c:v>45.553953066165917</c:v>
                      </c:pt>
                      <c:pt idx="106">
                        <c:v>43.439031040735486</c:v>
                      </c:pt>
                      <c:pt idx="107">
                        <c:v>41.146474767363941</c:v>
                      </c:pt>
                      <c:pt idx="108">
                        <c:v>38.681467582930225</c:v>
                      </c:pt>
                      <c:pt idx="109">
                        <c:v>36.050640339850496</c:v>
                      </c:pt>
                      <c:pt idx="110">
                        <c:v>33.262063504645418</c:v>
                      </c:pt>
                      <c:pt idx="111">
                        <c:v>30.325218998372531</c:v>
                      </c:pt>
                      <c:pt idx="112">
                        <c:v>27.250951291034635</c:v>
                      </c:pt>
                      <c:pt idx="113">
                        <c:v>24.051397704198784</c:v>
                      </c:pt>
                      <c:pt idx="114">
                        <c:v>20.739898343231211</c:v>
                      </c:pt>
                      <c:pt idx="115">
                        <c:v>17.330886558522916</c:v>
                      </c:pt>
                      <c:pt idx="116">
                        <c:v>13.839761308371882</c:v>
                      </c:pt>
                      <c:pt idx="117">
                        <c:v>10.282743248763259</c:v>
                      </c:pt>
                      <c:pt idx="118">
                        <c:v>6.6767167912523719</c:v>
                      </c:pt>
                      <c:pt idx="119">
                        <c:v>3.0390607345182015</c:v>
                      </c:pt>
                      <c:pt idx="120">
                        <c:v>-0.61252962545761691</c:v>
                      </c:pt>
                      <c:pt idx="121">
                        <c:v>-4.2602257783081212</c:v>
                      </c:pt>
                      <c:pt idx="122">
                        <c:v>-7.8862514080127628</c:v>
                      </c:pt>
                      <c:pt idx="123">
                        <c:v>-11.473066610494287</c:v>
                      </c:pt>
                      <c:pt idx="124">
                        <c:v>-15.003547644330078</c:v>
                      </c:pt>
                      <c:pt idx="125">
                        <c:v>-18.461159068890137</c:v>
                      </c:pt>
                      <c:pt idx="126">
                        <c:v>-21.830115337728962</c:v>
                      </c:pt>
                      <c:pt idx="127">
                        <c:v>-25.095529203514413</c:v>
                      </c:pt>
                      <c:pt idx="128">
                        <c:v>-28.243544643013482</c:v>
                      </c:pt>
                      <c:pt idx="129">
                        <c:v>-31.261452413451185</c:v>
                      </c:pt>
                      <c:pt idx="130">
                        <c:v>-34.13778679028033</c:v>
                      </c:pt>
                      <c:pt idx="131">
                        <c:v>-36.862402495709524</c:v>
                      </c:pt>
                      <c:pt idx="132">
                        <c:v>-39.426531291888693</c:v>
                      </c:pt>
                      <c:pt idx="133">
                        <c:v>-41.822818167746426</c:v>
                      </c:pt>
                      <c:pt idx="134">
                        <c:v>-44.045337480648286</c:v>
                      </c:pt>
                      <c:pt idx="135">
                        <c:v>-46.089589811544315</c:v>
                      </c:pt>
                      <c:pt idx="136">
                        <c:v>-47.952480645415896</c:v>
                      </c:pt>
                      <c:pt idx="137">
                        <c:v>-49.632282290245136</c:v>
                      </c:pt>
                      <c:pt idx="138">
                        <c:v>-51.128580692442675</c:v>
                      </c:pt>
                      <c:pt idx="139">
                        <c:v>-52.442208992109954</c:v>
                      </c:pt>
                      <c:pt idx="140">
                        <c:v>-53.575169787367017</c:v>
                      </c:pt>
                      <c:pt idx="141">
                        <c:v>-54.530548144982433</c:v>
                      </c:pt>
                      <c:pt idx="142">
                        <c:v>-55.312417408203387</c:v>
                      </c:pt>
                      <c:pt idx="143">
                        <c:v>-55.925739816939938</c:v>
                      </c:pt>
                      <c:pt idx="144">
                        <c:v>-56.37626387632973</c:v>
                      </c:pt>
                      <c:pt idx="145">
                        <c:v>-56.670420293952191</c:v>
                      </c:pt>
                      <c:pt idx="146">
                        <c:v>-56.815218160715602</c:v>
                      </c:pt>
                      <c:pt idx="147">
                        <c:v>-56.818142882920554</c:v>
                      </c:pt>
                      <c:pt idx="148">
                        <c:v>-56.68705719023604</c:v>
                      </c:pt>
                      <c:pt idx="149">
                        <c:v>-56.430106352905028</c:v>
                      </c:pt>
                      <c:pt idx="150">
                        <c:v>-56.055628547436775</c:v>
                      </c:pt>
                      <c:pt idx="151">
                        <c:v>-55.572071118618943</c:v>
                      </c:pt>
                      <c:pt idx="152">
                        <c:v>-54.987913301385241</c:v>
                      </c:pt>
                      <c:pt idx="153">
                        <c:v>-54.311595792542789</c:v>
                      </c:pt>
                      <c:pt idx="154">
                        <c:v>-53.551457402427125</c:v>
                      </c:pt>
                      <c:pt idx="155">
                        <c:v>-52.715678872223954</c:v>
                      </c:pt>
                      <c:pt idx="156">
                        <c:v>-51.812233815263639</c:v>
                      </c:pt>
                      <c:pt idx="157">
                        <c:v>-50.848846630679255</c:v>
                      </c:pt>
                      <c:pt idx="158">
                        <c:v>-49.832957145467006</c:v>
                      </c:pt>
                      <c:pt idx="159">
                        <c:v>-48.771691665766028</c:v>
                      </c:pt>
                      <c:pt idx="160">
                        <c:v>-47.671840059263822</c:v>
                      </c:pt>
                      <c:pt idx="161">
                        <c:v>-46.539838446909805</c:v>
                      </c:pt>
                      <c:pt idx="162">
                        <c:v>-45.381757052257441</c:v>
                      </c:pt>
                      <c:pt idx="163">
                        <c:v>-44.203292739281977</c:v>
                      </c:pt>
                      <c:pt idx="164">
                        <c:v>-43.009765762902511</c:v>
                      </c:pt>
                      <c:pt idx="165">
                        <c:v>-41.806120259121606</c:v>
                      </c:pt>
                      <c:pt idx="166">
                        <c:v>-40.596928012167332</c:v>
                      </c:pt>
                      <c:pt idx="167">
                        <c:v>-39.386395052832746</c:v>
                      </c:pt>
                      <c:pt idx="168">
                        <c:v>-38.178370664009044</c:v>
                      </c:pt>
                      <c:pt idx="169">
                        <c:v>-36.976358394963945</c:v>
                      </c:pt>
                      <c:pt idx="170">
                        <c:v>-35.783528714122482</c:v>
                      </c:pt>
                      <c:pt idx="171">
                        <c:v>-34.602732959987989</c:v>
                      </c:pt>
                      <c:pt idx="172">
                        <c:v>-33.436518280557465</c:v>
                      </c:pt>
                      <c:pt idx="173">
                        <c:v>-32.287143282428353</c:v>
                      </c:pt>
                      <c:pt idx="174">
                        <c:v>-31.156594141175592</c:v>
                      </c:pt>
                      <c:pt idx="175">
                        <c:v>-30.046600954025244</c:v>
                      </c:pt>
                      <c:pt idx="176">
                        <c:v>-28.958654143998864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E0A0-4A36-B1E8-B5700649E747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'New_removed_rate - bSIR'!$BD$7</c15:sqref>
                        </c15:formulaRef>
                      </c:ext>
                    </c:extLst>
                    <c:strCache>
                      <c:ptCount val="1"/>
                      <c:pt idx="0">
                        <c:v>rest of Italy accel. data 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'New_removed_rate - bSIR'!$C$8:$C$184</c15:sqref>
                        </c15:formulaRef>
                      </c:ext>
                    </c:extLst>
                    <c:numCache>
                      <c:formatCode>General</c:formatCode>
                      <c:ptCount val="17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'New_removed_rate - bSIR'!$BD$8:$BD$184</c15:sqref>
                        </c15:formulaRef>
                      </c:ext>
                    </c:extLst>
                    <c:numCache>
                      <c:formatCode>0</c:formatCode>
                      <c:ptCount val="177"/>
                      <c:pt idx="56">
                        <c:v>1</c:v>
                      </c:pt>
                      <c:pt idx="57">
                        <c:v>43</c:v>
                      </c:pt>
                      <c:pt idx="58">
                        <c:v>-42</c:v>
                      </c:pt>
                      <c:pt idx="59">
                        <c:v>3</c:v>
                      </c:pt>
                      <c:pt idx="60">
                        <c:v>30</c:v>
                      </c:pt>
                      <c:pt idx="61">
                        <c:v>46</c:v>
                      </c:pt>
                      <c:pt idx="62">
                        <c:v>-47</c:v>
                      </c:pt>
                      <c:pt idx="63">
                        <c:v>107</c:v>
                      </c:pt>
                      <c:pt idx="64">
                        <c:v>33</c:v>
                      </c:pt>
                      <c:pt idx="65">
                        <c:v>-20</c:v>
                      </c:pt>
                      <c:pt idx="66">
                        <c:v>-56</c:v>
                      </c:pt>
                      <c:pt idx="67">
                        <c:v>63</c:v>
                      </c:pt>
                      <c:pt idx="68">
                        <c:v>34</c:v>
                      </c:pt>
                      <c:pt idx="69">
                        <c:v>249</c:v>
                      </c:pt>
                      <c:pt idx="70">
                        <c:v>-210</c:v>
                      </c:pt>
                      <c:pt idx="71">
                        <c:v>147</c:v>
                      </c:pt>
                      <c:pt idx="72">
                        <c:v>37</c:v>
                      </c:pt>
                      <c:pt idx="73">
                        <c:v>243</c:v>
                      </c:pt>
                      <c:pt idx="74">
                        <c:v>86</c:v>
                      </c:pt>
                      <c:pt idx="75">
                        <c:v>-13</c:v>
                      </c:pt>
                      <c:pt idx="76">
                        <c:v>-225</c:v>
                      </c:pt>
                      <c:pt idx="77">
                        <c:v>1021</c:v>
                      </c:pt>
                      <c:pt idx="78">
                        <c:v>-724</c:v>
                      </c:pt>
                      <c:pt idx="79">
                        <c:v>463</c:v>
                      </c:pt>
                      <c:pt idx="80">
                        <c:v>407</c:v>
                      </c:pt>
                      <c:pt idx="81">
                        <c:v>-113</c:v>
                      </c:pt>
                      <c:pt idx="82">
                        <c:v>-614</c:v>
                      </c:pt>
                      <c:pt idx="83">
                        <c:v>632</c:v>
                      </c:pt>
                      <c:pt idx="84">
                        <c:v>80</c:v>
                      </c:pt>
                      <c:pt idx="85">
                        <c:v>-64</c:v>
                      </c:pt>
                      <c:pt idx="86">
                        <c:v>-138</c:v>
                      </c:pt>
                      <c:pt idx="87">
                        <c:v>761</c:v>
                      </c:pt>
                      <c:pt idx="88">
                        <c:v>-882</c:v>
                      </c:pt>
                      <c:pt idx="89">
                        <c:v>1024</c:v>
                      </c:pt>
                      <c:pt idx="90">
                        <c:v>-493</c:v>
                      </c:pt>
                      <c:pt idx="91">
                        <c:v>-134</c:v>
                      </c:pt>
                      <c:pt idx="92">
                        <c:v>346</c:v>
                      </c:pt>
                      <c:pt idx="93">
                        <c:v>65</c:v>
                      </c:pt>
                      <c:pt idx="94">
                        <c:v>-320</c:v>
                      </c:pt>
                      <c:pt idx="95">
                        <c:v>-532</c:v>
                      </c:pt>
                      <c:pt idx="96">
                        <c:v>285</c:v>
                      </c:pt>
                      <c:pt idx="97">
                        <c:v>464</c:v>
                      </c:pt>
                      <c:pt idx="98">
                        <c:v>479</c:v>
                      </c:pt>
                      <c:pt idx="99">
                        <c:v>-42</c:v>
                      </c:pt>
                      <c:pt idx="100">
                        <c:v>-51</c:v>
                      </c:pt>
                      <c:pt idx="101">
                        <c:v>113</c:v>
                      </c:pt>
                      <c:pt idx="102">
                        <c:v>-555</c:v>
                      </c:pt>
                      <c:pt idx="103">
                        <c:v>-270</c:v>
                      </c:pt>
                      <c:pt idx="104">
                        <c:v>466</c:v>
                      </c:pt>
                      <c:pt idx="105">
                        <c:v>-776</c:v>
                      </c:pt>
                      <c:pt idx="106">
                        <c:v>1057</c:v>
                      </c:pt>
                      <c:pt idx="107">
                        <c:v>544</c:v>
                      </c:pt>
                      <c:pt idx="108">
                        <c:v>-489</c:v>
                      </c:pt>
                      <c:pt idx="109">
                        <c:v>-110</c:v>
                      </c:pt>
                      <c:pt idx="110">
                        <c:v>-271</c:v>
                      </c:pt>
                      <c:pt idx="111">
                        <c:v>988</c:v>
                      </c:pt>
                      <c:pt idx="112">
                        <c:v>110</c:v>
                      </c:pt>
                      <c:pt idx="113">
                        <c:v>117</c:v>
                      </c:pt>
                      <c:pt idx="114">
                        <c:v>-167</c:v>
                      </c:pt>
                      <c:pt idx="115">
                        <c:v>-284</c:v>
                      </c:pt>
                      <c:pt idx="116">
                        <c:v>-977</c:v>
                      </c:pt>
                      <c:pt idx="117">
                        <c:v>47</c:v>
                      </c:pt>
                      <c:pt idx="118">
                        <c:v>585</c:v>
                      </c:pt>
                      <c:pt idx="119">
                        <c:v>-38</c:v>
                      </c:pt>
                      <c:pt idx="120">
                        <c:v>2327</c:v>
                      </c:pt>
                      <c:pt idx="121">
                        <c:v>-2442</c:v>
                      </c:pt>
                      <c:pt idx="122">
                        <c:v>-374</c:v>
                      </c:pt>
                      <c:pt idx="123">
                        <c:v>-213</c:v>
                      </c:pt>
                      <c:pt idx="124">
                        <c:v>-496</c:v>
                      </c:pt>
                      <c:pt idx="125">
                        <c:v>1120</c:v>
                      </c:pt>
                      <c:pt idx="126">
                        <c:v>5742</c:v>
                      </c:pt>
                      <c:pt idx="127">
                        <c:v>-5033</c:v>
                      </c:pt>
                      <c:pt idx="128">
                        <c:v>-313</c:v>
                      </c:pt>
                      <c:pt idx="129">
                        <c:v>1153</c:v>
                      </c:pt>
                      <c:pt idx="130">
                        <c:v>-1805</c:v>
                      </c:pt>
                      <c:pt idx="131">
                        <c:v>-708</c:v>
                      </c:pt>
                      <c:pt idx="132">
                        <c:v>1048</c:v>
                      </c:pt>
                      <c:pt idx="133">
                        <c:v>1041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E0A0-4A36-B1E8-B5700649E747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'New_removed_rate - bSIR'!$BR$7</c15:sqref>
                        </c15:formulaRef>
                      </c:ext>
                    </c:extLst>
                    <c:strCache>
                      <c:ptCount val="1"/>
                      <c:pt idx="0">
                        <c:v>rest of Italy acc. fit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'New_removed_rate - bSIR'!$C$8:$C$184</c15:sqref>
                        </c15:formulaRef>
                      </c:ext>
                    </c:extLst>
                    <c:numCache>
                      <c:formatCode>General</c:formatCode>
                      <c:ptCount val="17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'New_removed_rate - bSIR'!$BR$8:$BR$184</c15:sqref>
                        </c15:formulaRef>
                      </c:ext>
                    </c:extLst>
                    <c:numCache>
                      <c:formatCode>General</c:formatCode>
                      <c:ptCount val="177"/>
                      <c:pt idx="0">
                        <c:v>1.5454953242645648</c:v>
                      </c:pt>
                      <c:pt idx="1">
                        <c:v>1.6222476721304075</c:v>
                      </c:pt>
                      <c:pt idx="2">
                        <c:v>1.7027639425542054</c:v>
                      </c:pt>
                      <c:pt idx="3">
                        <c:v>1.7872238100423754</c:v>
                      </c:pt>
                      <c:pt idx="4">
                        <c:v>1.8758150190828169</c:v>
                      </c:pt>
                      <c:pt idx="5">
                        <c:v>1.9687336934101347</c:v>
                      </c:pt>
                      <c:pt idx="6">
                        <c:v>2.0661846512863402</c:v>
                      </c:pt>
                      <c:pt idx="7">
                        <c:v>2.1683817261786018</c:v>
                      </c:pt>
                      <c:pt idx="8">
                        <c:v>2.2755480920990521</c:v>
                      </c:pt>
                      <c:pt idx="9">
                        <c:v>2.3879165927418566</c:v>
                      </c:pt>
                      <c:pt idx="10">
                        <c:v>2.505730073408444</c:v>
                      </c:pt>
                      <c:pt idx="11">
                        <c:v>2.6292417145516875</c:v>
                      </c:pt>
                      <c:pt idx="12">
                        <c:v>2.7587153655927414</c:v>
                      </c:pt>
                      <c:pt idx="13">
                        <c:v>2.8944258774683385</c:v>
                      </c:pt>
                      <c:pt idx="14">
                        <c:v>3.0366594321503606</c:v>
                      </c:pt>
                      <c:pt idx="15">
                        <c:v>3.1857138671416148</c:v>
                      </c:pt>
                      <c:pt idx="16">
                        <c:v>3.3418989926903606</c:v>
                      </c:pt>
                      <c:pt idx="17">
                        <c:v>3.5055368991790932</c:v>
                      </c:pt>
                      <c:pt idx="18">
                        <c:v>3.6769622518289045</c:v>
                      </c:pt>
                      <c:pt idx="19">
                        <c:v>3.8565225695170917</c:v>
                      </c:pt>
                      <c:pt idx="20">
                        <c:v>4.0445784841307173</c:v>
                      </c:pt>
                      <c:pt idx="21">
                        <c:v>4.2415039764701339</c:v>
                      </c:pt>
                      <c:pt idx="22">
                        <c:v>4.4476865842723683</c:v>
                      </c:pt>
                      <c:pt idx="23">
                        <c:v>4.6635275774423102</c:v>
                      </c:pt>
                      <c:pt idx="24">
                        <c:v>4.889442095057551</c:v>
                      </c:pt>
                      <c:pt idx="25">
                        <c:v>5.12585923814874</c:v>
                      </c:pt>
                      <c:pt idx="26">
                        <c:v>5.3732221116494445</c:v>
                      </c:pt>
                      <c:pt idx="27">
                        <c:v>5.6319878082554675</c:v>
                      </c:pt>
                      <c:pt idx="28">
                        <c:v>5.9026273262321185</c:v>
                      </c:pt>
                      <c:pt idx="29">
                        <c:v>6.1856254124576928</c:v>
                      </c:pt>
                      <c:pt idx="30">
                        <c:v>6.4814803211910119</c:v>
                      </c:pt>
                      <c:pt idx="31">
                        <c:v>6.7907034781999105</c:v>
                      </c:pt>
                      <c:pt idx="32">
                        <c:v>7.1138190389860672</c:v>
                      </c:pt>
                      <c:pt idx="33">
                        <c:v>7.4513633288900651</c:v>
                      </c:pt>
                      <c:pt idx="34">
                        <c:v>7.8038841518603634</c:v>
                      </c:pt>
                      <c:pt idx="35">
                        <c:v>8.1719399536236015</c:v>
                      </c:pt>
                      <c:pt idx="36">
                        <c:v>8.5560988239048701</c:v>
                      </c:pt>
                      <c:pt idx="37">
                        <c:v>8.9569373212202237</c:v>
                      </c:pt>
                      <c:pt idx="38">
                        <c:v>9.3750391026060402</c:v>
                      </c:pt>
                      <c:pt idx="39">
                        <c:v>9.8109933394699631</c:v>
                      </c:pt>
                      <c:pt idx="40">
                        <c:v>10.265392899556206</c:v>
                      </c:pt>
                      <c:pt idx="41">
                        <c:v>10.73883227382666</c:v>
                      </c:pt>
                      <c:pt idx="42">
                        <c:v>11.231905225885587</c:v>
                      </c:pt>
                      <c:pt idx="43">
                        <c:v>11.745202140437272</c:v>
                      </c:pt>
                      <c:pt idx="44">
                        <c:v>12.279307046186617</c:v>
                      </c:pt>
                      <c:pt idx="45">
                        <c:v>12.834794287598125</c:v>
                      </c:pt>
                      <c:pt idx="46">
                        <c:v>13.412224819050797</c:v>
                      </c:pt>
                      <c:pt idx="47">
                        <c:v>14.012142094199872</c:v>
                      </c:pt>
                      <c:pt idx="48">
                        <c:v>14.635067522823874</c:v>
                      </c:pt>
                      <c:pt idx="49">
                        <c:v>15.281495467142294</c:v>
                      </c:pt>
                      <c:pt idx="50">
                        <c:v>15.95188774959006</c:v>
                      </c:pt>
                      <c:pt idx="51">
                        <c:v>16.646667644388224</c:v>
                      </c:pt>
                      <c:pt idx="52">
                        <c:v>17.366213326023175</c:v>
                      </c:pt>
                      <c:pt idx="53">
                        <c:v>18.110850749012808</c:v>
                      </c:pt>
                      <c:pt idx="54">
                        <c:v>18.880845935177788</c:v>
                      </c:pt>
                      <c:pt idx="55">
                        <c:v>19.676396647137146</c:v>
                      </c:pt>
                      <c:pt idx="56">
                        <c:v>20.4976234300063</c:v>
                      </c:pt>
                      <c:pt idx="57">
                        <c:v>21.344560007390971</c:v>
                      </c:pt>
                      <c:pt idx="58">
                        <c:v>22.217143022851229</c:v>
                      </c:pt>
                      <c:pt idx="59">
                        <c:v>23.115201124166838</c:v>
                      </c:pt>
                      <c:pt idx="60">
                        <c:v>24.038443395081597</c:v>
                      </c:pt>
                      <c:pt idx="61">
                        <c:v>24.9864471478562</c:v>
                      </c:pt>
                      <c:pt idx="62">
                        <c:v>25.958645100030246</c:v>
                      </c:pt>
                      <c:pt idx="63">
                        <c:v>26.954311970389295</c:v>
                      </c:pt>
                      <c:pt idx="64">
                        <c:v>27.972550542355116</c:v>
                      </c:pt>
                      <c:pt idx="65">
                        <c:v>29.01227725794822</c:v>
                      </c:pt>
                      <c:pt idx="66">
                        <c:v>30.072207422177748</c:v>
                      </c:pt>
                      <c:pt idx="67">
                        <c:v>31.150840116234452</c:v>
                      </c:pt>
                      <c:pt idx="68">
                        <c:v>32.246442938202271</c:v>
                      </c:pt>
                      <c:pt idx="69">
                        <c:v>33.357036712128298</c:v>
                      </c:pt>
                      <c:pt idx="70">
                        <c:v>34.480380330111082</c:v>
                      </c:pt>
                      <c:pt idx="71">
                        <c:v>35.613955917438581</c:v>
                      </c:pt>
                      <c:pt idx="72">
                        <c:v>36.754954537508581</c:v>
                      </c:pt>
                      <c:pt idx="73">
                        <c:v>37.900262680998964</c:v>
                      </c:pt>
                      <c:pt idx="74">
                        <c:v>39.046449812131442</c:v>
                      </c:pt>
                      <c:pt idx="75">
                        <c:v>40.189757273396722</c:v>
                      </c:pt>
                      <c:pt idx="76">
                        <c:v>41.326088878180286</c:v>
                      </c:pt>
                      <c:pt idx="77">
                        <c:v>42.451003547623785</c:v>
                      </c:pt>
                      <c:pt idx="78">
                        <c:v>43.559710372937268</c:v>
                      </c:pt>
                      <c:pt idx="79">
                        <c:v>44.647066506271649</c:v>
                      </c:pt>
                      <c:pt idx="80">
                        <c:v>45.707578301090017</c:v>
                      </c:pt>
                      <c:pt idx="81">
                        <c:v>46.735406135530006</c:v>
                      </c:pt>
                      <c:pt idx="82">
                        <c:v>47.724373358244819</c:v>
                      </c:pt>
                      <c:pt idx="83">
                        <c:v>48.667979794262102</c:v>
                      </c:pt>
                      <c:pt idx="84">
                        <c:v>49.559420237098706</c:v>
                      </c:pt>
                      <c:pt idx="85">
                        <c:v>50.391608331286164</c:v>
                      </c:pt>
                      <c:pt idx="86">
                        <c:v>51.157206215215332</c:v>
                      </c:pt>
                      <c:pt idx="87">
                        <c:v>51.848660246515358</c:v>
                      </c:pt>
                      <c:pt idx="88">
                        <c:v>52.458243069927171</c:v>
                      </c:pt>
                      <c:pt idx="89">
                        <c:v>52.978102209939728</c:v>
                      </c:pt>
                      <c:pt idx="90">
                        <c:v>53.400315276781924</c:v>
                      </c:pt>
                      <c:pt idx="91">
                        <c:v>53.71695176455745</c:v>
                      </c:pt>
                      <c:pt idx="92">
                        <c:v>53.920141294737988</c:v>
                      </c:pt>
                      <c:pt idx="93">
                        <c:v>54.002148017812601</c:v>
                      </c:pt>
                      <c:pt idx="94">
                        <c:v>53.955450732222715</c:v>
                      </c:pt>
                      <c:pt idx="95">
                        <c:v>53.772828115077949</c:v>
                      </c:pt>
                      <c:pt idx="96">
                        <c:v>53.447448286593378</c:v>
                      </c:pt>
                      <c:pt idx="97">
                        <c:v>52.972961753521723</c:v>
                      </c:pt>
                      <c:pt idx="98">
                        <c:v>52.343596600612592</c:v>
                      </c:pt>
                      <c:pt idx="99">
                        <c:v>51.55425462854349</c:v>
                      </c:pt>
                      <c:pt idx="100">
                        <c:v>50.600606977641881</c:v>
                      </c:pt>
                      <c:pt idx="101">
                        <c:v>49.479187635282429</c:v>
                      </c:pt>
                      <c:pt idx="102">
                        <c:v>48.18748310758459</c:v>
                      </c:pt>
                      <c:pt idx="103">
                        <c:v>46.724016449427126</c:v>
                      </c:pt>
                      <c:pt idx="104">
                        <c:v>45.088423797055881</c:v>
                      </c:pt>
                      <c:pt idx="105">
                        <c:v>43.281521540335781</c:v>
                      </c:pt>
                      <c:pt idx="106">
                        <c:v>41.305362311754202</c:v>
                      </c:pt>
                      <c:pt idx="107">
                        <c:v>39.163278060187018</c:v>
                      </c:pt>
                      <c:pt idx="108">
                        <c:v>36.859908621271664</c:v>
                      </c:pt>
                      <c:pt idx="109">
                        <c:v>34.401214393311328</c:v>
                      </c:pt>
                      <c:pt idx="110">
                        <c:v>31.794471976332584</c:v>
                      </c:pt>
                      <c:pt idx="111">
                        <c:v>29.048251928523072</c:v>
                      </c:pt>
                      <c:pt idx="112">
                        <c:v>26.172378132958105</c:v>
                      </c:pt>
                      <c:pt idx="113">
                        <c:v>23.177868640415745</c:v>
                      </c:pt>
                      <c:pt idx="114">
                        <c:v>20.076858251442445</c:v>
                      </c:pt>
                      <c:pt idx="115">
                        <c:v>16.882503511358276</c:v>
                      </c:pt>
                      <c:pt idx="116">
                        <c:v>13.608871203091242</c:v>
                      </c:pt>
                      <c:pt idx="117">
                        <c:v>10.270811821420486</c:v>
                      </c:pt>
                      <c:pt idx="118">
                        <c:v>6.8838198850436338</c:v>
                      </c:pt>
                      <c:pt idx="119">
                        <c:v>3.4638832769620831</c:v>
                      </c:pt>
                      <c:pt idx="120">
                        <c:v>2.7324087112257686E-2</c:v>
                      </c:pt>
                      <c:pt idx="121">
                        <c:v>-3.4093663463370718</c:v>
                      </c:pt>
                      <c:pt idx="122">
                        <c:v>-6.8296953472652477</c:v>
                      </c:pt>
                      <c:pt idx="123">
                        <c:v>-10.217336835249789</c:v>
                      </c:pt>
                      <c:pt idx="124">
                        <c:v>-13.556296353754874</c:v>
                      </c:pt>
                      <c:pt idx="125">
                        <c:v>-16.831070341259171</c:v>
                      </c:pt>
                      <c:pt idx="126">
                        <c:v>-20.026796945906806</c:v>
                      </c:pt>
                      <c:pt idx="127">
                        <c:v>-23.129395905717374</c:v>
                      </c:pt>
                      <c:pt idx="128">
                        <c:v>-26.12569529893209</c:v>
                      </c:pt>
                      <c:pt idx="129">
                        <c:v>-29.003543302436121</c:v>
                      </c:pt>
                      <c:pt idx="130">
                        <c:v>-31.751903468516961</c:v>
                      </c:pt>
                      <c:pt idx="131">
                        <c:v>-34.360932428600464</c:v>
                      </c:pt>
                      <c:pt idx="132">
                        <c:v>-36.822039343713755</c:v>
                      </c:pt>
                      <c:pt idx="133">
                        <c:v>-39.12792683206046</c:v>
                      </c:pt>
                      <c:pt idx="134">
                        <c:v>-41.272613501758947</c:v>
                      </c:pt>
                      <c:pt idx="135">
                        <c:v>-43.251438590153633</c:v>
                      </c:pt>
                      <c:pt idx="136">
                        <c:v>-45.061049550402025</c:v>
                      </c:pt>
                      <c:pt idx="137">
                        <c:v>-46.699373723364651</c:v>
                      </c:pt>
                      <c:pt idx="138">
                        <c:v>-48.165575482318332</c:v>
                      </c:pt>
                      <c:pt idx="139">
                        <c:v>-49.460000435932095</c:v>
                      </c:pt>
                      <c:pt idx="140">
                        <c:v>-50.584108419626027</c:v>
                      </c:pt>
                      <c:pt idx="141">
                        <c:v>-51.540397097166512</c:v>
                      </c:pt>
                      <c:pt idx="142">
                        <c:v>-52.332318035191399</c:v>
                      </c:pt>
                      <c:pt idx="143">
                        <c:v>-52.964187106850041</c:v>
                      </c:pt>
                      <c:pt idx="144">
                        <c:v>-53.441091031635878</c:v>
                      </c:pt>
                      <c:pt idx="145">
                        <c:v>-53.768791772419341</c:v>
                      </c:pt>
                      <c:pt idx="146">
                        <c:v>-53.953630393865843</c:v>
                      </c:pt>
                      <c:pt idx="147">
                        <c:v>-54.002431845322647</c:v>
                      </c:pt>
                      <c:pt idx="148">
                        <c:v>-53.922411972364003</c:v>
                      </c:pt>
                      <c:pt idx="149">
                        <c:v>-53.721087890730544</c:v>
                      </c:pt>
                      <c:pt idx="150">
                        <c:v>-53.406192680208136</c:v>
                      </c:pt>
                      <c:pt idx="151">
                        <c:v>-52.985595179289277</c:v>
                      </c:pt>
                      <c:pt idx="152">
                        <c:v>-52.467225488812431</c:v>
                      </c:pt>
                      <c:pt idx="153">
                        <c:v>-51.859006627986403</c:v>
                      </c:pt>
                      <c:pt idx="154">
                        <c:v>-51.168792632344505</c:v>
                      </c:pt>
                      <c:pt idx="155">
                        <c:v>-50.404313242532893</c:v>
                      </c:pt>
                      <c:pt idx="156">
                        <c:v>-49.57312520701759</c:v>
                      </c:pt>
                      <c:pt idx="157">
                        <c:v>-48.682570111737625</c:v>
                      </c:pt>
                      <c:pt idx="158">
                        <c:v>-47.739738555797956</c:v>
                      </c:pt>
                      <c:pt idx="159">
                        <c:v>-46.751440414353453</c:v>
                      </c:pt>
                      <c:pt idx="160">
                        <c:v>-45.72418086734217</c:v>
                      </c:pt>
                      <c:pt idx="161">
                        <c:v>-44.664141824808134</c:v>
                      </c:pt>
                      <c:pt idx="162">
                        <c:v>-43.577168345105036</c:v>
                      </c:pt>
                      <c:pt idx="163">
                        <c:v>-42.468759620005322</c:v>
                      </c:pt>
                      <c:pt idx="164">
                        <c:v>-41.344064089277566</c:v>
                      </c:pt>
                      <c:pt idx="165">
                        <c:v>-40.207878245210992</c:v>
                      </c:pt>
                      <c:pt idx="166">
                        <c:v>-39.064648693443381</c:v>
                      </c:pt>
                      <c:pt idx="167">
                        <c:v>-37.91847704891088</c:v>
                      </c:pt>
                      <c:pt idx="168">
                        <c:v>-36.77312726349151</c:v>
                      </c:pt>
                      <c:pt idx="169">
                        <c:v>-35.632035003753543</c:v>
                      </c:pt>
                      <c:pt idx="170">
                        <c:v>-34.498318722060056</c:v>
                      </c:pt>
                      <c:pt idx="171">
                        <c:v>-33.374792091152251</c:v>
                      </c:pt>
                      <c:pt idx="172">
                        <c:v>-32.263977500391732</c:v>
                      </c:pt>
                      <c:pt idx="173">
                        <c:v>-31.168120340364908</c:v>
                      </c:pt>
                      <c:pt idx="174">
                        <c:v>-30.089203830935446</c:v>
                      </c:pt>
                      <c:pt idx="175">
                        <c:v>-29.028964175577553</c:v>
                      </c:pt>
                      <c:pt idx="176">
                        <c:v>-27.988905851545208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E0A0-4A36-B1E8-B5700649E747}"/>
                  </c:ext>
                </c:extLst>
              </c15:ser>
            </c15:filteredScatterSeries>
          </c:ext>
        </c:extLst>
      </c:scatterChart>
      <c:valAx>
        <c:axId val="9694877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Days from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69487440"/>
        <c:crosses val="autoZero"/>
        <c:crossBetween val="midCat"/>
      </c:valAx>
      <c:valAx>
        <c:axId val="969487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Rate of</a:t>
                </a:r>
                <a:r>
                  <a:rPr lang="it-IT" baseline="0"/>
                  <a:t> new removals </a:t>
                </a:r>
                <a:r>
                  <a:rPr lang="it-IT"/>
                  <a:t>per day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694877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userShapes r:id="rId3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sz="1800" b="0" i="0" baseline="0">
                <a:effectLst/>
              </a:rPr>
              <a:t>Italy - growth rates and dubling time - basic SIR</a:t>
            </a:r>
            <a:endParaRPr lang="it-IT">
              <a:effectLst/>
            </a:endParaRPr>
          </a:p>
          <a:p>
            <a:pPr>
              <a:defRPr/>
            </a:pPr>
            <a:r>
              <a:rPr lang="it-IT" sz="1800" b="0" i="0" baseline="0">
                <a:solidFill>
                  <a:srgbClr val="0070C0"/>
                </a:solidFill>
                <a:effectLst/>
              </a:rPr>
              <a:t>Italy,</a:t>
            </a:r>
            <a:r>
              <a:rPr lang="it-IT" sz="1800" b="0" i="0" baseline="0">
                <a:effectLst/>
              </a:rPr>
              <a:t> </a:t>
            </a:r>
            <a:r>
              <a:rPr lang="it-IT" sz="1800" b="0" i="0" baseline="0">
                <a:solidFill>
                  <a:srgbClr val="FF0000"/>
                </a:solidFill>
                <a:effectLst/>
              </a:rPr>
              <a:t>selected region</a:t>
            </a:r>
            <a:r>
              <a:rPr lang="it-IT" sz="1800" b="0" i="0" baseline="0">
                <a:effectLst/>
              </a:rPr>
              <a:t> and </a:t>
            </a:r>
            <a:r>
              <a:rPr lang="it-IT" sz="1800" b="0" i="0" baseline="0">
                <a:solidFill>
                  <a:srgbClr val="00B050"/>
                </a:solidFill>
                <a:effectLst/>
              </a:rPr>
              <a:t>rest of Italy</a:t>
            </a:r>
            <a:endParaRPr lang="it-IT">
              <a:solidFill>
                <a:srgbClr val="00B050"/>
              </a:solidFill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3"/>
          <c:order val="3"/>
          <c:tx>
            <c:strRef>
              <c:f>'New_removed_rate - bSIR'!$P$7</c:f>
              <c:strCache>
                <c:ptCount val="1"/>
                <c:pt idx="0">
                  <c:v>Italy g.r.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'New_removed_rate - bSIR'!$C$62:$C$130</c:f>
              <c:numCache>
                <c:formatCode>General</c:formatCode>
                <c:ptCount val="69"/>
                <c:pt idx="0">
                  <c:v>55</c:v>
                </c:pt>
                <c:pt idx="1">
                  <c:v>56</c:v>
                </c:pt>
                <c:pt idx="2">
                  <c:v>57</c:v>
                </c:pt>
                <c:pt idx="3">
                  <c:v>58</c:v>
                </c:pt>
                <c:pt idx="4">
                  <c:v>59</c:v>
                </c:pt>
                <c:pt idx="5">
                  <c:v>60</c:v>
                </c:pt>
                <c:pt idx="6">
                  <c:v>61</c:v>
                </c:pt>
                <c:pt idx="7">
                  <c:v>62</c:v>
                </c:pt>
                <c:pt idx="8">
                  <c:v>63</c:v>
                </c:pt>
                <c:pt idx="9">
                  <c:v>64</c:v>
                </c:pt>
                <c:pt idx="10">
                  <c:v>65</c:v>
                </c:pt>
                <c:pt idx="11">
                  <c:v>66</c:v>
                </c:pt>
                <c:pt idx="12">
                  <c:v>67</c:v>
                </c:pt>
                <c:pt idx="13">
                  <c:v>68</c:v>
                </c:pt>
                <c:pt idx="14">
                  <c:v>69</c:v>
                </c:pt>
                <c:pt idx="15">
                  <c:v>70</c:v>
                </c:pt>
                <c:pt idx="16">
                  <c:v>71</c:v>
                </c:pt>
                <c:pt idx="17">
                  <c:v>72</c:v>
                </c:pt>
                <c:pt idx="18">
                  <c:v>73</c:v>
                </c:pt>
                <c:pt idx="19">
                  <c:v>74</c:v>
                </c:pt>
                <c:pt idx="20">
                  <c:v>75</c:v>
                </c:pt>
                <c:pt idx="21">
                  <c:v>76</c:v>
                </c:pt>
                <c:pt idx="22">
                  <c:v>77</c:v>
                </c:pt>
                <c:pt idx="23">
                  <c:v>78</c:v>
                </c:pt>
                <c:pt idx="24">
                  <c:v>79</c:v>
                </c:pt>
                <c:pt idx="25">
                  <c:v>80</c:v>
                </c:pt>
                <c:pt idx="26">
                  <c:v>81</c:v>
                </c:pt>
                <c:pt idx="27">
                  <c:v>82</c:v>
                </c:pt>
                <c:pt idx="28">
                  <c:v>83</c:v>
                </c:pt>
                <c:pt idx="29">
                  <c:v>84</c:v>
                </c:pt>
                <c:pt idx="30">
                  <c:v>85</c:v>
                </c:pt>
                <c:pt idx="31">
                  <c:v>86</c:v>
                </c:pt>
                <c:pt idx="32">
                  <c:v>87</c:v>
                </c:pt>
                <c:pt idx="33">
                  <c:v>88</c:v>
                </c:pt>
                <c:pt idx="34">
                  <c:v>89</c:v>
                </c:pt>
                <c:pt idx="35">
                  <c:v>90</c:v>
                </c:pt>
                <c:pt idx="36">
                  <c:v>91</c:v>
                </c:pt>
                <c:pt idx="37">
                  <c:v>92</c:v>
                </c:pt>
                <c:pt idx="38">
                  <c:v>93</c:v>
                </c:pt>
                <c:pt idx="39">
                  <c:v>94</c:v>
                </c:pt>
                <c:pt idx="40">
                  <c:v>95</c:v>
                </c:pt>
                <c:pt idx="41">
                  <c:v>96</c:v>
                </c:pt>
                <c:pt idx="42">
                  <c:v>97</c:v>
                </c:pt>
                <c:pt idx="43">
                  <c:v>98</c:v>
                </c:pt>
                <c:pt idx="44">
                  <c:v>99</c:v>
                </c:pt>
                <c:pt idx="45">
                  <c:v>100</c:v>
                </c:pt>
                <c:pt idx="46">
                  <c:v>101</c:v>
                </c:pt>
                <c:pt idx="47">
                  <c:v>102</c:v>
                </c:pt>
                <c:pt idx="48">
                  <c:v>103</c:v>
                </c:pt>
                <c:pt idx="49">
                  <c:v>104</c:v>
                </c:pt>
                <c:pt idx="50">
                  <c:v>105</c:v>
                </c:pt>
                <c:pt idx="51">
                  <c:v>106</c:v>
                </c:pt>
                <c:pt idx="52">
                  <c:v>107</c:v>
                </c:pt>
                <c:pt idx="53">
                  <c:v>108</c:v>
                </c:pt>
                <c:pt idx="54">
                  <c:v>109</c:v>
                </c:pt>
                <c:pt idx="55">
                  <c:v>110</c:v>
                </c:pt>
                <c:pt idx="56">
                  <c:v>111</c:v>
                </c:pt>
                <c:pt idx="57">
                  <c:v>112</c:v>
                </c:pt>
                <c:pt idx="58">
                  <c:v>113</c:v>
                </c:pt>
                <c:pt idx="59">
                  <c:v>114</c:v>
                </c:pt>
                <c:pt idx="60">
                  <c:v>115</c:v>
                </c:pt>
                <c:pt idx="61">
                  <c:v>116</c:v>
                </c:pt>
                <c:pt idx="62">
                  <c:v>117</c:v>
                </c:pt>
                <c:pt idx="63">
                  <c:v>118</c:v>
                </c:pt>
                <c:pt idx="64">
                  <c:v>119</c:v>
                </c:pt>
                <c:pt idx="65">
                  <c:v>120</c:v>
                </c:pt>
                <c:pt idx="66">
                  <c:v>121</c:v>
                </c:pt>
                <c:pt idx="67">
                  <c:v>122</c:v>
                </c:pt>
                <c:pt idx="68">
                  <c:v>123</c:v>
                </c:pt>
              </c:numCache>
            </c:numRef>
          </c:xVal>
          <c:yVal>
            <c:numRef>
              <c:f>'New_removed_rate - bSIR'!$P$62:$P$130</c:f>
              <c:numCache>
                <c:formatCode>0%</c:formatCode>
                <c:ptCount val="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6.4434286477092444</c:v>
                </c:pt>
                <c:pt idx="16">
                  <c:v>0.88633434067757844</c:v>
                </c:pt>
                <c:pt idx="17">
                  <c:v>0.48497040671851521</c:v>
                </c:pt>
                <c:pt idx="18">
                  <c:v>0.33798713082210347</c:v>
                </c:pt>
                <c:pt idx="19">
                  <c:v>0.26174148373987949</c:v>
                </c:pt>
                <c:pt idx="20">
                  <c:v>0.21506773399760828</c:v>
                </c:pt>
                <c:pt idx="21">
                  <c:v>0.18354960218100014</c:v>
                </c:pt>
                <c:pt idx="22">
                  <c:v>0.16082926498429986</c:v>
                </c:pt>
                <c:pt idx="23">
                  <c:v>0.14366697680589902</c:v>
                </c:pt>
                <c:pt idx="24">
                  <c:v>0.13023826577983727</c:v>
                </c:pt>
                <c:pt idx="25">
                  <c:v>0.11943714864768554</c:v>
                </c:pt>
                <c:pt idx="26">
                  <c:v>0.11055410617838267</c:v>
                </c:pt>
                <c:pt idx="27">
                  <c:v>0.10311300908772124</c:v>
                </c:pt>
                <c:pt idx="28">
                  <c:v>9.6782418756749117E-2</c:v>
                </c:pt>
                <c:pt idx="29">
                  <c:v>9.1324484426219557E-2</c:v>
                </c:pt>
                <c:pt idx="30">
                  <c:v>8.6564072128129804E-2</c:v>
                </c:pt>
                <c:pt idx="31">
                  <c:v>8.2369359303581552E-2</c:v>
                </c:pt>
                <c:pt idx="32">
                  <c:v>7.8639216813209151E-2</c:v>
                </c:pt>
                <c:pt idx="33">
                  <c:v>7.5294761452741055E-2</c:v>
                </c:pt>
                <c:pt idx="34">
                  <c:v>7.2273554973309895E-2</c:v>
                </c:pt>
                <c:pt idx="35">
                  <c:v>6.952553049253983E-2</c:v>
                </c:pt>
                <c:pt idx="36">
                  <c:v>6.7010074739151451E-2</c:v>
                </c:pt>
                <c:pt idx="37">
                  <c:v>6.469390094685662E-2</c:v>
                </c:pt>
                <c:pt idx="38">
                  <c:v>6.2549473374130776E-2</c:v>
                </c:pt>
                <c:pt idx="39">
                  <c:v>6.0553823581390463E-2</c:v>
                </c:pt>
                <c:pt idx="40">
                  <c:v>5.8687649432200582E-2</c:v>
                </c:pt>
                <c:pt idx="41">
                  <c:v>5.6934621127831313E-2</c:v>
                </c:pt>
                <c:pt idx="42">
                  <c:v>5.5280840876389979E-2</c:v>
                </c:pt>
                <c:pt idx="43">
                  <c:v>5.371441796382672E-2</c:v>
                </c:pt>
                <c:pt idx="44">
                  <c:v>5.222513147852148E-2</c:v>
                </c:pt>
                <c:pt idx="45">
                  <c:v>5.0804160296507084E-2</c:v>
                </c:pt>
                <c:pt idx="46">
                  <c:v>4.9443865165122482E-2</c:v>
                </c:pt>
                <c:pt idx="47">
                  <c:v>4.8137611489869392E-2</c:v>
                </c:pt>
                <c:pt idx="48">
                  <c:v>4.6879624174081064E-2</c:v>
                </c:pt>
                <c:pt idx="49">
                  <c:v>4.5664867883090605E-2</c:v>
                </c:pt>
                <c:pt idx="50">
                  <c:v>4.448894760963093E-2</c:v>
                </c:pt>
                <c:pt idx="51">
                  <c:v>4.3348025548330449E-2</c:v>
                </c:pt>
                <c:pt idx="52">
                  <c:v>4.2238751145140092E-2</c:v>
                </c:pt>
                <c:pt idx="53">
                  <c:v>4.1158201844027555E-2</c:v>
                </c:pt>
                <c:pt idx="54">
                  <c:v>4.0103832559845072E-2</c:v>
                </c:pt>
                <c:pt idx="55">
                  <c:v>3.9073432300316811E-2</c:v>
                </c:pt>
                <c:pt idx="56">
                  <c:v>3.8065086668987794E-2</c:v>
                </c:pt>
                <c:pt idx="57">
                  <c:v>3.7077145224942661E-2</c:v>
                </c:pt>
                <c:pt idx="58">
                  <c:v>3.6108192869177554E-2</c:v>
                </c:pt>
                <c:pt idx="59">
                  <c:v>3.5157024582956074E-2</c:v>
                </c:pt>
                <c:pt idx="60">
                  <c:v>3.4222622968795059E-2</c:v>
                </c:pt>
                <c:pt idx="61">
                  <c:v>3.3304138146352538E-2</c:v>
                </c:pt>
                <c:pt idx="62">
                  <c:v>3.240086963834414E-2</c:v>
                </c:pt>
                <c:pt idx="63">
                  <c:v>3.1512249949469523E-2</c:v>
                </c:pt>
                <c:pt idx="64">
                  <c:v>3.0637829597095455E-2</c:v>
                </c:pt>
                <c:pt idx="65">
                  <c:v>2.9777263398376923E-2</c:v>
                </c:pt>
                <c:pt idx="66">
                  <c:v>2.8930297856365222E-2</c:v>
                </c:pt>
                <c:pt idx="67">
                  <c:v>2.8096759518838877E-2</c:v>
                </c:pt>
                <c:pt idx="68">
                  <c:v>2.7276544209203311E-2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3A9-42FF-9A8C-8F9F7969DD5C}"/>
            </c:ext>
          </c:extLst>
        </c:ser>
        <c:ser>
          <c:idx val="4"/>
          <c:order val="4"/>
          <c:tx>
            <c:strRef>
              <c:f>'New_removed_rate - bSIR'!$AO$7</c:f>
              <c:strCache>
                <c:ptCount val="1"/>
                <c:pt idx="0">
                  <c:v>sel. region g.r.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'New_removed_rate - bSIR'!$C$63:$C$130</c:f>
              <c:numCache>
                <c:formatCode>General</c:formatCode>
                <c:ptCount val="68"/>
                <c:pt idx="0">
                  <c:v>56</c:v>
                </c:pt>
                <c:pt idx="1">
                  <c:v>57</c:v>
                </c:pt>
                <c:pt idx="2">
                  <c:v>58</c:v>
                </c:pt>
                <c:pt idx="3">
                  <c:v>59</c:v>
                </c:pt>
                <c:pt idx="4">
                  <c:v>60</c:v>
                </c:pt>
                <c:pt idx="5">
                  <c:v>61</c:v>
                </c:pt>
                <c:pt idx="6">
                  <c:v>62</c:v>
                </c:pt>
                <c:pt idx="7">
                  <c:v>63</c:v>
                </c:pt>
                <c:pt idx="8">
                  <c:v>64</c:v>
                </c:pt>
                <c:pt idx="9">
                  <c:v>65</c:v>
                </c:pt>
                <c:pt idx="10">
                  <c:v>66</c:v>
                </c:pt>
                <c:pt idx="11">
                  <c:v>67</c:v>
                </c:pt>
                <c:pt idx="12">
                  <c:v>68</c:v>
                </c:pt>
                <c:pt idx="13">
                  <c:v>69</c:v>
                </c:pt>
                <c:pt idx="14">
                  <c:v>70</c:v>
                </c:pt>
                <c:pt idx="15">
                  <c:v>71</c:v>
                </c:pt>
                <c:pt idx="16">
                  <c:v>72</c:v>
                </c:pt>
                <c:pt idx="17">
                  <c:v>73</c:v>
                </c:pt>
                <c:pt idx="18">
                  <c:v>74</c:v>
                </c:pt>
                <c:pt idx="19">
                  <c:v>75</c:v>
                </c:pt>
                <c:pt idx="20">
                  <c:v>76</c:v>
                </c:pt>
                <c:pt idx="21">
                  <c:v>77</c:v>
                </c:pt>
                <c:pt idx="22">
                  <c:v>78</c:v>
                </c:pt>
                <c:pt idx="23">
                  <c:v>79</c:v>
                </c:pt>
                <c:pt idx="24">
                  <c:v>80</c:v>
                </c:pt>
                <c:pt idx="25">
                  <c:v>81</c:v>
                </c:pt>
                <c:pt idx="26">
                  <c:v>82</c:v>
                </c:pt>
                <c:pt idx="27">
                  <c:v>83</c:v>
                </c:pt>
                <c:pt idx="28">
                  <c:v>84</c:v>
                </c:pt>
                <c:pt idx="29">
                  <c:v>85</c:v>
                </c:pt>
                <c:pt idx="30">
                  <c:v>86</c:v>
                </c:pt>
                <c:pt idx="31">
                  <c:v>87</c:v>
                </c:pt>
                <c:pt idx="32">
                  <c:v>88</c:v>
                </c:pt>
                <c:pt idx="33">
                  <c:v>89</c:v>
                </c:pt>
                <c:pt idx="34">
                  <c:v>90</c:v>
                </c:pt>
                <c:pt idx="35">
                  <c:v>91</c:v>
                </c:pt>
                <c:pt idx="36">
                  <c:v>92</c:v>
                </c:pt>
                <c:pt idx="37">
                  <c:v>93</c:v>
                </c:pt>
                <c:pt idx="38">
                  <c:v>94</c:v>
                </c:pt>
                <c:pt idx="39">
                  <c:v>95</c:v>
                </c:pt>
                <c:pt idx="40">
                  <c:v>96</c:v>
                </c:pt>
                <c:pt idx="41">
                  <c:v>97</c:v>
                </c:pt>
                <c:pt idx="42">
                  <c:v>98</c:v>
                </c:pt>
                <c:pt idx="43">
                  <c:v>99</c:v>
                </c:pt>
                <c:pt idx="44">
                  <c:v>100</c:v>
                </c:pt>
                <c:pt idx="45">
                  <c:v>101</c:v>
                </c:pt>
                <c:pt idx="46">
                  <c:v>102</c:v>
                </c:pt>
                <c:pt idx="47">
                  <c:v>103</c:v>
                </c:pt>
                <c:pt idx="48">
                  <c:v>104</c:v>
                </c:pt>
                <c:pt idx="49">
                  <c:v>105</c:v>
                </c:pt>
                <c:pt idx="50">
                  <c:v>106</c:v>
                </c:pt>
                <c:pt idx="51">
                  <c:v>107</c:v>
                </c:pt>
                <c:pt idx="52">
                  <c:v>108</c:v>
                </c:pt>
                <c:pt idx="53">
                  <c:v>109</c:v>
                </c:pt>
                <c:pt idx="54">
                  <c:v>110</c:v>
                </c:pt>
                <c:pt idx="55">
                  <c:v>111</c:v>
                </c:pt>
                <c:pt idx="56">
                  <c:v>112</c:v>
                </c:pt>
                <c:pt idx="57">
                  <c:v>113</c:v>
                </c:pt>
                <c:pt idx="58">
                  <c:v>114</c:v>
                </c:pt>
                <c:pt idx="59">
                  <c:v>115</c:v>
                </c:pt>
                <c:pt idx="60">
                  <c:v>116</c:v>
                </c:pt>
                <c:pt idx="61">
                  <c:v>117</c:v>
                </c:pt>
                <c:pt idx="62">
                  <c:v>118</c:v>
                </c:pt>
                <c:pt idx="63">
                  <c:v>119</c:v>
                </c:pt>
                <c:pt idx="64">
                  <c:v>120</c:v>
                </c:pt>
                <c:pt idx="65">
                  <c:v>121</c:v>
                </c:pt>
                <c:pt idx="66">
                  <c:v>122</c:v>
                </c:pt>
                <c:pt idx="67">
                  <c:v>123</c:v>
                </c:pt>
              </c:numCache>
            </c:numRef>
          </c:xVal>
          <c:yVal>
            <c:numRef>
              <c:f>'New_removed_rate - bSIR'!$AO$63:$AO$130</c:f>
              <c:numCache>
                <c:formatCode>0%</c:formatCode>
                <c:ptCount val="6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1.3399621998376321</c:v>
                </c:pt>
                <c:pt idx="21">
                  <c:v>0.59189380657446777</c:v>
                </c:pt>
                <c:pt idx="22">
                  <c:v>0.38596541821667307</c:v>
                </c:pt>
                <c:pt idx="23">
                  <c:v>0.28956978358081015</c:v>
                </c:pt>
                <c:pt idx="24">
                  <c:v>0.23366029652493422</c:v>
                </c:pt>
                <c:pt idx="25">
                  <c:v>0.19714182269608049</c:v>
                </c:pt>
                <c:pt idx="26">
                  <c:v>0.17140188347016375</c:v>
                </c:pt>
                <c:pt idx="27">
                  <c:v>0.15226736706747473</c:v>
                </c:pt>
                <c:pt idx="28">
                  <c:v>0.13747055404980524</c:v>
                </c:pt>
                <c:pt idx="29">
                  <c:v>0.12567296930294597</c:v>
                </c:pt>
                <c:pt idx="30">
                  <c:v>0.11603357320777605</c:v>
                </c:pt>
                <c:pt idx="31">
                  <c:v>0.10799727145954771</c:v>
                </c:pt>
                <c:pt idx="32">
                  <c:v>0.10118287598901995</c:v>
                </c:pt>
                <c:pt idx="33">
                  <c:v>9.5319922966746393E-2</c:v>
                </c:pt>
                <c:pt idx="34">
                  <c:v>9.0211176713099681E-2</c:v>
                </c:pt>
                <c:pt idx="35">
                  <c:v>8.5709410590597543E-2</c:v>
                </c:pt>
                <c:pt idx="36">
                  <c:v>8.1702501834145902E-2</c:v>
                </c:pt>
                <c:pt idx="37">
                  <c:v>7.8103563363331699E-2</c:v>
                </c:pt>
                <c:pt idx="38">
                  <c:v>7.4844233048873929E-2</c:v>
                </c:pt>
                <c:pt idx="39">
                  <c:v>7.1870001840072861E-2</c:v>
                </c:pt>
                <c:pt idx="40">
                  <c:v>6.913689320269624E-2</c:v>
                </c:pt>
                <c:pt idx="41">
                  <c:v>6.6609059074633992E-2</c:v>
                </c:pt>
                <c:pt idx="42">
                  <c:v>6.4257010353804891E-2</c:v>
                </c:pt>
                <c:pt idx="43">
                  <c:v>6.2056294857014062E-2</c:v>
                </c:pt>
                <c:pt idx="44">
                  <c:v>5.9986496108118244E-2</c:v>
                </c:pt>
                <c:pt idx="45">
                  <c:v>5.8030465624277626E-2</c:v>
                </c:pt>
                <c:pt idx="46">
                  <c:v>5.6173727459267894E-2</c:v>
                </c:pt>
                <c:pt idx="47">
                  <c:v>5.4404011395755507E-2</c:v>
                </c:pt>
                <c:pt idx="48">
                  <c:v>5.2710883295367814E-2</c:v>
                </c:pt>
                <c:pt idx="49">
                  <c:v>5.1085449570392745E-2</c:v>
                </c:pt>
                <c:pt idx="50">
                  <c:v>4.9520118725061291E-2</c:v>
                </c:pt>
                <c:pt idx="51">
                  <c:v>4.8008407206070108E-2</c:v>
                </c:pt>
                <c:pt idx="52">
                  <c:v>4.6544779918310762E-2</c:v>
                </c:pt>
                <c:pt idx="53">
                  <c:v>4.5124518051161737E-2</c:v>
                </c:pt>
                <c:pt idx="54">
                  <c:v>4.3743608561261048E-2</c:v>
                </c:pt>
                <c:pt idx="55">
                  <c:v>4.2398650934151835E-2</c:v>
                </c:pt>
                <c:pt idx="56">
                  <c:v>4.108677781489295E-2</c:v>
                </c:pt>
                <c:pt idx="57">
                  <c:v>3.9805586838239926E-2</c:v>
                </c:pt>
                <c:pt idx="58">
                  <c:v>3.8553081560634438E-2</c:v>
                </c:pt>
                <c:pt idx="59">
                  <c:v>3.7327619841037621E-2</c:v>
                </c:pt>
                <c:pt idx="60">
                  <c:v>3.6127868366197996E-2</c:v>
                </c:pt>
                <c:pt idx="61">
                  <c:v>3.4952762290695862E-2</c:v>
                </c:pt>
                <c:pt idx="62">
                  <c:v>3.3801469179654056E-2</c:v>
                </c:pt>
                <c:pt idx="63">
                  <c:v>3.2673356614730191E-2</c:v>
                </c:pt>
                <c:pt idx="64">
                  <c:v>3.156796296123774E-2</c:v>
                </c:pt>
                <c:pt idx="65">
                  <c:v>3.0484970903077641E-2</c:v>
                </c:pt>
                <c:pt idx="66">
                  <c:v>2.9424183438071173E-2</c:v>
                </c:pt>
                <c:pt idx="67">
                  <c:v>2.8385502093542146E-2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B3A9-42FF-9A8C-8F9F7969DD5C}"/>
            </c:ext>
          </c:extLst>
        </c:ser>
        <c:ser>
          <c:idx val="5"/>
          <c:order val="5"/>
          <c:tx>
            <c:strRef>
              <c:f>'New_removed_rate - bSIR'!$BJ$7</c:f>
              <c:strCache>
                <c:ptCount val="1"/>
                <c:pt idx="0">
                  <c:v>rest of Italy g.r.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'New_removed_rate - bSIR'!$C$63:$C$130</c:f>
              <c:numCache>
                <c:formatCode>General</c:formatCode>
                <c:ptCount val="68"/>
                <c:pt idx="0">
                  <c:v>56</c:v>
                </c:pt>
                <c:pt idx="1">
                  <c:v>57</c:v>
                </c:pt>
                <c:pt idx="2">
                  <c:v>58</c:v>
                </c:pt>
                <c:pt idx="3">
                  <c:v>59</c:v>
                </c:pt>
                <c:pt idx="4">
                  <c:v>60</c:v>
                </c:pt>
                <c:pt idx="5">
                  <c:v>61</c:v>
                </c:pt>
                <c:pt idx="6">
                  <c:v>62</c:v>
                </c:pt>
                <c:pt idx="7">
                  <c:v>63</c:v>
                </c:pt>
                <c:pt idx="8">
                  <c:v>64</c:v>
                </c:pt>
                <c:pt idx="9">
                  <c:v>65</c:v>
                </c:pt>
                <c:pt idx="10">
                  <c:v>66</c:v>
                </c:pt>
                <c:pt idx="11">
                  <c:v>67</c:v>
                </c:pt>
                <c:pt idx="12">
                  <c:v>68</c:v>
                </c:pt>
                <c:pt idx="13">
                  <c:v>69</c:v>
                </c:pt>
                <c:pt idx="14">
                  <c:v>70</c:v>
                </c:pt>
                <c:pt idx="15">
                  <c:v>71</c:v>
                </c:pt>
                <c:pt idx="16">
                  <c:v>72</c:v>
                </c:pt>
                <c:pt idx="17">
                  <c:v>73</c:v>
                </c:pt>
                <c:pt idx="18">
                  <c:v>74</c:v>
                </c:pt>
                <c:pt idx="19">
                  <c:v>75</c:v>
                </c:pt>
                <c:pt idx="20">
                  <c:v>76</c:v>
                </c:pt>
                <c:pt idx="21">
                  <c:v>77</c:v>
                </c:pt>
                <c:pt idx="22">
                  <c:v>78</c:v>
                </c:pt>
                <c:pt idx="23">
                  <c:v>79</c:v>
                </c:pt>
                <c:pt idx="24">
                  <c:v>80</c:v>
                </c:pt>
                <c:pt idx="25">
                  <c:v>81</c:v>
                </c:pt>
                <c:pt idx="26">
                  <c:v>82</c:v>
                </c:pt>
                <c:pt idx="27">
                  <c:v>83</c:v>
                </c:pt>
                <c:pt idx="28">
                  <c:v>84</c:v>
                </c:pt>
                <c:pt idx="29">
                  <c:v>85</c:v>
                </c:pt>
                <c:pt idx="30">
                  <c:v>86</c:v>
                </c:pt>
                <c:pt idx="31">
                  <c:v>87</c:v>
                </c:pt>
                <c:pt idx="32">
                  <c:v>88</c:v>
                </c:pt>
                <c:pt idx="33">
                  <c:v>89</c:v>
                </c:pt>
                <c:pt idx="34">
                  <c:v>90</c:v>
                </c:pt>
                <c:pt idx="35">
                  <c:v>91</c:v>
                </c:pt>
                <c:pt idx="36">
                  <c:v>92</c:v>
                </c:pt>
                <c:pt idx="37">
                  <c:v>93</c:v>
                </c:pt>
                <c:pt idx="38">
                  <c:v>94</c:v>
                </c:pt>
                <c:pt idx="39">
                  <c:v>95</c:v>
                </c:pt>
                <c:pt idx="40">
                  <c:v>96</c:v>
                </c:pt>
                <c:pt idx="41">
                  <c:v>97</c:v>
                </c:pt>
                <c:pt idx="42">
                  <c:v>98</c:v>
                </c:pt>
                <c:pt idx="43">
                  <c:v>99</c:v>
                </c:pt>
                <c:pt idx="44">
                  <c:v>100</c:v>
                </c:pt>
                <c:pt idx="45">
                  <c:v>101</c:v>
                </c:pt>
                <c:pt idx="46">
                  <c:v>102</c:v>
                </c:pt>
                <c:pt idx="47">
                  <c:v>103</c:v>
                </c:pt>
                <c:pt idx="48">
                  <c:v>104</c:v>
                </c:pt>
                <c:pt idx="49">
                  <c:v>105</c:v>
                </c:pt>
                <c:pt idx="50">
                  <c:v>106</c:v>
                </c:pt>
                <c:pt idx="51">
                  <c:v>107</c:v>
                </c:pt>
                <c:pt idx="52">
                  <c:v>108</c:v>
                </c:pt>
                <c:pt idx="53">
                  <c:v>109</c:v>
                </c:pt>
                <c:pt idx="54">
                  <c:v>110</c:v>
                </c:pt>
                <c:pt idx="55">
                  <c:v>111</c:v>
                </c:pt>
                <c:pt idx="56">
                  <c:v>112</c:v>
                </c:pt>
                <c:pt idx="57">
                  <c:v>113</c:v>
                </c:pt>
                <c:pt idx="58">
                  <c:v>114</c:v>
                </c:pt>
                <c:pt idx="59">
                  <c:v>115</c:v>
                </c:pt>
                <c:pt idx="60">
                  <c:v>116</c:v>
                </c:pt>
                <c:pt idx="61">
                  <c:v>117</c:v>
                </c:pt>
                <c:pt idx="62">
                  <c:v>118</c:v>
                </c:pt>
                <c:pt idx="63">
                  <c:v>119</c:v>
                </c:pt>
                <c:pt idx="64">
                  <c:v>120</c:v>
                </c:pt>
                <c:pt idx="65">
                  <c:v>121</c:v>
                </c:pt>
                <c:pt idx="66">
                  <c:v>122</c:v>
                </c:pt>
                <c:pt idx="67">
                  <c:v>123</c:v>
                </c:pt>
              </c:numCache>
            </c:numRef>
          </c:xVal>
          <c:yVal>
            <c:numRef>
              <c:f>'New_removed_rate - bSIR'!$BJ$63:$BJ$130</c:f>
              <c:numCache>
                <c:formatCode>0%</c:formatCode>
                <c:ptCount val="6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3.3043313999713226</c:v>
                </c:pt>
                <c:pt idx="15">
                  <c:v>0.78743103436362338</c:v>
                </c:pt>
                <c:pt idx="16">
                  <c:v>0.45483063734103557</c:v>
                </c:pt>
                <c:pt idx="17">
                  <c:v>0.32353350234676415</c:v>
                </c:pt>
                <c:pt idx="18">
                  <c:v>0.25323854959789271</c:v>
                </c:pt>
                <c:pt idx="19">
                  <c:v>0.2094411531071233</c:v>
                </c:pt>
                <c:pt idx="20">
                  <c:v>0.17952837309042738</c:v>
                </c:pt>
                <c:pt idx="21">
                  <c:v>0.15779400254734813</c:v>
                </c:pt>
                <c:pt idx="22">
                  <c:v>0.14128016869813723</c:v>
                </c:pt>
                <c:pt idx="23">
                  <c:v>0.12830045933661408</c:v>
                </c:pt>
                <c:pt idx="24">
                  <c:v>0.11782298423782693</c:v>
                </c:pt>
                <c:pt idx="25">
                  <c:v>0.1091808832047155</c:v>
                </c:pt>
                <c:pt idx="26">
                  <c:v>0.10192399804244279</c:v>
                </c:pt>
                <c:pt idx="27">
                  <c:v>9.5737437132908262E-2</c:v>
                </c:pt>
                <c:pt idx="28">
                  <c:v>9.0394298440967039E-2</c:v>
                </c:pt>
                <c:pt idx="29">
                  <c:v>8.5726927592277208E-2</c:v>
                </c:pt>
                <c:pt idx="30">
                  <c:v>8.160875342455394E-2</c:v>
                </c:pt>
                <c:pt idx="31">
                  <c:v>7.7942422256518179E-2</c:v>
                </c:pt>
                <c:pt idx="32">
                  <c:v>7.4651822144171792E-2</c:v>
                </c:pt>
                <c:pt idx="33">
                  <c:v>7.1676586591991748E-2</c:v>
                </c:pt>
                <c:pt idx="34">
                  <c:v>6.8968222932451459E-2</c:v>
                </c:pt>
                <c:pt idx="35">
                  <c:v>6.6487331560530952E-2</c:v>
                </c:pt>
                <c:pt idx="36">
                  <c:v>6.4201573668246706E-2</c:v>
                </c:pt>
                <c:pt idx="37">
                  <c:v>6.208416264265542E-2</c:v>
                </c:pt>
                <c:pt idx="38">
                  <c:v>6.0112728291543585E-2</c:v>
                </c:pt>
                <c:pt idx="39">
                  <c:v>5.8268450741718394E-2</c:v>
                </c:pt>
                <c:pt idx="40">
                  <c:v>5.6535392221406432E-2</c:v>
                </c:pt>
                <c:pt idx="41">
                  <c:v>5.4899975965680761E-2</c:v>
                </c:pt>
                <c:pt idx="42">
                  <c:v>5.335057582499473E-2</c:v>
                </c:pt>
                <c:pt idx="43">
                  <c:v>5.1877190093529139E-2</c:v>
                </c:pt>
                <c:pt idx="44">
                  <c:v>5.0471180059687565E-2</c:v>
                </c:pt>
                <c:pt idx="45">
                  <c:v>4.9125058758491665E-2</c:v>
                </c:pt>
                <c:pt idx="46">
                  <c:v>4.7832318996592627E-2</c:v>
                </c:pt>
                <c:pt idx="47">
                  <c:v>4.6587292341552941E-2</c:v>
                </c:pt>
                <c:pt idx="48">
                  <c:v>4.5385032700848801E-2</c:v>
                </c:pt>
                <c:pt idx="49">
                  <c:v>4.4221219557453319E-2</c:v>
                </c:pt>
                <c:pt idx="50">
                  <c:v>4.3092077013625232E-2</c:v>
                </c:pt>
                <c:pt idx="51">
                  <c:v>4.1994305618356383E-2</c:v>
                </c:pt>
                <c:pt idx="52">
                  <c:v>4.0925024585036239E-2</c:v>
                </c:pt>
                <c:pt idx="53">
                  <c:v>3.9881722493389046E-2</c:v>
                </c:pt>
                <c:pt idx="54">
                  <c:v>3.8862214949314619E-2</c:v>
                </c:pt>
                <c:pt idx="55">
                  <c:v>3.7864607974087049E-2</c:v>
                </c:pt>
                <c:pt idx="56">
                  <c:v>3.6887266129777954E-2</c:v>
                </c:pt>
                <c:pt idx="57">
                  <c:v>3.592878457517646E-2</c:v>
                </c:pt>
                <c:pt idx="58">
                  <c:v>3.4987964396681941E-2</c:v>
                </c:pt>
                <c:pt idx="59">
                  <c:v>3.4063790679803981E-2</c:v>
                </c:pt>
                <c:pt idx="60">
                  <c:v>3.3155412885213599E-2</c:v>
                </c:pt>
                <c:pt idx="61">
                  <c:v>3.2262127173479802E-2</c:v>
                </c:pt>
                <c:pt idx="62">
                  <c:v>3.1383360388336549E-2</c:v>
                </c:pt>
                <c:pt idx="63">
                  <c:v>3.051865546235866E-2</c:v>
                </c:pt>
                <c:pt idx="64">
                  <c:v>2.9667658053467227E-2</c:v>
                </c:pt>
                <c:pt idx="65">
                  <c:v>2.8830104257436547E-2</c:v>
                </c:pt>
                <c:pt idx="66">
                  <c:v>2.8005809271879862E-2</c:v>
                </c:pt>
                <c:pt idx="67">
                  <c:v>2.7194656912114864E-2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B3A9-42FF-9A8C-8F9F7969DD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2018128"/>
        <c:axId val="952020688"/>
      </c:scatterChart>
      <c:scatterChart>
        <c:scatterStyle val="smoothMarker"/>
        <c:varyColors val="0"/>
        <c:ser>
          <c:idx val="0"/>
          <c:order val="0"/>
          <c:tx>
            <c:strRef>
              <c:f>'New_removed_rate - bSIR'!$I$7</c:f>
              <c:strCache>
                <c:ptCount val="1"/>
                <c:pt idx="0">
                  <c:v>Italy d.t.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solid"/>
              <a:round/>
            </a:ln>
            <a:effectLst/>
          </c:spPr>
          <c:marker>
            <c:symbol val="plus"/>
            <c:size val="5"/>
            <c:spPr>
              <a:noFill/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'New_removed_rate - bSIR'!$C$62:$C$101</c:f>
              <c:numCache>
                <c:formatCode>General</c:formatCode>
                <c:ptCount val="40"/>
                <c:pt idx="0">
                  <c:v>55</c:v>
                </c:pt>
                <c:pt idx="1">
                  <c:v>56</c:v>
                </c:pt>
                <c:pt idx="2">
                  <c:v>57</c:v>
                </c:pt>
                <c:pt idx="3">
                  <c:v>58</c:v>
                </c:pt>
                <c:pt idx="4">
                  <c:v>59</c:v>
                </c:pt>
                <c:pt idx="5">
                  <c:v>60</c:v>
                </c:pt>
                <c:pt idx="6">
                  <c:v>61</c:v>
                </c:pt>
                <c:pt idx="7">
                  <c:v>62</c:v>
                </c:pt>
                <c:pt idx="8">
                  <c:v>63</c:v>
                </c:pt>
                <c:pt idx="9">
                  <c:v>64</c:v>
                </c:pt>
                <c:pt idx="10">
                  <c:v>65</c:v>
                </c:pt>
                <c:pt idx="11">
                  <c:v>66</c:v>
                </c:pt>
                <c:pt idx="12">
                  <c:v>67</c:v>
                </c:pt>
                <c:pt idx="13">
                  <c:v>68</c:v>
                </c:pt>
                <c:pt idx="14">
                  <c:v>69</c:v>
                </c:pt>
                <c:pt idx="15">
                  <c:v>70</c:v>
                </c:pt>
                <c:pt idx="16">
                  <c:v>71</c:v>
                </c:pt>
                <c:pt idx="17">
                  <c:v>72</c:v>
                </c:pt>
                <c:pt idx="18">
                  <c:v>73</c:v>
                </c:pt>
                <c:pt idx="19">
                  <c:v>74</c:v>
                </c:pt>
                <c:pt idx="20">
                  <c:v>75</c:v>
                </c:pt>
                <c:pt idx="21">
                  <c:v>76</c:v>
                </c:pt>
                <c:pt idx="22">
                  <c:v>77</c:v>
                </c:pt>
                <c:pt idx="23">
                  <c:v>78</c:v>
                </c:pt>
                <c:pt idx="24">
                  <c:v>79</c:v>
                </c:pt>
                <c:pt idx="25">
                  <c:v>80</c:v>
                </c:pt>
                <c:pt idx="26">
                  <c:v>81</c:v>
                </c:pt>
                <c:pt idx="27">
                  <c:v>82</c:v>
                </c:pt>
                <c:pt idx="28">
                  <c:v>83</c:v>
                </c:pt>
                <c:pt idx="29">
                  <c:v>84</c:v>
                </c:pt>
                <c:pt idx="30">
                  <c:v>85</c:v>
                </c:pt>
                <c:pt idx="31">
                  <c:v>86</c:v>
                </c:pt>
                <c:pt idx="32">
                  <c:v>87</c:v>
                </c:pt>
                <c:pt idx="33">
                  <c:v>88</c:v>
                </c:pt>
                <c:pt idx="34">
                  <c:v>89</c:v>
                </c:pt>
                <c:pt idx="35">
                  <c:v>90</c:v>
                </c:pt>
                <c:pt idx="36">
                  <c:v>91</c:v>
                </c:pt>
                <c:pt idx="37">
                  <c:v>92</c:v>
                </c:pt>
                <c:pt idx="38">
                  <c:v>93</c:v>
                </c:pt>
                <c:pt idx="39">
                  <c:v>94</c:v>
                </c:pt>
              </c:numCache>
            </c:numRef>
          </c:xVal>
          <c:yVal>
            <c:numRef>
              <c:f>'New_removed_rate - bSIR'!$I$62:$I$101</c:f>
              <c:numCache>
                <c:formatCode>General</c:formatCode>
                <c:ptCount val="40"/>
                <c:pt idx="0">
                  <c:v>14.844294912230211</c:v>
                </c:pt>
                <c:pt idx="1">
                  <c:v>13.844294912230211</c:v>
                </c:pt>
                <c:pt idx="2">
                  <c:v>12.844294912230211</c:v>
                </c:pt>
                <c:pt idx="3">
                  <c:v>11.844294912230211</c:v>
                </c:pt>
                <c:pt idx="4">
                  <c:v>10.844294912230211</c:v>
                </c:pt>
                <c:pt idx="5">
                  <c:v>9.844294912230211</c:v>
                </c:pt>
                <c:pt idx="6">
                  <c:v>8.844294912230211</c:v>
                </c:pt>
                <c:pt idx="7">
                  <c:v>7.844294912230211</c:v>
                </c:pt>
                <c:pt idx="8">
                  <c:v>6.844294912230211</c:v>
                </c:pt>
                <c:pt idx="9">
                  <c:v>5.844294912230211</c:v>
                </c:pt>
                <c:pt idx="10">
                  <c:v>4.844294912230211</c:v>
                </c:pt>
                <c:pt idx="11">
                  <c:v>3.844294912230211</c:v>
                </c:pt>
                <c:pt idx="12">
                  <c:v>2.844294912230211</c:v>
                </c:pt>
                <c:pt idx="13">
                  <c:v>1.844294912230211</c:v>
                </c:pt>
                <c:pt idx="14">
                  <c:v>0.84429491223021103</c:v>
                </c:pt>
                <c:pt idx="15">
                  <c:v>0.15469348204500116</c:v>
                </c:pt>
                <c:pt idx="16">
                  <c:v>1.1026124990296422</c:v>
                </c:pt>
                <c:pt idx="17">
                  <c:v>1.9793555504994327</c:v>
                </c:pt>
                <c:pt idx="18">
                  <c:v>2.7942431350825041</c:v>
                </c:pt>
                <c:pt idx="19">
                  <c:v>3.5551354117312481</c:v>
                </c:pt>
                <c:pt idx="20">
                  <c:v>4.2687370133772067</c:v>
                </c:pt>
                <c:pt idx="21">
                  <c:v>4.94082784420136</c:v>
                </c:pt>
                <c:pt idx="22">
                  <c:v>5.5764406175975658</c:v>
                </c:pt>
                <c:pt idx="23">
                  <c:v>6.1799994280473864</c:v>
                </c:pt>
                <c:pt idx="24">
                  <c:v>6.7554293930937241</c:v>
                </c:pt>
                <c:pt idx="25">
                  <c:v>7.3062445391236537</c:v>
                </c:pt>
                <c:pt idx="26">
                  <c:v>7.8356191438183167</c:v>
                </c:pt>
                <c:pt idx="27">
                  <c:v>8.3464463824530384</c:v>
                </c:pt>
                <c:pt idx="28">
                  <c:v>8.8413871600457661</c:v>
                </c:pt>
                <c:pt idx="29">
                  <c:v>9.3229113205036214</c:v>
                </c:pt>
                <c:pt idx="30">
                  <c:v>9.7933329242385732</c:v>
                </c:pt>
                <c:pt idx="31">
                  <c:v>10.254840921516866</c:v>
                </c:pt>
                <c:pt idx="32">
                  <c:v>10.709526282293787</c:v>
                </c:pt>
                <c:pt idx="33">
                  <c:v>11.159406448597519</c:v>
                </c:pt>
                <c:pt idx="34">
                  <c:v>11.606447834848598</c:v>
                </c:pt>
                <c:pt idx="35">
                  <c:v>12.052587002629785</c:v>
                </c:pt>
                <c:pt idx="36">
                  <c:v>12.499751071137339</c:v>
                </c:pt>
                <c:pt idx="37">
                  <c:v>12.94987788760519</c:v>
                </c:pt>
                <c:pt idx="38">
                  <c:v>13.40493647050171</c:v>
                </c:pt>
                <c:pt idx="39">
                  <c:v>13.866948251363063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3A9-42FF-9A8C-8F9F7969DD5C}"/>
            </c:ext>
          </c:extLst>
        </c:ser>
        <c:ser>
          <c:idx val="1"/>
          <c:order val="1"/>
          <c:tx>
            <c:strRef>
              <c:f>'New_removed_rate - bSIR'!$AL$7</c:f>
              <c:strCache>
                <c:ptCount val="1"/>
                <c:pt idx="0">
                  <c:v>sel. region d.t.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plus"/>
            <c:size val="5"/>
            <c:spPr>
              <a:noFill/>
              <a:ln w="9525">
                <a:solidFill>
                  <a:srgbClr val="00B050">
                    <a:alpha val="99000"/>
                  </a:srgbClr>
                </a:solidFill>
              </a:ln>
              <a:effectLst/>
            </c:spPr>
          </c:marker>
          <c:xVal>
            <c:numRef>
              <c:f>'New_removed_rate - bSIR'!$C$62:$C$99</c:f>
              <c:numCache>
                <c:formatCode>General</c:formatCode>
                <c:ptCount val="38"/>
                <c:pt idx="0">
                  <c:v>55</c:v>
                </c:pt>
                <c:pt idx="1">
                  <c:v>56</c:v>
                </c:pt>
                <c:pt idx="2">
                  <c:v>57</c:v>
                </c:pt>
                <c:pt idx="3">
                  <c:v>58</c:v>
                </c:pt>
                <c:pt idx="4">
                  <c:v>59</c:v>
                </c:pt>
                <c:pt idx="5">
                  <c:v>60</c:v>
                </c:pt>
                <c:pt idx="6">
                  <c:v>61</c:v>
                </c:pt>
                <c:pt idx="7">
                  <c:v>62</c:v>
                </c:pt>
                <c:pt idx="8">
                  <c:v>63</c:v>
                </c:pt>
                <c:pt idx="9">
                  <c:v>64</c:v>
                </c:pt>
                <c:pt idx="10">
                  <c:v>65</c:v>
                </c:pt>
                <c:pt idx="11">
                  <c:v>66</c:v>
                </c:pt>
                <c:pt idx="12">
                  <c:v>67</c:v>
                </c:pt>
                <c:pt idx="13">
                  <c:v>68</c:v>
                </c:pt>
                <c:pt idx="14">
                  <c:v>69</c:v>
                </c:pt>
                <c:pt idx="15">
                  <c:v>70</c:v>
                </c:pt>
                <c:pt idx="16">
                  <c:v>71</c:v>
                </c:pt>
                <c:pt idx="17">
                  <c:v>72</c:v>
                </c:pt>
                <c:pt idx="18">
                  <c:v>73</c:v>
                </c:pt>
                <c:pt idx="19">
                  <c:v>74</c:v>
                </c:pt>
                <c:pt idx="20">
                  <c:v>75</c:v>
                </c:pt>
                <c:pt idx="21">
                  <c:v>76</c:v>
                </c:pt>
                <c:pt idx="22">
                  <c:v>77</c:v>
                </c:pt>
                <c:pt idx="23">
                  <c:v>78</c:v>
                </c:pt>
                <c:pt idx="24">
                  <c:v>79</c:v>
                </c:pt>
                <c:pt idx="25">
                  <c:v>80</c:v>
                </c:pt>
                <c:pt idx="26">
                  <c:v>81</c:v>
                </c:pt>
                <c:pt idx="27">
                  <c:v>82</c:v>
                </c:pt>
                <c:pt idx="28">
                  <c:v>83</c:v>
                </c:pt>
                <c:pt idx="29">
                  <c:v>84</c:v>
                </c:pt>
                <c:pt idx="30">
                  <c:v>85</c:v>
                </c:pt>
                <c:pt idx="31">
                  <c:v>86</c:v>
                </c:pt>
                <c:pt idx="32">
                  <c:v>87</c:v>
                </c:pt>
                <c:pt idx="33">
                  <c:v>88</c:v>
                </c:pt>
                <c:pt idx="34">
                  <c:v>89</c:v>
                </c:pt>
                <c:pt idx="35">
                  <c:v>90</c:v>
                </c:pt>
                <c:pt idx="36">
                  <c:v>91</c:v>
                </c:pt>
                <c:pt idx="37">
                  <c:v>92</c:v>
                </c:pt>
              </c:numCache>
            </c:numRef>
          </c:xVal>
          <c:yVal>
            <c:numRef>
              <c:f>'New_removed_rate - bSIR'!$AL$62:$AL$99</c:f>
              <c:numCache>
                <c:formatCode>General</c:formatCode>
                <c:ptCount val="38"/>
                <c:pt idx="0">
                  <c:v>20.240334693239106</c:v>
                </c:pt>
                <c:pt idx="1">
                  <c:v>19.240334693239106</c:v>
                </c:pt>
                <c:pt idx="2">
                  <c:v>18.240334693239106</c:v>
                </c:pt>
                <c:pt idx="3">
                  <c:v>17.240334693239106</c:v>
                </c:pt>
                <c:pt idx="4">
                  <c:v>16.240334693239106</c:v>
                </c:pt>
                <c:pt idx="5">
                  <c:v>15.240334693239108</c:v>
                </c:pt>
                <c:pt idx="6">
                  <c:v>14.240334693239108</c:v>
                </c:pt>
                <c:pt idx="7">
                  <c:v>13.240334693239108</c:v>
                </c:pt>
                <c:pt idx="8">
                  <c:v>12.240334693239108</c:v>
                </c:pt>
                <c:pt idx="9">
                  <c:v>11.240334693239108</c:v>
                </c:pt>
                <c:pt idx="10">
                  <c:v>10.240334693239108</c:v>
                </c:pt>
                <c:pt idx="11">
                  <c:v>9.2403346932391077</c:v>
                </c:pt>
                <c:pt idx="12">
                  <c:v>8.2403346932391077</c:v>
                </c:pt>
                <c:pt idx="13">
                  <c:v>7.2403346932391077</c:v>
                </c:pt>
                <c:pt idx="14">
                  <c:v>6.2403346932391077</c:v>
                </c:pt>
                <c:pt idx="15">
                  <c:v>5.2403346932391077</c:v>
                </c:pt>
                <c:pt idx="16">
                  <c:v>4.2403346932391077</c:v>
                </c:pt>
                <c:pt idx="17">
                  <c:v>3.2403346932391073</c:v>
                </c:pt>
                <c:pt idx="18">
                  <c:v>2.2403346932391073</c:v>
                </c:pt>
                <c:pt idx="19">
                  <c:v>1.2403346932391075</c:v>
                </c:pt>
                <c:pt idx="20">
                  <c:v>0.24033469323910747</c:v>
                </c:pt>
                <c:pt idx="21">
                  <c:v>0.73358998832265443</c:v>
                </c:pt>
                <c:pt idx="22">
                  <c:v>1.6270749357405832</c:v>
                </c:pt>
                <c:pt idx="23">
                  <c:v>2.4498562667474788</c:v>
                </c:pt>
                <c:pt idx="24">
                  <c:v>3.2122217721452451</c:v>
                </c:pt>
                <c:pt idx="25">
                  <c:v>3.922769520556221</c:v>
                </c:pt>
                <c:pt idx="26">
                  <c:v>4.5887870211612878</c:v>
                </c:pt>
                <c:pt idx="27">
                  <c:v>5.2165333323016796</c:v>
                </c:pt>
                <c:pt idx="28">
                  <c:v>5.8114529954793497</c:v>
                </c:pt>
                <c:pt idx="29">
                  <c:v>6.3783412079877699</c:v>
                </c:pt>
                <c:pt idx="30">
                  <c:v>6.921473586590416</c:v>
                </c:pt>
                <c:pt idx="31">
                  <c:v>7.4447099042417264</c:v>
                </c:pt>
                <c:pt idx="32">
                  <c:v>7.9515785289401606</c:v>
                </c:pt>
                <c:pt idx="33">
                  <c:v>8.445346491875263</c:v>
                </c:pt>
                <c:pt idx="34">
                  <c:v>8.9290788728097539</c:v>
                </c:pt>
                <c:pt idx="35">
                  <c:v>9.4056903324771461</c:v>
                </c:pt>
                <c:pt idx="36">
                  <c:v>9.8779910285076049</c:v>
                </c:pt>
                <c:pt idx="37">
                  <c:v>10.348728748184627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3A9-42FF-9A8C-8F9F7969DD5C}"/>
            </c:ext>
          </c:extLst>
        </c:ser>
        <c:ser>
          <c:idx val="2"/>
          <c:order val="2"/>
          <c:tx>
            <c:strRef>
              <c:f>'New_removed_rate - bSIR'!$BG$7</c:f>
              <c:strCache>
                <c:ptCount val="1"/>
                <c:pt idx="0">
                  <c:v>rest of Italy d.t.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plus"/>
            <c:size val="5"/>
            <c:spPr>
              <a:noFill/>
              <a:ln w="9525">
                <a:solidFill>
                  <a:srgbClr val="00B050"/>
                </a:solidFill>
              </a:ln>
              <a:effectLst/>
            </c:spPr>
          </c:marker>
          <c:xVal>
            <c:numRef>
              <c:f>'New_removed_rate - bSIR'!$C$62:$C$101</c:f>
              <c:numCache>
                <c:formatCode>General</c:formatCode>
                <c:ptCount val="40"/>
                <c:pt idx="0">
                  <c:v>55</c:v>
                </c:pt>
                <c:pt idx="1">
                  <c:v>56</c:v>
                </c:pt>
                <c:pt idx="2">
                  <c:v>57</c:v>
                </c:pt>
                <c:pt idx="3">
                  <c:v>58</c:v>
                </c:pt>
                <c:pt idx="4">
                  <c:v>59</c:v>
                </c:pt>
                <c:pt idx="5">
                  <c:v>60</c:v>
                </c:pt>
                <c:pt idx="6">
                  <c:v>61</c:v>
                </c:pt>
                <c:pt idx="7">
                  <c:v>62</c:v>
                </c:pt>
                <c:pt idx="8">
                  <c:v>63</c:v>
                </c:pt>
                <c:pt idx="9">
                  <c:v>64</c:v>
                </c:pt>
                <c:pt idx="10">
                  <c:v>65</c:v>
                </c:pt>
                <c:pt idx="11">
                  <c:v>66</c:v>
                </c:pt>
                <c:pt idx="12">
                  <c:v>67</c:v>
                </c:pt>
                <c:pt idx="13">
                  <c:v>68</c:v>
                </c:pt>
                <c:pt idx="14">
                  <c:v>69</c:v>
                </c:pt>
                <c:pt idx="15">
                  <c:v>70</c:v>
                </c:pt>
                <c:pt idx="16">
                  <c:v>71</c:v>
                </c:pt>
                <c:pt idx="17">
                  <c:v>72</c:v>
                </c:pt>
                <c:pt idx="18">
                  <c:v>73</c:v>
                </c:pt>
                <c:pt idx="19">
                  <c:v>74</c:v>
                </c:pt>
                <c:pt idx="20">
                  <c:v>75</c:v>
                </c:pt>
                <c:pt idx="21">
                  <c:v>76</c:v>
                </c:pt>
                <c:pt idx="22">
                  <c:v>77</c:v>
                </c:pt>
                <c:pt idx="23">
                  <c:v>78</c:v>
                </c:pt>
                <c:pt idx="24">
                  <c:v>79</c:v>
                </c:pt>
                <c:pt idx="25">
                  <c:v>80</c:v>
                </c:pt>
                <c:pt idx="26">
                  <c:v>81</c:v>
                </c:pt>
                <c:pt idx="27">
                  <c:v>82</c:v>
                </c:pt>
                <c:pt idx="28">
                  <c:v>83</c:v>
                </c:pt>
                <c:pt idx="29">
                  <c:v>84</c:v>
                </c:pt>
                <c:pt idx="30">
                  <c:v>85</c:v>
                </c:pt>
                <c:pt idx="31">
                  <c:v>86</c:v>
                </c:pt>
                <c:pt idx="32">
                  <c:v>87</c:v>
                </c:pt>
                <c:pt idx="33">
                  <c:v>88</c:v>
                </c:pt>
                <c:pt idx="34">
                  <c:v>89</c:v>
                </c:pt>
                <c:pt idx="35">
                  <c:v>90</c:v>
                </c:pt>
                <c:pt idx="36">
                  <c:v>91</c:v>
                </c:pt>
                <c:pt idx="37">
                  <c:v>92</c:v>
                </c:pt>
                <c:pt idx="38">
                  <c:v>93</c:v>
                </c:pt>
                <c:pt idx="39">
                  <c:v>94</c:v>
                </c:pt>
              </c:numCache>
            </c:numRef>
          </c:xVal>
          <c:yVal>
            <c:numRef>
              <c:f>'New_removed_rate - bSIR'!$BG$62:$BG$101</c:f>
              <c:numCache>
                <c:formatCode>General</c:formatCode>
                <c:ptCount val="40"/>
                <c:pt idx="0">
                  <c:v>14.695444456084331</c:v>
                </c:pt>
                <c:pt idx="1">
                  <c:v>13.695444456084331</c:v>
                </c:pt>
                <c:pt idx="2">
                  <c:v>12.695444456084331</c:v>
                </c:pt>
                <c:pt idx="3">
                  <c:v>11.695444456084331</c:v>
                </c:pt>
                <c:pt idx="4">
                  <c:v>10.695444456084331</c:v>
                </c:pt>
                <c:pt idx="5">
                  <c:v>9.6954444560843314</c:v>
                </c:pt>
                <c:pt idx="6">
                  <c:v>8.6954444560843314</c:v>
                </c:pt>
                <c:pt idx="7">
                  <c:v>7.6954444560843314</c:v>
                </c:pt>
                <c:pt idx="8">
                  <c:v>6.6954444560843314</c:v>
                </c:pt>
                <c:pt idx="9">
                  <c:v>5.6954444560843314</c:v>
                </c:pt>
                <c:pt idx="10">
                  <c:v>4.6954444560843314</c:v>
                </c:pt>
                <c:pt idx="11">
                  <c:v>3.6954444560843314</c:v>
                </c:pt>
                <c:pt idx="12">
                  <c:v>2.6954444560843314</c:v>
                </c:pt>
                <c:pt idx="13">
                  <c:v>1.6954444560843314</c:v>
                </c:pt>
                <c:pt idx="14">
                  <c:v>0.69544445608433136</c:v>
                </c:pt>
                <c:pt idx="15">
                  <c:v>0.30074570692249991</c:v>
                </c:pt>
                <c:pt idx="16">
                  <c:v>1.2379175555431319</c:v>
                </c:pt>
                <c:pt idx="17">
                  <c:v>2.1059066237451542</c:v>
                </c:pt>
                <c:pt idx="18">
                  <c:v>2.9136731393806263</c:v>
                </c:pt>
                <c:pt idx="19">
                  <c:v>3.6687956006070266</c:v>
                </c:pt>
                <c:pt idx="20">
                  <c:v>4.3777555591490653</c:v>
                </c:pt>
                <c:pt idx="21">
                  <c:v>5.0461541646526218</c:v>
                </c:pt>
                <c:pt idx="22">
                  <c:v>5.6788793775202304</c:v>
                </c:pt>
                <c:pt idx="23">
                  <c:v>6.2802369391039683</c:v>
                </c:pt>
                <c:pt idx="24">
                  <c:v>6.8540543340325648</c:v>
                </c:pt>
                <c:pt idx="25">
                  <c:v>7.4037643744977011</c:v>
                </c:pt>
                <c:pt idx="26">
                  <c:v>7.9324732435650489</c:v>
                </c:pt>
                <c:pt idx="27">
                  <c:v>8.4430165807332038</c:v>
                </c:pt>
                <c:pt idx="28">
                  <c:v>8.9380063034642596</c:v>
                </c:pt>
                <c:pt idx="29">
                  <c:v>9.4198702195961346</c:v>
                </c:pt>
                <c:pt idx="30">
                  <c:v>9.8908860221317489</c:v>
                </c:pt>
                <c:pt idx="31">
                  <c:v>10.353210919279849</c:v>
                </c:pt>
                <c:pt idx="32">
                  <c:v>10.808907904340806</c:v>
                </c:pt>
                <c:pt idx="33">
                  <c:v>11.259969488424041</c:v>
                </c:pt>
                <c:pt idx="34">
                  <c:v>11.708339587723039</c:v>
                </c:pt>
                <c:pt idx="35">
                  <c:v>12.155934164951368</c:v>
                </c:pt>
                <c:pt idx="36">
                  <c:v>12.604661164017529</c:v>
                </c:pt>
                <c:pt idx="37">
                  <c:v>13.056440243295448</c:v>
                </c:pt>
                <c:pt idx="38">
                  <c:v>13.513222803322449</c:v>
                </c:pt>
                <c:pt idx="39">
                  <c:v>13.977012818694028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3A9-42FF-9A8C-8F9F7969DD5C}"/>
            </c:ext>
          </c:extLst>
        </c:ser>
        <c:ser>
          <c:idx val="6"/>
          <c:order val="6"/>
          <c:tx>
            <c:strRef>
              <c:f>'New_removed_rate - bSIR'!$B$6</c:f>
              <c:strCache>
                <c:ptCount val="1"/>
                <c:pt idx="0">
                  <c:v>15-May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prstDash val="dashDot"/>
              <a:round/>
            </a:ln>
            <a:effectLst/>
          </c:spPr>
          <c:marker>
            <c:symbol val="none"/>
          </c:marker>
          <c:xVal>
            <c:numRef>
              <c:f>('New_removed_rate - bSIR'!$C$6,'New_removed_rate - bSIR'!$C$6)</c:f>
              <c:numCache>
                <c:formatCode>General</c:formatCode>
                <c:ptCount val="2"/>
                <c:pt idx="0">
                  <c:v>136</c:v>
                </c:pt>
                <c:pt idx="1">
                  <c:v>136</c:v>
                </c:pt>
              </c:numCache>
            </c:numRef>
          </c:xVal>
          <c:yVal>
            <c:numRef>
              <c:f>('New_removed_rate - bSIR'!$D$6,'New_removed_rate - bSIR'!$E$6)</c:f>
              <c:numCache>
                <c:formatCode>General</c:formatCode>
                <c:ptCount val="2"/>
                <c:pt idx="0">
                  <c:v>1</c:v>
                </c:pt>
                <c:pt idx="1">
                  <c:v>80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B3A9-42FF-9A8C-8F9F7969DD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6537592"/>
        <c:axId val="986532152"/>
      </c:scatterChart>
      <c:valAx>
        <c:axId val="952018128"/>
        <c:scaling>
          <c:orientation val="minMax"/>
          <c:min val="5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Day of the year (55=feb-24)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52020688"/>
        <c:crosses val="autoZero"/>
        <c:crossBetween val="midCat"/>
      </c:valAx>
      <c:valAx>
        <c:axId val="952020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Growth rate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%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52018128"/>
        <c:crosses val="autoZero"/>
        <c:crossBetween val="midCat"/>
      </c:valAx>
      <c:valAx>
        <c:axId val="986532152"/>
        <c:scaling>
          <c:orientation val="minMax"/>
          <c:max val="80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Doubling time (days)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86537592"/>
        <c:crosses val="max"/>
        <c:crossBetween val="midCat"/>
      </c:valAx>
      <c:valAx>
        <c:axId val="98653759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9865321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userShapes r:id="rId3"/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sz="18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+mn-lt"/>
                <a:ea typeface="+mn-ea"/>
                <a:cs typeface="+mn-cs"/>
              </a:rPr>
              <a:t>Italy - growth rates and dubling time - basic SIR</a:t>
            </a:r>
            <a:r>
              <a:rPr lang="it-IT" sz="1800" b="0" i="0" baseline="0">
                <a:effectLst/>
              </a:rPr>
              <a:t> (log-linear plot)</a:t>
            </a:r>
            <a:endParaRPr lang="it-IT">
              <a:effectLst/>
            </a:endParaRPr>
          </a:p>
          <a:p>
            <a:pPr>
              <a:defRPr/>
            </a:pPr>
            <a:r>
              <a:rPr lang="it-IT" sz="1800" b="0" i="0" baseline="0">
                <a:solidFill>
                  <a:srgbClr val="0070C0"/>
                </a:solidFill>
                <a:effectLst/>
              </a:rPr>
              <a:t>Italy,</a:t>
            </a:r>
            <a:r>
              <a:rPr lang="it-IT" sz="1800" b="0" i="0" baseline="0">
                <a:effectLst/>
              </a:rPr>
              <a:t> </a:t>
            </a:r>
            <a:r>
              <a:rPr lang="it-IT" sz="1800" b="0" i="0" baseline="0">
                <a:solidFill>
                  <a:srgbClr val="FF0000"/>
                </a:solidFill>
                <a:effectLst/>
              </a:rPr>
              <a:t>selected region</a:t>
            </a:r>
            <a:r>
              <a:rPr lang="it-IT" sz="1800" b="0" i="0" baseline="0">
                <a:effectLst/>
              </a:rPr>
              <a:t> and </a:t>
            </a:r>
            <a:r>
              <a:rPr lang="it-IT" sz="1800" b="0" i="0" baseline="0">
                <a:solidFill>
                  <a:srgbClr val="00B050"/>
                </a:solidFill>
                <a:effectLst/>
              </a:rPr>
              <a:t>rest of Italy</a:t>
            </a:r>
            <a:endParaRPr lang="it-IT">
              <a:solidFill>
                <a:srgbClr val="00B050"/>
              </a:solidFill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3"/>
          <c:order val="3"/>
          <c:tx>
            <c:strRef>
              <c:f>'New_removed_rate - bSIR'!$P$7</c:f>
              <c:strCache>
                <c:ptCount val="1"/>
                <c:pt idx="0">
                  <c:v>Italy g.r.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'New_removed_rate - bSIR'!$C$62:$C$145</c:f>
              <c:numCache>
                <c:formatCode>General</c:formatCode>
                <c:ptCount val="84"/>
                <c:pt idx="0">
                  <c:v>55</c:v>
                </c:pt>
                <c:pt idx="1">
                  <c:v>56</c:v>
                </c:pt>
                <c:pt idx="2">
                  <c:v>57</c:v>
                </c:pt>
                <c:pt idx="3">
                  <c:v>58</c:v>
                </c:pt>
                <c:pt idx="4">
                  <c:v>59</c:v>
                </c:pt>
                <c:pt idx="5">
                  <c:v>60</c:v>
                </c:pt>
                <c:pt idx="6">
                  <c:v>61</c:v>
                </c:pt>
                <c:pt idx="7">
                  <c:v>62</c:v>
                </c:pt>
                <c:pt idx="8">
                  <c:v>63</c:v>
                </c:pt>
                <c:pt idx="9">
                  <c:v>64</c:v>
                </c:pt>
                <c:pt idx="10">
                  <c:v>65</c:v>
                </c:pt>
                <c:pt idx="11">
                  <c:v>66</c:v>
                </c:pt>
                <c:pt idx="12">
                  <c:v>67</c:v>
                </c:pt>
                <c:pt idx="13">
                  <c:v>68</c:v>
                </c:pt>
                <c:pt idx="14">
                  <c:v>69</c:v>
                </c:pt>
                <c:pt idx="15">
                  <c:v>70</c:v>
                </c:pt>
                <c:pt idx="16">
                  <c:v>71</c:v>
                </c:pt>
                <c:pt idx="17">
                  <c:v>72</c:v>
                </c:pt>
                <c:pt idx="18">
                  <c:v>73</c:v>
                </c:pt>
                <c:pt idx="19">
                  <c:v>74</c:v>
                </c:pt>
                <c:pt idx="20">
                  <c:v>75</c:v>
                </c:pt>
                <c:pt idx="21">
                  <c:v>76</c:v>
                </c:pt>
                <c:pt idx="22">
                  <c:v>77</c:v>
                </c:pt>
                <c:pt idx="23">
                  <c:v>78</c:v>
                </c:pt>
                <c:pt idx="24">
                  <c:v>79</c:v>
                </c:pt>
                <c:pt idx="25">
                  <c:v>80</c:v>
                </c:pt>
                <c:pt idx="26">
                  <c:v>81</c:v>
                </c:pt>
                <c:pt idx="27">
                  <c:v>82</c:v>
                </c:pt>
                <c:pt idx="28">
                  <c:v>83</c:v>
                </c:pt>
                <c:pt idx="29">
                  <c:v>84</c:v>
                </c:pt>
                <c:pt idx="30">
                  <c:v>85</c:v>
                </c:pt>
                <c:pt idx="31">
                  <c:v>86</c:v>
                </c:pt>
                <c:pt idx="32">
                  <c:v>87</c:v>
                </c:pt>
                <c:pt idx="33">
                  <c:v>88</c:v>
                </c:pt>
                <c:pt idx="34">
                  <c:v>89</c:v>
                </c:pt>
                <c:pt idx="35">
                  <c:v>90</c:v>
                </c:pt>
                <c:pt idx="36">
                  <c:v>91</c:v>
                </c:pt>
                <c:pt idx="37">
                  <c:v>92</c:v>
                </c:pt>
                <c:pt idx="38">
                  <c:v>93</c:v>
                </c:pt>
                <c:pt idx="39">
                  <c:v>94</c:v>
                </c:pt>
                <c:pt idx="40">
                  <c:v>95</c:v>
                </c:pt>
                <c:pt idx="41">
                  <c:v>96</c:v>
                </c:pt>
                <c:pt idx="42">
                  <c:v>97</c:v>
                </c:pt>
                <c:pt idx="43">
                  <c:v>98</c:v>
                </c:pt>
                <c:pt idx="44">
                  <c:v>99</c:v>
                </c:pt>
                <c:pt idx="45">
                  <c:v>100</c:v>
                </c:pt>
                <c:pt idx="46">
                  <c:v>101</c:v>
                </c:pt>
                <c:pt idx="47">
                  <c:v>102</c:v>
                </c:pt>
                <c:pt idx="48">
                  <c:v>103</c:v>
                </c:pt>
                <c:pt idx="49">
                  <c:v>104</c:v>
                </c:pt>
                <c:pt idx="50">
                  <c:v>105</c:v>
                </c:pt>
                <c:pt idx="51">
                  <c:v>106</c:v>
                </c:pt>
                <c:pt idx="52">
                  <c:v>107</c:v>
                </c:pt>
                <c:pt idx="53">
                  <c:v>108</c:v>
                </c:pt>
                <c:pt idx="54">
                  <c:v>109</c:v>
                </c:pt>
                <c:pt idx="55">
                  <c:v>110</c:v>
                </c:pt>
                <c:pt idx="56">
                  <c:v>111</c:v>
                </c:pt>
                <c:pt idx="57">
                  <c:v>112</c:v>
                </c:pt>
                <c:pt idx="58">
                  <c:v>113</c:v>
                </c:pt>
                <c:pt idx="59">
                  <c:v>114</c:v>
                </c:pt>
                <c:pt idx="60">
                  <c:v>115</c:v>
                </c:pt>
                <c:pt idx="61">
                  <c:v>116</c:v>
                </c:pt>
                <c:pt idx="62">
                  <c:v>117</c:v>
                </c:pt>
                <c:pt idx="63">
                  <c:v>118</c:v>
                </c:pt>
                <c:pt idx="64">
                  <c:v>119</c:v>
                </c:pt>
                <c:pt idx="65">
                  <c:v>120</c:v>
                </c:pt>
                <c:pt idx="66">
                  <c:v>121</c:v>
                </c:pt>
                <c:pt idx="67">
                  <c:v>122</c:v>
                </c:pt>
                <c:pt idx="68">
                  <c:v>123</c:v>
                </c:pt>
                <c:pt idx="69">
                  <c:v>124</c:v>
                </c:pt>
                <c:pt idx="70">
                  <c:v>125</c:v>
                </c:pt>
                <c:pt idx="71">
                  <c:v>126</c:v>
                </c:pt>
                <c:pt idx="72">
                  <c:v>127</c:v>
                </c:pt>
                <c:pt idx="73">
                  <c:v>128</c:v>
                </c:pt>
                <c:pt idx="74">
                  <c:v>129</c:v>
                </c:pt>
                <c:pt idx="75">
                  <c:v>130</c:v>
                </c:pt>
                <c:pt idx="76">
                  <c:v>131</c:v>
                </c:pt>
                <c:pt idx="77">
                  <c:v>132</c:v>
                </c:pt>
                <c:pt idx="78">
                  <c:v>133</c:v>
                </c:pt>
                <c:pt idx="79">
                  <c:v>134</c:v>
                </c:pt>
                <c:pt idx="80">
                  <c:v>135</c:v>
                </c:pt>
                <c:pt idx="81">
                  <c:v>136</c:v>
                </c:pt>
                <c:pt idx="82">
                  <c:v>137</c:v>
                </c:pt>
                <c:pt idx="83">
                  <c:v>138</c:v>
                </c:pt>
              </c:numCache>
            </c:numRef>
          </c:xVal>
          <c:yVal>
            <c:numRef>
              <c:f>'New_removed_rate - bSIR'!$P$62:$P$145</c:f>
              <c:numCache>
                <c:formatCode>0%</c:formatCode>
                <c:ptCount val="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6.4434286477092444</c:v>
                </c:pt>
                <c:pt idx="16">
                  <c:v>0.88633434067757844</c:v>
                </c:pt>
                <c:pt idx="17">
                  <c:v>0.48497040671851521</c:v>
                </c:pt>
                <c:pt idx="18">
                  <c:v>0.33798713082210347</c:v>
                </c:pt>
                <c:pt idx="19">
                  <c:v>0.26174148373987949</c:v>
                </c:pt>
                <c:pt idx="20">
                  <c:v>0.21506773399760828</c:v>
                </c:pt>
                <c:pt idx="21">
                  <c:v>0.18354960218100014</c:v>
                </c:pt>
                <c:pt idx="22">
                  <c:v>0.16082926498429986</c:v>
                </c:pt>
                <c:pt idx="23">
                  <c:v>0.14366697680589902</c:v>
                </c:pt>
                <c:pt idx="24">
                  <c:v>0.13023826577983727</c:v>
                </c:pt>
                <c:pt idx="25">
                  <c:v>0.11943714864768554</c:v>
                </c:pt>
                <c:pt idx="26">
                  <c:v>0.11055410617838267</c:v>
                </c:pt>
                <c:pt idx="27">
                  <c:v>0.10311300908772124</c:v>
                </c:pt>
                <c:pt idx="28">
                  <c:v>9.6782418756749117E-2</c:v>
                </c:pt>
                <c:pt idx="29">
                  <c:v>9.1324484426219557E-2</c:v>
                </c:pt>
                <c:pt idx="30">
                  <c:v>8.6564072128129804E-2</c:v>
                </c:pt>
                <c:pt idx="31">
                  <c:v>8.2369359303581552E-2</c:v>
                </c:pt>
                <c:pt idx="32">
                  <c:v>7.8639216813209151E-2</c:v>
                </c:pt>
                <c:pt idx="33">
                  <c:v>7.5294761452741055E-2</c:v>
                </c:pt>
                <c:pt idx="34">
                  <c:v>7.2273554973309895E-2</c:v>
                </c:pt>
                <c:pt idx="35">
                  <c:v>6.952553049253983E-2</c:v>
                </c:pt>
                <c:pt idx="36">
                  <c:v>6.7010074739151451E-2</c:v>
                </c:pt>
                <c:pt idx="37">
                  <c:v>6.469390094685662E-2</c:v>
                </c:pt>
                <c:pt idx="38">
                  <c:v>6.2549473374130776E-2</c:v>
                </c:pt>
                <c:pt idx="39">
                  <c:v>6.0553823581390463E-2</c:v>
                </c:pt>
                <c:pt idx="40">
                  <c:v>5.8687649432200582E-2</c:v>
                </c:pt>
                <c:pt idx="41">
                  <c:v>5.6934621127831313E-2</c:v>
                </c:pt>
                <c:pt idx="42">
                  <c:v>5.5280840876389979E-2</c:v>
                </c:pt>
                <c:pt idx="43">
                  <c:v>5.371441796382672E-2</c:v>
                </c:pt>
                <c:pt idx="44">
                  <c:v>5.222513147852148E-2</c:v>
                </c:pt>
                <c:pt idx="45">
                  <c:v>5.0804160296507084E-2</c:v>
                </c:pt>
                <c:pt idx="46">
                  <c:v>4.9443865165122482E-2</c:v>
                </c:pt>
                <c:pt idx="47">
                  <c:v>4.8137611489869392E-2</c:v>
                </c:pt>
                <c:pt idx="48">
                  <c:v>4.6879624174081064E-2</c:v>
                </c:pt>
                <c:pt idx="49">
                  <c:v>4.5664867883090605E-2</c:v>
                </c:pt>
                <c:pt idx="50">
                  <c:v>4.448894760963093E-2</c:v>
                </c:pt>
                <c:pt idx="51">
                  <c:v>4.3348025548330449E-2</c:v>
                </c:pt>
                <c:pt idx="52">
                  <c:v>4.2238751145140092E-2</c:v>
                </c:pt>
                <c:pt idx="53">
                  <c:v>4.1158201844027555E-2</c:v>
                </c:pt>
                <c:pt idx="54">
                  <c:v>4.0103832559845072E-2</c:v>
                </c:pt>
                <c:pt idx="55">
                  <c:v>3.9073432300316811E-2</c:v>
                </c:pt>
                <c:pt idx="56">
                  <c:v>3.8065086668987794E-2</c:v>
                </c:pt>
                <c:pt idx="57">
                  <c:v>3.7077145224942661E-2</c:v>
                </c:pt>
                <c:pt idx="58">
                  <c:v>3.6108192869177554E-2</c:v>
                </c:pt>
                <c:pt idx="59">
                  <c:v>3.5157024582956074E-2</c:v>
                </c:pt>
                <c:pt idx="60">
                  <c:v>3.4222622968795059E-2</c:v>
                </c:pt>
                <c:pt idx="61">
                  <c:v>3.3304138146352538E-2</c:v>
                </c:pt>
                <c:pt idx="62">
                  <c:v>3.240086963834414E-2</c:v>
                </c:pt>
                <c:pt idx="63">
                  <c:v>3.1512249949469523E-2</c:v>
                </c:pt>
                <c:pt idx="64">
                  <c:v>3.0637829597095455E-2</c:v>
                </c:pt>
                <c:pt idx="65">
                  <c:v>2.9777263398376923E-2</c:v>
                </c:pt>
                <c:pt idx="66">
                  <c:v>2.8930297856365222E-2</c:v>
                </c:pt>
                <c:pt idx="67">
                  <c:v>2.8096759518838877E-2</c:v>
                </c:pt>
                <c:pt idx="68">
                  <c:v>2.7276544209203311E-2</c:v>
                </c:pt>
                <c:pt idx="69">
                  <c:v>2.6469607049718742E-2</c:v>
                </c:pt>
                <c:pt idx="70">
                  <c:v>2.5675953214254605E-2</c:v>
                </c:pt>
                <c:pt idx="71">
                  <c:v>2.4895629361320566E-2</c:v>
                </c:pt>
                <c:pt idx="72">
                  <c:v>2.4128715708790046E-2</c:v>
                </c:pt>
                <c:pt idx="73">
                  <c:v>2.3375318719929827E-2</c:v>
                </c:pt>
                <c:pt idx="74">
                  <c:v>2.2635564376450385E-2</c:v>
                </c:pt>
                <c:pt idx="75">
                  <c:v>2.1909592018615091E-2</c:v>
                </c:pt>
                <c:pt idx="76">
                  <c:v>2.1197548735284052E-2</c:v>
                </c:pt>
                <c:pt idx="77">
                  <c:v>2.0499584288375207E-2</c:v>
                </c:pt>
                <c:pt idx="78">
                  <c:v>1.9815846556840062E-2</c:v>
                </c:pt>
                <c:pt idx="79">
                  <c:v>1.9146477485083371E-2</c:v>
                </c:pt>
                <c:pt idx="80">
                  <c:v>1.8491609519998023E-2</c:v>
                </c:pt>
                <c:pt idx="81">
                  <c:v>1.7851362519610871E-2</c:v>
                </c:pt>
                <c:pt idx="82">
                  <c:v>1.7225841114893344E-2</c:v>
                </c:pt>
                <c:pt idx="83">
                  <c:v>1.6615132504717033E-2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469-408E-A0BB-3BFDA5FABBA5}"/>
            </c:ext>
          </c:extLst>
        </c:ser>
        <c:ser>
          <c:idx val="4"/>
          <c:order val="4"/>
          <c:tx>
            <c:strRef>
              <c:f>'New_removed_rate - bSIR'!$AO$7</c:f>
              <c:strCache>
                <c:ptCount val="1"/>
                <c:pt idx="0">
                  <c:v>sel. region g.r.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'New_removed_rate - bSIR'!$C$63:$C$145</c:f>
              <c:numCache>
                <c:formatCode>General</c:formatCode>
                <c:ptCount val="83"/>
                <c:pt idx="0">
                  <c:v>56</c:v>
                </c:pt>
                <c:pt idx="1">
                  <c:v>57</c:v>
                </c:pt>
                <c:pt idx="2">
                  <c:v>58</c:v>
                </c:pt>
                <c:pt idx="3">
                  <c:v>59</c:v>
                </c:pt>
                <c:pt idx="4">
                  <c:v>60</c:v>
                </c:pt>
                <c:pt idx="5">
                  <c:v>61</c:v>
                </c:pt>
                <c:pt idx="6">
                  <c:v>62</c:v>
                </c:pt>
                <c:pt idx="7">
                  <c:v>63</c:v>
                </c:pt>
                <c:pt idx="8">
                  <c:v>64</c:v>
                </c:pt>
                <c:pt idx="9">
                  <c:v>65</c:v>
                </c:pt>
                <c:pt idx="10">
                  <c:v>66</c:v>
                </c:pt>
                <c:pt idx="11">
                  <c:v>67</c:v>
                </c:pt>
                <c:pt idx="12">
                  <c:v>68</c:v>
                </c:pt>
                <c:pt idx="13">
                  <c:v>69</c:v>
                </c:pt>
                <c:pt idx="14">
                  <c:v>70</c:v>
                </c:pt>
                <c:pt idx="15">
                  <c:v>71</c:v>
                </c:pt>
                <c:pt idx="16">
                  <c:v>72</c:v>
                </c:pt>
                <c:pt idx="17">
                  <c:v>73</c:v>
                </c:pt>
                <c:pt idx="18">
                  <c:v>74</c:v>
                </c:pt>
                <c:pt idx="19">
                  <c:v>75</c:v>
                </c:pt>
                <c:pt idx="20">
                  <c:v>76</c:v>
                </c:pt>
                <c:pt idx="21">
                  <c:v>77</c:v>
                </c:pt>
                <c:pt idx="22">
                  <c:v>78</c:v>
                </c:pt>
                <c:pt idx="23">
                  <c:v>79</c:v>
                </c:pt>
                <c:pt idx="24">
                  <c:v>80</c:v>
                </c:pt>
                <c:pt idx="25">
                  <c:v>81</c:v>
                </c:pt>
                <c:pt idx="26">
                  <c:v>82</c:v>
                </c:pt>
                <c:pt idx="27">
                  <c:v>83</c:v>
                </c:pt>
                <c:pt idx="28">
                  <c:v>84</c:v>
                </c:pt>
                <c:pt idx="29">
                  <c:v>85</c:v>
                </c:pt>
                <c:pt idx="30">
                  <c:v>86</c:v>
                </c:pt>
                <c:pt idx="31">
                  <c:v>87</c:v>
                </c:pt>
                <c:pt idx="32">
                  <c:v>88</c:v>
                </c:pt>
                <c:pt idx="33">
                  <c:v>89</c:v>
                </c:pt>
                <c:pt idx="34">
                  <c:v>90</c:v>
                </c:pt>
                <c:pt idx="35">
                  <c:v>91</c:v>
                </c:pt>
                <c:pt idx="36">
                  <c:v>92</c:v>
                </c:pt>
                <c:pt idx="37">
                  <c:v>93</c:v>
                </c:pt>
                <c:pt idx="38">
                  <c:v>94</c:v>
                </c:pt>
                <c:pt idx="39">
                  <c:v>95</c:v>
                </c:pt>
                <c:pt idx="40">
                  <c:v>96</c:v>
                </c:pt>
                <c:pt idx="41">
                  <c:v>97</c:v>
                </c:pt>
                <c:pt idx="42">
                  <c:v>98</c:v>
                </c:pt>
                <c:pt idx="43">
                  <c:v>99</c:v>
                </c:pt>
                <c:pt idx="44">
                  <c:v>100</c:v>
                </c:pt>
                <c:pt idx="45">
                  <c:v>101</c:v>
                </c:pt>
                <c:pt idx="46">
                  <c:v>102</c:v>
                </c:pt>
                <c:pt idx="47">
                  <c:v>103</c:v>
                </c:pt>
                <c:pt idx="48">
                  <c:v>104</c:v>
                </c:pt>
                <c:pt idx="49">
                  <c:v>105</c:v>
                </c:pt>
                <c:pt idx="50">
                  <c:v>106</c:v>
                </c:pt>
                <c:pt idx="51">
                  <c:v>107</c:v>
                </c:pt>
                <c:pt idx="52">
                  <c:v>108</c:v>
                </c:pt>
                <c:pt idx="53">
                  <c:v>109</c:v>
                </c:pt>
                <c:pt idx="54">
                  <c:v>110</c:v>
                </c:pt>
                <c:pt idx="55">
                  <c:v>111</c:v>
                </c:pt>
                <c:pt idx="56">
                  <c:v>112</c:v>
                </c:pt>
                <c:pt idx="57">
                  <c:v>113</c:v>
                </c:pt>
                <c:pt idx="58">
                  <c:v>114</c:v>
                </c:pt>
                <c:pt idx="59">
                  <c:v>115</c:v>
                </c:pt>
                <c:pt idx="60">
                  <c:v>116</c:v>
                </c:pt>
                <c:pt idx="61">
                  <c:v>117</c:v>
                </c:pt>
                <c:pt idx="62">
                  <c:v>118</c:v>
                </c:pt>
                <c:pt idx="63">
                  <c:v>119</c:v>
                </c:pt>
                <c:pt idx="64">
                  <c:v>120</c:v>
                </c:pt>
                <c:pt idx="65">
                  <c:v>121</c:v>
                </c:pt>
                <c:pt idx="66">
                  <c:v>122</c:v>
                </c:pt>
                <c:pt idx="67">
                  <c:v>123</c:v>
                </c:pt>
                <c:pt idx="68">
                  <c:v>124</c:v>
                </c:pt>
                <c:pt idx="69">
                  <c:v>125</c:v>
                </c:pt>
                <c:pt idx="70">
                  <c:v>126</c:v>
                </c:pt>
                <c:pt idx="71">
                  <c:v>127</c:v>
                </c:pt>
                <c:pt idx="72">
                  <c:v>128</c:v>
                </c:pt>
                <c:pt idx="73">
                  <c:v>129</c:v>
                </c:pt>
                <c:pt idx="74">
                  <c:v>130</c:v>
                </c:pt>
                <c:pt idx="75">
                  <c:v>131</c:v>
                </c:pt>
                <c:pt idx="76">
                  <c:v>132</c:v>
                </c:pt>
                <c:pt idx="77">
                  <c:v>133</c:v>
                </c:pt>
                <c:pt idx="78">
                  <c:v>134</c:v>
                </c:pt>
                <c:pt idx="79">
                  <c:v>135</c:v>
                </c:pt>
                <c:pt idx="80">
                  <c:v>136</c:v>
                </c:pt>
                <c:pt idx="81">
                  <c:v>137</c:v>
                </c:pt>
                <c:pt idx="82">
                  <c:v>138</c:v>
                </c:pt>
              </c:numCache>
            </c:numRef>
          </c:xVal>
          <c:yVal>
            <c:numRef>
              <c:f>'New_removed_rate - bSIR'!$AO$63:$AO$145</c:f>
              <c:numCache>
                <c:formatCode>0%</c:formatCode>
                <c:ptCount val="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1.3399621998376321</c:v>
                </c:pt>
                <c:pt idx="21">
                  <c:v>0.59189380657446777</c:v>
                </c:pt>
                <c:pt idx="22">
                  <c:v>0.38596541821667307</c:v>
                </c:pt>
                <c:pt idx="23">
                  <c:v>0.28956978358081015</c:v>
                </c:pt>
                <c:pt idx="24">
                  <c:v>0.23366029652493422</c:v>
                </c:pt>
                <c:pt idx="25">
                  <c:v>0.19714182269608049</c:v>
                </c:pt>
                <c:pt idx="26">
                  <c:v>0.17140188347016375</c:v>
                </c:pt>
                <c:pt idx="27">
                  <c:v>0.15226736706747473</c:v>
                </c:pt>
                <c:pt idx="28">
                  <c:v>0.13747055404980524</c:v>
                </c:pt>
                <c:pt idx="29">
                  <c:v>0.12567296930294597</c:v>
                </c:pt>
                <c:pt idx="30">
                  <c:v>0.11603357320777605</c:v>
                </c:pt>
                <c:pt idx="31">
                  <c:v>0.10799727145954771</c:v>
                </c:pt>
                <c:pt idx="32">
                  <c:v>0.10118287598901995</c:v>
                </c:pt>
                <c:pt idx="33">
                  <c:v>9.5319922966746393E-2</c:v>
                </c:pt>
                <c:pt idx="34">
                  <c:v>9.0211176713099681E-2</c:v>
                </c:pt>
                <c:pt idx="35">
                  <c:v>8.5709410590597543E-2</c:v>
                </c:pt>
                <c:pt idx="36">
                  <c:v>8.1702501834145902E-2</c:v>
                </c:pt>
                <c:pt idx="37">
                  <c:v>7.8103563363331699E-2</c:v>
                </c:pt>
                <c:pt idx="38">
                  <c:v>7.4844233048873929E-2</c:v>
                </c:pt>
                <c:pt idx="39">
                  <c:v>7.1870001840072861E-2</c:v>
                </c:pt>
                <c:pt idx="40">
                  <c:v>6.913689320269624E-2</c:v>
                </c:pt>
                <c:pt idx="41">
                  <c:v>6.6609059074633992E-2</c:v>
                </c:pt>
                <c:pt idx="42">
                  <c:v>6.4257010353804891E-2</c:v>
                </c:pt>
                <c:pt idx="43">
                  <c:v>6.2056294857014062E-2</c:v>
                </c:pt>
                <c:pt idx="44">
                  <c:v>5.9986496108118244E-2</c:v>
                </c:pt>
                <c:pt idx="45">
                  <c:v>5.8030465624277626E-2</c:v>
                </c:pt>
                <c:pt idx="46">
                  <c:v>5.6173727459267894E-2</c:v>
                </c:pt>
                <c:pt idx="47">
                  <c:v>5.4404011395755507E-2</c:v>
                </c:pt>
                <c:pt idx="48">
                  <c:v>5.2710883295367814E-2</c:v>
                </c:pt>
                <c:pt idx="49">
                  <c:v>5.1085449570392745E-2</c:v>
                </c:pt>
                <c:pt idx="50">
                  <c:v>4.9520118725061291E-2</c:v>
                </c:pt>
                <c:pt idx="51">
                  <c:v>4.8008407206070108E-2</c:v>
                </c:pt>
                <c:pt idx="52">
                  <c:v>4.6544779918310762E-2</c:v>
                </c:pt>
                <c:pt idx="53">
                  <c:v>4.5124518051161737E-2</c:v>
                </c:pt>
                <c:pt idx="54">
                  <c:v>4.3743608561261048E-2</c:v>
                </c:pt>
                <c:pt idx="55">
                  <c:v>4.2398650934151835E-2</c:v>
                </c:pt>
                <c:pt idx="56">
                  <c:v>4.108677781489295E-2</c:v>
                </c:pt>
                <c:pt idx="57">
                  <c:v>3.9805586838239926E-2</c:v>
                </c:pt>
                <c:pt idx="58">
                  <c:v>3.8553081560634438E-2</c:v>
                </c:pt>
                <c:pt idx="59">
                  <c:v>3.7327619841037621E-2</c:v>
                </c:pt>
                <c:pt idx="60">
                  <c:v>3.6127868366197996E-2</c:v>
                </c:pt>
                <c:pt idx="61">
                  <c:v>3.4952762290695862E-2</c:v>
                </c:pt>
                <c:pt idx="62">
                  <c:v>3.3801469179654056E-2</c:v>
                </c:pt>
                <c:pt idx="63">
                  <c:v>3.2673356614730191E-2</c:v>
                </c:pt>
                <c:pt idx="64">
                  <c:v>3.156796296123774E-2</c:v>
                </c:pt>
                <c:pt idx="65">
                  <c:v>3.0484970903077641E-2</c:v>
                </c:pt>
                <c:pt idx="66">
                  <c:v>2.9424183438071173E-2</c:v>
                </c:pt>
                <c:pt idx="67">
                  <c:v>2.8385502093542146E-2</c:v>
                </c:pt>
                <c:pt idx="68">
                  <c:v>2.7368907174002116E-2</c:v>
                </c:pt>
                <c:pt idx="69">
                  <c:v>2.6374439892291848E-2</c:v>
                </c:pt>
                <c:pt idx="70">
                  <c:v>2.5402186264789631E-2</c:v>
                </c:pt>
                <c:pt idx="71">
                  <c:v>2.4452262672209752E-2</c:v>
                </c:pt>
                <c:pt idx="72">
                  <c:v>2.3524803001693861E-2</c:v>
                </c:pt>
                <c:pt idx="73">
                  <c:v>2.2619947294733989E-2</c:v>
                </c:pt>
                <c:pt idx="74">
                  <c:v>2.1737831830160967E-2</c:v>
                </c:pt>
                <c:pt idx="75">
                  <c:v>2.0878580573026804E-2</c:v>
                </c:pt>
                <c:pt idx="76">
                  <c:v>2.0042297919607346E-2</c:v>
                </c:pt>
                <c:pt idx="77">
                  <c:v>1.9229062666721322E-2</c:v>
                </c:pt>
                <c:pt idx="78">
                  <c:v>1.8438923130753498E-2</c:v>
                </c:pt>
                <c:pt idx="79">
                  <c:v>1.767189333871742E-2</c:v>
                </c:pt>
                <c:pt idx="80">
                  <c:v>1.6927950210824338E-2</c:v>
                </c:pt>
                <c:pt idx="81">
                  <c:v>1.6207031651666072E-2</c:v>
                </c:pt>
                <c:pt idx="82">
                  <c:v>1.5509035465506273E-2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469-408E-A0BB-3BFDA5FABBA5}"/>
            </c:ext>
          </c:extLst>
        </c:ser>
        <c:ser>
          <c:idx val="5"/>
          <c:order val="5"/>
          <c:tx>
            <c:strRef>
              <c:f>'New_removed_rate - bSIR'!$BJ$7</c:f>
              <c:strCache>
                <c:ptCount val="1"/>
                <c:pt idx="0">
                  <c:v>rest of Italy g.r.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'New_removed_rate - bSIR'!$C$63:$C$145</c:f>
              <c:numCache>
                <c:formatCode>General</c:formatCode>
                <c:ptCount val="83"/>
                <c:pt idx="0">
                  <c:v>56</c:v>
                </c:pt>
                <c:pt idx="1">
                  <c:v>57</c:v>
                </c:pt>
                <c:pt idx="2">
                  <c:v>58</c:v>
                </c:pt>
                <c:pt idx="3">
                  <c:v>59</c:v>
                </c:pt>
                <c:pt idx="4">
                  <c:v>60</c:v>
                </c:pt>
                <c:pt idx="5">
                  <c:v>61</c:v>
                </c:pt>
                <c:pt idx="6">
                  <c:v>62</c:v>
                </c:pt>
                <c:pt idx="7">
                  <c:v>63</c:v>
                </c:pt>
                <c:pt idx="8">
                  <c:v>64</c:v>
                </c:pt>
                <c:pt idx="9">
                  <c:v>65</c:v>
                </c:pt>
                <c:pt idx="10">
                  <c:v>66</c:v>
                </c:pt>
                <c:pt idx="11">
                  <c:v>67</c:v>
                </c:pt>
                <c:pt idx="12">
                  <c:v>68</c:v>
                </c:pt>
                <c:pt idx="13">
                  <c:v>69</c:v>
                </c:pt>
                <c:pt idx="14">
                  <c:v>70</c:v>
                </c:pt>
                <c:pt idx="15">
                  <c:v>71</c:v>
                </c:pt>
                <c:pt idx="16">
                  <c:v>72</c:v>
                </c:pt>
                <c:pt idx="17">
                  <c:v>73</c:v>
                </c:pt>
                <c:pt idx="18">
                  <c:v>74</c:v>
                </c:pt>
                <c:pt idx="19">
                  <c:v>75</c:v>
                </c:pt>
                <c:pt idx="20">
                  <c:v>76</c:v>
                </c:pt>
                <c:pt idx="21">
                  <c:v>77</c:v>
                </c:pt>
                <c:pt idx="22">
                  <c:v>78</c:v>
                </c:pt>
                <c:pt idx="23">
                  <c:v>79</c:v>
                </c:pt>
                <c:pt idx="24">
                  <c:v>80</c:v>
                </c:pt>
                <c:pt idx="25">
                  <c:v>81</c:v>
                </c:pt>
                <c:pt idx="26">
                  <c:v>82</c:v>
                </c:pt>
                <c:pt idx="27">
                  <c:v>83</c:v>
                </c:pt>
                <c:pt idx="28">
                  <c:v>84</c:v>
                </c:pt>
                <c:pt idx="29">
                  <c:v>85</c:v>
                </c:pt>
                <c:pt idx="30">
                  <c:v>86</c:v>
                </c:pt>
                <c:pt idx="31">
                  <c:v>87</c:v>
                </c:pt>
                <c:pt idx="32">
                  <c:v>88</c:v>
                </c:pt>
                <c:pt idx="33">
                  <c:v>89</c:v>
                </c:pt>
                <c:pt idx="34">
                  <c:v>90</c:v>
                </c:pt>
                <c:pt idx="35">
                  <c:v>91</c:v>
                </c:pt>
                <c:pt idx="36">
                  <c:v>92</c:v>
                </c:pt>
                <c:pt idx="37">
                  <c:v>93</c:v>
                </c:pt>
                <c:pt idx="38">
                  <c:v>94</c:v>
                </c:pt>
                <c:pt idx="39">
                  <c:v>95</c:v>
                </c:pt>
                <c:pt idx="40">
                  <c:v>96</c:v>
                </c:pt>
                <c:pt idx="41">
                  <c:v>97</c:v>
                </c:pt>
                <c:pt idx="42">
                  <c:v>98</c:v>
                </c:pt>
                <c:pt idx="43">
                  <c:v>99</c:v>
                </c:pt>
                <c:pt idx="44">
                  <c:v>100</c:v>
                </c:pt>
                <c:pt idx="45">
                  <c:v>101</c:v>
                </c:pt>
                <c:pt idx="46">
                  <c:v>102</c:v>
                </c:pt>
                <c:pt idx="47">
                  <c:v>103</c:v>
                </c:pt>
                <c:pt idx="48">
                  <c:v>104</c:v>
                </c:pt>
                <c:pt idx="49">
                  <c:v>105</c:v>
                </c:pt>
                <c:pt idx="50">
                  <c:v>106</c:v>
                </c:pt>
                <c:pt idx="51">
                  <c:v>107</c:v>
                </c:pt>
                <c:pt idx="52">
                  <c:v>108</c:v>
                </c:pt>
                <c:pt idx="53">
                  <c:v>109</c:v>
                </c:pt>
                <c:pt idx="54">
                  <c:v>110</c:v>
                </c:pt>
                <c:pt idx="55">
                  <c:v>111</c:v>
                </c:pt>
                <c:pt idx="56">
                  <c:v>112</c:v>
                </c:pt>
                <c:pt idx="57">
                  <c:v>113</c:v>
                </c:pt>
                <c:pt idx="58">
                  <c:v>114</c:v>
                </c:pt>
                <c:pt idx="59">
                  <c:v>115</c:v>
                </c:pt>
                <c:pt idx="60">
                  <c:v>116</c:v>
                </c:pt>
                <c:pt idx="61">
                  <c:v>117</c:v>
                </c:pt>
                <c:pt idx="62">
                  <c:v>118</c:v>
                </c:pt>
                <c:pt idx="63">
                  <c:v>119</c:v>
                </c:pt>
                <c:pt idx="64">
                  <c:v>120</c:v>
                </c:pt>
                <c:pt idx="65">
                  <c:v>121</c:v>
                </c:pt>
                <c:pt idx="66">
                  <c:v>122</c:v>
                </c:pt>
                <c:pt idx="67">
                  <c:v>123</c:v>
                </c:pt>
                <c:pt idx="68">
                  <c:v>124</c:v>
                </c:pt>
                <c:pt idx="69">
                  <c:v>125</c:v>
                </c:pt>
                <c:pt idx="70">
                  <c:v>126</c:v>
                </c:pt>
                <c:pt idx="71">
                  <c:v>127</c:v>
                </c:pt>
                <c:pt idx="72">
                  <c:v>128</c:v>
                </c:pt>
                <c:pt idx="73">
                  <c:v>129</c:v>
                </c:pt>
                <c:pt idx="74">
                  <c:v>130</c:v>
                </c:pt>
                <c:pt idx="75">
                  <c:v>131</c:v>
                </c:pt>
                <c:pt idx="76">
                  <c:v>132</c:v>
                </c:pt>
                <c:pt idx="77">
                  <c:v>133</c:v>
                </c:pt>
                <c:pt idx="78">
                  <c:v>134</c:v>
                </c:pt>
                <c:pt idx="79">
                  <c:v>135</c:v>
                </c:pt>
                <c:pt idx="80">
                  <c:v>136</c:v>
                </c:pt>
                <c:pt idx="81">
                  <c:v>137</c:v>
                </c:pt>
                <c:pt idx="82">
                  <c:v>138</c:v>
                </c:pt>
              </c:numCache>
            </c:numRef>
          </c:xVal>
          <c:yVal>
            <c:numRef>
              <c:f>'New_removed_rate - bSIR'!$BJ$63:$BJ$145</c:f>
              <c:numCache>
                <c:formatCode>0%</c:formatCode>
                <c:ptCount val="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3.3043313999713226</c:v>
                </c:pt>
                <c:pt idx="15">
                  <c:v>0.78743103436362338</c:v>
                </c:pt>
                <c:pt idx="16">
                  <c:v>0.45483063734103557</c:v>
                </c:pt>
                <c:pt idx="17">
                  <c:v>0.32353350234676415</c:v>
                </c:pt>
                <c:pt idx="18">
                  <c:v>0.25323854959789271</c:v>
                </c:pt>
                <c:pt idx="19">
                  <c:v>0.2094411531071233</c:v>
                </c:pt>
                <c:pt idx="20">
                  <c:v>0.17952837309042738</c:v>
                </c:pt>
                <c:pt idx="21">
                  <c:v>0.15779400254734813</c:v>
                </c:pt>
                <c:pt idx="22">
                  <c:v>0.14128016869813723</c:v>
                </c:pt>
                <c:pt idx="23">
                  <c:v>0.12830045933661408</c:v>
                </c:pt>
                <c:pt idx="24">
                  <c:v>0.11782298423782693</c:v>
                </c:pt>
                <c:pt idx="25">
                  <c:v>0.1091808832047155</c:v>
                </c:pt>
                <c:pt idx="26">
                  <c:v>0.10192399804244279</c:v>
                </c:pt>
                <c:pt idx="27">
                  <c:v>9.5737437132908262E-2</c:v>
                </c:pt>
                <c:pt idx="28">
                  <c:v>9.0394298440967039E-2</c:v>
                </c:pt>
                <c:pt idx="29">
                  <c:v>8.5726927592277208E-2</c:v>
                </c:pt>
                <c:pt idx="30">
                  <c:v>8.160875342455394E-2</c:v>
                </c:pt>
                <c:pt idx="31">
                  <c:v>7.7942422256518179E-2</c:v>
                </c:pt>
                <c:pt idx="32">
                  <c:v>7.4651822144171792E-2</c:v>
                </c:pt>
                <c:pt idx="33">
                  <c:v>7.1676586591991748E-2</c:v>
                </c:pt>
                <c:pt idx="34">
                  <c:v>6.8968222932451459E-2</c:v>
                </c:pt>
                <c:pt idx="35">
                  <c:v>6.6487331560530952E-2</c:v>
                </c:pt>
                <c:pt idx="36">
                  <c:v>6.4201573668246706E-2</c:v>
                </c:pt>
                <c:pt idx="37">
                  <c:v>6.208416264265542E-2</c:v>
                </c:pt>
                <c:pt idx="38">
                  <c:v>6.0112728291543585E-2</c:v>
                </c:pt>
                <c:pt idx="39">
                  <c:v>5.8268450741718394E-2</c:v>
                </c:pt>
                <c:pt idx="40">
                  <c:v>5.6535392221406432E-2</c:v>
                </c:pt>
                <c:pt idx="41">
                  <c:v>5.4899975965680761E-2</c:v>
                </c:pt>
                <c:pt idx="42">
                  <c:v>5.335057582499473E-2</c:v>
                </c:pt>
                <c:pt idx="43">
                  <c:v>5.1877190093529139E-2</c:v>
                </c:pt>
                <c:pt idx="44">
                  <c:v>5.0471180059687565E-2</c:v>
                </c:pt>
                <c:pt idx="45">
                  <c:v>4.9125058758491665E-2</c:v>
                </c:pt>
                <c:pt idx="46">
                  <c:v>4.7832318996592627E-2</c:v>
                </c:pt>
                <c:pt idx="47">
                  <c:v>4.6587292341552941E-2</c:v>
                </c:pt>
                <c:pt idx="48">
                  <c:v>4.5385032700848801E-2</c:v>
                </c:pt>
                <c:pt idx="49">
                  <c:v>4.4221219557453319E-2</c:v>
                </c:pt>
                <c:pt idx="50">
                  <c:v>4.3092077013625232E-2</c:v>
                </c:pt>
                <c:pt idx="51">
                  <c:v>4.1994305618356383E-2</c:v>
                </c:pt>
                <c:pt idx="52">
                  <c:v>4.0925024585036239E-2</c:v>
                </c:pt>
                <c:pt idx="53">
                  <c:v>3.9881722493389046E-2</c:v>
                </c:pt>
                <c:pt idx="54">
                  <c:v>3.8862214949314619E-2</c:v>
                </c:pt>
                <c:pt idx="55">
                  <c:v>3.7864607974087049E-2</c:v>
                </c:pt>
                <c:pt idx="56">
                  <c:v>3.6887266129777954E-2</c:v>
                </c:pt>
                <c:pt idx="57">
                  <c:v>3.592878457517646E-2</c:v>
                </c:pt>
                <c:pt idx="58">
                  <c:v>3.4987964396681941E-2</c:v>
                </c:pt>
                <c:pt idx="59">
                  <c:v>3.4063790679803981E-2</c:v>
                </c:pt>
                <c:pt idx="60">
                  <c:v>3.3155412885213599E-2</c:v>
                </c:pt>
                <c:pt idx="61">
                  <c:v>3.2262127173479802E-2</c:v>
                </c:pt>
                <c:pt idx="62">
                  <c:v>3.1383360388336549E-2</c:v>
                </c:pt>
                <c:pt idx="63">
                  <c:v>3.051865546235866E-2</c:v>
                </c:pt>
                <c:pt idx="64">
                  <c:v>2.9667658053467227E-2</c:v>
                </c:pt>
                <c:pt idx="65">
                  <c:v>2.8830104257436547E-2</c:v>
                </c:pt>
                <c:pt idx="66">
                  <c:v>2.8005809271879862E-2</c:v>
                </c:pt>
                <c:pt idx="67">
                  <c:v>2.7194656912114864E-2</c:v>
                </c:pt>
                <c:pt idx="68">
                  <c:v>2.639658989970628E-2</c:v>
                </c:pt>
                <c:pt idx="69">
                  <c:v>2.5611600861047818E-2</c:v>
                </c:pt>
                <c:pt idx="70">
                  <c:v>2.4839723986648712E-2</c:v>
                </c:pt>
                <c:pt idx="71">
                  <c:v>2.4081027312310866E-2</c:v>
                </c:pt>
                <c:pt idx="72">
                  <c:v>2.3335605591526584E-2</c:v>
                </c:pt>
                <c:pt idx="73">
                  <c:v>2.2603573734547081E-2</c:v>
                </c:pt>
                <c:pt idx="74">
                  <c:v>2.188506079397556E-2</c:v>
                </c:pt>
                <c:pt idx="75">
                  <c:v>2.1180204479701543E-2</c:v>
                </c:pt>
                <c:pt idx="76">
                  <c:v>2.0489146187761594E-2</c:v>
                </c:pt>
                <c:pt idx="77">
                  <c:v>1.9812026528507588E-2</c:v>
                </c:pt>
                <c:pt idx="78">
                  <c:v>1.9148981339490369E-2</c:v>
                </c:pt>
                <c:pt idx="79">
                  <c:v>1.8500138167904561E-2</c:v>
                </c:pt>
                <c:pt idx="80">
                  <c:v>1.786561320645395E-2</c:v>
                </c:pt>
                <c:pt idx="81">
                  <c:v>1.7245508665230724E-2</c:v>
                </c:pt>
                <c:pt idx="82">
                  <c:v>1.6639910560784212E-2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469-408E-A0BB-3BFDA5FABB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2018128"/>
        <c:axId val="952020688"/>
      </c:scatterChart>
      <c:scatterChart>
        <c:scatterStyle val="smoothMarker"/>
        <c:varyColors val="0"/>
        <c:ser>
          <c:idx val="0"/>
          <c:order val="0"/>
          <c:tx>
            <c:strRef>
              <c:f>'New_removed_rate - bSIR'!$I$7</c:f>
              <c:strCache>
                <c:ptCount val="1"/>
                <c:pt idx="0">
                  <c:v>Italy d.t.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plus"/>
            <c:size val="5"/>
            <c:spPr>
              <a:noFill/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'New_removed_rate - bSIR'!$C$62:$C$101</c:f>
              <c:numCache>
                <c:formatCode>General</c:formatCode>
                <c:ptCount val="40"/>
                <c:pt idx="0">
                  <c:v>55</c:v>
                </c:pt>
                <c:pt idx="1">
                  <c:v>56</c:v>
                </c:pt>
                <c:pt idx="2">
                  <c:v>57</c:v>
                </c:pt>
                <c:pt idx="3">
                  <c:v>58</c:v>
                </c:pt>
                <c:pt idx="4">
                  <c:v>59</c:v>
                </c:pt>
                <c:pt idx="5">
                  <c:v>60</c:v>
                </c:pt>
                <c:pt idx="6">
                  <c:v>61</c:v>
                </c:pt>
                <c:pt idx="7">
                  <c:v>62</c:v>
                </c:pt>
                <c:pt idx="8">
                  <c:v>63</c:v>
                </c:pt>
                <c:pt idx="9">
                  <c:v>64</c:v>
                </c:pt>
                <c:pt idx="10">
                  <c:v>65</c:v>
                </c:pt>
                <c:pt idx="11">
                  <c:v>66</c:v>
                </c:pt>
                <c:pt idx="12">
                  <c:v>67</c:v>
                </c:pt>
                <c:pt idx="13">
                  <c:v>68</c:v>
                </c:pt>
                <c:pt idx="14">
                  <c:v>69</c:v>
                </c:pt>
                <c:pt idx="15">
                  <c:v>70</c:v>
                </c:pt>
                <c:pt idx="16">
                  <c:v>71</c:v>
                </c:pt>
                <c:pt idx="17">
                  <c:v>72</c:v>
                </c:pt>
                <c:pt idx="18">
                  <c:v>73</c:v>
                </c:pt>
                <c:pt idx="19">
                  <c:v>74</c:v>
                </c:pt>
                <c:pt idx="20">
                  <c:v>75</c:v>
                </c:pt>
                <c:pt idx="21">
                  <c:v>76</c:v>
                </c:pt>
                <c:pt idx="22">
                  <c:v>77</c:v>
                </c:pt>
                <c:pt idx="23">
                  <c:v>78</c:v>
                </c:pt>
                <c:pt idx="24">
                  <c:v>79</c:v>
                </c:pt>
                <c:pt idx="25">
                  <c:v>80</c:v>
                </c:pt>
                <c:pt idx="26">
                  <c:v>81</c:v>
                </c:pt>
                <c:pt idx="27">
                  <c:v>82</c:v>
                </c:pt>
                <c:pt idx="28">
                  <c:v>83</c:v>
                </c:pt>
                <c:pt idx="29">
                  <c:v>84</c:v>
                </c:pt>
                <c:pt idx="30">
                  <c:v>85</c:v>
                </c:pt>
                <c:pt idx="31">
                  <c:v>86</c:v>
                </c:pt>
                <c:pt idx="32">
                  <c:v>87</c:v>
                </c:pt>
                <c:pt idx="33">
                  <c:v>88</c:v>
                </c:pt>
                <c:pt idx="34">
                  <c:v>89</c:v>
                </c:pt>
                <c:pt idx="35">
                  <c:v>90</c:v>
                </c:pt>
                <c:pt idx="36">
                  <c:v>91</c:v>
                </c:pt>
                <c:pt idx="37">
                  <c:v>92</c:v>
                </c:pt>
                <c:pt idx="38">
                  <c:v>93</c:v>
                </c:pt>
                <c:pt idx="39">
                  <c:v>94</c:v>
                </c:pt>
              </c:numCache>
            </c:numRef>
          </c:xVal>
          <c:yVal>
            <c:numRef>
              <c:f>'New_removed_rate - bSIR'!$I$62:$I$101</c:f>
              <c:numCache>
                <c:formatCode>General</c:formatCode>
                <c:ptCount val="40"/>
                <c:pt idx="0">
                  <c:v>14.844294912230211</c:v>
                </c:pt>
                <c:pt idx="1">
                  <c:v>13.844294912230211</c:v>
                </c:pt>
                <c:pt idx="2">
                  <c:v>12.844294912230211</c:v>
                </c:pt>
                <c:pt idx="3">
                  <c:v>11.844294912230211</c:v>
                </c:pt>
                <c:pt idx="4">
                  <c:v>10.844294912230211</c:v>
                </c:pt>
                <c:pt idx="5">
                  <c:v>9.844294912230211</c:v>
                </c:pt>
                <c:pt idx="6">
                  <c:v>8.844294912230211</c:v>
                </c:pt>
                <c:pt idx="7">
                  <c:v>7.844294912230211</c:v>
                </c:pt>
                <c:pt idx="8">
                  <c:v>6.844294912230211</c:v>
                </c:pt>
                <c:pt idx="9">
                  <c:v>5.844294912230211</c:v>
                </c:pt>
                <c:pt idx="10">
                  <c:v>4.844294912230211</c:v>
                </c:pt>
                <c:pt idx="11">
                  <c:v>3.844294912230211</c:v>
                </c:pt>
                <c:pt idx="12">
                  <c:v>2.844294912230211</c:v>
                </c:pt>
                <c:pt idx="13">
                  <c:v>1.844294912230211</c:v>
                </c:pt>
                <c:pt idx="14">
                  <c:v>0.84429491223021103</c:v>
                </c:pt>
                <c:pt idx="15">
                  <c:v>0.15469348204500116</c:v>
                </c:pt>
                <c:pt idx="16">
                  <c:v>1.1026124990296422</c:v>
                </c:pt>
                <c:pt idx="17">
                  <c:v>1.9793555504994327</c:v>
                </c:pt>
                <c:pt idx="18">
                  <c:v>2.7942431350825041</c:v>
                </c:pt>
                <c:pt idx="19">
                  <c:v>3.5551354117312481</c:v>
                </c:pt>
                <c:pt idx="20">
                  <c:v>4.2687370133772067</c:v>
                </c:pt>
                <c:pt idx="21">
                  <c:v>4.94082784420136</c:v>
                </c:pt>
                <c:pt idx="22">
                  <c:v>5.5764406175975658</c:v>
                </c:pt>
                <c:pt idx="23">
                  <c:v>6.1799994280473864</c:v>
                </c:pt>
                <c:pt idx="24">
                  <c:v>6.7554293930937241</c:v>
                </c:pt>
                <c:pt idx="25">
                  <c:v>7.3062445391236537</c:v>
                </c:pt>
                <c:pt idx="26">
                  <c:v>7.8356191438183167</c:v>
                </c:pt>
                <c:pt idx="27">
                  <c:v>8.3464463824530384</c:v>
                </c:pt>
                <c:pt idx="28">
                  <c:v>8.8413871600457661</c:v>
                </c:pt>
                <c:pt idx="29">
                  <c:v>9.3229113205036214</c:v>
                </c:pt>
                <c:pt idx="30">
                  <c:v>9.7933329242385732</c:v>
                </c:pt>
                <c:pt idx="31">
                  <c:v>10.254840921516866</c:v>
                </c:pt>
                <c:pt idx="32">
                  <c:v>10.709526282293787</c:v>
                </c:pt>
                <c:pt idx="33">
                  <c:v>11.159406448597519</c:v>
                </c:pt>
                <c:pt idx="34">
                  <c:v>11.606447834848598</c:v>
                </c:pt>
                <c:pt idx="35">
                  <c:v>12.052587002629785</c:v>
                </c:pt>
                <c:pt idx="36">
                  <c:v>12.499751071137339</c:v>
                </c:pt>
                <c:pt idx="37">
                  <c:v>12.94987788760519</c:v>
                </c:pt>
                <c:pt idx="38">
                  <c:v>13.40493647050171</c:v>
                </c:pt>
                <c:pt idx="39">
                  <c:v>13.866948251363063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469-408E-A0BB-3BFDA5FABBA5}"/>
            </c:ext>
          </c:extLst>
        </c:ser>
        <c:ser>
          <c:idx val="1"/>
          <c:order val="1"/>
          <c:tx>
            <c:strRef>
              <c:f>'New_removed_rate - bSIR'!$AL$7</c:f>
              <c:strCache>
                <c:ptCount val="1"/>
                <c:pt idx="0">
                  <c:v>sel. region d.t.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plus"/>
            <c:size val="5"/>
            <c:spPr>
              <a:noFill/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'New_removed_rate - bSIR'!$C$62:$C$99</c:f>
              <c:numCache>
                <c:formatCode>General</c:formatCode>
                <c:ptCount val="38"/>
                <c:pt idx="0">
                  <c:v>55</c:v>
                </c:pt>
                <c:pt idx="1">
                  <c:v>56</c:v>
                </c:pt>
                <c:pt idx="2">
                  <c:v>57</c:v>
                </c:pt>
                <c:pt idx="3">
                  <c:v>58</c:v>
                </c:pt>
                <c:pt idx="4">
                  <c:v>59</c:v>
                </c:pt>
                <c:pt idx="5">
                  <c:v>60</c:v>
                </c:pt>
                <c:pt idx="6">
                  <c:v>61</c:v>
                </c:pt>
                <c:pt idx="7">
                  <c:v>62</c:v>
                </c:pt>
                <c:pt idx="8">
                  <c:v>63</c:v>
                </c:pt>
                <c:pt idx="9">
                  <c:v>64</c:v>
                </c:pt>
                <c:pt idx="10">
                  <c:v>65</c:v>
                </c:pt>
                <c:pt idx="11">
                  <c:v>66</c:v>
                </c:pt>
                <c:pt idx="12">
                  <c:v>67</c:v>
                </c:pt>
                <c:pt idx="13">
                  <c:v>68</c:v>
                </c:pt>
                <c:pt idx="14">
                  <c:v>69</c:v>
                </c:pt>
                <c:pt idx="15">
                  <c:v>70</c:v>
                </c:pt>
                <c:pt idx="16">
                  <c:v>71</c:v>
                </c:pt>
                <c:pt idx="17">
                  <c:v>72</c:v>
                </c:pt>
                <c:pt idx="18">
                  <c:v>73</c:v>
                </c:pt>
                <c:pt idx="19">
                  <c:v>74</c:v>
                </c:pt>
                <c:pt idx="20">
                  <c:v>75</c:v>
                </c:pt>
                <c:pt idx="21">
                  <c:v>76</c:v>
                </c:pt>
                <c:pt idx="22">
                  <c:v>77</c:v>
                </c:pt>
                <c:pt idx="23">
                  <c:v>78</c:v>
                </c:pt>
                <c:pt idx="24">
                  <c:v>79</c:v>
                </c:pt>
                <c:pt idx="25">
                  <c:v>80</c:v>
                </c:pt>
                <c:pt idx="26">
                  <c:v>81</c:v>
                </c:pt>
                <c:pt idx="27">
                  <c:v>82</c:v>
                </c:pt>
                <c:pt idx="28">
                  <c:v>83</c:v>
                </c:pt>
                <c:pt idx="29">
                  <c:v>84</c:v>
                </c:pt>
                <c:pt idx="30">
                  <c:v>85</c:v>
                </c:pt>
                <c:pt idx="31">
                  <c:v>86</c:v>
                </c:pt>
                <c:pt idx="32">
                  <c:v>87</c:v>
                </c:pt>
                <c:pt idx="33">
                  <c:v>88</c:v>
                </c:pt>
                <c:pt idx="34">
                  <c:v>89</c:v>
                </c:pt>
                <c:pt idx="35">
                  <c:v>90</c:v>
                </c:pt>
                <c:pt idx="36">
                  <c:v>91</c:v>
                </c:pt>
                <c:pt idx="37">
                  <c:v>92</c:v>
                </c:pt>
              </c:numCache>
            </c:numRef>
          </c:xVal>
          <c:yVal>
            <c:numRef>
              <c:f>'New_removed_rate - bSIR'!$AL$62:$AL$99</c:f>
              <c:numCache>
                <c:formatCode>General</c:formatCode>
                <c:ptCount val="38"/>
                <c:pt idx="0">
                  <c:v>20.240334693239106</c:v>
                </c:pt>
                <c:pt idx="1">
                  <c:v>19.240334693239106</c:v>
                </c:pt>
                <c:pt idx="2">
                  <c:v>18.240334693239106</c:v>
                </c:pt>
                <c:pt idx="3">
                  <c:v>17.240334693239106</c:v>
                </c:pt>
                <c:pt idx="4">
                  <c:v>16.240334693239106</c:v>
                </c:pt>
                <c:pt idx="5">
                  <c:v>15.240334693239108</c:v>
                </c:pt>
                <c:pt idx="6">
                  <c:v>14.240334693239108</c:v>
                </c:pt>
                <c:pt idx="7">
                  <c:v>13.240334693239108</c:v>
                </c:pt>
                <c:pt idx="8">
                  <c:v>12.240334693239108</c:v>
                </c:pt>
                <c:pt idx="9">
                  <c:v>11.240334693239108</c:v>
                </c:pt>
                <c:pt idx="10">
                  <c:v>10.240334693239108</c:v>
                </c:pt>
                <c:pt idx="11">
                  <c:v>9.2403346932391077</c:v>
                </c:pt>
                <c:pt idx="12">
                  <c:v>8.2403346932391077</c:v>
                </c:pt>
                <c:pt idx="13">
                  <c:v>7.2403346932391077</c:v>
                </c:pt>
                <c:pt idx="14">
                  <c:v>6.2403346932391077</c:v>
                </c:pt>
                <c:pt idx="15">
                  <c:v>5.2403346932391077</c:v>
                </c:pt>
                <c:pt idx="16">
                  <c:v>4.2403346932391077</c:v>
                </c:pt>
                <c:pt idx="17">
                  <c:v>3.2403346932391073</c:v>
                </c:pt>
                <c:pt idx="18">
                  <c:v>2.2403346932391073</c:v>
                </c:pt>
                <c:pt idx="19">
                  <c:v>1.2403346932391075</c:v>
                </c:pt>
                <c:pt idx="20">
                  <c:v>0.24033469323910747</c:v>
                </c:pt>
                <c:pt idx="21">
                  <c:v>0.73358998832265443</c:v>
                </c:pt>
                <c:pt idx="22">
                  <c:v>1.6270749357405832</c:v>
                </c:pt>
                <c:pt idx="23">
                  <c:v>2.4498562667474788</c:v>
                </c:pt>
                <c:pt idx="24">
                  <c:v>3.2122217721452451</c:v>
                </c:pt>
                <c:pt idx="25">
                  <c:v>3.922769520556221</c:v>
                </c:pt>
                <c:pt idx="26">
                  <c:v>4.5887870211612878</c:v>
                </c:pt>
                <c:pt idx="27">
                  <c:v>5.2165333323016796</c:v>
                </c:pt>
                <c:pt idx="28">
                  <c:v>5.8114529954793497</c:v>
                </c:pt>
                <c:pt idx="29">
                  <c:v>6.3783412079877699</c:v>
                </c:pt>
                <c:pt idx="30">
                  <c:v>6.921473586590416</c:v>
                </c:pt>
                <c:pt idx="31">
                  <c:v>7.4447099042417264</c:v>
                </c:pt>
                <c:pt idx="32">
                  <c:v>7.9515785289401606</c:v>
                </c:pt>
                <c:pt idx="33">
                  <c:v>8.445346491875263</c:v>
                </c:pt>
                <c:pt idx="34">
                  <c:v>8.9290788728097539</c:v>
                </c:pt>
                <c:pt idx="35">
                  <c:v>9.4056903324771461</c:v>
                </c:pt>
                <c:pt idx="36">
                  <c:v>9.8779910285076049</c:v>
                </c:pt>
                <c:pt idx="37">
                  <c:v>10.348728748184627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0469-408E-A0BB-3BFDA5FABBA5}"/>
            </c:ext>
          </c:extLst>
        </c:ser>
        <c:ser>
          <c:idx val="2"/>
          <c:order val="2"/>
          <c:tx>
            <c:strRef>
              <c:f>'New_removed_rate - bSIR'!$BG$7</c:f>
              <c:strCache>
                <c:ptCount val="1"/>
                <c:pt idx="0">
                  <c:v>rest of Italy d.t.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plus"/>
            <c:size val="5"/>
            <c:spPr>
              <a:noFill/>
              <a:ln w="9525">
                <a:solidFill>
                  <a:srgbClr val="00B050"/>
                </a:solidFill>
              </a:ln>
              <a:effectLst/>
            </c:spPr>
          </c:marker>
          <c:xVal>
            <c:numRef>
              <c:f>'New_removed_rate - bSIR'!$C$62:$C$101</c:f>
              <c:numCache>
                <c:formatCode>General</c:formatCode>
                <c:ptCount val="40"/>
                <c:pt idx="0">
                  <c:v>55</c:v>
                </c:pt>
                <c:pt idx="1">
                  <c:v>56</c:v>
                </c:pt>
                <c:pt idx="2">
                  <c:v>57</c:v>
                </c:pt>
                <c:pt idx="3">
                  <c:v>58</c:v>
                </c:pt>
                <c:pt idx="4">
                  <c:v>59</c:v>
                </c:pt>
                <c:pt idx="5">
                  <c:v>60</c:v>
                </c:pt>
                <c:pt idx="6">
                  <c:v>61</c:v>
                </c:pt>
                <c:pt idx="7">
                  <c:v>62</c:v>
                </c:pt>
                <c:pt idx="8">
                  <c:v>63</c:v>
                </c:pt>
                <c:pt idx="9">
                  <c:v>64</c:v>
                </c:pt>
                <c:pt idx="10">
                  <c:v>65</c:v>
                </c:pt>
                <c:pt idx="11">
                  <c:v>66</c:v>
                </c:pt>
                <c:pt idx="12">
                  <c:v>67</c:v>
                </c:pt>
                <c:pt idx="13">
                  <c:v>68</c:v>
                </c:pt>
                <c:pt idx="14">
                  <c:v>69</c:v>
                </c:pt>
                <c:pt idx="15">
                  <c:v>70</c:v>
                </c:pt>
                <c:pt idx="16">
                  <c:v>71</c:v>
                </c:pt>
                <c:pt idx="17">
                  <c:v>72</c:v>
                </c:pt>
                <c:pt idx="18">
                  <c:v>73</c:v>
                </c:pt>
                <c:pt idx="19">
                  <c:v>74</c:v>
                </c:pt>
                <c:pt idx="20">
                  <c:v>75</c:v>
                </c:pt>
                <c:pt idx="21">
                  <c:v>76</c:v>
                </c:pt>
                <c:pt idx="22">
                  <c:v>77</c:v>
                </c:pt>
                <c:pt idx="23">
                  <c:v>78</c:v>
                </c:pt>
                <c:pt idx="24">
                  <c:v>79</c:v>
                </c:pt>
                <c:pt idx="25">
                  <c:v>80</c:v>
                </c:pt>
                <c:pt idx="26">
                  <c:v>81</c:v>
                </c:pt>
                <c:pt idx="27">
                  <c:v>82</c:v>
                </c:pt>
                <c:pt idx="28">
                  <c:v>83</c:v>
                </c:pt>
                <c:pt idx="29">
                  <c:v>84</c:v>
                </c:pt>
                <c:pt idx="30">
                  <c:v>85</c:v>
                </c:pt>
                <c:pt idx="31">
                  <c:v>86</c:v>
                </c:pt>
                <c:pt idx="32">
                  <c:v>87</c:v>
                </c:pt>
                <c:pt idx="33">
                  <c:v>88</c:v>
                </c:pt>
                <c:pt idx="34">
                  <c:v>89</c:v>
                </c:pt>
                <c:pt idx="35">
                  <c:v>90</c:v>
                </c:pt>
                <c:pt idx="36">
                  <c:v>91</c:v>
                </c:pt>
                <c:pt idx="37">
                  <c:v>92</c:v>
                </c:pt>
                <c:pt idx="38">
                  <c:v>93</c:v>
                </c:pt>
                <c:pt idx="39">
                  <c:v>94</c:v>
                </c:pt>
              </c:numCache>
            </c:numRef>
          </c:xVal>
          <c:yVal>
            <c:numRef>
              <c:f>'New_removed_rate - bSIR'!$BG$62:$BG$101</c:f>
              <c:numCache>
                <c:formatCode>General</c:formatCode>
                <c:ptCount val="40"/>
                <c:pt idx="0">
                  <c:v>14.695444456084331</c:v>
                </c:pt>
                <c:pt idx="1">
                  <c:v>13.695444456084331</c:v>
                </c:pt>
                <c:pt idx="2">
                  <c:v>12.695444456084331</c:v>
                </c:pt>
                <c:pt idx="3">
                  <c:v>11.695444456084331</c:v>
                </c:pt>
                <c:pt idx="4">
                  <c:v>10.695444456084331</c:v>
                </c:pt>
                <c:pt idx="5">
                  <c:v>9.6954444560843314</c:v>
                </c:pt>
                <c:pt idx="6">
                  <c:v>8.6954444560843314</c:v>
                </c:pt>
                <c:pt idx="7">
                  <c:v>7.6954444560843314</c:v>
                </c:pt>
                <c:pt idx="8">
                  <c:v>6.6954444560843314</c:v>
                </c:pt>
                <c:pt idx="9">
                  <c:v>5.6954444560843314</c:v>
                </c:pt>
                <c:pt idx="10">
                  <c:v>4.6954444560843314</c:v>
                </c:pt>
                <c:pt idx="11">
                  <c:v>3.6954444560843314</c:v>
                </c:pt>
                <c:pt idx="12">
                  <c:v>2.6954444560843314</c:v>
                </c:pt>
                <c:pt idx="13">
                  <c:v>1.6954444560843314</c:v>
                </c:pt>
                <c:pt idx="14">
                  <c:v>0.69544445608433136</c:v>
                </c:pt>
                <c:pt idx="15">
                  <c:v>0.30074570692249991</c:v>
                </c:pt>
                <c:pt idx="16">
                  <c:v>1.2379175555431319</c:v>
                </c:pt>
                <c:pt idx="17">
                  <c:v>2.1059066237451542</c:v>
                </c:pt>
                <c:pt idx="18">
                  <c:v>2.9136731393806263</c:v>
                </c:pt>
                <c:pt idx="19">
                  <c:v>3.6687956006070266</c:v>
                </c:pt>
                <c:pt idx="20">
                  <c:v>4.3777555591490653</c:v>
                </c:pt>
                <c:pt idx="21">
                  <c:v>5.0461541646526218</c:v>
                </c:pt>
                <c:pt idx="22">
                  <c:v>5.6788793775202304</c:v>
                </c:pt>
                <c:pt idx="23">
                  <c:v>6.2802369391039683</c:v>
                </c:pt>
                <c:pt idx="24">
                  <c:v>6.8540543340325648</c:v>
                </c:pt>
                <c:pt idx="25">
                  <c:v>7.4037643744977011</c:v>
                </c:pt>
                <c:pt idx="26">
                  <c:v>7.9324732435650489</c:v>
                </c:pt>
                <c:pt idx="27">
                  <c:v>8.4430165807332038</c:v>
                </c:pt>
                <c:pt idx="28">
                  <c:v>8.9380063034642596</c:v>
                </c:pt>
                <c:pt idx="29">
                  <c:v>9.4198702195961346</c:v>
                </c:pt>
                <c:pt idx="30">
                  <c:v>9.8908860221317489</c:v>
                </c:pt>
                <c:pt idx="31">
                  <c:v>10.353210919279849</c:v>
                </c:pt>
                <c:pt idx="32">
                  <c:v>10.808907904340806</c:v>
                </c:pt>
                <c:pt idx="33">
                  <c:v>11.259969488424041</c:v>
                </c:pt>
                <c:pt idx="34">
                  <c:v>11.708339587723039</c:v>
                </c:pt>
                <c:pt idx="35">
                  <c:v>12.155934164951368</c:v>
                </c:pt>
                <c:pt idx="36">
                  <c:v>12.604661164017529</c:v>
                </c:pt>
                <c:pt idx="37">
                  <c:v>13.056440243295448</c:v>
                </c:pt>
                <c:pt idx="38">
                  <c:v>13.513222803322449</c:v>
                </c:pt>
                <c:pt idx="39">
                  <c:v>13.977012818694028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0469-408E-A0BB-3BFDA5FABBA5}"/>
            </c:ext>
          </c:extLst>
        </c:ser>
        <c:ser>
          <c:idx val="6"/>
          <c:order val="6"/>
          <c:tx>
            <c:strRef>
              <c:f>'New_removed_rate - bSIR'!$B$6</c:f>
              <c:strCache>
                <c:ptCount val="1"/>
                <c:pt idx="0">
                  <c:v>15-May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prstDash val="dashDot"/>
              <a:round/>
            </a:ln>
            <a:effectLst/>
          </c:spPr>
          <c:marker>
            <c:symbol val="none"/>
          </c:marker>
          <c:xVal>
            <c:numRef>
              <c:f>('New_removed_rate - bSIR'!$C$6,'New_removed_rate - bSIR'!$C$6)</c:f>
              <c:numCache>
                <c:formatCode>General</c:formatCode>
                <c:ptCount val="2"/>
                <c:pt idx="0">
                  <c:v>136</c:v>
                </c:pt>
                <c:pt idx="1">
                  <c:v>136</c:v>
                </c:pt>
              </c:numCache>
            </c:numRef>
          </c:xVal>
          <c:yVal>
            <c:numRef>
              <c:f>('New_removed_rate - bSIR'!$D$6,'New_removed_rate - bSIR'!$E$6)</c:f>
              <c:numCache>
                <c:formatCode>General</c:formatCode>
                <c:ptCount val="2"/>
                <c:pt idx="0">
                  <c:v>1</c:v>
                </c:pt>
                <c:pt idx="1">
                  <c:v>80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0469-408E-A0BB-3BFDA5FABB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6537592"/>
        <c:axId val="986532152"/>
      </c:scatterChart>
      <c:valAx>
        <c:axId val="952018128"/>
        <c:scaling>
          <c:orientation val="minMax"/>
          <c:min val="5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Day of the year (55=feb-24)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52020688"/>
        <c:crosses val="autoZero"/>
        <c:crossBetween val="midCat"/>
      </c:valAx>
      <c:valAx>
        <c:axId val="952020688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Growth rate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%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52018128"/>
        <c:crosses val="autoZero"/>
        <c:crossBetween val="midCat"/>
      </c:valAx>
      <c:valAx>
        <c:axId val="986532152"/>
        <c:scaling>
          <c:logBase val="10"/>
          <c:orientation val="minMax"/>
          <c:max val="80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Doubling time (days)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86537592"/>
        <c:crosses val="max"/>
        <c:crossBetween val="midCat"/>
      </c:valAx>
      <c:valAx>
        <c:axId val="98653759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9865321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userShapes r:id="rId3"/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sz="1800" b="0" i="0" baseline="0">
                <a:effectLst/>
              </a:rPr>
              <a:t>Italy - halving time - basic SIR</a:t>
            </a:r>
            <a:endParaRPr lang="it-IT">
              <a:effectLst/>
            </a:endParaRPr>
          </a:p>
          <a:p>
            <a:pPr>
              <a:defRPr/>
            </a:pPr>
            <a:r>
              <a:rPr lang="it-IT" sz="1800" b="0" i="0" baseline="0">
                <a:solidFill>
                  <a:srgbClr val="0070C0"/>
                </a:solidFill>
                <a:effectLst/>
              </a:rPr>
              <a:t>Italy,</a:t>
            </a:r>
            <a:r>
              <a:rPr lang="it-IT" sz="1800" b="0" i="0" baseline="0">
                <a:effectLst/>
              </a:rPr>
              <a:t> </a:t>
            </a:r>
            <a:r>
              <a:rPr lang="it-IT" sz="1800" b="0" i="0" baseline="0">
                <a:solidFill>
                  <a:srgbClr val="FF0000"/>
                </a:solidFill>
                <a:effectLst/>
              </a:rPr>
              <a:t>selected region</a:t>
            </a:r>
            <a:r>
              <a:rPr lang="it-IT" sz="1800" b="0" i="0" baseline="0">
                <a:effectLst/>
              </a:rPr>
              <a:t> and </a:t>
            </a:r>
            <a:r>
              <a:rPr lang="it-IT" sz="1800" b="0" i="0" baseline="0">
                <a:solidFill>
                  <a:srgbClr val="00B050"/>
                </a:solidFill>
                <a:effectLst/>
              </a:rPr>
              <a:t>rest of Italy</a:t>
            </a:r>
            <a:endParaRPr lang="it-IT">
              <a:solidFill>
                <a:srgbClr val="00B050"/>
              </a:solidFill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'New_removed_rate - bSIR'!$X$7</c:f>
              <c:strCache>
                <c:ptCount val="1"/>
                <c:pt idx="0">
                  <c:v>Italy h.t.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'New_removed_rate - bSIR'!$C$62:$C$184</c:f>
              <c:numCache>
                <c:formatCode>General</c:formatCode>
                <c:ptCount val="123"/>
                <c:pt idx="0">
                  <c:v>55</c:v>
                </c:pt>
                <c:pt idx="1">
                  <c:v>56</c:v>
                </c:pt>
                <c:pt idx="2">
                  <c:v>57</c:v>
                </c:pt>
                <c:pt idx="3">
                  <c:v>58</c:v>
                </c:pt>
                <c:pt idx="4">
                  <c:v>59</c:v>
                </c:pt>
                <c:pt idx="5">
                  <c:v>60</c:v>
                </c:pt>
                <c:pt idx="6">
                  <c:v>61</c:v>
                </c:pt>
                <c:pt idx="7">
                  <c:v>62</c:v>
                </c:pt>
                <c:pt idx="8">
                  <c:v>63</c:v>
                </c:pt>
                <c:pt idx="9">
                  <c:v>64</c:v>
                </c:pt>
                <c:pt idx="10">
                  <c:v>65</c:v>
                </c:pt>
                <c:pt idx="11">
                  <c:v>66</c:v>
                </c:pt>
                <c:pt idx="12">
                  <c:v>67</c:v>
                </c:pt>
                <c:pt idx="13">
                  <c:v>68</c:v>
                </c:pt>
                <c:pt idx="14">
                  <c:v>69</c:v>
                </c:pt>
                <c:pt idx="15">
                  <c:v>70</c:v>
                </c:pt>
                <c:pt idx="16">
                  <c:v>71</c:v>
                </c:pt>
                <c:pt idx="17">
                  <c:v>72</c:v>
                </c:pt>
                <c:pt idx="18">
                  <c:v>73</c:v>
                </c:pt>
                <c:pt idx="19">
                  <c:v>74</c:v>
                </c:pt>
                <c:pt idx="20">
                  <c:v>75</c:v>
                </c:pt>
                <c:pt idx="21">
                  <c:v>76</c:v>
                </c:pt>
                <c:pt idx="22">
                  <c:v>77</c:v>
                </c:pt>
                <c:pt idx="23">
                  <c:v>78</c:v>
                </c:pt>
                <c:pt idx="24">
                  <c:v>79</c:v>
                </c:pt>
                <c:pt idx="25">
                  <c:v>80</c:v>
                </c:pt>
                <c:pt idx="26">
                  <c:v>81</c:v>
                </c:pt>
                <c:pt idx="27">
                  <c:v>82</c:v>
                </c:pt>
                <c:pt idx="28">
                  <c:v>83</c:v>
                </c:pt>
                <c:pt idx="29">
                  <c:v>84</c:v>
                </c:pt>
                <c:pt idx="30">
                  <c:v>85</c:v>
                </c:pt>
                <c:pt idx="31">
                  <c:v>86</c:v>
                </c:pt>
                <c:pt idx="32">
                  <c:v>87</c:v>
                </c:pt>
                <c:pt idx="33">
                  <c:v>88</c:v>
                </c:pt>
                <c:pt idx="34">
                  <c:v>89</c:v>
                </c:pt>
                <c:pt idx="35">
                  <c:v>90</c:v>
                </c:pt>
                <c:pt idx="36">
                  <c:v>91</c:v>
                </c:pt>
                <c:pt idx="37">
                  <c:v>92</c:v>
                </c:pt>
                <c:pt idx="38">
                  <c:v>93</c:v>
                </c:pt>
                <c:pt idx="39">
                  <c:v>94</c:v>
                </c:pt>
                <c:pt idx="40">
                  <c:v>95</c:v>
                </c:pt>
                <c:pt idx="41">
                  <c:v>96</c:v>
                </c:pt>
                <c:pt idx="42">
                  <c:v>97</c:v>
                </c:pt>
                <c:pt idx="43">
                  <c:v>98</c:v>
                </c:pt>
                <c:pt idx="44">
                  <c:v>99</c:v>
                </c:pt>
                <c:pt idx="45">
                  <c:v>100</c:v>
                </c:pt>
                <c:pt idx="46">
                  <c:v>101</c:v>
                </c:pt>
                <c:pt idx="47">
                  <c:v>102</c:v>
                </c:pt>
                <c:pt idx="48">
                  <c:v>103</c:v>
                </c:pt>
                <c:pt idx="49">
                  <c:v>104</c:v>
                </c:pt>
                <c:pt idx="50">
                  <c:v>105</c:v>
                </c:pt>
                <c:pt idx="51">
                  <c:v>106</c:v>
                </c:pt>
                <c:pt idx="52">
                  <c:v>107</c:v>
                </c:pt>
                <c:pt idx="53">
                  <c:v>108</c:v>
                </c:pt>
                <c:pt idx="54">
                  <c:v>109</c:v>
                </c:pt>
                <c:pt idx="55">
                  <c:v>110</c:v>
                </c:pt>
                <c:pt idx="56">
                  <c:v>111</c:v>
                </c:pt>
                <c:pt idx="57">
                  <c:v>112</c:v>
                </c:pt>
                <c:pt idx="58">
                  <c:v>113</c:v>
                </c:pt>
                <c:pt idx="59">
                  <c:v>114</c:v>
                </c:pt>
                <c:pt idx="60">
                  <c:v>115</c:v>
                </c:pt>
                <c:pt idx="61">
                  <c:v>116</c:v>
                </c:pt>
                <c:pt idx="62">
                  <c:v>117</c:v>
                </c:pt>
                <c:pt idx="63">
                  <c:v>118</c:v>
                </c:pt>
                <c:pt idx="64">
                  <c:v>119</c:v>
                </c:pt>
                <c:pt idx="65">
                  <c:v>120</c:v>
                </c:pt>
                <c:pt idx="66">
                  <c:v>121</c:v>
                </c:pt>
                <c:pt idx="67">
                  <c:v>122</c:v>
                </c:pt>
                <c:pt idx="68">
                  <c:v>123</c:v>
                </c:pt>
                <c:pt idx="69">
                  <c:v>124</c:v>
                </c:pt>
                <c:pt idx="70">
                  <c:v>125</c:v>
                </c:pt>
                <c:pt idx="71">
                  <c:v>126</c:v>
                </c:pt>
                <c:pt idx="72">
                  <c:v>127</c:v>
                </c:pt>
                <c:pt idx="73">
                  <c:v>128</c:v>
                </c:pt>
                <c:pt idx="74">
                  <c:v>129</c:v>
                </c:pt>
                <c:pt idx="75">
                  <c:v>130</c:v>
                </c:pt>
                <c:pt idx="76">
                  <c:v>131</c:v>
                </c:pt>
                <c:pt idx="77">
                  <c:v>132</c:v>
                </c:pt>
                <c:pt idx="78">
                  <c:v>133</c:v>
                </c:pt>
                <c:pt idx="79">
                  <c:v>134</c:v>
                </c:pt>
                <c:pt idx="80">
                  <c:v>135</c:v>
                </c:pt>
                <c:pt idx="81">
                  <c:v>136</c:v>
                </c:pt>
                <c:pt idx="82">
                  <c:v>137</c:v>
                </c:pt>
                <c:pt idx="83">
                  <c:v>138</c:v>
                </c:pt>
                <c:pt idx="84">
                  <c:v>139</c:v>
                </c:pt>
                <c:pt idx="85">
                  <c:v>140</c:v>
                </c:pt>
                <c:pt idx="86">
                  <c:v>141</c:v>
                </c:pt>
                <c:pt idx="87">
                  <c:v>142</c:v>
                </c:pt>
                <c:pt idx="88">
                  <c:v>143</c:v>
                </c:pt>
                <c:pt idx="89">
                  <c:v>144</c:v>
                </c:pt>
                <c:pt idx="90">
                  <c:v>145</c:v>
                </c:pt>
                <c:pt idx="91">
                  <c:v>146</c:v>
                </c:pt>
                <c:pt idx="92">
                  <c:v>147</c:v>
                </c:pt>
                <c:pt idx="93">
                  <c:v>148</c:v>
                </c:pt>
                <c:pt idx="94">
                  <c:v>149</c:v>
                </c:pt>
                <c:pt idx="95">
                  <c:v>150</c:v>
                </c:pt>
                <c:pt idx="96">
                  <c:v>151</c:v>
                </c:pt>
                <c:pt idx="97">
                  <c:v>152</c:v>
                </c:pt>
                <c:pt idx="98">
                  <c:v>153</c:v>
                </c:pt>
                <c:pt idx="99">
                  <c:v>154</c:v>
                </c:pt>
                <c:pt idx="100">
                  <c:v>155</c:v>
                </c:pt>
                <c:pt idx="101">
                  <c:v>156</c:v>
                </c:pt>
                <c:pt idx="102">
                  <c:v>157</c:v>
                </c:pt>
                <c:pt idx="103">
                  <c:v>158</c:v>
                </c:pt>
                <c:pt idx="104">
                  <c:v>159</c:v>
                </c:pt>
                <c:pt idx="105">
                  <c:v>160</c:v>
                </c:pt>
                <c:pt idx="106">
                  <c:v>161</c:v>
                </c:pt>
                <c:pt idx="107">
                  <c:v>162</c:v>
                </c:pt>
                <c:pt idx="108">
                  <c:v>163</c:v>
                </c:pt>
                <c:pt idx="109">
                  <c:v>164</c:v>
                </c:pt>
                <c:pt idx="110">
                  <c:v>165</c:v>
                </c:pt>
                <c:pt idx="111">
                  <c:v>166</c:v>
                </c:pt>
                <c:pt idx="112">
                  <c:v>167</c:v>
                </c:pt>
                <c:pt idx="113">
                  <c:v>168</c:v>
                </c:pt>
                <c:pt idx="114">
                  <c:v>169</c:v>
                </c:pt>
                <c:pt idx="115">
                  <c:v>170</c:v>
                </c:pt>
                <c:pt idx="116">
                  <c:v>171</c:v>
                </c:pt>
                <c:pt idx="117">
                  <c:v>172</c:v>
                </c:pt>
                <c:pt idx="118">
                  <c:v>173</c:v>
                </c:pt>
                <c:pt idx="119">
                  <c:v>174</c:v>
                </c:pt>
                <c:pt idx="120">
                  <c:v>175</c:v>
                </c:pt>
                <c:pt idx="121">
                  <c:v>176</c:v>
                </c:pt>
                <c:pt idx="122">
                  <c:v>177</c:v>
                </c:pt>
              </c:numCache>
            </c:numRef>
          </c:xVal>
          <c:yVal>
            <c:numRef>
              <c:f>'New_removed_rate - bSIR'!$X$62:$X$184</c:f>
              <c:numCache>
                <c:formatCode>General</c:formatCode>
                <c:ptCount val="123"/>
                <c:pt idx="0">
                  <c:v>146.6363920468043</c:v>
                </c:pt>
                <c:pt idx="1">
                  <c:v>144.67667770125553</c:v>
                </c:pt>
                <c:pt idx="2">
                  <c:v>142.71904120043303</c:v>
                </c:pt>
                <c:pt idx="3">
                  <c:v>140.76359149936002</c:v>
                </c:pt>
                <c:pt idx="4">
                  <c:v>138.81044342537069</c:v>
                </c:pt>
                <c:pt idx="5">
                  <c:v>136.85971800683856</c:v>
                </c:pt>
                <c:pt idx="6">
                  <c:v>134.91154282089207</c:v>
                </c:pt>
                <c:pt idx="7">
                  <c:v>132.96605236117006</c:v>
                </c:pt>
                <c:pt idx="8">
                  <c:v>131.02338842670622</c:v>
                </c:pt>
                <c:pt idx="9">
                  <c:v>129.08370053306419</c:v>
                </c:pt>
                <c:pt idx="10">
                  <c:v>127.147146346874</c:v>
                </c:pt>
                <c:pt idx="11">
                  <c:v>125.21389214493965</c:v>
                </c:pt>
                <c:pt idx="12">
                  <c:v>123.28411329909926</c:v>
                </c:pt>
                <c:pt idx="13">
                  <c:v>121.35799478801704</c:v>
                </c:pt>
                <c:pt idx="14">
                  <c:v>119.43573173707124</c:v>
                </c:pt>
                <c:pt idx="15">
                  <c:v>117.51752998746564</c:v>
                </c:pt>
                <c:pt idx="16">
                  <c:v>115.60360669563339</c:v>
                </c:pt>
                <c:pt idx="17">
                  <c:v>113.69419096391672</c:v>
                </c:pt>
                <c:pt idx="18">
                  <c:v>111.78952450338198</c:v>
                </c:pt>
                <c:pt idx="19">
                  <c:v>109.88986232946941</c:v>
                </c:pt>
                <c:pt idx="20">
                  <c:v>107.99547349096299</c:v>
                </c:pt>
                <c:pt idx="21">
                  <c:v>106.10664183249617</c:v>
                </c:pt>
                <c:pt idx="22">
                  <c:v>104.22366679046849</c:v>
                </c:pt>
                <c:pt idx="23">
                  <c:v>102.34686422182712</c:v>
                </c:pt>
                <c:pt idx="24">
                  <c:v>100.47656726465043</c:v>
                </c:pt>
                <c:pt idx="25">
                  <c:v>98.613127228844291</c:v>
                </c:pt>
                <c:pt idx="26">
                  <c:v>96.756914514507756</c:v>
                </c:pt>
                <c:pt idx="27">
                  <c:v>94.908319554624825</c:v>
                </c:pt>
                <c:pt idx="28">
                  <c:v>93.067753777675307</c:v>
                </c:pt>
                <c:pt idx="29">
                  <c:v>91.235650584504498</c:v>
                </c:pt>
                <c:pt idx="30">
                  <c:v>89.412466332333381</c:v>
                </c:pt>
                <c:pt idx="31">
                  <c:v>87.598681317101267</c:v>
                </c:pt>
                <c:pt idx="32">
                  <c:v>85.794800743391946</c:v>
                </c:pt>
                <c:pt idx="33">
                  <c:v>84.00135566898733</c:v>
                </c:pt>
                <c:pt idx="34">
                  <c:v>82.218903908598676</c:v>
                </c:pt>
                <c:pt idx="35">
                  <c:v>80.44803087854369</c:v>
                </c:pt>
                <c:pt idx="36">
                  <c:v>78.689350361063887</c:v>
                </c:pt>
                <c:pt idx="37">
                  <c:v>76.943505163628245</c:v>
                </c:pt>
                <c:pt idx="38">
                  <c:v>75.211167644973585</c:v>
                </c:pt>
                <c:pt idx="39">
                  <c:v>73.493040075847702</c:v>
                </c:pt>
                <c:pt idx="40">
                  <c:v>71.789854798519954</c:v>
                </c:pt>
                <c:pt idx="41">
                  <c:v>70.102374145225966</c:v>
                </c:pt>
                <c:pt idx="42">
                  <c:v>68.431390071965922</c:v>
                </c:pt>
                <c:pt idx="43">
                  <c:v>66.777723460677151</c:v>
                </c:pt>
                <c:pt idx="44">
                  <c:v>65.142223039995642</c:v>
                </c:pt>
                <c:pt idx="45">
                  <c:v>63.525763872904903</c:v>
                </c:pt>
                <c:pt idx="46">
                  <c:v>61.929245358888451</c:v>
                </c:pt>
                <c:pt idx="47">
                  <c:v>60.353588699145618</c:v>
                </c:pt>
                <c:pt idx="48">
                  <c:v>58.799733776419046</c:v>
                </c:pt>
                <c:pt idx="49">
                  <c:v>57.268635406452447</c:v>
                </c:pt>
                <c:pt idx="50">
                  <c:v>55.761258926462787</c:v>
                </c:pt>
                <c:pt idx="51">
                  <c:v>54.27857509763561</c:v>
                </c:pt>
                <c:pt idx="52">
                  <c:v>52.821554313791154</c:v>
                </c:pt>
                <c:pt idx="53">
                  <c:v>51.391160127120273</c:v>
                </c:pt>
                <c:pt idx="54">
                  <c:v>49.988342124132487</c:v>
                </c:pt>
                <c:pt idx="55">
                  <c:v>48.614028210296439</c:v>
                </c:pt>
                <c:pt idx="56">
                  <c:v>47.269116389565767</c:v>
                </c:pt>
                <c:pt idx="57">
                  <c:v>45.954466154002745</c:v>
                </c:pt>
                <c:pt idx="58">
                  <c:v>44.670889627621619</c:v>
                </c:pt>
                <c:pt idx="59">
                  <c:v>43.419142635656272</c:v>
                </c:pt>
                <c:pt idx="60">
                  <c:v>42.199915893778979</c:v>
                </c:pt>
                <c:pt idx="61">
                  <c:v>41.013826529351974</c:v>
                </c:pt>
                <c:pt idx="62">
                  <c:v>39.861410156665656</c:v>
                </c:pt>
                <c:pt idx="63">
                  <c:v>38.743113728702625</c:v>
                </c:pt>
                <c:pt idx="64">
                  <c:v>37.659289378152778</c:v>
                </c:pt>
                <c:pt idx="65">
                  <c:v>36.610189439781905</c:v>
                </c:pt>
                <c:pt idx="66">
                  <c:v>35.595962815204274</c:v>
                </c:pt>
                <c:pt idx="67">
                  <c:v>34.616652800883372</c:v>
                </c:pt>
                <c:pt idx="68">
                  <c:v>33.672196452823314</c:v>
                </c:pt>
                <c:pt idx="69">
                  <c:v>32.762425509616619</c:v>
                </c:pt>
                <c:pt idx="70">
                  <c:v>31.887068842396516</c:v>
                </c:pt>
                <c:pt idx="71">
                  <c:v>31.045756349039422</c:v>
                </c:pt>
                <c:pt idx="72">
                  <c:v>30.238024163737009</c:v>
                </c:pt>
                <c:pt idx="73">
                  <c:v>29.463321014396115</c:v>
                </c:pt>
                <c:pt idx="74">
                  <c:v>28.721015531137198</c:v>
                </c:pt>
                <c:pt idx="75">
                  <c:v>28.010404290534524</c:v>
                </c:pt>
                <c:pt idx="76">
                  <c:v>27.330720372408138</c:v>
                </c:pt>
                <c:pt idx="77">
                  <c:v>26.681142208383093</c:v>
                </c:pt>
                <c:pt idx="78">
                  <c:v>26.060802512859368</c:v>
                </c:pt>
                <c:pt idx="79">
                  <c:v>25.46879710580798</c:v>
                </c:pt>
                <c:pt idx="80">
                  <c:v>24.904193460980025</c:v>
                </c:pt>
                <c:pt idx="81">
                  <c:v>24.366038840675046</c:v>
                </c:pt>
                <c:pt idx="82">
                  <c:v>23.853367907269217</c:v>
                </c:pt>
                <c:pt idx="83">
                  <c:v>23.36520973057543</c:v>
                </c:pt>
                <c:pt idx="84">
                  <c:v>22.900594137452458</c:v>
                </c:pt>
                <c:pt idx="85">
                  <c:v>22.458557374888485</c:v>
                </c:pt>
                <c:pt idx="86">
                  <c:v>22.038147079402066</c:v>
                </c:pt>
                <c:pt idx="87">
                  <c:v>21.638426563688384</c:v>
                </c:pt>
                <c:pt idx="88">
                  <c:v>21.258478445913852</c:v>
                </c:pt>
                <c:pt idx="89">
                  <c:v>20.897407658059265</c:v>
                </c:pt>
                <c:pt idx="90">
                  <c:v>20.554343877513318</c:v>
                </c:pt>
                <c:pt idx="91">
                  <c:v>20.228443431094647</c:v>
                </c:pt>
                <c:pt idx="92">
                  <c:v>19.918890723259736</c:v>
                </c:pt>
                <c:pt idx="93">
                  <c:v>19.624899240864053</c:v>
                </c:pt>
                <c:pt idx="94">
                  <c:v>19.345712185905654</c:v>
                </c:pt>
                <c:pt idx="95">
                  <c:v>19.080602785574342</c:v>
                </c:pt>
                <c:pt idx="96">
                  <c:v>18.82887432599324</c:v>
                </c:pt>
                <c:pt idx="97">
                  <c:v>18.589859952559735</c:v>
                </c:pt>
                <c:pt idx="98">
                  <c:v>18.36292227600309</c:v>
                </c:pt>
                <c:pt idx="99">
                  <c:v>18.147452819367928</c:v>
                </c:pt>
                <c:pt idx="100">
                  <c:v>17.942871337246345</c:v>
                </c:pt>
                <c:pt idx="101">
                  <c:v>17.748625034824883</c:v>
                </c:pt>
                <c:pt idx="102">
                  <c:v>17.564187710761772</c:v>
                </c:pt>
                <c:pt idx="103">
                  <c:v>17.389058844608684</c:v>
                </c:pt>
                <c:pt idx="104">
                  <c:v>17.222762646472063</c:v>
                </c:pt>
                <c:pt idx="105">
                  <c:v>17.064847083880167</c:v>
                </c:pt>
                <c:pt idx="106">
                  <c:v>16.914882898382359</c:v>
                </c:pt>
                <c:pt idx="107">
                  <c:v>16.772462622249932</c:v>
                </c:pt>
                <c:pt idx="108">
                  <c:v>16.637199603756031</c:v>
                </c:pt>
                <c:pt idx="109">
                  <c:v>16.508727047866103</c:v>
                </c:pt>
                <c:pt idx="110">
                  <c:v>16.386697077751691</c:v>
                </c:pt>
                <c:pt idx="111">
                  <c:v>16.270779821324609</c:v>
                </c:pt>
                <c:pt idx="112">
                  <c:v>16.160662525956141</c:v>
                </c:pt>
                <c:pt idx="113">
                  <c:v>16.056048703674577</c:v>
                </c:pt>
                <c:pt idx="114">
                  <c:v>15.956657308405411</c:v>
                </c:pt>
                <c:pt idx="115">
                  <c:v>15.862221946213424</c:v>
                </c:pt>
                <c:pt idx="116">
                  <c:v>15.772490119007955</c:v>
                </c:pt>
                <c:pt idx="117">
                  <c:v>15.687222501767579</c:v>
                </c:pt>
                <c:pt idx="118">
                  <c:v>15.606192253013717</c:v>
                </c:pt>
                <c:pt idx="119">
                  <c:v>15.529184358003391</c:v>
                </c:pt>
                <c:pt idx="120">
                  <c:v>15.455995003909749</c:v>
                </c:pt>
                <c:pt idx="121">
                  <c:v>15.386430986103861</c:v>
                </c:pt>
                <c:pt idx="122">
                  <c:v>15.320309144536978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D8-40DB-AADE-9317265F7946}"/>
            </c:ext>
          </c:extLst>
        </c:ser>
        <c:ser>
          <c:idx val="1"/>
          <c:order val="1"/>
          <c:tx>
            <c:strRef>
              <c:f>'New_removed_rate - bSIR'!$AV$7</c:f>
              <c:strCache>
                <c:ptCount val="1"/>
                <c:pt idx="0">
                  <c:v>sel. region h.t.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'New_removed_rate - bSIR'!$C$63:$C$184</c:f>
              <c:numCache>
                <c:formatCode>General</c:formatCode>
                <c:ptCount val="122"/>
                <c:pt idx="0">
                  <c:v>56</c:v>
                </c:pt>
                <c:pt idx="1">
                  <c:v>57</c:v>
                </c:pt>
                <c:pt idx="2">
                  <c:v>58</c:v>
                </c:pt>
                <c:pt idx="3">
                  <c:v>59</c:v>
                </c:pt>
                <c:pt idx="4">
                  <c:v>60</c:v>
                </c:pt>
                <c:pt idx="5">
                  <c:v>61</c:v>
                </c:pt>
                <c:pt idx="6">
                  <c:v>62</c:v>
                </c:pt>
                <c:pt idx="7">
                  <c:v>63</c:v>
                </c:pt>
                <c:pt idx="8">
                  <c:v>64</c:v>
                </c:pt>
                <c:pt idx="9">
                  <c:v>65</c:v>
                </c:pt>
                <c:pt idx="10">
                  <c:v>66</c:v>
                </c:pt>
                <c:pt idx="11">
                  <c:v>67</c:v>
                </c:pt>
                <c:pt idx="12">
                  <c:v>68</c:v>
                </c:pt>
                <c:pt idx="13">
                  <c:v>69</c:v>
                </c:pt>
                <c:pt idx="14">
                  <c:v>70</c:v>
                </c:pt>
                <c:pt idx="15">
                  <c:v>71</c:v>
                </c:pt>
                <c:pt idx="16">
                  <c:v>72</c:v>
                </c:pt>
                <c:pt idx="17">
                  <c:v>73</c:v>
                </c:pt>
                <c:pt idx="18">
                  <c:v>74</c:v>
                </c:pt>
                <c:pt idx="19">
                  <c:v>75</c:v>
                </c:pt>
                <c:pt idx="20">
                  <c:v>76</c:v>
                </c:pt>
                <c:pt idx="21">
                  <c:v>77</c:v>
                </c:pt>
                <c:pt idx="22">
                  <c:v>78</c:v>
                </c:pt>
                <c:pt idx="23">
                  <c:v>79</c:v>
                </c:pt>
                <c:pt idx="24">
                  <c:v>80</c:v>
                </c:pt>
                <c:pt idx="25">
                  <c:v>81</c:v>
                </c:pt>
                <c:pt idx="26">
                  <c:v>82</c:v>
                </c:pt>
                <c:pt idx="27">
                  <c:v>83</c:v>
                </c:pt>
                <c:pt idx="28">
                  <c:v>84</c:v>
                </c:pt>
                <c:pt idx="29">
                  <c:v>85</c:v>
                </c:pt>
                <c:pt idx="30">
                  <c:v>86</c:v>
                </c:pt>
                <c:pt idx="31">
                  <c:v>87</c:v>
                </c:pt>
                <c:pt idx="32">
                  <c:v>88</c:v>
                </c:pt>
                <c:pt idx="33">
                  <c:v>89</c:v>
                </c:pt>
                <c:pt idx="34">
                  <c:v>90</c:v>
                </c:pt>
                <c:pt idx="35">
                  <c:v>91</c:v>
                </c:pt>
                <c:pt idx="36">
                  <c:v>92</c:v>
                </c:pt>
                <c:pt idx="37">
                  <c:v>93</c:v>
                </c:pt>
                <c:pt idx="38">
                  <c:v>94</c:v>
                </c:pt>
                <c:pt idx="39">
                  <c:v>95</c:v>
                </c:pt>
                <c:pt idx="40">
                  <c:v>96</c:v>
                </c:pt>
                <c:pt idx="41">
                  <c:v>97</c:v>
                </c:pt>
                <c:pt idx="42">
                  <c:v>98</c:v>
                </c:pt>
                <c:pt idx="43">
                  <c:v>99</c:v>
                </c:pt>
                <c:pt idx="44">
                  <c:v>100</c:v>
                </c:pt>
                <c:pt idx="45">
                  <c:v>101</c:v>
                </c:pt>
                <c:pt idx="46">
                  <c:v>102</c:v>
                </c:pt>
                <c:pt idx="47">
                  <c:v>103</c:v>
                </c:pt>
                <c:pt idx="48">
                  <c:v>104</c:v>
                </c:pt>
                <c:pt idx="49">
                  <c:v>105</c:v>
                </c:pt>
                <c:pt idx="50">
                  <c:v>106</c:v>
                </c:pt>
                <c:pt idx="51">
                  <c:v>107</c:v>
                </c:pt>
                <c:pt idx="52">
                  <c:v>108</c:v>
                </c:pt>
                <c:pt idx="53">
                  <c:v>109</c:v>
                </c:pt>
                <c:pt idx="54">
                  <c:v>110</c:v>
                </c:pt>
                <c:pt idx="55">
                  <c:v>111</c:v>
                </c:pt>
                <c:pt idx="56">
                  <c:v>112</c:v>
                </c:pt>
                <c:pt idx="57">
                  <c:v>113</c:v>
                </c:pt>
                <c:pt idx="58">
                  <c:v>114</c:v>
                </c:pt>
                <c:pt idx="59">
                  <c:v>115</c:v>
                </c:pt>
                <c:pt idx="60">
                  <c:v>116</c:v>
                </c:pt>
                <c:pt idx="61">
                  <c:v>117</c:v>
                </c:pt>
                <c:pt idx="62">
                  <c:v>118</c:v>
                </c:pt>
                <c:pt idx="63">
                  <c:v>119</c:v>
                </c:pt>
                <c:pt idx="64">
                  <c:v>120</c:v>
                </c:pt>
                <c:pt idx="65">
                  <c:v>121</c:v>
                </c:pt>
                <c:pt idx="66">
                  <c:v>122</c:v>
                </c:pt>
                <c:pt idx="67">
                  <c:v>123</c:v>
                </c:pt>
                <c:pt idx="68">
                  <c:v>124</c:v>
                </c:pt>
                <c:pt idx="69">
                  <c:v>125</c:v>
                </c:pt>
                <c:pt idx="70">
                  <c:v>126</c:v>
                </c:pt>
                <c:pt idx="71">
                  <c:v>127</c:v>
                </c:pt>
                <c:pt idx="72">
                  <c:v>128</c:v>
                </c:pt>
                <c:pt idx="73">
                  <c:v>129</c:v>
                </c:pt>
                <c:pt idx="74">
                  <c:v>130</c:v>
                </c:pt>
                <c:pt idx="75">
                  <c:v>131</c:v>
                </c:pt>
                <c:pt idx="76">
                  <c:v>132</c:v>
                </c:pt>
                <c:pt idx="77">
                  <c:v>133</c:v>
                </c:pt>
                <c:pt idx="78">
                  <c:v>134</c:v>
                </c:pt>
                <c:pt idx="79">
                  <c:v>135</c:v>
                </c:pt>
                <c:pt idx="80">
                  <c:v>136</c:v>
                </c:pt>
                <c:pt idx="81">
                  <c:v>137</c:v>
                </c:pt>
                <c:pt idx="82">
                  <c:v>138</c:v>
                </c:pt>
                <c:pt idx="83">
                  <c:v>139</c:v>
                </c:pt>
                <c:pt idx="84">
                  <c:v>140</c:v>
                </c:pt>
                <c:pt idx="85">
                  <c:v>141</c:v>
                </c:pt>
                <c:pt idx="86">
                  <c:v>142</c:v>
                </c:pt>
                <c:pt idx="87">
                  <c:v>143</c:v>
                </c:pt>
                <c:pt idx="88">
                  <c:v>144</c:v>
                </c:pt>
                <c:pt idx="89">
                  <c:v>145</c:v>
                </c:pt>
                <c:pt idx="90">
                  <c:v>146</c:v>
                </c:pt>
                <c:pt idx="91">
                  <c:v>147</c:v>
                </c:pt>
                <c:pt idx="92">
                  <c:v>148</c:v>
                </c:pt>
                <c:pt idx="93">
                  <c:v>149</c:v>
                </c:pt>
                <c:pt idx="94">
                  <c:v>150</c:v>
                </c:pt>
                <c:pt idx="95">
                  <c:v>151</c:v>
                </c:pt>
                <c:pt idx="96">
                  <c:v>152</c:v>
                </c:pt>
                <c:pt idx="97">
                  <c:v>153</c:v>
                </c:pt>
                <c:pt idx="98">
                  <c:v>154</c:v>
                </c:pt>
                <c:pt idx="99">
                  <c:v>155</c:v>
                </c:pt>
                <c:pt idx="100">
                  <c:v>156</c:v>
                </c:pt>
                <c:pt idx="101">
                  <c:v>157</c:v>
                </c:pt>
                <c:pt idx="102">
                  <c:v>158</c:v>
                </c:pt>
                <c:pt idx="103">
                  <c:v>159</c:v>
                </c:pt>
                <c:pt idx="104">
                  <c:v>160</c:v>
                </c:pt>
                <c:pt idx="105">
                  <c:v>161</c:v>
                </c:pt>
                <c:pt idx="106">
                  <c:v>162</c:v>
                </c:pt>
                <c:pt idx="107">
                  <c:v>163</c:v>
                </c:pt>
                <c:pt idx="108">
                  <c:v>164</c:v>
                </c:pt>
                <c:pt idx="109">
                  <c:v>165</c:v>
                </c:pt>
                <c:pt idx="110">
                  <c:v>166</c:v>
                </c:pt>
                <c:pt idx="111">
                  <c:v>167</c:v>
                </c:pt>
                <c:pt idx="112">
                  <c:v>168</c:v>
                </c:pt>
                <c:pt idx="113">
                  <c:v>169</c:v>
                </c:pt>
                <c:pt idx="114">
                  <c:v>170</c:v>
                </c:pt>
                <c:pt idx="115">
                  <c:v>171</c:v>
                </c:pt>
                <c:pt idx="116">
                  <c:v>172</c:v>
                </c:pt>
                <c:pt idx="117">
                  <c:v>173</c:v>
                </c:pt>
                <c:pt idx="118">
                  <c:v>174</c:v>
                </c:pt>
                <c:pt idx="119">
                  <c:v>175</c:v>
                </c:pt>
                <c:pt idx="120">
                  <c:v>176</c:v>
                </c:pt>
                <c:pt idx="121">
                  <c:v>177</c:v>
                </c:pt>
              </c:numCache>
            </c:numRef>
          </c:xVal>
          <c:yVal>
            <c:numRef>
              <c:f>'New_removed_rate - bSIR'!$AV$63:$AV$184</c:f>
              <c:numCache>
                <c:formatCode>General</c:formatCode>
                <c:ptCount val="122"/>
                <c:pt idx="0">
                  <c:v>136.93598537929813</c:v>
                </c:pt>
                <c:pt idx="1">
                  <c:v>134.96750583457396</c:v>
                </c:pt>
                <c:pt idx="2">
                  <c:v>133.00088305929336</c:v>
                </c:pt>
                <c:pt idx="3">
                  <c:v>131.03622797185679</c:v>
                </c:pt>
                <c:pt idx="4">
                  <c:v>129.07365828112393</c:v>
                </c:pt>
                <c:pt idx="5">
                  <c:v>127.11329891803067</c:v>
                </c:pt>
                <c:pt idx="6">
                  <c:v>125.15528249584274</c:v>
                </c:pt>
                <c:pt idx="7">
                  <c:v>123.19974980096494</c:v>
                </c:pt>
                <c:pt idx="8">
                  <c:v>121.24685031633291</c:v>
                </c:pt>
                <c:pt idx="9">
                  <c:v>119.29674277952309</c:v>
                </c:pt>
                <c:pt idx="10">
                  <c:v>117.34959577782197</c:v>
                </c:pt>
                <c:pt idx="11">
                  <c:v>115.40558838259743</c:v>
                </c:pt>
                <c:pt idx="12">
                  <c:v>113.46491082540604</c:v>
                </c:pt>
                <c:pt idx="13">
                  <c:v>111.52776521835105</c:v>
                </c:pt>
                <c:pt idx="14">
                  <c:v>109.59436632126638</c:v>
                </c:pt>
                <c:pt idx="15">
                  <c:v>107.66494235833994</c:v>
                </c:pt>
                <c:pt idx="16">
                  <c:v>105.73973588679384</c:v>
                </c:pt>
                <c:pt idx="17">
                  <c:v>103.81900472020094</c:v>
                </c:pt>
                <c:pt idx="18">
                  <c:v>101.90302290892542</c:v>
                </c:pt>
                <c:pt idx="19">
                  <c:v>99.992081780013521</c:v>
                </c:pt>
                <c:pt idx="20">
                  <c:v>98.086491038613346</c:v>
                </c:pt>
                <c:pt idx="21">
                  <c:v>96.186579932647817</c:v>
                </c:pt>
                <c:pt idx="22">
                  <c:v>94.29269848197842</c:v>
                </c:pt>
                <c:pt idx="23">
                  <c:v>92.405218772650855</c:v>
                </c:pt>
                <c:pt idx="24">
                  <c:v>90.524536315970337</c:v>
                </c:pt>
                <c:pt idx="25">
                  <c:v>88.65107147107959</c:v>
                </c:pt>
                <c:pt idx="26">
                  <c:v>86.78527092835553</c:v>
                </c:pt>
                <c:pt idx="27">
                  <c:v>84.927609249255212</c:v>
                </c:pt>
                <c:pt idx="28">
                  <c:v>83.078590456166836</c:v>
                </c:pt>
                <c:pt idx="29">
                  <c:v>81.238749663296389</c:v>
                </c:pt>
                <c:pt idx="30">
                  <c:v>79.408654736575869</c:v>
                </c:pt>
                <c:pt idx="31">
                  <c:v>77.588907966945243</c:v>
                </c:pt>
                <c:pt idx="32">
                  <c:v>75.780147737064055</c:v>
                </c:pt>
                <c:pt idx="33">
                  <c:v>73.983050156485007</c:v>
                </c:pt>
                <c:pt idx="34">
                  <c:v>72.198330634508309</c:v>
                </c:pt>
                <c:pt idx="35">
                  <c:v>70.426745353297292</c:v>
                </c:pt>
                <c:pt idx="36">
                  <c:v>68.669092596353138</c:v>
                </c:pt>
                <c:pt idx="37">
                  <c:v>66.926213879153863</c:v>
                </c:pt>
                <c:pt idx="38">
                  <c:v>65.198994819744485</c:v>
                </c:pt>
                <c:pt idx="39">
                  <c:v>63.48836567748701</c:v>
                </c:pt>
                <c:pt idx="40">
                  <c:v>61.795301478309256</c:v>
                </c:pt>
                <c:pt idx="41">
                  <c:v>60.120821635023248</c:v>
                </c:pt>
                <c:pt idx="42">
                  <c:v>58.465988962162768</c:v>
                </c:pt>
                <c:pt idx="43">
                  <c:v>56.831907977032913</c:v>
                </c:pt>
                <c:pt idx="44">
                  <c:v>55.219722373182819</c:v>
                </c:pt>
                <c:pt idx="45">
                  <c:v>53.630611550396253</c:v>
                </c:pt>
                <c:pt idx="46">
                  <c:v>52.065786087814431</c:v>
                </c:pt>
                <c:pt idx="47">
                  <c:v>50.526482055344118</c:v>
                </c:pt>
                <c:pt idx="48">
                  <c:v>49.013954074480182</c:v>
                </c:pt>
                <c:pt idx="49">
                  <c:v>47.529467064408792</c:v>
                </c:pt>
                <c:pt idx="50">
                  <c:v>46.074286643798061</c:v>
                </c:pt>
                <c:pt idx="51">
                  <c:v>44.649668203573626</c:v>
                </c:pt>
                <c:pt idx="52">
                  <c:v>43.256844721021665</c:v>
                </c:pt>
                <c:pt idx="53">
                  <c:v>41.8970134495667</c:v>
                </c:pt>
                <c:pt idx="54">
                  <c:v>40.571321689152811</c:v>
                </c:pt>
                <c:pt idx="55">
                  <c:v>39.280851915614477</c:v>
                </c:pt>
                <c:pt idx="56">
                  <c:v>38.026606618806028</c:v>
                </c:pt>
                <c:pt idx="57">
                  <c:v>36.809493262584525</c:v>
                </c:pt>
                <c:pt idx="58">
                  <c:v>35.630309828483973</c:v>
                </c:pt>
                <c:pt idx="59">
                  <c:v>34.489731432687364</c:v>
                </c:pt>
                <c:pt idx="60">
                  <c:v>33.388298507267606</c:v>
                </c:pt>
                <c:pt idx="61">
                  <c:v>32.32640700804474</c:v>
                </c:pt>
                <c:pt idx="62">
                  <c:v>31.304301051797168</c:v>
                </c:pt>
                <c:pt idx="63">
                  <c:v>30.322068297051572</c:v>
                </c:pt>
                <c:pt idx="64">
                  <c:v>29.379638270479361</c:v>
                </c:pt>
                <c:pt idx="65">
                  <c:v>28.476783713017099</c:v>
                </c:pt>
                <c:pt idx="66">
                  <c:v>27.613124886058145</c:v>
                </c:pt>
                <c:pt idx="67">
                  <c:v>26.7881366490125</c:v>
                </c:pt>
                <c:pt idx="68">
                  <c:v>26.001158005196302</c:v>
                </c:pt>
                <c:pt idx="69">
                  <c:v>25.251403721613059</c:v>
                </c:pt>
                <c:pt idx="70">
                  <c:v>24.537977565275455</c:v>
                </c:pt>
                <c:pt idx="71">
                  <c:v>23.859886666715269</c:v>
                </c:pt>
                <c:pt idx="72">
                  <c:v>23.216056519563068</c:v>
                </c:pt>
                <c:pt idx="73">
                  <c:v>22.605346150211773</c:v>
                </c:pt>
                <c:pt idx="74">
                  <c:v>22.026563038336732</c:v>
                </c:pt>
                <c:pt idx="75">
                  <c:v>21.478477431106768</c:v>
                </c:pt>
                <c:pt idx="76">
                  <c:v>20.959835764727913</c:v>
                </c:pt>
                <c:pt idx="77">
                  <c:v>20.469372980457862</c:v>
                </c:pt>
                <c:pt idx="78">
                  <c:v>20.005823593324124</c:v>
                </c:pt>
                <c:pt idx="79">
                  <c:v>19.567931436639554</c:v>
                </c:pt>
                <c:pt idx="80">
                  <c:v>19.154458061506062</c:v>
                </c:pt>
                <c:pt idx="81">
                  <c:v>18.764189816519888</c:v>
                </c:pt>
                <c:pt idx="82">
                  <c:v>18.395943668542103</c:v>
                </c:pt>
                <c:pt idx="83">
                  <c:v>18.04857185115975</c:v>
                </c:pt>
                <c:pt idx="84">
                  <c:v>17.720965444331242</c:v>
                </c:pt>
                <c:pt idx="85">
                  <c:v>17.412056997989936</c:v>
                </c:pt>
                <c:pt idx="86">
                  <c:v>17.1208223154851</c:v>
                </c:pt>
                <c:pt idx="87">
                  <c:v>16.846281511065129</c:v>
                </c:pt>
                <c:pt idx="88">
                  <c:v>16.587499450434535</c:v>
                </c:pt>
                <c:pt idx="89">
                  <c:v>16.343585675860211</c:v>
                </c:pt>
                <c:pt idx="90">
                  <c:v>16.113693908292205</c:v>
                </c:pt>
                <c:pt idx="91">
                  <c:v>15.897021209236343</c:v>
                </c:pt>
                <c:pt idx="92">
                  <c:v>15.692806875235988</c:v>
                </c:pt>
                <c:pt idx="93">
                  <c:v>15.500331128195455</c:v>
                </c:pt>
                <c:pt idx="94">
                  <c:v>15.318913655688661</c:v>
                </c:pt>
                <c:pt idx="95">
                  <c:v>15.147912047019148</c:v>
                </c:pt>
                <c:pt idx="96">
                  <c:v>14.986720163225357</c:v>
                </c:pt>
                <c:pt idx="97">
                  <c:v>14.834766472493214</c:v>
                </c:pt>
                <c:pt idx="98">
                  <c:v>14.691512376538668</c:v>
                </c:pt>
                <c:pt idx="99">
                  <c:v>14.556450548413636</c:v>
                </c:pt>
                <c:pt idx="100">
                  <c:v>14.429103297817676</c:v>
                </c:pt>
                <c:pt idx="101">
                  <c:v>14.309020976295599</c:v>
                </c:pt>
                <c:pt idx="102">
                  <c:v>14.195780431594741</c:v>
                </c:pt>
                <c:pt idx="103">
                  <c:v>14.088983517878077</c:v>
                </c:pt>
                <c:pt idx="104">
                  <c:v>13.988255666369085</c:v>
                </c:pt>
                <c:pt idx="105">
                  <c:v>13.893244519277957</c:v>
                </c:pt>
                <c:pt idx="106">
                  <c:v>13.803618628470133</c:v>
                </c:pt>
                <c:pt idx="107">
                  <c:v>13.719066219233682</c:v>
                </c:pt>
                <c:pt idx="108">
                  <c:v>13.639294018636633</c:v>
                </c:pt>
                <c:pt idx="109">
                  <c:v>13.564026147298279</c:v>
                </c:pt>
                <c:pt idx="110">
                  <c:v>13.493003072896542</c:v>
                </c:pt>
                <c:pt idx="111">
                  <c:v>13.42598062336549</c:v>
                </c:pt>
                <c:pt idx="112">
                  <c:v>13.36272905747947</c:v>
                </c:pt>
                <c:pt idx="113">
                  <c:v>13.303032190349612</c:v>
                </c:pt>
                <c:pt idx="114">
                  <c:v>13.246686571261037</c:v>
                </c:pt>
                <c:pt idx="115">
                  <c:v>13.193500711234506</c:v>
                </c:pt>
                <c:pt idx="116">
                  <c:v>13.143294357697286</c:v>
                </c:pt>
                <c:pt idx="117">
                  <c:v>13.095897813682583</c:v>
                </c:pt>
                <c:pt idx="118">
                  <c:v>13.051151299034871</c:v>
                </c:pt>
                <c:pt idx="119">
                  <c:v>13.008904351178032</c:v>
                </c:pt>
                <c:pt idx="120">
                  <c:v>12.969015263092842</c:v>
                </c:pt>
                <c:pt idx="121">
                  <c:v>12.93135055625207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D8-40DB-AADE-9317265F7946}"/>
            </c:ext>
          </c:extLst>
        </c:ser>
        <c:ser>
          <c:idx val="2"/>
          <c:order val="2"/>
          <c:tx>
            <c:strRef>
              <c:f>'New_removed_rate - bSIR'!$BQ$7</c:f>
              <c:strCache>
                <c:ptCount val="1"/>
                <c:pt idx="0">
                  <c:v>rest of Italy h.t.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'New_removed_rate - bSIR'!$C$63:$C$184</c:f>
              <c:numCache>
                <c:formatCode>General</c:formatCode>
                <c:ptCount val="122"/>
                <c:pt idx="0">
                  <c:v>56</c:v>
                </c:pt>
                <c:pt idx="1">
                  <c:v>57</c:v>
                </c:pt>
                <c:pt idx="2">
                  <c:v>58</c:v>
                </c:pt>
                <c:pt idx="3">
                  <c:v>59</c:v>
                </c:pt>
                <c:pt idx="4">
                  <c:v>60</c:v>
                </c:pt>
                <c:pt idx="5">
                  <c:v>61</c:v>
                </c:pt>
                <c:pt idx="6">
                  <c:v>62</c:v>
                </c:pt>
                <c:pt idx="7">
                  <c:v>63</c:v>
                </c:pt>
                <c:pt idx="8">
                  <c:v>64</c:v>
                </c:pt>
                <c:pt idx="9">
                  <c:v>65</c:v>
                </c:pt>
                <c:pt idx="10">
                  <c:v>66</c:v>
                </c:pt>
                <c:pt idx="11">
                  <c:v>67</c:v>
                </c:pt>
                <c:pt idx="12">
                  <c:v>68</c:v>
                </c:pt>
                <c:pt idx="13">
                  <c:v>69</c:v>
                </c:pt>
                <c:pt idx="14">
                  <c:v>70</c:v>
                </c:pt>
                <c:pt idx="15">
                  <c:v>71</c:v>
                </c:pt>
                <c:pt idx="16">
                  <c:v>72</c:v>
                </c:pt>
                <c:pt idx="17">
                  <c:v>73</c:v>
                </c:pt>
                <c:pt idx="18">
                  <c:v>74</c:v>
                </c:pt>
                <c:pt idx="19">
                  <c:v>75</c:v>
                </c:pt>
                <c:pt idx="20">
                  <c:v>76</c:v>
                </c:pt>
                <c:pt idx="21">
                  <c:v>77</c:v>
                </c:pt>
                <c:pt idx="22">
                  <c:v>78</c:v>
                </c:pt>
                <c:pt idx="23">
                  <c:v>79</c:v>
                </c:pt>
                <c:pt idx="24">
                  <c:v>80</c:v>
                </c:pt>
                <c:pt idx="25">
                  <c:v>81</c:v>
                </c:pt>
                <c:pt idx="26">
                  <c:v>82</c:v>
                </c:pt>
                <c:pt idx="27">
                  <c:v>83</c:v>
                </c:pt>
                <c:pt idx="28">
                  <c:v>84</c:v>
                </c:pt>
                <c:pt idx="29">
                  <c:v>85</c:v>
                </c:pt>
                <c:pt idx="30">
                  <c:v>86</c:v>
                </c:pt>
                <c:pt idx="31">
                  <c:v>87</c:v>
                </c:pt>
                <c:pt idx="32">
                  <c:v>88</c:v>
                </c:pt>
                <c:pt idx="33">
                  <c:v>89</c:v>
                </c:pt>
                <c:pt idx="34">
                  <c:v>90</c:v>
                </c:pt>
                <c:pt idx="35">
                  <c:v>91</c:v>
                </c:pt>
                <c:pt idx="36">
                  <c:v>92</c:v>
                </c:pt>
                <c:pt idx="37">
                  <c:v>93</c:v>
                </c:pt>
                <c:pt idx="38">
                  <c:v>94</c:v>
                </c:pt>
                <c:pt idx="39">
                  <c:v>95</c:v>
                </c:pt>
                <c:pt idx="40">
                  <c:v>96</c:v>
                </c:pt>
                <c:pt idx="41">
                  <c:v>97</c:v>
                </c:pt>
                <c:pt idx="42">
                  <c:v>98</c:v>
                </c:pt>
                <c:pt idx="43">
                  <c:v>99</c:v>
                </c:pt>
                <c:pt idx="44">
                  <c:v>100</c:v>
                </c:pt>
                <c:pt idx="45">
                  <c:v>101</c:v>
                </c:pt>
                <c:pt idx="46">
                  <c:v>102</c:v>
                </c:pt>
                <c:pt idx="47">
                  <c:v>103</c:v>
                </c:pt>
                <c:pt idx="48">
                  <c:v>104</c:v>
                </c:pt>
                <c:pt idx="49">
                  <c:v>105</c:v>
                </c:pt>
                <c:pt idx="50">
                  <c:v>106</c:v>
                </c:pt>
                <c:pt idx="51">
                  <c:v>107</c:v>
                </c:pt>
                <c:pt idx="52">
                  <c:v>108</c:v>
                </c:pt>
                <c:pt idx="53">
                  <c:v>109</c:v>
                </c:pt>
                <c:pt idx="54">
                  <c:v>110</c:v>
                </c:pt>
                <c:pt idx="55">
                  <c:v>111</c:v>
                </c:pt>
                <c:pt idx="56">
                  <c:v>112</c:v>
                </c:pt>
                <c:pt idx="57">
                  <c:v>113</c:v>
                </c:pt>
                <c:pt idx="58">
                  <c:v>114</c:v>
                </c:pt>
                <c:pt idx="59">
                  <c:v>115</c:v>
                </c:pt>
                <c:pt idx="60">
                  <c:v>116</c:v>
                </c:pt>
                <c:pt idx="61">
                  <c:v>117</c:v>
                </c:pt>
                <c:pt idx="62">
                  <c:v>118</c:v>
                </c:pt>
                <c:pt idx="63">
                  <c:v>119</c:v>
                </c:pt>
                <c:pt idx="64">
                  <c:v>120</c:v>
                </c:pt>
                <c:pt idx="65">
                  <c:v>121</c:v>
                </c:pt>
                <c:pt idx="66">
                  <c:v>122</c:v>
                </c:pt>
                <c:pt idx="67">
                  <c:v>123</c:v>
                </c:pt>
                <c:pt idx="68">
                  <c:v>124</c:v>
                </c:pt>
                <c:pt idx="69">
                  <c:v>125</c:v>
                </c:pt>
                <c:pt idx="70">
                  <c:v>126</c:v>
                </c:pt>
                <c:pt idx="71">
                  <c:v>127</c:v>
                </c:pt>
                <c:pt idx="72">
                  <c:v>128</c:v>
                </c:pt>
                <c:pt idx="73">
                  <c:v>129</c:v>
                </c:pt>
                <c:pt idx="74">
                  <c:v>130</c:v>
                </c:pt>
                <c:pt idx="75">
                  <c:v>131</c:v>
                </c:pt>
                <c:pt idx="76">
                  <c:v>132</c:v>
                </c:pt>
                <c:pt idx="77">
                  <c:v>133</c:v>
                </c:pt>
                <c:pt idx="78">
                  <c:v>134</c:v>
                </c:pt>
                <c:pt idx="79">
                  <c:v>135</c:v>
                </c:pt>
                <c:pt idx="80">
                  <c:v>136</c:v>
                </c:pt>
                <c:pt idx="81">
                  <c:v>137</c:v>
                </c:pt>
                <c:pt idx="82">
                  <c:v>138</c:v>
                </c:pt>
                <c:pt idx="83">
                  <c:v>139</c:v>
                </c:pt>
                <c:pt idx="84">
                  <c:v>140</c:v>
                </c:pt>
                <c:pt idx="85">
                  <c:v>141</c:v>
                </c:pt>
                <c:pt idx="86">
                  <c:v>142</c:v>
                </c:pt>
                <c:pt idx="87">
                  <c:v>143</c:v>
                </c:pt>
                <c:pt idx="88">
                  <c:v>144</c:v>
                </c:pt>
                <c:pt idx="89">
                  <c:v>145</c:v>
                </c:pt>
                <c:pt idx="90">
                  <c:v>146</c:v>
                </c:pt>
                <c:pt idx="91">
                  <c:v>147</c:v>
                </c:pt>
                <c:pt idx="92">
                  <c:v>148</c:v>
                </c:pt>
                <c:pt idx="93">
                  <c:v>149</c:v>
                </c:pt>
                <c:pt idx="94">
                  <c:v>150</c:v>
                </c:pt>
                <c:pt idx="95">
                  <c:v>151</c:v>
                </c:pt>
                <c:pt idx="96">
                  <c:v>152</c:v>
                </c:pt>
                <c:pt idx="97">
                  <c:v>153</c:v>
                </c:pt>
                <c:pt idx="98">
                  <c:v>154</c:v>
                </c:pt>
                <c:pt idx="99">
                  <c:v>155</c:v>
                </c:pt>
                <c:pt idx="100">
                  <c:v>156</c:v>
                </c:pt>
                <c:pt idx="101">
                  <c:v>157</c:v>
                </c:pt>
                <c:pt idx="102">
                  <c:v>158</c:v>
                </c:pt>
                <c:pt idx="103">
                  <c:v>159</c:v>
                </c:pt>
                <c:pt idx="104">
                  <c:v>160</c:v>
                </c:pt>
                <c:pt idx="105">
                  <c:v>161</c:v>
                </c:pt>
                <c:pt idx="106">
                  <c:v>162</c:v>
                </c:pt>
                <c:pt idx="107">
                  <c:v>163</c:v>
                </c:pt>
                <c:pt idx="108">
                  <c:v>164</c:v>
                </c:pt>
                <c:pt idx="109">
                  <c:v>165</c:v>
                </c:pt>
                <c:pt idx="110">
                  <c:v>166</c:v>
                </c:pt>
                <c:pt idx="111">
                  <c:v>167</c:v>
                </c:pt>
                <c:pt idx="112">
                  <c:v>168</c:v>
                </c:pt>
                <c:pt idx="113">
                  <c:v>169</c:v>
                </c:pt>
                <c:pt idx="114">
                  <c:v>170</c:v>
                </c:pt>
                <c:pt idx="115">
                  <c:v>171</c:v>
                </c:pt>
                <c:pt idx="116">
                  <c:v>172</c:v>
                </c:pt>
                <c:pt idx="117">
                  <c:v>173</c:v>
                </c:pt>
                <c:pt idx="118">
                  <c:v>174</c:v>
                </c:pt>
                <c:pt idx="119">
                  <c:v>175</c:v>
                </c:pt>
                <c:pt idx="120">
                  <c:v>176</c:v>
                </c:pt>
                <c:pt idx="121">
                  <c:v>177</c:v>
                </c:pt>
              </c:numCache>
            </c:numRef>
          </c:xVal>
          <c:yVal>
            <c:numRef>
              <c:f>'New_removed_rate - bSIR'!$BQ$63:$BQ$184</c:f>
              <c:numCache>
                <c:formatCode>General</c:formatCode>
                <c:ptCount val="122"/>
                <c:pt idx="0">
                  <c:v>145.004558103249</c:v>
                </c:pt>
                <c:pt idx="1">
                  <c:v>143.04773290421889</c:v>
                </c:pt>
                <c:pt idx="2">
                  <c:v>141.09312016033169</c:v>
                </c:pt>
                <c:pt idx="3">
                  <c:v>139.14083522401518</c:v>
                </c:pt>
                <c:pt idx="4">
                  <c:v>137.19099963421326</c:v>
                </c:pt>
                <c:pt idx="5">
                  <c:v>135.24374146084216</c:v>
                </c:pt>
                <c:pt idx="6">
                  <c:v>133.29919566892772</c:v>
                </c:pt>
                <c:pt idx="7">
                  <c:v>131.35750450347695</c:v>
                </c:pt>
                <c:pt idx="8">
                  <c:v>129.41881789616713</c:v>
                </c:pt>
                <c:pt idx="9">
                  <c:v>127.48329389496006</c:v>
                </c:pt>
                <c:pt idx="10">
                  <c:v>125.55109911776485</c:v>
                </c:pt>
                <c:pt idx="11">
                  <c:v>123.62240923128049</c:v>
                </c:pt>
                <c:pt idx="12">
                  <c:v>121.69740945614272</c:v>
                </c:pt>
                <c:pt idx="13">
                  <c:v>119.77629509948017</c:v>
                </c:pt>
                <c:pt idx="14">
                  <c:v>117.85927211594365</c:v>
                </c:pt>
                <c:pt idx="15">
                  <c:v>115.94655769821038</c:v>
                </c:pt>
                <c:pt idx="16">
                  <c:v>114.03838089787237</c:v>
                </c:pt>
                <c:pt idx="17">
                  <c:v>112.13498327749375</c:v>
                </c:pt>
                <c:pt idx="18">
                  <c:v>110.23661959445407</c:v>
                </c:pt>
                <c:pt idx="19">
                  <c:v>108.34355851697987</c:v>
                </c:pt>
                <c:pt idx="20">
                  <c:v>106.45608337249404</c:v>
                </c:pt>
                <c:pt idx="21">
                  <c:v>104.57449292806957</c:v>
                </c:pt>
                <c:pt idx="22">
                  <c:v>102.69910220235511</c:v>
                </c:pt>
                <c:pt idx="23">
                  <c:v>100.83024330782423</c:v>
                </c:pt>
                <c:pt idx="24">
                  <c:v>98.968266321580245</c:v>
                </c:pt>
                <c:pt idx="25">
                  <c:v>97.11354018220112</c:v>
                </c:pt>
                <c:pt idx="26">
                  <c:v>95.266453609225167</c:v>
                </c:pt>
                <c:pt idx="27">
                  <c:v>93.427416040829925</c:v>
                </c:pt>
                <c:pt idx="28">
                  <c:v>91.596858584030485</c:v>
                </c:pt>
                <c:pt idx="29">
                  <c:v>89.775234970298257</c:v>
                </c:pt>
                <c:pt idx="30">
                  <c:v>87.963022507852372</c:v>
                </c:pt>
                <c:pt idx="31">
                  <c:v>86.160723019990513</c:v>
                </c:pt>
                <c:pt idx="32">
                  <c:v>84.368863756683609</c:v>
                </c:pt>
                <c:pt idx="33">
                  <c:v>82.587998264246252</c:v>
                </c:pt>
                <c:pt idx="34">
                  <c:v>80.818707195210393</c:v>
                </c:pt>
                <c:pt idx="35">
                  <c:v>79.061599037569465</c:v>
                </c:pt>
                <c:pt idx="36">
                  <c:v>77.317310739347207</c:v>
                </c:pt>
                <c:pt idx="37">
                  <c:v>75.586508201002587</c:v>
                </c:pt>
                <c:pt idx="38">
                  <c:v>73.869886604570382</c:v>
                </c:pt>
                <c:pt idx="39">
                  <c:v>72.168170544727133</c:v>
                </c:pt>
                <c:pt idx="40">
                  <c:v>70.48211392327876</c:v>
                </c:pt>
                <c:pt idx="41">
                  <c:v>68.812499565034386</c:v>
                </c:pt>
                <c:pt idx="42">
                  <c:v>67.160138509846661</c:v>
                </c:pt>
                <c:pt idx="43">
                  <c:v>65.525868933000623</c:v>
                </c:pt>
                <c:pt idx="44">
                  <c:v>63.910554644396441</c:v>
                </c:pt>
                <c:pt idx="45">
                  <c:v>62.31508311642898</c:v>
                </c:pt>
                <c:pt idx="46">
                  <c:v>60.740362991481561</c:v>
                </c:pt>
                <c:pt idx="47">
                  <c:v>59.18732102292303</c:v>
                </c:pt>
                <c:pt idx="48">
                  <c:v>57.656898408827573</c:v>
                </c:pt>
                <c:pt idx="49">
                  <c:v>56.150046485718704</c:v>
                </c:pt>
                <c:pt idx="50">
                  <c:v>54.667721760801555</c:v>
                </c:pt>
                <c:pt idx="51">
                  <c:v>53.210880275631595</c:v>
                </c:pt>
                <c:pt idx="52">
                  <c:v>51.780471312056051</c:v>
                </c:pt>
                <c:pt idx="53">
                  <c:v>50.377430472438604</c:v>
                </c:pt>
                <c:pt idx="54">
                  <c:v>49.002672190263581</c:v>
                </c:pt>
                <c:pt idx="55">
                  <c:v>47.65708175353447</c:v>
                </c:pt>
                <c:pt idx="56">
                  <c:v>46.34150695093409</c:v>
                </c:pt>
                <c:pt idx="57">
                  <c:v>45.056749478176442</c:v>
                </c:pt>
                <c:pt idx="58">
                  <c:v>43.803556267748505</c:v>
                </c:pt>
                <c:pt idx="59">
                  <c:v>42.582610927509904</c:v>
                </c:pt>
                <c:pt idx="60">
                  <c:v>41.394525490506737</c:v>
                </c:pt>
                <c:pt idx="61">
                  <c:v>40.239832688070891</c:v>
                </c:pt>
                <c:pt idx="62">
                  <c:v>39.118978959293585</c:v>
                </c:pt>
                <c:pt idx="63">
                  <c:v>38.03231840121876</c:v>
                </c:pt>
                <c:pt idx="64">
                  <c:v>36.980107845170892</c:v>
                </c:pt>
                <c:pt idx="65">
                  <c:v>35.962503215820462</c:v>
                </c:pt>
                <c:pt idx="66">
                  <c:v>34.979557292014604</c:v>
                </c:pt>
                <c:pt idx="67">
                  <c:v>34.031218943912663</c:v>
                </c:pt>
                <c:pt idx="68">
                  <c:v>33.117333872053536</c:v>
                </c:pt>
                <c:pt idx="69">
                  <c:v>32.237646823526035</c:v>
                </c:pt>
                <c:pt idx="70">
                  <c:v>31.391805211451327</c:v>
                </c:pt>
                <c:pt idx="71">
                  <c:v>30.579364019409326</c:v>
                </c:pt>
                <c:pt idx="72">
                  <c:v>29.79979183473823</c:v>
                </c:pt>
                <c:pt idx="73">
                  <c:v>29.052477825674771</c:v>
                </c:pt>
                <c:pt idx="74">
                  <c:v>28.3367394582109</c:v>
                </c:pt>
                <c:pt idx="75">
                  <c:v>27.651830739638044</c:v>
                </c:pt>
                <c:pt idx="76">
                  <c:v>26.996950776620906</c:v>
                </c:pt>
                <c:pt idx="77">
                  <c:v>26.371252445228791</c:v>
                </c:pt>
                <c:pt idx="78">
                  <c:v>25.773850987141515</c:v>
                </c:pt>
                <c:pt idx="79">
                  <c:v>25.203832368445219</c:v>
                </c:pt>
                <c:pt idx="80">
                  <c:v>24.660261263161289</c:v>
                </c:pt>
                <c:pt idx="81">
                  <c:v>24.142188551099608</c:v>
                </c:pt>
                <c:pt idx="82">
                  <c:v>23.648658247190269</c:v>
                </c:pt>
                <c:pt idx="83">
                  <c:v>23.178713805794601</c:v>
                </c:pt>
                <c:pt idx="84">
                  <c:v>22.731403767623789</c:v>
                </c:pt>
                <c:pt idx="85">
                  <c:v>22.305786738116936</c:v>
                </c:pt>
                <c:pt idx="86">
                  <c:v>21.900935704073433</c:v>
                </c:pt>
                <c:pt idx="87">
                  <c:v>21.515941709871356</c:v>
                </c:pt>
                <c:pt idx="88">
                  <c:v>21.149916925818317</c:v>
                </c:pt>
                <c:pt idx="89">
                  <c:v>20.801997149308747</c:v>
                </c:pt>
                <c:pt idx="90">
                  <c:v>20.471343784834403</c:v>
                </c:pt>
                <c:pt idx="91">
                  <c:v>20.157145351898563</c:v>
                </c:pt>
                <c:pt idx="92">
                  <c:v>19.858618570929352</c:v>
                </c:pt>
                <c:pt idx="93">
                  <c:v>19.575009076764715</c:v>
                </c:pt>
                <c:pt idx="94">
                  <c:v>19.305591807562692</c:v>
                </c:pt>
                <c:pt idx="95">
                  <c:v>19.04967111440294</c:v>
                </c:pt>
                <c:pt idx="96">
                  <c:v>18.806580633669213</c:v>
                </c:pt>
                <c:pt idx="97">
                  <c:v>18.575682960773875</c:v>
                </c:pt>
                <c:pt idx="98">
                  <c:v>18.356369160094218</c:v>
                </c:pt>
                <c:pt idx="99">
                  <c:v>18.148058142279339</c:v>
                </c:pt>
                <c:pt idx="100">
                  <c:v>17.950195936472184</c:v>
                </c:pt>
                <c:pt idx="101">
                  <c:v>17.762254881546212</c:v>
                </c:pt>
                <c:pt idx="102">
                  <c:v>17.583732757237613</c:v>
                </c:pt>
                <c:pt idx="103">
                  <c:v>17.41415187309137</c:v>
                </c:pt>
                <c:pt idx="104">
                  <c:v>17.253058130449361</c:v>
                </c:pt>
                <c:pt idx="105">
                  <c:v>17.100020070292118</c:v>
                </c:pt>
                <c:pt idx="106">
                  <c:v>16.954627917600206</c:v>
                </c:pt>
                <c:pt idx="107">
                  <c:v>16.816492631009908</c:v>
                </c:pt>
                <c:pt idx="108">
                  <c:v>16.685244964887588</c:v>
                </c:pt>
                <c:pt idx="109">
                  <c:v>16.560534549517456</c:v>
                </c:pt>
                <c:pt idx="110">
                  <c:v>16.442028993867353</c:v>
                </c:pt>
                <c:pt idx="111">
                  <c:v>16.329413014348646</c:v>
                </c:pt>
                <c:pt idx="112">
                  <c:v>16.222387592097675</c:v>
                </c:pt>
                <c:pt idx="113">
                  <c:v>16.120669160557682</c:v>
                </c:pt>
                <c:pt idx="114">
                  <c:v>16.023988824518881</c:v>
                </c:pt>
                <c:pt idx="115">
                  <c:v>15.93209161125651</c:v>
                </c:pt>
                <c:pt idx="116">
                  <c:v>15.844735753985759</c:v>
                </c:pt>
                <c:pt idx="117">
                  <c:v>15.761692007509581</c:v>
                </c:pt>
                <c:pt idx="118">
                  <c:v>15.682742995660817</c:v>
                </c:pt>
                <c:pt idx="119">
                  <c:v>15.607682589924011</c:v>
                </c:pt>
                <c:pt idx="120">
                  <c:v>15.536315318455536</c:v>
                </c:pt>
                <c:pt idx="121">
                  <c:v>15.468455804593333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D8-40DB-AADE-9317265F7946}"/>
            </c:ext>
          </c:extLst>
        </c:ser>
        <c:ser>
          <c:idx val="3"/>
          <c:order val="3"/>
          <c:tx>
            <c:strRef>
              <c:f>'New_removed_rate - bSIR'!$B$6</c:f>
              <c:strCache>
                <c:ptCount val="1"/>
                <c:pt idx="0">
                  <c:v>15-May</c:v>
                </c:pt>
              </c:strCache>
            </c:strRef>
          </c:tx>
          <c:spPr>
            <a:ln w="19050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('New_removed_rate - bSIR'!$C$6,'New_removed_rate - bSIR'!$C$6)</c:f>
              <c:numCache>
                <c:formatCode>General</c:formatCode>
                <c:ptCount val="2"/>
                <c:pt idx="0">
                  <c:v>136</c:v>
                </c:pt>
                <c:pt idx="1">
                  <c:v>136</c:v>
                </c:pt>
              </c:numCache>
            </c:numRef>
          </c:xVal>
          <c:yVal>
            <c:numRef>
              <c:f>('New_removed_rate - bSIR'!$D$6,'New_removed_rate - bSIR'!$E$6)</c:f>
              <c:numCache>
                <c:formatCode>General</c:formatCode>
                <c:ptCount val="2"/>
                <c:pt idx="0">
                  <c:v>1</c:v>
                </c:pt>
                <c:pt idx="1">
                  <c:v>80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D8-40DB-AADE-9317265F79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4577424"/>
        <c:axId val="884574224"/>
      </c:scatterChart>
      <c:valAx>
        <c:axId val="884577424"/>
        <c:scaling>
          <c:orientation val="minMax"/>
          <c:min val="5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Day of the year (55=feb-24)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884574224"/>
        <c:crosses val="autoZero"/>
        <c:crossBetween val="midCat"/>
      </c:valAx>
      <c:valAx>
        <c:axId val="884574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Halfing 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8845774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8940806174033284"/>
          <c:y val="0.33438459816288923"/>
          <c:w val="0.14906226231889674"/>
          <c:h val="0.13823160246594748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userShapes r:id="rId3"/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sz="1800" b="0" i="0" baseline="0">
                <a:effectLst/>
              </a:rPr>
              <a:t>Italy - halving time - basic SIR (log-linear plot)</a:t>
            </a:r>
            <a:endParaRPr lang="it-IT">
              <a:effectLst/>
            </a:endParaRPr>
          </a:p>
          <a:p>
            <a:pPr>
              <a:defRPr/>
            </a:pPr>
            <a:r>
              <a:rPr lang="it-IT" sz="1800" b="0" i="0" baseline="0">
                <a:solidFill>
                  <a:srgbClr val="0070C0"/>
                </a:solidFill>
                <a:effectLst/>
              </a:rPr>
              <a:t>Italy,</a:t>
            </a:r>
            <a:r>
              <a:rPr lang="it-IT" sz="1800" b="0" i="0" baseline="0">
                <a:effectLst/>
              </a:rPr>
              <a:t> </a:t>
            </a:r>
            <a:r>
              <a:rPr lang="it-IT" sz="1800" b="0" i="0" baseline="0">
                <a:solidFill>
                  <a:srgbClr val="FF0000"/>
                </a:solidFill>
                <a:effectLst/>
              </a:rPr>
              <a:t>selected region</a:t>
            </a:r>
            <a:r>
              <a:rPr lang="it-IT" sz="1800" b="0" i="0" baseline="0">
                <a:effectLst/>
              </a:rPr>
              <a:t> and </a:t>
            </a:r>
            <a:r>
              <a:rPr lang="it-IT" sz="1800" b="0" i="0" baseline="0">
                <a:solidFill>
                  <a:srgbClr val="00B050"/>
                </a:solidFill>
                <a:effectLst/>
              </a:rPr>
              <a:t>rest of Italy</a:t>
            </a:r>
            <a:endParaRPr lang="it-IT">
              <a:solidFill>
                <a:srgbClr val="00B050"/>
              </a:solidFill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'New_removed_rate - bSIR'!$X$7</c:f>
              <c:strCache>
                <c:ptCount val="1"/>
                <c:pt idx="0">
                  <c:v>Italy h.t.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'New_removed_rate - bSIR'!$C$62:$C$184</c:f>
              <c:numCache>
                <c:formatCode>General</c:formatCode>
                <c:ptCount val="123"/>
                <c:pt idx="0">
                  <c:v>55</c:v>
                </c:pt>
                <c:pt idx="1">
                  <c:v>56</c:v>
                </c:pt>
                <c:pt idx="2">
                  <c:v>57</c:v>
                </c:pt>
                <c:pt idx="3">
                  <c:v>58</c:v>
                </c:pt>
                <c:pt idx="4">
                  <c:v>59</c:v>
                </c:pt>
                <c:pt idx="5">
                  <c:v>60</c:v>
                </c:pt>
                <c:pt idx="6">
                  <c:v>61</c:v>
                </c:pt>
                <c:pt idx="7">
                  <c:v>62</c:v>
                </c:pt>
                <c:pt idx="8">
                  <c:v>63</c:v>
                </c:pt>
                <c:pt idx="9">
                  <c:v>64</c:v>
                </c:pt>
                <c:pt idx="10">
                  <c:v>65</c:v>
                </c:pt>
                <c:pt idx="11">
                  <c:v>66</c:v>
                </c:pt>
                <c:pt idx="12">
                  <c:v>67</c:v>
                </c:pt>
                <c:pt idx="13">
                  <c:v>68</c:v>
                </c:pt>
                <c:pt idx="14">
                  <c:v>69</c:v>
                </c:pt>
                <c:pt idx="15">
                  <c:v>70</c:v>
                </c:pt>
                <c:pt idx="16">
                  <c:v>71</c:v>
                </c:pt>
                <c:pt idx="17">
                  <c:v>72</c:v>
                </c:pt>
                <c:pt idx="18">
                  <c:v>73</c:v>
                </c:pt>
                <c:pt idx="19">
                  <c:v>74</c:v>
                </c:pt>
                <c:pt idx="20">
                  <c:v>75</c:v>
                </c:pt>
                <c:pt idx="21">
                  <c:v>76</c:v>
                </c:pt>
                <c:pt idx="22">
                  <c:v>77</c:v>
                </c:pt>
                <c:pt idx="23">
                  <c:v>78</c:v>
                </c:pt>
                <c:pt idx="24">
                  <c:v>79</c:v>
                </c:pt>
                <c:pt idx="25">
                  <c:v>80</c:v>
                </c:pt>
                <c:pt idx="26">
                  <c:v>81</c:v>
                </c:pt>
                <c:pt idx="27">
                  <c:v>82</c:v>
                </c:pt>
                <c:pt idx="28">
                  <c:v>83</c:v>
                </c:pt>
                <c:pt idx="29">
                  <c:v>84</c:v>
                </c:pt>
                <c:pt idx="30">
                  <c:v>85</c:v>
                </c:pt>
                <c:pt idx="31">
                  <c:v>86</c:v>
                </c:pt>
                <c:pt idx="32">
                  <c:v>87</c:v>
                </c:pt>
                <c:pt idx="33">
                  <c:v>88</c:v>
                </c:pt>
                <c:pt idx="34">
                  <c:v>89</c:v>
                </c:pt>
                <c:pt idx="35">
                  <c:v>90</c:v>
                </c:pt>
                <c:pt idx="36">
                  <c:v>91</c:v>
                </c:pt>
                <c:pt idx="37">
                  <c:v>92</c:v>
                </c:pt>
                <c:pt idx="38">
                  <c:v>93</c:v>
                </c:pt>
                <c:pt idx="39">
                  <c:v>94</c:v>
                </c:pt>
                <c:pt idx="40">
                  <c:v>95</c:v>
                </c:pt>
                <c:pt idx="41">
                  <c:v>96</c:v>
                </c:pt>
                <c:pt idx="42">
                  <c:v>97</c:v>
                </c:pt>
                <c:pt idx="43">
                  <c:v>98</c:v>
                </c:pt>
                <c:pt idx="44">
                  <c:v>99</c:v>
                </c:pt>
                <c:pt idx="45">
                  <c:v>100</c:v>
                </c:pt>
                <c:pt idx="46">
                  <c:v>101</c:v>
                </c:pt>
                <c:pt idx="47">
                  <c:v>102</c:v>
                </c:pt>
                <c:pt idx="48">
                  <c:v>103</c:v>
                </c:pt>
                <c:pt idx="49">
                  <c:v>104</c:v>
                </c:pt>
                <c:pt idx="50">
                  <c:v>105</c:v>
                </c:pt>
                <c:pt idx="51">
                  <c:v>106</c:v>
                </c:pt>
                <c:pt idx="52">
                  <c:v>107</c:v>
                </c:pt>
                <c:pt idx="53">
                  <c:v>108</c:v>
                </c:pt>
                <c:pt idx="54">
                  <c:v>109</c:v>
                </c:pt>
                <c:pt idx="55">
                  <c:v>110</c:v>
                </c:pt>
                <c:pt idx="56">
                  <c:v>111</c:v>
                </c:pt>
                <c:pt idx="57">
                  <c:v>112</c:v>
                </c:pt>
                <c:pt idx="58">
                  <c:v>113</c:v>
                </c:pt>
                <c:pt idx="59">
                  <c:v>114</c:v>
                </c:pt>
                <c:pt idx="60">
                  <c:v>115</c:v>
                </c:pt>
                <c:pt idx="61">
                  <c:v>116</c:v>
                </c:pt>
                <c:pt idx="62">
                  <c:v>117</c:v>
                </c:pt>
                <c:pt idx="63">
                  <c:v>118</c:v>
                </c:pt>
                <c:pt idx="64">
                  <c:v>119</c:v>
                </c:pt>
                <c:pt idx="65">
                  <c:v>120</c:v>
                </c:pt>
                <c:pt idx="66">
                  <c:v>121</c:v>
                </c:pt>
                <c:pt idx="67">
                  <c:v>122</c:v>
                </c:pt>
                <c:pt idx="68">
                  <c:v>123</c:v>
                </c:pt>
                <c:pt idx="69">
                  <c:v>124</c:v>
                </c:pt>
                <c:pt idx="70">
                  <c:v>125</c:v>
                </c:pt>
                <c:pt idx="71">
                  <c:v>126</c:v>
                </c:pt>
                <c:pt idx="72">
                  <c:v>127</c:v>
                </c:pt>
                <c:pt idx="73">
                  <c:v>128</c:v>
                </c:pt>
                <c:pt idx="74">
                  <c:v>129</c:v>
                </c:pt>
                <c:pt idx="75">
                  <c:v>130</c:v>
                </c:pt>
                <c:pt idx="76">
                  <c:v>131</c:v>
                </c:pt>
                <c:pt idx="77">
                  <c:v>132</c:v>
                </c:pt>
                <c:pt idx="78">
                  <c:v>133</c:v>
                </c:pt>
                <c:pt idx="79">
                  <c:v>134</c:v>
                </c:pt>
                <c:pt idx="80">
                  <c:v>135</c:v>
                </c:pt>
                <c:pt idx="81">
                  <c:v>136</c:v>
                </c:pt>
                <c:pt idx="82">
                  <c:v>137</c:v>
                </c:pt>
                <c:pt idx="83">
                  <c:v>138</c:v>
                </c:pt>
                <c:pt idx="84">
                  <c:v>139</c:v>
                </c:pt>
                <c:pt idx="85">
                  <c:v>140</c:v>
                </c:pt>
                <c:pt idx="86">
                  <c:v>141</c:v>
                </c:pt>
                <c:pt idx="87">
                  <c:v>142</c:v>
                </c:pt>
                <c:pt idx="88">
                  <c:v>143</c:v>
                </c:pt>
                <c:pt idx="89">
                  <c:v>144</c:v>
                </c:pt>
                <c:pt idx="90">
                  <c:v>145</c:v>
                </c:pt>
                <c:pt idx="91">
                  <c:v>146</c:v>
                </c:pt>
                <c:pt idx="92">
                  <c:v>147</c:v>
                </c:pt>
                <c:pt idx="93">
                  <c:v>148</c:v>
                </c:pt>
                <c:pt idx="94">
                  <c:v>149</c:v>
                </c:pt>
                <c:pt idx="95">
                  <c:v>150</c:v>
                </c:pt>
                <c:pt idx="96">
                  <c:v>151</c:v>
                </c:pt>
                <c:pt idx="97">
                  <c:v>152</c:v>
                </c:pt>
                <c:pt idx="98">
                  <c:v>153</c:v>
                </c:pt>
                <c:pt idx="99">
                  <c:v>154</c:v>
                </c:pt>
                <c:pt idx="100">
                  <c:v>155</c:v>
                </c:pt>
                <c:pt idx="101">
                  <c:v>156</c:v>
                </c:pt>
                <c:pt idx="102">
                  <c:v>157</c:v>
                </c:pt>
                <c:pt idx="103">
                  <c:v>158</c:v>
                </c:pt>
                <c:pt idx="104">
                  <c:v>159</c:v>
                </c:pt>
                <c:pt idx="105">
                  <c:v>160</c:v>
                </c:pt>
                <c:pt idx="106">
                  <c:v>161</c:v>
                </c:pt>
                <c:pt idx="107">
                  <c:v>162</c:v>
                </c:pt>
                <c:pt idx="108">
                  <c:v>163</c:v>
                </c:pt>
                <c:pt idx="109">
                  <c:v>164</c:v>
                </c:pt>
                <c:pt idx="110">
                  <c:v>165</c:v>
                </c:pt>
                <c:pt idx="111">
                  <c:v>166</c:v>
                </c:pt>
                <c:pt idx="112">
                  <c:v>167</c:v>
                </c:pt>
                <c:pt idx="113">
                  <c:v>168</c:v>
                </c:pt>
                <c:pt idx="114">
                  <c:v>169</c:v>
                </c:pt>
                <c:pt idx="115">
                  <c:v>170</c:v>
                </c:pt>
                <c:pt idx="116">
                  <c:v>171</c:v>
                </c:pt>
                <c:pt idx="117">
                  <c:v>172</c:v>
                </c:pt>
                <c:pt idx="118">
                  <c:v>173</c:v>
                </c:pt>
                <c:pt idx="119">
                  <c:v>174</c:v>
                </c:pt>
                <c:pt idx="120">
                  <c:v>175</c:v>
                </c:pt>
                <c:pt idx="121">
                  <c:v>176</c:v>
                </c:pt>
                <c:pt idx="122">
                  <c:v>177</c:v>
                </c:pt>
              </c:numCache>
            </c:numRef>
          </c:xVal>
          <c:yVal>
            <c:numRef>
              <c:f>'New_removed_rate - bSIR'!$X$62:$X$184</c:f>
              <c:numCache>
                <c:formatCode>General</c:formatCode>
                <c:ptCount val="123"/>
                <c:pt idx="0">
                  <c:v>146.6363920468043</c:v>
                </c:pt>
                <c:pt idx="1">
                  <c:v>144.67667770125553</c:v>
                </c:pt>
                <c:pt idx="2">
                  <c:v>142.71904120043303</c:v>
                </c:pt>
                <c:pt idx="3">
                  <c:v>140.76359149936002</c:v>
                </c:pt>
                <c:pt idx="4">
                  <c:v>138.81044342537069</c:v>
                </c:pt>
                <c:pt idx="5">
                  <c:v>136.85971800683856</c:v>
                </c:pt>
                <c:pt idx="6">
                  <c:v>134.91154282089207</c:v>
                </c:pt>
                <c:pt idx="7">
                  <c:v>132.96605236117006</c:v>
                </c:pt>
                <c:pt idx="8">
                  <c:v>131.02338842670622</c:v>
                </c:pt>
                <c:pt idx="9">
                  <c:v>129.08370053306419</c:v>
                </c:pt>
                <c:pt idx="10">
                  <c:v>127.147146346874</c:v>
                </c:pt>
                <c:pt idx="11">
                  <c:v>125.21389214493965</c:v>
                </c:pt>
                <c:pt idx="12">
                  <c:v>123.28411329909926</c:v>
                </c:pt>
                <c:pt idx="13">
                  <c:v>121.35799478801704</c:v>
                </c:pt>
                <c:pt idx="14">
                  <c:v>119.43573173707124</c:v>
                </c:pt>
                <c:pt idx="15">
                  <c:v>117.51752998746564</c:v>
                </c:pt>
                <c:pt idx="16">
                  <c:v>115.60360669563339</c:v>
                </c:pt>
                <c:pt idx="17">
                  <c:v>113.69419096391672</c:v>
                </c:pt>
                <c:pt idx="18">
                  <c:v>111.78952450338198</c:v>
                </c:pt>
                <c:pt idx="19">
                  <c:v>109.88986232946941</c:v>
                </c:pt>
                <c:pt idx="20">
                  <c:v>107.99547349096299</c:v>
                </c:pt>
                <c:pt idx="21">
                  <c:v>106.10664183249617</c:v>
                </c:pt>
                <c:pt idx="22">
                  <c:v>104.22366679046849</c:v>
                </c:pt>
                <c:pt idx="23">
                  <c:v>102.34686422182712</c:v>
                </c:pt>
                <c:pt idx="24">
                  <c:v>100.47656726465043</c:v>
                </c:pt>
                <c:pt idx="25">
                  <c:v>98.613127228844291</c:v>
                </c:pt>
                <c:pt idx="26">
                  <c:v>96.756914514507756</c:v>
                </c:pt>
                <c:pt idx="27">
                  <c:v>94.908319554624825</c:v>
                </c:pt>
                <c:pt idx="28">
                  <c:v>93.067753777675307</c:v>
                </c:pt>
                <c:pt idx="29">
                  <c:v>91.235650584504498</c:v>
                </c:pt>
                <c:pt idx="30">
                  <c:v>89.412466332333381</c:v>
                </c:pt>
                <c:pt idx="31">
                  <c:v>87.598681317101267</c:v>
                </c:pt>
                <c:pt idx="32">
                  <c:v>85.794800743391946</c:v>
                </c:pt>
                <c:pt idx="33">
                  <c:v>84.00135566898733</c:v>
                </c:pt>
                <c:pt idx="34">
                  <c:v>82.218903908598676</c:v>
                </c:pt>
                <c:pt idx="35">
                  <c:v>80.44803087854369</c:v>
                </c:pt>
                <c:pt idx="36">
                  <c:v>78.689350361063887</c:v>
                </c:pt>
                <c:pt idx="37">
                  <c:v>76.943505163628245</c:v>
                </c:pt>
                <c:pt idx="38">
                  <c:v>75.211167644973585</c:v>
                </c:pt>
                <c:pt idx="39">
                  <c:v>73.493040075847702</c:v>
                </c:pt>
                <c:pt idx="40">
                  <c:v>71.789854798519954</c:v>
                </c:pt>
                <c:pt idx="41">
                  <c:v>70.102374145225966</c:v>
                </c:pt>
                <c:pt idx="42">
                  <c:v>68.431390071965922</c:v>
                </c:pt>
                <c:pt idx="43">
                  <c:v>66.777723460677151</c:v>
                </c:pt>
                <c:pt idx="44">
                  <c:v>65.142223039995642</c:v>
                </c:pt>
                <c:pt idx="45">
                  <c:v>63.525763872904903</c:v>
                </c:pt>
                <c:pt idx="46">
                  <c:v>61.929245358888451</c:v>
                </c:pt>
                <c:pt idx="47">
                  <c:v>60.353588699145618</c:v>
                </c:pt>
                <c:pt idx="48">
                  <c:v>58.799733776419046</c:v>
                </c:pt>
                <c:pt idx="49">
                  <c:v>57.268635406452447</c:v>
                </c:pt>
                <c:pt idx="50">
                  <c:v>55.761258926462787</c:v>
                </c:pt>
                <c:pt idx="51">
                  <c:v>54.27857509763561</c:v>
                </c:pt>
                <c:pt idx="52">
                  <c:v>52.821554313791154</c:v>
                </c:pt>
                <c:pt idx="53">
                  <c:v>51.391160127120273</c:v>
                </c:pt>
                <c:pt idx="54">
                  <c:v>49.988342124132487</c:v>
                </c:pt>
                <c:pt idx="55">
                  <c:v>48.614028210296439</c:v>
                </c:pt>
                <c:pt idx="56">
                  <c:v>47.269116389565767</c:v>
                </c:pt>
                <c:pt idx="57">
                  <c:v>45.954466154002745</c:v>
                </c:pt>
                <c:pt idx="58">
                  <c:v>44.670889627621619</c:v>
                </c:pt>
                <c:pt idx="59">
                  <c:v>43.419142635656272</c:v>
                </c:pt>
                <c:pt idx="60">
                  <c:v>42.199915893778979</c:v>
                </c:pt>
                <c:pt idx="61">
                  <c:v>41.013826529351974</c:v>
                </c:pt>
                <c:pt idx="62">
                  <c:v>39.861410156665656</c:v>
                </c:pt>
                <c:pt idx="63">
                  <c:v>38.743113728702625</c:v>
                </c:pt>
                <c:pt idx="64">
                  <c:v>37.659289378152778</c:v>
                </c:pt>
                <c:pt idx="65">
                  <c:v>36.610189439781905</c:v>
                </c:pt>
                <c:pt idx="66">
                  <c:v>35.595962815204274</c:v>
                </c:pt>
                <c:pt idx="67">
                  <c:v>34.616652800883372</c:v>
                </c:pt>
                <c:pt idx="68">
                  <c:v>33.672196452823314</c:v>
                </c:pt>
                <c:pt idx="69">
                  <c:v>32.762425509616619</c:v>
                </c:pt>
                <c:pt idx="70">
                  <c:v>31.887068842396516</c:v>
                </c:pt>
                <c:pt idx="71">
                  <c:v>31.045756349039422</c:v>
                </c:pt>
                <c:pt idx="72">
                  <c:v>30.238024163737009</c:v>
                </c:pt>
                <c:pt idx="73">
                  <c:v>29.463321014396115</c:v>
                </c:pt>
                <c:pt idx="74">
                  <c:v>28.721015531137198</c:v>
                </c:pt>
                <c:pt idx="75">
                  <c:v>28.010404290534524</c:v>
                </c:pt>
                <c:pt idx="76">
                  <c:v>27.330720372408138</c:v>
                </c:pt>
                <c:pt idx="77">
                  <c:v>26.681142208383093</c:v>
                </c:pt>
                <c:pt idx="78">
                  <c:v>26.060802512859368</c:v>
                </c:pt>
                <c:pt idx="79">
                  <c:v>25.46879710580798</c:v>
                </c:pt>
                <c:pt idx="80">
                  <c:v>24.904193460980025</c:v>
                </c:pt>
                <c:pt idx="81">
                  <c:v>24.366038840675046</c:v>
                </c:pt>
                <c:pt idx="82">
                  <c:v>23.853367907269217</c:v>
                </c:pt>
                <c:pt idx="83">
                  <c:v>23.36520973057543</c:v>
                </c:pt>
                <c:pt idx="84">
                  <c:v>22.900594137452458</c:v>
                </c:pt>
                <c:pt idx="85">
                  <c:v>22.458557374888485</c:v>
                </c:pt>
                <c:pt idx="86">
                  <c:v>22.038147079402066</c:v>
                </c:pt>
                <c:pt idx="87">
                  <c:v>21.638426563688384</c:v>
                </c:pt>
                <c:pt idx="88">
                  <c:v>21.258478445913852</c:v>
                </c:pt>
                <c:pt idx="89">
                  <c:v>20.897407658059265</c:v>
                </c:pt>
                <c:pt idx="90">
                  <c:v>20.554343877513318</c:v>
                </c:pt>
                <c:pt idx="91">
                  <c:v>20.228443431094647</c:v>
                </c:pt>
                <c:pt idx="92">
                  <c:v>19.918890723259736</c:v>
                </c:pt>
                <c:pt idx="93">
                  <c:v>19.624899240864053</c:v>
                </c:pt>
                <c:pt idx="94">
                  <c:v>19.345712185905654</c:v>
                </c:pt>
                <c:pt idx="95">
                  <c:v>19.080602785574342</c:v>
                </c:pt>
                <c:pt idx="96">
                  <c:v>18.82887432599324</c:v>
                </c:pt>
                <c:pt idx="97">
                  <c:v>18.589859952559735</c:v>
                </c:pt>
                <c:pt idx="98">
                  <c:v>18.36292227600309</c:v>
                </c:pt>
                <c:pt idx="99">
                  <c:v>18.147452819367928</c:v>
                </c:pt>
                <c:pt idx="100">
                  <c:v>17.942871337246345</c:v>
                </c:pt>
                <c:pt idx="101">
                  <c:v>17.748625034824883</c:v>
                </c:pt>
                <c:pt idx="102">
                  <c:v>17.564187710761772</c:v>
                </c:pt>
                <c:pt idx="103">
                  <c:v>17.389058844608684</c:v>
                </c:pt>
                <c:pt idx="104">
                  <c:v>17.222762646472063</c:v>
                </c:pt>
                <c:pt idx="105">
                  <c:v>17.064847083880167</c:v>
                </c:pt>
                <c:pt idx="106">
                  <c:v>16.914882898382359</c:v>
                </c:pt>
                <c:pt idx="107">
                  <c:v>16.772462622249932</c:v>
                </c:pt>
                <c:pt idx="108">
                  <c:v>16.637199603756031</c:v>
                </c:pt>
                <c:pt idx="109">
                  <c:v>16.508727047866103</c:v>
                </c:pt>
                <c:pt idx="110">
                  <c:v>16.386697077751691</c:v>
                </c:pt>
                <c:pt idx="111">
                  <c:v>16.270779821324609</c:v>
                </c:pt>
                <c:pt idx="112">
                  <c:v>16.160662525956141</c:v>
                </c:pt>
                <c:pt idx="113">
                  <c:v>16.056048703674577</c:v>
                </c:pt>
                <c:pt idx="114">
                  <c:v>15.956657308405411</c:v>
                </c:pt>
                <c:pt idx="115">
                  <c:v>15.862221946213424</c:v>
                </c:pt>
                <c:pt idx="116">
                  <c:v>15.772490119007955</c:v>
                </c:pt>
                <c:pt idx="117">
                  <c:v>15.687222501767579</c:v>
                </c:pt>
                <c:pt idx="118">
                  <c:v>15.606192253013717</c:v>
                </c:pt>
                <c:pt idx="119">
                  <c:v>15.529184358003391</c:v>
                </c:pt>
                <c:pt idx="120">
                  <c:v>15.455995003909749</c:v>
                </c:pt>
                <c:pt idx="121">
                  <c:v>15.386430986103861</c:v>
                </c:pt>
                <c:pt idx="122">
                  <c:v>15.320309144536978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879-42A8-9ED3-227675AC1993}"/>
            </c:ext>
          </c:extLst>
        </c:ser>
        <c:ser>
          <c:idx val="1"/>
          <c:order val="1"/>
          <c:tx>
            <c:strRef>
              <c:f>'New_removed_rate - bSIR'!$AV$7</c:f>
              <c:strCache>
                <c:ptCount val="1"/>
                <c:pt idx="0">
                  <c:v>sel. region h.t.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'New_removed_rate - bSIR'!$C$63:$C$184</c:f>
              <c:numCache>
                <c:formatCode>General</c:formatCode>
                <c:ptCount val="122"/>
                <c:pt idx="0">
                  <c:v>56</c:v>
                </c:pt>
                <c:pt idx="1">
                  <c:v>57</c:v>
                </c:pt>
                <c:pt idx="2">
                  <c:v>58</c:v>
                </c:pt>
                <c:pt idx="3">
                  <c:v>59</c:v>
                </c:pt>
                <c:pt idx="4">
                  <c:v>60</c:v>
                </c:pt>
                <c:pt idx="5">
                  <c:v>61</c:v>
                </c:pt>
                <c:pt idx="6">
                  <c:v>62</c:v>
                </c:pt>
                <c:pt idx="7">
                  <c:v>63</c:v>
                </c:pt>
                <c:pt idx="8">
                  <c:v>64</c:v>
                </c:pt>
                <c:pt idx="9">
                  <c:v>65</c:v>
                </c:pt>
                <c:pt idx="10">
                  <c:v>66</c:v>
                </c:pt>
                <c:pt idx="11">
                  <c:v>67</c:v>
                </c:pt>
                <c:pt idx="12">
                  <c:v>68</c:v>
                </c:pt>
                <c:pt idx="13">
                  <c:v>69</c:v>
                </c:pt>
                <c:pt idx="14">
                  <c:v>70</c:v>
                </c:pt>
                <c:pt idx="15">
                  <c:v>71</c:v>
                </c:pt>
                <c:pt idx="16">
                  <c:v>72</c:v>
                </c:pt>
                <c:pt idx="17">
                  <c:v>73</c:v>
                </c:pt>
                <c:pt idx="18">
                  <c:v>74</c:v>
                </c:pt>
                <c:pt idx="19">
                  <c:v>75</c:v>
                </c:pt>
                <c:pt idx="20">
                  <c:v>76</c:v>
                </c:pt>
                <c:pt idx="21">
                  <c:v>77</c:v>
                </c:pt>
                <c:pt idx="22">
                  <c:v>78</c:v>
                </c:pt>
                <c:pt idx="23">
                  <c:v>79</c:v>
                </c:pt>
                <c:pt idx="24">
                  <c:v>80</c:v>
                </c:pt>
                <c:pt idx="25">
                  <c:v>81</c:v>
                </c:pt>
                <c:pt idx="26">
                  <c:v>82</c:v>
                </c:pt>
                <c:pt idx="27">
                  <c:v>83</c:v>
                </c:pt>
                <c:pt idx="28">
                  <c:v>84</c:v>
                </c:pt>
                <c:pt idx="29">
                  <c:v>85</c:v>
                </c:pt>
                <c:pt idx="30">
                  <c:v>86</c:v>
                </c:pt>
                <c:pt idx="31">
                  <c:v>87</c:v>
                </c:pt>
                <c:pt idx="32">
                  <c:v>88</c:v>
                </c:pt>
                <c:pt idx="33">
                  <c:v>89</c:v>
                </c:pt>
                <c:pt idx="34">
                  <c:v>90</c:v>
                </c:pt>
                <c:pt idx="35">
                  <c:v>91</c:v>
                </c:pt>
                <c:pt idx="36">
                  <c:v>92</c:v>
                </c:pt>
                <c:pt idx="37">
                  <c:v>93</c:v>
                </c:pt>
                <c:pt idx="38">
                  <c:v>94</c:v>
                </c:pt>
                <c:pt idx="39">
                  <c:v>95</c:v>
                </c:pt>
                <c:pt idx="40">
                  <c:v>96</c:v>
                </c:pt>
                <c:pt idx="41">
                  <c:v>97</c:v>
                </c:pt>
                <c:pt idx="42">
                  <c:v>98</c:v>
                </c:pt>
                <c:pt idx="43">
                  <c:v>99</c:v>
                </c:pt>
                <c:pt idx="44">
                  <c:v>100</c:v>
                </c:pt>
                <c:pt idx="45">
                  <c:v>101</c:v>
                </c:pt>
                <c:pt idx="46">
                  <c:v>102</c:v>
                </c:pt>
                <c:pt idx="47">
                  <c:v>103</c:v>
                </c:pt>
                <c:pt idx="48">
                  <c:v>104</c:v>
                </c:pt>
                <c:pt idx="49">
                  <c:v>105</c:v>
                </c:pt>
                <c:pt idx="50">
                  <c:v>106</c:v>
                </c:pt>
                <c:pt idx="51">
                  <c:v>107</c:v>
                </c:pt>
                <c:pt idx="52">
                  <c:v>108</c:v>
                </c:pt>
                <c:pt idx="53">
                  <c:v>109</c:v>
                </c:pt>
                <c:pt idx="54">
                  <c:v>110</c:v>
                </c:pt>
                <c:pt idx="55">
                  <c:v>111</c:v>
                </c:pt>
                <c:pt idx="56">
                  <c:v>112</c:v>
                </c:pt>
                <c:pt idx="57">
                  <c:v>113</c:v>
                </c:pt>
                <c:pt idx="58">
                  <c:v>114</c:v>
                </c:pt>
                <c:pt idx="59">
                  <c:v>115</c:v>
                </c:pt>
                <c:pt idx="60">
                  <c:v>116</c:v>
                </c:pt>
                <c:pt idx="61">
                  <c:v>117</c:v>
                </c:pt>
                <c:pt idx="62">
                  <c:v>118</c:v>
                </c:pt>
                <c:pt idx="63">
                  <c:v>119</c:v>
                </c:pt>
                <c:pt idx="64">
                  <c:v>120</c:v>
                </c:pt>
                <c:pt idx="65">
                  <c:v>121</c:v>
                </c:pt>
                <c:pt idx="66">
                  <c:v>122</c:v>
                </c:pt>
                <c:pt idx="67">
                  <c:v>123</c:v>
                </c:pt>
                <c:pt idx="68">
                  <c:v>124</c:v>
                </c:pt>
                <c:pt idx="69">
                  <c:v>125</c:v>
                </c:pt>
                <c:pt idx="70">
                  <c:v>126</c:v>
                </c:pt>
                <c:pt idx="71">
                  <c:v>127</c:v>
                </c:pt>
                <c:pt idx="72">
                  <c:v>128</c:v>
                </c:pt>
                <c:pt idx="73">
                  <c:v>129</c:v>
                </c:pt>
                <c:pt idx="74">
                  <c:v>130</c:v>
                </c:pt>
                <c:pt idx="75">
                  <c:v>131</c:v>
                </c:pt>
                <c:pt idx="76">
                  <c:v>132</c:v>
                </c:pt>
                <c:pt idx="77">
                  <c:v>133</c:v>
                </c:pt>
                <c:pt idx="78">
                  <c:v>134</c:v>
                </c:pt>
                <c:pt idx="79">
                  <c:v>135</c:v>
                </c:pt>
                <c:pt idx="80">
                  <c:v>136</c:v>
                </c:pt>
                <c:pt idx="81">
                  <c:v>137</c:v>
                </c:pt>
                <c:pt idx="82">
                  <c:v>138</c:v>
                </c:pt>
                <c:pt idx="83">
                  <c:v>139</c:v>
                </c:pt>
                <c:pt idx="84">
                  <c:v>140</c:v>
                </c:pt>
                <c:pt idx="85">
                  <c:v>141</c:v>
                </c:pt>
                <c:pt idx="86">
                  <c:v>142</c:v>
                </c:pt>
                <c:pt idx="87">
                  <c:v>143</c:v>
                </c:pt>
                <c:pt idx="88">
                  <c:v>144</c:v>
                </c:pt>
                <c:pt idx="89">
                  <c:v>145</c:v>
                </c:pt>
                <c:pt idx="90">
                  <c:v>146</c:v>
                </c:pt>
                <c:pt idx="91">
                  <c:v>147</c:v>
                </c:pt>
                <c:pt idx="92">
                  <c:v>148</c:v>
                </c:pt>
                <c:pt idx="93">
                  <c:v>149</c:v>
                </c:pt>
                <c:pt idx="94">
                  <c:v>150</c:v>
                </c:pt>
                <c:pt idx="95">
                  <c:v>151</c:v>
                </c:pt>
                <c:pt idx="96">
                  <c:v>152</c:v>
                </c:pt>
                <c:pt idx="97">
                  <c:v>153</c:v>
                </c:pt>
                <c:pt idx="98">
                  <c:v>154</c:v>
                </c:pt>
                <c:pt idx="99">
                  <c:v>155</c:v>
                </c:pt>
                <c:pt idx="100">
                  <c:v>156</c:v>
                </c:pt>
                <c:pt idx="101">
                  <c:v>157</c:v>
                </c:pt>
                <c:pt idx="102">
                  <c:v>158</c:v>
                </c:pt>
                <c:pt idx="103">
                  <c:v>159</c:v>
                </c:pt>
                <c:pt idx="104">
                  <c:v>160</c:v>
                </c:pt>
                <c:pt idx="105">
                  <c:v>161</c:v>
                </c:pt>
                <c:pt idx="106">
                  <c:v>162</c:v>
                </c:pt>
                <c:pt idx="107">
                  <c:v>163</c:v>
                </c:pt>
                <c:pt idx="108">
                  <c:v>164</c:v>
                </c:pt>
                <c:pt idx="109">
                  <c:v>165</c:v>
                </c:pt>
                <c:pt idx="110">
                  <c:v>166</c:v>
                </c:pt>
                <c:pt idx="111">
                  <c:v>167</c:v>
                </c:pt>
                <c:pt idx="112">
                  <c:v>168</c:v>
                </c:pt>
                <c:pt idx="113">
                  <c:v>169</c:v>
                </c:pt>
                <c:pt idx="114">
                  <c:v>170</c:v>
                </c:pt>
                <c:pt idx="115">
                  <c:v>171</c:v>
                </c:pt>
                <c:pt idx="116">
                  <c:v>172</c:v>
                </c:pt>
                <c:pt idx="117">
                  <c:v>173</c:v>
                </c:pt>
                <c:pt idx="118">
                  <c:v>174</c:v>
                </c:pt>
                <c:pt idx="119">
                  <c:v>175</c:v>
                </c:pt>
                <c:pt idx="120">
                  <c:v>176</c:v>
                </c:pt>
                <c:pt idx="121">
                  <c:v>177</c:v>
                </c:pt>
              </c:numCache>
            </c:numRef>
          </c:xVal>
          <c:yVal>
            <c:numRef>
              <c:f>'New_removed_rate - bSIR'!$AV$63:$AV$184</c:f>
              <c:numCache>
                <c:formatCode>General</c:formatCode>
                <c:ptCount val="122"/>
                <c:pt idx="0">
                  <c:v>136.93598537929813</c:v>
                </c:pt>
                <c:pt idx="1">
                  <c:v>134.96750583457396</c:v>
                </c:pt>
                <c:pt idx="2">
                  <c:v>133.00088305929336</c:v>
                </c:pt>
                <c:pt idx="3">
                  <c:v>131.03622797185679</c:v>
                </c:pt>
                <c:pt idx="4">
                  <c:v>129.07365828112393</c:v>
                </c:pt>
                <c:pt idx="5">
                  <c:v>127.11329891803067</c:v>
                </c:pt>
                <c:pt idx="6">
                  <c:v>125.15528249584274</c:v>
                </c:pt>
                <c:pt idx="7">
                  <c:v>123.19974980096494</c:v>
                </c:pt>
                <c:pt idx="8">
                  <c:v>121.24685031633291</c:v>
                </c:pt>
                <c:pt idx="9">
                  <c:v>119.29674277952309</c:v>
                </c:pt>
                <c:pt idx="10">
                  <c:v>117.34959577782197</c:v>
                </c:pt>
                <c:pt idx="11">
                  <c:v>115.40558838259743</c:v>
                </c:pt>
                <c:pt idx="12">
                  <c:v>113.46491082540604</c:v>
                </c:pt>
                <c:pt idx="13">
                  <c:v>111.52776521835105</c:v>
                </c:pt>
                <c:pt idx="14">
                  <c:v>109.59436632126638</c:v>
                </c:pt>
                <c:pt idx="15">
                  <c:v>107.66494235833994</c:v>
                </c:pt>
                <c:pt idx="16">
                  <c:v>105.73973588679384</c:v>
                </c:pt>
                <c:pt idx="17">
                  <c:v>103.81900472020094</c:v>
                </c:pt>
                <c:pt idx="18">
                  <c:v>101.90302290892542</c:v>
                </c:pt>
                <c:pt idx="19">
                  <c:v>99.992081780013521</c:v>
                </c:pt>
                <c:pt idx="20">
                  <c:v>98.086491038613346</c:v>
                </c:pt>
                <c:pt idx="21">
                  <c:v>96.186579932647817</c:v>
                </c:pt>
                <c:pt idx="22">
                  <c:v>94.29269848197842</c:v>
                </c:pt>
                <c:pt idx="23">
                  <c:v>92.405218772650855</c:v>
                </c:pt>
                <c:pt idx="24">
                  <c:v>90.524536315970337</c:v>
                </c:pt>
                <c:pt idx="25">
                  <c:v>88.65107147107959</c:v>
                </c:pt>
                <c:pt idx="26">
                  <c:v>86.78527092835553</c:v>
                </c:pt>
                <c:pt idx="27">
                  <c:v>84.927609249255212</c:v>
                </c:pt>
                <c:pt idx="28">
                  <c:v>83.078590456166836</c:v>
                </c:pt>
                <c:pt idx="29">
                  <c:v>81.238749663296389</c:v>
                </c:pt>
                <c:pt idx="30">
                  <c:v>79.408654736575869</c:v>
                </c:pt>
                <c:pt idx="31">
                  <c:v>77.588907966945243</c:v>
                </c:pt>
                <c:pt idx="32">
                  <c:v>75.780147737064055</c:v>
                </c:pt>
                <c:pt idx="33">
                  <c:v>73.983050156485007</c:v>
                </c:pt>
                <c:pt idx="34">
                  <c:v>72.198330634508309</c:v>
                </c:pt>
                <c:pt idx="35">
                  <c:v>70.426745353297292</c:v>
                </c:pt>
                <c:pt idx="36">
                  <c:v>68.669092596353138</c:v>
                </c:pt>
                <c:pt idx="37">
                  <c:v>66.926213879153863</c:v>
                </c:pt>
                <c:pt idx="38">
                  <c:v>65.198994819744485</c:v>
                </c:pt>
                <c:pt idx="39">
                  <c:v>63.48836567748701</c:v>
                </c:pt>
                <c:pt idx="40">
                  <c:v>61.795301478309256</c:v>
                </c:pt>
                <c:pt idx="41">
                  <c:v>60.120821635023248</c:v>
                </c:pt>
                <c:pt idx="42">
                  <c:v>58.465988962162768</c:v>
                </c:pt>
                <c:pt idx="43">
                  <c:v>56.831907977032913</c:v>
                </c:pt>
                <c:pt idx="44">
                  <c:v>55.219722373182819</c:v>
                </c:pt>
                <c:pt idx="45">
                  <c:v>53.630611550396253</c:v>
                </c:pt>
                <c:pt idx="46">
                  <c:v>52.065786087814431</c:v>
                </c:pt>
                <c:pt idx="47">
                  <c:v>50.526482055344118</c:v>
                </c:pt>
                <c:pt idx="48">
                  <c:v>49.013954074480182</c:v>
                </c:pt>
                <c:pt idx="49">
                  <c:v>47.529467064408792</c:v>
                </c:pt>
                <c:pt idx="50">
                  <c:v>46.074286643798061</c:v>
                </c:pt>
                <c:pt idx="51">
                  <c:v>44.649668203573626</c:v>
                </c:pt>
                <c:pt idx="52">
                  <c:v>43.256844721021665</c:v>
                </c:pt>
                <c:pt idx="53">
                  <c:v>41.8970134495667</c:v>
                </c:pt>
                <c:pt idx="54">
                  <c:v>40.571321689152811</c:v>
                </c:pt>
                <c:pt idx="55">
                  <c:v>39.280851915614477</c:v>
                </c:pt>
                <c:pt idx="56">
                  <c:v>38.026606618806028</c:v>
                </c:pt>
                <c:pt idx="57">
                  <c:v>36.809493262584525</c:v>
                </c:pt>
                <c:pt idx="58">
                  <c:v>35.630309828483973</c:v>
                </c:pt>
                <c:pt idx="59">
                  <c:v>34.489731432687364</c:v>
                </c:pt>
                <c:pt idx="60">
                  <c:v>33.388298507267606</c:v>
                </c:pt>
                <c:pt idx="61">
                  <c:v>32.32640700804474</c:v>
                </c:pt>
                <c:pt idx="62">
                  <c:v>31.304301051797168</c:v>
                </c:pt>
                <c:pt idx="63">
                  <c:v>30.322068297051572</c:v>
                </c:pt>
                <c:pt idx="64">
                  <c:v>29.379638270479361</c:v>
                </c:pt>
                <c:pt idx="65">
                  <c:v>28.476783713017099</c:v>
                </c:pt>
                <c:pt idx="66">
                  <c:v>27.613124886058145</c:v>
                </c:pt>
                <c:pt idx="67">
                  <c:v>26.7881366490125</c:v>
                </c:pt>
                <c:pt idx="68">
                  <c:v>26.001158005196302</c:v>
                </c:pt>
                <c:pt idx="69">
                  <c:v>25.251403721613059</c:v>
                </c:pt>
                <c:pt idx="70">
                  <c:v>24.537977565275455</c:v>
                </c:pt>
                <c:pt idx="71">
                  <c:v>23.859886666715269</c:v>
                </c:pt>
                <c:pt idx="72">
                  <c:v>23.216056519563068</c:v>
                </c:pt>
                <c:pt idx="73">
                  <c:v>22.605346150211773</c:v>
                </c:pt>
                <c:pt idx="74">
                  <c:v>22.026563038336732</c:v>
                </c:pt>
                <c:pt idx="75">
                  <c:v>21.478477431106768</c:v>
                </c:pt>
                <c:pt idx="76">
                  <c:v>20.959835764727913</c:v>
                </c:pt>
                <c:pt idx="77">
                  <c:v>20.469372980457862</c:v>
                </c:pt>
                <c:pt idx="78">
                  <c:v>20.005823593324124</c:v>
                </c:pt>
                <c:pt idx="79">
                  <c:v>19.567931436639554</c:v>
                </c:pt>
                <c:pt idx="80">
                  <c:v>19.154458061506062</c:v>
                </c:pt>
                <c:pt idx="81">
                  <c:v>18.764189816519888</c:v>
                </c:pt>
                <c:pt idx="82">
                  <c:v>18.395943668542103</c:v>
                </c:pt>
                <c:pt idx="83">
                  <c:v>18.04857185115975</c:v>
                </c:pt>
                <c:pt idx="84">
                  <c:v>17.720965444331242</c:v>
                </c:pt>
                <c:pt idx="85">
                  <c:v>17.412056997989936</c:v>
                </c:pt>
                <c:pt idx="86">
                  <c:v>17.1208223154851</c:v>
                </c:pt>
                <c:pt idx="87">
                  <c:v>16.846281511065129</c:v>
                </c:pt>
                <c:pt idx="88">
                  <c:v>16.587499450434535</c:v>
                </c:pt>
                <c:pt idx="89">
                  <c:v>16.343585675860211</c:v>
                </c:pt>
                <c:pt idx="90">
                  <c:v>16.113693908292205</c:v>
                </c:pt>
                <c:pt idx="91">
                  <c:v>15.897021209236343</c:v>
                </c:pt>
                <c:pt idx="92">
                  <c:v>15.692806875235988</c:v>
                </c:pt>
                <c:pt idx="93">
                  <c:v>15.500331128195455</c:v>
                </c:pt>
                <c:pt idx="94">
                  <c:v>15.318913655688661</c:v>
                </c:pt>
                <c:pt idx="95">
                  <c:v>15.147912047019148</c:v>
                </c:pt>
                <c:pt idx="96">
                  <c:v>14.986720163225357</c:v>
                </c:pt>
                <c:pt idx="97">
                  <c:v>14.834766472493214</c:v>
                </c:pt>
                <c:pt idx="98">
                  <c:v>14.691512376538668</c:v>
                </c:pt>
                <c:pt idx="99">
                  <c:v>14.556450548413636</c:v>
                </c:pt>
                <c:pt idx="100">
                  <c:v>14.429103297817676</c:v>
                </c:pt>
                <c:pt idx="101">
                  <c:v>14.309020976295599</c:v>
                </c:pt>
                <c:pt idx="102">
                  <c:v>14.195780431594741</c:v>
                </c:pt>
                <c:pt idx="103">
                  <c:v>14.088983517878077</c:v>
                </c:pt>
                <c:pt idx="104">
                  <c:v>13.988255666369085</c:v>
                </c:pt>
                <c:pt idx="105">
                  <c:v>13.893244519277957</c:v>
                </c:pt>
                <c:pt idx="106">
                  <c:v>13.803618628470133</c:v>
                </c:pt>
                <c:pt idx="107">
                  <c:v>13.719066219233682</c:v>
                </c:pt>
                <c:pt idx="108">
                  <c:v>13.639294018636633</c:v>
                </c:pt>
                <c:pt idx="109">
                  <c:v>13.564026147298279</c:v>
                </c:pt>
                <c:pt idx="110">
                  <c:v>13.493003072896542</c:v>
                </c:pt>
                <c:pt idx="111">
                  <c:v>13.42598062336549</c:v>
                </c:pt>
                <c:pt idx="112">
                  <c:v>13.36272905747947</c:v>
                </c:pt>
                <c:pt idx="113">
                  <c:v>13.303032190349612</c:v>
                </c:pt>
                <c:pt idx="114">
                  <c:v>13.246686571261037</c:v>
                </c:pt>
                <c:pt idx="115">
                  <c:v>13.193500711234506</c:v>
                </c:pt>
                <c:pt idx="116">
                  <c:v>13.143294357697286</c:v>
                </c:pt>
                <c:pt idx="117">
                  <c:v>13.095897813682583</c:v>
                </c:pt>
                <c:pt idx="118">
                  <c:v>13.051151299034871</c:v>
                </c:pt>
                <c:pt idx="119">
                  <c:v>13.008904351178032</c:v>
                </c:pt>
                <c:pt idx="120">
                  <c:v>12.969015263092842</c:v>
                </c:pt>
                <c:pt idx="121">
                  <c:v>12.93135055625207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879-42A8-9ED3-227675AC1993}"/>
            </c:ext>
          </c:extLst>
        </c:ser>
        <c:ser>
          <c:idx val="2"/>
          <c:order val="2"/>
          <c:tx>
            <c:strRef>
              <c:f>'New_removed_rate - bSIR'!$BQ$7</c:f>
              <c:strCache>
                <c:ptCount val="1"/>
                <c:pt idx="0">
                  <c:v>rest of Italy h.t.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'New_removed_rate - bSIR'!$C$63:$C$184</c:f>
              <c:numCache>
                <c:formatCode>General</c:formatCode>
                <c:ptCount val="122"/>
                <c:pt idx="0">
                  <c:v>56</c:v>
                </c:pt>
                <c:pt idx="1">
                  <c:v>57</c:v>
                </c:pt>
                <c:pt idx="2">
                  <c:v>58</c:v>
                </c:pt>
                <c:pt idx="3">
                  <c:v>59</c:v>
                </c:pt>
                <c:pt idx="4">
                  <c:v>60</c:v>
                </c:pt>
                <c:pt idx="5">
                  <c:v>61</c:v>
                </c:pt>
                <c:pt idx="6">
                  <c:v>62</c:v>
                </c:pt>
                <c:pt idx="7">
                  <c:v>63</c:v>
                </c:pt>
                <c:pt idx="8">
                  <c:v>64</c:v>
                </c:pt>
                <c:pt idx="9">
                  <c:v>65</c:v>
                </c:pt>
                <c:pt idx="10">
                  <c:v>66</c:v>
                </c:pt>
                <c:pt idx="11">
                  <c:v>67</c:v>
                </c:pt>
                <c:pt idx="12">
                  <c:v>68</c:v>
                </c:pt>
                <c:pt idx="13">
                  <c:v>69</c:v>
                </c:pt>
                <c:pt idx="14">
                  <c:v>70</c:v>
                </c:pt>
                <c:pt idx="15">
                  <c:v>71</c:v>
                </c:pt>
                <c:pt idx="16">
                  <c:v>72</c:v>
                </c:pt>
                <c:pt idx="17">
                  <c:v>73</c:v>
                </c:pt>
                <c:pt idx="18">
                  <c:v>74</c:v>
                </c:pt>
                <c:pt idx="19">
                  <c:v>75</c:v>
                </c:pt>
                <c:pt idx="20">
                  <c:v>76</c:v>
                </c:pt>
                <c:pt idx="21">
                  <c:v>77</c:v>
                </c:pt>
                <c:pt idx="22">
                  <c:v>78</c:v>
                </c:pt>
                <c:pt idx="23">
                  <c:v>79</c:v>
                </c:pt>
                <c:pt idx="24">
                  <c:v>80</c:v>
                </c:pt>
                <c:pt idx="25">
                  <c:v>81</c:v>
                </c:pt>
                <c:pt idx="26">
                  <c:v>82</c:v>
                </c:pt>
                <c:pt idx="27">
                  <c:v>83</c:v>
                </c:pt>
                <c:pt idx="28">
                  <c:v>84</c:v>
                </c:pt>
                <c:pt idx="29">
                  <c:v>85</c:v>
                </c:pt>
                <c:pt idx="30">
                  <c:v>86</c:v>
                </c:pt>
                <c:pt idx="31">
                  <c:v>87</c:v>
                </c:pt>
                <c:pt idx="32">
                  <c:v>88</c:v>
                </c:pt>
                <c:pt idx="33">
                  <c:v>89</c:v>
                </c:pt>
                <c:pt idx="34">
                  <c:v>90</c:v>
                </c:pt>
                <c:pt idx="35">
                  <c:v>91</c:v>
                </c:pt>
                <c:pt idx="36">
                  <c:v>92</c:v>
                </c:pt>
                <c:pt idx="37">
                  <c:v>93</c:v>
                </c:pt>
                <c:pt idx="38">
                  <c:v>94</c:v>
                </c:pt>
                <c:pt idx="39">
                  <c:v>95</c:v>
                </c:pt>
                <c:pt idx="40">
                  <c:v>96</c:v>
                </c:pt>
                <c:pt idx="41">
                  <c:v>97</c:v>
                </c:pt>
                <c:pt idx="42">
                  <c:v>98</c:v>
                </c:pt>
                <c:pt idx="43">
                  <c:v>99</c:v>
                </c:pt>
                <c:pt idx="44">
                  <c:v>100</c:v>
                </c:pt>
                <c:pt idx="45">
                  <c:v>101</c:v>
                </c:pt>
                <c:pt idx="46">
                  <c:v>102</c:v>
                </c:pt>
                <c:pt idx="47">
                  <c:v>103</c:v>
                </c:pt>
                <c:pt idx="48">
                  <c:v>104</c:v>
                </c:pt>
                <c:pt idx="49">
                  <c:v>105</c:v>
                </c:pt>
                <c:pt idx="50">
                  <c:v>106</c:v>
                </c:pt>
                <c:pt idx="51">
                  <c:v>107</c:v>
                </c:pt>
                <c:pt idx="52">
                  <c:v>108</c:v>
                </c:pt>
                <c:pt idx="53">
                  <c:v>109</c:v>
                </c:pt>
                <c:pt idx="54">
                  <c:v>110</c:v>
                </c:pt>
                <c:pt idx="55">
                  <c:v>111</c:v>
                </c:pt>
                <c:pt idx="56">
                  <c:v>112</c:v>
                </c:pt>
                <c:pt idx="57">
                  <c:v>113</c:v>
                </c:pt>
                <c:pt idx="58">
                  <c:v>114</c:v>
                </c:pt>
                <c:pt idx="59">
                  <c:v>115</c:v>
                </c:pt>
                <c:pt idx="60">
                  <c:v>116</c:v>
                </c:pt>
                <c:pt idx="61">
                  <c:v>117</c:v>
                </c:pt>
                <c:pt idx="62">
                  <c:v>118</c:v>
                </c:pt>
                <c:pt idx="63">
                  <c:v>119</c:v>
                </c:pt>
                <c:pt idx="64">
                  <c:v>120</c:v>
                </c:pt>
                <c:pt idx="65">
                  <c:v>121</c:v>
                </c:pt>
                <c:pt idx="66">
                  <c:v>122</c:v>
                </c:pt>
                <c:pt idx="67">
                  <c:v>123</c:v>
                </c:pt>
                <c:pt idx="68">
                  <c:v>124</c:v>
                </c:pt>
                <c:pt idx="69">
                  <c:v>125</c:v>
                </c:pt>
                <c:pt idx="70">
                  <c:v>126</c:v>
                </c:pt>
                <c:pt idx="71">
                  <c:v>127</c:v>
                </c:pt>
                <c:pt idx="72">
                  <c:v>128</c:v>
                </c:pt>
                <c:pt idx="73">
                  <c:v>129</c:v>
                </c:pt>
                <c:pt idx="74">
                  <c:v>130</c:v>
                </c:pt>
                <c:pt idx="75">
                  <c:v>131</c:v>
                </c:pt>
                <c:pt idx="76">
                  <c:v>132</c:v>
                </c:pt>
                <c:pt idx="77">
                  <c:v>133</c:v>
                </c:pt>
                <c:pt idx="78">
                  <c:v>134</c:v>
                </c:pt>
                <c:pt idx="79">
                  <c:v>135</c:v>
                </c:pt>
                <c:pt idx="80">
                  <c:v>136</c:v>
                </c:pt>
                <c:pt idx="81">
                  <c:v>137</c:v>
                </c:pt>
                <c:pt idx="82">
                  <c:v>138</c:v>
                </c:pt>
                <c:pt idx="83">
                  <c:v>139</c:v>
                </c:pt>
                <c:pt idx="84">
                  <c:v>140</c:v>
                </c:pt>
                <c:pt idx="85">
                  <c:v>141</c:v>
                </c:pt>
                <c:pt idx="86">
                  <c:v>142</c:v>
                </c:pt>
                <c:pt idx="87">
                  <c:v>143</c:v>
                </c:pt>
                <c:pt idx="88">
                  <c:v>144</c:v>
                </c:pt>
                <c:pt idx="89">
                  <c:v>145</c:v>
                </c:pt>
                <c:pt idx="90">
                  <c:v>146</c:v>
                </c:pt>
                <c:pt idx="91">
                  <c:v>147</c:v>
                </c:pt>
                <c:pt idx="92">
                  <c:v>148</c:v>
                </c:pt>
                <c:pt idx="93">
                  <c:v>149</c:v>
                </c:pt>
                <c:pt idx="94">
                  <c:v>150</c:v>
                </c:pt>
                <c:pt idx="95">
                  <c:v>151</c:v>
                </c:pt>
                <c:pt idx="96">
                  <c:v>152</c:v>
                </c:pt>
                <c:pt idx="97">
                  <c:v>153</c:v>
                </c:pt>
                <c:pt idx="98">
                  <c:v>154</c:v>
                </c:pt>
                <c:pt idx="99">
                  <c:v>155</c:v>
                </c:pt>
                <c:pt idx="100">
                  <c:v>156</c:v>
                </c:pt>
                <c:pt idx="101">
                  <c:v>157</c:v>
                </c:pt>
                <c:pt idx="102">
                  <c:v>158</c:v>
                </c:pt>
                <c:pt idx="103">
                  <c:v>159</c:v>
                </c:pt>
                <c:pt idx="104">
                  <c:v>160</c:v>
                </c:pt>
                <c:pt idx="105">
                  <c:v>161</c:v>
                </c:pt>
                <c:pt idx="106">
                  <c:v>162</c:v>
                </c:pt>
                <c:pt idx="107">
                  <c:v>163</c:v>
                </c:pt>
                <c:pt idx="108">
                  <c:v>164</c:v>
                </c:pt>
                <c:pt idx="109">
                  <c:v>165</c:v>
                </c:pt>
                <c:pt idx="110">
                  <c:v>166</c:v>
                </c:pt>
                <c:pt idx="111">
                  <c:v>167</c:v>
                </c:pt>
                <c:pt idx="112">
                  <c:v>168</c:v>
                </c:pt>
                <c:pt idx="113">
                  <c:v>169</c:v>
                </c:pt>
                <c:pt idx="114">
                  <c:v>170</c:v>
                </c:pt>
                <c:pt idx="115">
                  <c:v>171</c:v>
                </c:pt>
                <c:pt idx="116">
                  <c:v>172</c:v>
                </c:pt>
                <c:pt idx="117">
                  <c:v>173</c:v>
                </c:pt>
                <c:pt idx="118">
                  <c:v>174</c:v>
                </c:pt>
                <c:pt idx="119">
                  <c:v>175</c:v>
                </c:pt>
                <c:pt idx="120">
                  <c:v>176</c:v>
                </c:pt>
                <c:pt idx="121">
                  <c:v>177</c:v>
                </c:pt>
              </c:numCache>
            </c:numRef>
          </c:xVal>
          <c:yVal>
            <c:numRef>
              <c:f>'New_removed_rate - bSIR'!$BQ$63:$BQ$184</c:f>
              <c:numCache>
                <c:formatCode>General</c:formatCode>
                <c:ptCount val="122"/>
                <c:pt idx="0">
                  <c:v>145.004558103249</c:v>
                </c:pt>
                <c:pt idx="1">
                  <c:v>143.04773290421889</c:v>
                </c:pt>
                <c:pt idx="2">
                  <c:v>141.09312016033169</c:v>
                </c:pt>
                <c:pt idx="3">
                  <c:v>139.14083522401518</c:v>
                </c:pt>
                <c:pt idx="4">
                  <c:v>137.19099963421326</c:v>
                </c:pt>
                <c:pt idx="5">
                  <c:v>135.24374146084216</c:v>
                </c:pt>
                <c:pt idx="6">
                  <c:v>133.29919566892772</c:v>
                </c:pt>
                <c:pt idx="7">
                  <c:v>131.35750450347695</c:v>
                </c:pt>
                <c:pt idx="8">
                  <c:v>129.41881789616713</c:v>
                </c:pt>
                <c:pt idx="9">
                  <c:v>127.48329389496006</c:v>
                </c:pt>
                <c:pt idx="10">
                  <c:v>125.55109911776485</c:v>
                </c:pt>
                <c:pt idx="11">
                  <c:v>123.62240923128049</c:v>
                </c:pt>
                <c:pt idx="12">
                  <c:v>121.69740945614272</c:v>
                </c:pt>
                <c:pt idx="13">
                  <c:v>119.77629509948017</c:v>
                </c:pt>
                <c:pt idx="14">
                  <c:v>117.85927211594365</c:v>
                </c:pt>
                <c:pt idx="15">
                  <c:v>115.94655769821038</c:v>
                </c:pt>
                <c:pt idx="16">
                  <c:v>114.03838089787237</c:v>
                </c:pt>
                <c:pt idx="17">
                  <c:v>112.13498327749375</c:v>
                </c:pt>
                <c:pt idx="18">
                  <c:v>110.23661959445407</c:v>
                </c:pt>
                <c:pt idx="19">
                  <c:v>108.34355851697987</c:v>
                </c:pt>
                <c:pt idx="20">
                  <c:v>106.45608337249404</c:v>
                </c:pt>
                <c:pt idx="21">
                  <c:v>104.57449292806957</c:v>
                </c:pt>
                <c:pt idx="22">
                  <c:v>102.69910220235511</c:v>
                </c:pt>
                <c:pt idx="23">
                  <c:v>100.83024330782423</c:v>
                </c:pt>
                <c:pt idx="24">
                  <c:v>98.968266321580245</c:v>
                </c:pt>
                <c:pt idx="25">
                  <c:v>97.11354018220112</c:v>
                </c:pt>
                <c:pt idx="26">
                  <c:v>95.266453609225167</c:v>
                </c:pt>
                <c:pt idx="27">
                  <c:v>93.427416040829925</c:v>
                </c:pt>
                <c:pt idx="28">
                  <c:v>91.596858584030485</c:v>
                </c:pt>
                <c:pt idx="29">
                  <c:v>89.775234970298257</c:v>
                </c:pt>
                <c:pt idx="30">
                  <c:v>87.963022507852372</c:v>
                </c:pt>
                <c:pt idx="31">
                  <c:v>86.160723019990513</c:v>
                </c:pt>
                <c:pt idx="32">
                  <c:v>84.368863756683609</c:v>
                </c:pt>
                <c:pt idx="33">
                  <c:v>82.587998264246252</c:v>
                </c:pt>
                <c:pt idx="34">
                  <c:v>80.818707195210393</c:v>
                </c:pt>
                <c:pt idx="35">
                  <c:v>79.061599037569465</c:v>
                </c:pt>
                <c:pt idx="36">
                  <c:v>77.317310739347207</c:v>
                </c:pt>
                <c:pt idx="37">
                  <c:v>75.586508201002587</c:v>
                </c:pt>
                <c:pt idx="38">
                  <c:v>73.869886604570382</c:v>
                </c:pt>
                <c:pt idx="39">
                  <c:v>72.168170544727133</c:v>
                </c:pt>
                <c:pt idx="40">
                  <c:v>70.48211392327876</c:v>
                </c:pt>
                <c:pt idx="41">
                  <c:v>68.812499565034386</c:v>
                </c:pt>
                <c:pt idx="42">
                  <c:v>67.160138509846661</c:v>
                </c:pt>
                <c:pt idx="43">
                  <c:v>65.525868933000623</c:v>
                </c:pt>
                <c:pt idx="44">
                  <c:v>63.910554644396441</c:v>
                </c:pt>
                <c:pt idx="45">
                  <c:v>62.31508311642898</c:v>
                </c:pt>
                <c:pt idx="46">
                  <c:v>60.740362991481561</c:v>
                </c:pt>
                <c:pt idx="47">
                  <c:v>59.18732102292303</c:v>
                </c:pt>
                <c:pt idx="48">
                  <c:v>57.656898408827573</c:v>
                </c:pt>
                <c:pt idx="49">
                  <c:v>56.150046485718704</c:v>
                </c:pt>
                <c:pt idx="50">
                  <c:v>54.667721760801555</c:v>
                </c:pt>
                <c:pt idx="51">
                  <c:v>53.210880275631595</c:v>
                </c:pt>
                <c:pt idx="52">
                  <c:v>51.780471312056051</c:v>
                </c:pt>
                <c:pt idx="53">
                  <c:v>50.377430472438604</c:v>
                </c:pt>
                <c:pt idx="54">
                  <c:v>49.002672190263581</c:v>
                </c:pt>
                <c:pt idx="55">
                  <c:v>47.65708175353447</c:v>
                </c:pt>
                <c:pt idx="56">
                  <c:v>46.34150695093409</c:v>
                </c:pt>
                <c:pt idx="57">
                  <c:v>45.056749478176442</c:v>
                </c:pt>
                <c:pt idx="58">
                  <c:v>43.803556267748505</c:v>
                </c:pt>
                <c:pt idx="59">
                  <c:v>42.582610927509904</c:v>
                </c:pt>
                <c:pt idx="60">
                  <c:v>41.394525490506737</c:v>
                </c:pt>
                <c:pt idx="61">
                  <c:v>40.239832688070891</c:v>
                </c:pt>
                <c:pt idx="62">
                  <c:v>39.118978959293585</c:v>
                </c:pt>
                <c:pt idx="63">
                  <c:v>38.03231840121876</c:v>
                </c:pt>
                <c:pt idx="64">
                  <c:v>36.980107845170892</c:v>
                </c:pt>
                <c:pt idx="65">
                  <c:v>35.962503215820462</c:v>
                </c:pt>
                <c:pt idx="66">
                  <c:v>34.979557292014604</c:v>
                </c:pt>
                <c:pt idx="67">
                  <c:v>34.031218943912663</c:v>
                </c:pt>
                <c:pt idx="68">
                  <c:v>33.117333872053536</c:v>
                </c:pt>
                <c:pt idx="69">
                  <c:v>32.237646823526035</c:v>
                </c:pt>
                <c:pt idx="70">
                  <c:v>31.391805211451327</c:v>
                </c:pt>
                <c:pt idx="71">
                  <c:v>30.579364019409326</c:v>
                </c:pt>
                <c:pt idx="72">
                  <c:v>29.79979183473823</c:v>
                </c:pt>
                <c:pt idx="73">
                  <c:v>29.052477825674771</c:v>
                </c:pt>
                <c:pt idx="74">
                  <c:v>28.3367394582109</c:v>
                </c:pt>
                <c:pt idx="75">
                  <c:v>27.651830739638044</c:v>
                </c:pt>
                <c:pt idx="76">
                  <c:v>26.996950776620906</c:v>
                </c:pt>
                <c:pt idx="77">
                  <c:v>26.371252445228791</c:v>
                </c:pt>
                <c:pt idx="78">
                  <c:v>25.773850987141515</c:v>
                </c:pt>
                <c:pt idx="79">
                  <c:v>25.203832368445219</c:v>
                </c:pt>
                <c:pt idx="80">
                  <c:v>24.660261263161289</c:v>
                </c:pt>
                <c:pt idx="81">
                  <c:v>24.142188551099608</c:v>
                </c:pt>
                <c:pt idx="82">
                  <c:v>23.648658247190269</c:v>
                </c:pt>
                <c:pt idx="83">
                  <c:v>23.178713805794601</c:v>
                </c:pt>
                <c:pt idx="84">
                  <c:v>22.731403767623789</c:v>
                </c:pt>
                <c:pt idx="85">
                  <c:v>22.305786738116936</c:v>
                </c:pt>
                <c:pt idx="86">
                  <c:v>21.900935704073433</c:v>
                </c:pt>
                <c:pt idx="87">
                  <c:v>21.515941709871356</c:v>
                </c:pt>
                <c:pt idx="88">
                  <c:v>21.149916925818317</c:v>
                </c:pt>
                <c:pt idx="89">
                  <c:v>20.801997149308747</c:v>
                </c:pt>
                <c:pt idx="90">
                  <c:v>20.471343784834403</c:v>
                </c:pt>
                <c:pt idx="91">
                  <c:v>20.157145351898563</c:v>
                </c:pt>
                <c:pt idx="92">
                  <c:v>19.858618570929352</c:v>
                </c:pt>
                <c:pt idx="93">
                  <c:v>19.575009076764715</c:v>
                </c:pt>
                <c:pt idx="94">
                  <c:v>19.305591807562692</c:v>
                </c:pt>
                <c:pt idx="95">
                  <c:v>19.04967111440294</c:v>
                </c:pt>
                <c:pt idx="96">
                  <c:v>18.806580633669213</c:v>
                </c:pt>
                <c:pt idx="97">
                  <c:v>18.575682960773875</c:v>
                </c:pt>
                <c:pt idx="98">
                  <c:v>18.356369160094218</c:v>
                </c:pt>
                <c:pt idx="99">
                  <c:v>18.148058142279339</c:v>
                </c:pt>
                <c:pt idx="100">
                  <c:v>17.950195936472184</c:v>
                </c:pt>
                <c:pt idx="101">
                  <c:v>17.762254881546212</c:v>
                </c:pt>
                <c:pt idx="102">
                  <c:v>17.583732757237613</c:v>
                </c:pt>
                <c:pt idx="103">
                  <c:v>17.41415187309137</c:v>
                </c:pt>
                <c:pt idx="104">
                  <c:v>17.253058130449361</c:v>
                </c:pt>
                <c:pt idx="105">
                  <c:v>17.100020070292118</c:v>
                </c:pt>
                <c:pt idx="106">
                  <c:v>16.954627917600206</c:v>
                </c:pt>
                <c:pt idx="107">
                  <c:v>16.816492631009908</c:v>
                </c:pt>
                <c:pt idx="108">
                  <c:v>16.685244964887588</c:v>
                </c:pt>
                <c:pt idx="109">
                  <c:v>16.560534549517456</c:v>
                </c:pt>
                <c:pt idx="110">
                  <c:v>16.442028993867353</c:v>
                </c:pt>
                <c:pt idx="111">
                  <c:v>16.329413014348646</c:v>
                </c:pt>
                <c:pt idx="112">
                  <c:v>16.222387592097675</c:v>
                </c:pt>
                <c:pt idx="113">
                  <c:v>16.120669160557682</c:v>
                </c:pt>
                <c:pt idx="114">
                  <c:v>16.023988824518881</c:v>
                </c:pt>
                <c:pt idx="115">
                  <c:v>15.93209161125651</c:v>
                </c:pt>
                <c:pt idx="116">
                  <c:v>15.844735753985759</c:v>
                </c:pt>
                <c:pt idx="117">
                  <c:v>15.761692007509581</c:v>
                </c:pt>
                <c:pt idx="118">
                  <c:v>15.682742995660817</c:v>
                </c:pt>
                <c:pt idx="119">
                  <c:v>15.607682589924011</c:v>
                </c:pt>
                <c:pt idx="120">
                  <c:v>15.536315318455536</c:v>
                </c:pt>
                <c:pt idx="121">
                  <c:v>15.468455804593333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879-42A8-9ED3-227675AC1993}"/>
            </c:ext>
          </c:extLst>
        </c:ser>
        <c:ser>
          <c:idx val="3"/>
          <c:order val="3"/>
          <c:tx>
            <c:strRef>
              <c:f>'New_removed_rate - bSIR'!$B$6</c:f>
              <c:strCache>
                <c:ptCount val="1"/>
                <c:pt idx="0">
                  <c:v>15-May</c:v>
                </c:pt>
              </c:strCache>
            </c:strRef>
          </c:tx>
          <c:spPr>
            <a:ln w="19050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('New_removed_rate - bSIR'!$C$6,'New_removed_rate - bSIR'!$C$6)</c:f>
              <c:numCache>
                <c:formatCode>General</c:formatCode>
                <c:ptCount val="2"/>
                <c:pt idx="0">
                  <c:v>136</c:v>
                </c:pt>
                <c:pt idx="1">
                  <c:v>136</c:v>
                </c:pt>
              </c:numCache>
            </c:numRef>
          </c:xVal>
          <c:yVal>
            <c:numRef>
              <c:f>('New_removed_rate - bSIR'!$D$6,'New_removed_rate - bSIR'!$E$6)</c:f>
              <c:numCache>
                <c:formatCode>General</c:formatCode>
                <c:ptCount val="2"/>
                <c:pt idx="0">
                  <c:v>1</c:v>
                </c:pt>
                <c:pt idx="1">
                  <c:v>80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3879-42A8-9ED3-227675AC19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4577424"/>
        <c:axId val="884574224"/>
      </c:scatterChart>
      <c:valAx>
        <c:axId val="884577424"/>
        <c:scaling>
          <c:orientation val="minMax"/>
          <c:min val="5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Day of the year (55=feb-24)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884574224"/>
        <c:crosses val="autoZero"/>
        <c:crossBetween val="midCat"/>
      </c:valAx>
      <c:valAx>
        <c:axId val="884574224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Halving 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8845774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8940806174033284"/>
          <c:y val="0.33438459816288923"/>
          <c:w val="0.14906226231889674"/>
          <c:h val="0.16123884514435696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userShapes r:id="rId3"/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Italy - kinetics of the outbreak - basic SIR</a:t>
            </a:r>
          </a:p>
          <a:p>
            <a:pPr>
              <a:defRPr/>
            </a:pPr>
            <a:r>
              <a:rPr lang="it-IT"/>
              <a:t>Doubling and halving times, removal growth ratio, removal acceleration (daily variation of new removals per day) normalized to their fitted values at the date of Italy mandatory lockdown (mar-11)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'New_removed_rate - bSIR'!$J$7</c:f>
              <c:strCache>
                <c:ptCount val="1"/>
                <c:pt idx="0">
                  <c:v>Italy d.t. (Norm. To val. at lockdown)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xVal>
            <c:numRef>
              <c:f>'New_removed_rate - bSIR'!$C$62:$C$94</c:f>
              <c:numCache>
                <c:formatCode>General</c:formatCode>
                <c:ptCount val="33"/>
                <c:pt idx="0">
                  <c:v>55</c:v>
                </c:pt>
                <c:pt idx="1">
                  <c:v>56</c:v>
                </c:pt>
                <c:pt idx="2">
                  <c:v>57</c:v>
                </c:pt>
                <c:pt idx="3">
                  <c:v>58</c:v>
                </c:pt>
                <c:pt idx="4">
                  <c:v>59</c:v>
                </c:pt>
                <c:pt idx="5">
                  <c:v>60</c:v>
                </c:pt>
                <c:pt idx="6">
                  <c:v>61</c:v>
                </c:pt>
                <c:pt idx="7">
                  <c:v>62</c:v>
                </c:pt>
                <c:pt idx="8">
                  <c:v>63</c:v>
                </c:pt>
                <c:pt idx="9">
                  <c:v>64</c:v>
                </c:pt>
                <c:pt idx="10">
                  <c:v>65</c:v>
                </c:pt>
                <c:pt idx="11">
                  <c:v>66</c:v>
                </c:pt>
                <c:pt idx="12">
                  <c:v>67</c:v>
                </c:pt>
                <c:pt idx="13">
                  <c:v>68</c:v>
                </c:pt>
                <c:pt idx="14">
                  <c:v>69</c:v>
                </c:pt>
                <c:pt idx="15">
                  <c:v>70</c:v>
                </c:pt>
                <c:pt idx="16">
                  <c:v>71</c:v>
                </c:pt>
                <c:pt idx="17">
                  <c:v>72</c:v>
                </c:pt>
                <c:pt idx="18">
                  <c:v>73</c:v>
                </c:pt>
                <c:pt idx="19">
                  <c:v>74</c:v>
                </c:pt>
                <c:pt idx="20">
                  <c:v>75</c:v>
                </c:pt>
                <c:pt idx="21">
                  <c:v>76</c:v>
                </c:pt>
                <c:pt idx="22">
                  <c:v>77</c:v>
                </c:pt>
                <c:pt idx="23">
                  <c:v>78</c:v>
                </c:pt>
                <c:pt idx="24">
                  <c:v>79</c:v>
                </c:pt>
                <c:pt idx="25">
                  <c:v>80</c:v>
                </c:pt>
                <c:pt idx="26">
                  <c:v>81</c:v>
                </c:pt>
                <c:pt idx="27">
                  <c:v>82</c:v>
                </c:pt>
                <c:pt idx="28">
                  <c:v>83</c:v>
                </c:pt>
                <c:pt idx="29">
                  <c:v>84</c:v>
                </c:pt>
                <c:pt idx="30">
                  <c:v>85</c:v>
                </c:pt>
                <c:pt idx="31">
                  <c:v>86</c:v>
                </c:pt>
                <c:pt idx="32">
                  <c:v>87</c:v>
                </c:pt>
              </c:numCache>
            </c:numRef>
          </c:xVal>
          <c:yVal>
            <c:numRef>
              <c:f>'New_removed_rate - bSIR'!$J$62:$J$94</c:f>
              <c:numCache>
                <c:formatCode>General</c:formatCode>
                <c:ptCount val="33"/>
                <c:pt idx="0">
                  <c:v>13.462839325052077</c:v>
                </c:pt>
                <c:pt idx="1">
                  <c:v>12.555902390380963</c:v>
                </c:pt>
                <c:pt idx="2">
                  <c:v>11.648965455709849</c:v>
                </c:pt>
                <c:pt idx="3">
                  <c:v>10.742028521038735</c:v>
                </c:pt>
                <c:pt idx="4">
                  <c:v>9.8350915863676214</c:v>
                </c:pt>
                <c:pt idx="5">
                  <c:v>8.9281546516965076</c:v>
                </c:pt>
                <c:pt idx="6">
                  <c:v>8.0212177170253938</c:v>
                </c:pt>
                <c:pt idx="7">
                  <c:v>7.11428078235428</c:v>
                </c:pt>
                <c:pt idx="8">
                  <c:v>6.2073438476831662</c:v>
                </c:pt>
                <c:pt idx="9">
                  <c:v>5.3004069130120532</c:v>
                </c:pt>
                <c:pt idx="10">
                  <c:v>4.3934699783409394</c:v>
                </c:pt>
                <c:pt idx="11">
                  <c:v>3.4865330436698256</c:v>
                </c:pt>
                <c:pt idx="12">
                  <c:v>2.5795961089987118</c:v>
                </c:pt>
                <c:pt idx="13">
                  <c:v>1.6726591743275983</c:v>
                </c:pt>
                <c:pt idx="14">
                  <c:v>0.76572223965648456</c:v>
                </c:pt>
                <c:pt idx="15">
                  <c:v>0.14029723241949432</c:v>
                </c:pt>
                <c:pt idx="16">
                  <c:v>1</c:v>
                </c:pt>
                <c:pt idx="17">
                  <c:v>1.7951506555942103</c:v>
                </c:pt>
                <c:pt idx="18">
                  <c:v>2.534202303657529</c:v>
                </c:pt>
                <c:pt idx="19">
                  <c:v>3.224283612656266</c:v>
                </c:pt>
                <c:pt idx="20">
                  <c:v>3.8714752618294486</c:v>
                </c:pt>
                <c:pt idx="21">
                  <c:v>4.4810192597576686</c:v>
                </c:pt>
                <c:pt idx="22">
                  <c:v>5.0574799600994282</c:v>
                </c:pt>
                <c:pt idx="23">
                  <c:v>5.6048697375425327</c:v>
                </c:pt>
                <c:pt idx="24">
                  <c:v>6.1267484261595637</c:v>
                </c:pt>
                <c:pt idx="25">
                  <c:v>6.6263030262703699</c:v>
                </c:pt>
                <c:pt idx="26">
                  <c:v>7.1064124075448802</c:v>
                </c:pt>
                <c:pt idx="27">
                  <c:v>7.5697004974987641</c:v>
                </c:pt>
                <c:pt idx="28">
                  <c:v>8.0185805691724497</c:v>
                </c:pt>
                <c:pt idx="29">
                  <c:v>8.4552926152281795</c:v>
                </c:pt>
                <c:pt idx="30">
                  <c:v>8.8819353425226257</c:v>
                </c:pt>
                <c:pt idx="31">
                  <c:v>9.3004939909004047</c:v>
                </c:pt>
                <c:pt idx="32">
                  <c:v>9.7128649382432553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858-47C8-B6E0-512AA87BD209}"/>
            </c:ext>
          </c:extLst>
        </c:ser>
        <c:ser>
          <c:idx val="1"/>
          <c:order val="1"/>
          <c:tx>
            <c:strRef>
              <c:f>'New_removed_rate - bSIR'!$W$7</c:f>
              <c:strCache>
                <c:ptCount val="1"/>
                <c:pt idx="0">
                  <c:v>Italy g.r. (Norm. To val. at lockdown)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xVal>
            <c:numRef>
              <c:f>'New_removed_rate - bSIR'!$C$62:$C$184</c:f>
              <c:numCache>
                <c:formatCode>General</c:formatCode>
                <c:ptCount val="123"/>
                <c:pt idx="0">
                  <c:v>55</c:v>
                </c:pt>
                <c:pt idx="1">
                  <c:v>56</c:v>
                </c:pt>
                <c:pt idx="2">
                  <c:v>57</c:v>
                </c:pt>
                <c:pt idx="3">
                  <c:v>58</c:v>
                </c:pt>
                <c:pt idx="4">
                  <c:v>59</c:v>
                </c:pt>
                <c:pt idx="5">
                  <c:v>60</c:v>
                </c:pt>
                <c:pt idx="6">
                  <c:v>61</c:v>
                </c:pt>
                <c:pt idx="7">
                  <c:v>62</c:v>
                </c:pt>
                <c:pt idx="8">
                  <c:v>63</c:v>
                </c:pt>
                <c:pt idx="9">
                  <c:v>64</c:v>
                </c:pt>
                <c:pt idx="10">
                  <c:v>65</c:v>
                </c:pt>
                <c:pt idx="11">
                  <c:v>66</c:v>
                </c:pt>
                <c:pt idx="12">
                  <c:v>67</c:v>
                </c:pt>
                <c:pt idx="13">
                  <c:v>68</c:v>
                </c:pt>
                <c:pt idx="14">
                  <c:v>69</c:v>
                </c:pt>
                <c:pt idx="15">
                  <c:v>70</c:v>
                </c:pt>
                <c:pt idx="16">
                  <c:v>71</c:v>
                </c:pt>
                <c:pt idx="17">
                  <c:v>72</c:v>
                </c:pt>
                <c:pt idx="18">
                  <c:v>73</c:v>
                </c:pt>
                <c:pt idx="19">
                  <c:v>74</c:v>
                </c:pt>
                <c:pt idx="20">
                  <c:v>75</c:v>
                </c:pt>
                <c:pt idx="21">
                  <c:v>76</c:v>
                </c:pt>
                <c:pt idx="22">
                  <c:v>77</c:v>
                </c:pt>
                <c:pt idx="23">
                  <c:v>78</c:v>
                </c:pt>
                <c:pt idx="24">
                  <c:v>79</c:v>
                </c:pt>
                <c:pt idx="25">
                  <c:v>80</c:v>
                </c:pt>
                <c:pt idx="26">
                  <c:v>81</c:v>
                </c:pt>
                <c:pt idx="27">
                  <c:v>82</c:v>
                </c:pt>
                <c:pt idx="28">
                  <c:v>83</c:v>
                </c:pt>
                <c:pt idx="29">
                  <c:v>84</c:v>
                </c:pt>
                <c:pt idx="30">
                  <c:v>85</c:v>
                </c:pt>
                <c:pt idx="31">
                  <c:v>86</c:v>
                </c:pt>
                <c:pt idx="32">
                  <c:v>87</c:v>
                </c:pt>
                <c:pt idx="33">
                  <c:v>88</c:v>
                </c:pt>
                <c:pt idx="34">
                  <c:v>89</c:v>
                </c:pt>
                <c:pt idx="35">
                  <c:v>90</c:v>
                </c:pt>
                <c:pt idx="36">
                  <c:v>91</c:v>
                </c:pt>
                <c:pt idx="37">
                  <c:v>92</c:v>
                </c:pt>
                <c:pt idx="38">
                  <c:v>93</c:v>
                </c:pt>
                <c:pt idx="39">
                  <c:v>94</c:v>
                </c:pt>
                <c:pt idx="40">
                  <c:v>95</c:v>
                </c:pt>
                <c:pt idx="41">
                  <c:v>96</c:v>
                </c:pt>
                <c:pt idx="42">
                  <c:v>97</c:v>
                </c:pt>
                <c:pt idx="43">
                  <c:v>98</c:v>
                </c:pt>
                <c:pt idx="44">
                  <c:v>99</c:v>
                </c:pt>
                <c:pt idx="45">
                  <c:v>100</c:v>
                </c:pt>
                <c:pt idx="46">
                  <c:v>101</c:v>
                </c:pt>
                <c:pt idx="47">
                  <c:v>102</c:v>
                </c:pt>
                <c:pt idx="48">
                  <c:v>103</c:v>
                </c:pt>
                <c:pt idx="49">
                  <c:v>104</c:v>
                </c:pt>
                <c:pt idx="50">
                  <c:v>105</c:v>
                </c:pt>
                <c:pt idx="51">
                  <c:v>106</c:v>
                </c:pt>
                <c:pt idx="52">
                  <c:v>107</c:v>
                </c:pt>
                <c:pt idx="53">
                  <c:v>108</c:v>
                </c:pt>
                <c:pt idx="54">
                  <c:v>109</c:v>
                </c:pt>
                <c:pt idx="55">
                  <c:v>110</c:v>
                </c:pt>
                <c:pt idx="56">
                  <c:v>111</c:v>
                </c:pt>
                <c:pt idx="57">
                  <c:v>112</c:v>
                </c:pt>
                <c:pt idx="58">
                  <c:v>113</c:v>
                </c:pt>
                <c:pt idx="59">
                  <c:v>114</c:v>
                </c:pt>
                <c:pt idx="60">
                  <c:v>115</c:v>
                </c:pt>
                <c:pt idx="61">
                  <c:v>116</c:v>
                </c:pt>
                <c:pt idx="62">
                  <c:v>117</c:v>
                </c:pt>
                <c:pt idx="63">
                  <c:v>118</c:v>
                </c:pt>
                <c:pt idx="64">
                  <c:v>119</c:v>
                </c:pt>
                <c:pt idx="65">
                  <c:v>120</c:v>
                </c:pt>
                <c:pt idx="66">
                  <c:v>121</c:v>
                </c:pt>
                <c:pt idx="67">
                  <c:v>122</c:v>
                </c:pt>
                <c:pt idx="68">
                  <c:v>123</c:v>
                </c:pt>
                <c:pt idx="69">
                  <c:v>124</c:v>
                </c:pt>
                <c:pt idx="70">
                  <c:v>125</c:v>
                </c:pt>
                <c:pt idx="71">
                  <c:v>126</c:v>
                </c:pt>
                <c:pt idx="72">
                  <c:v>127</c:v>
                </c:pt>
                <c:pt idx="73">
                  <c:v>128</c:v>
                </c:pt>
                <c:pt idx="74">
                  <c:v>129</c:v>
                </c:pt>
                <c:pt idx="75">
                  <c:v>130</c:v>
                </c:pt>
                <c:pt idx="76">
                  <c:v>131</c:v>
                </c:pt>
                <c:pt idx="77">
                  <c:v>132</c:v>
                </c:pt>
                <c:pt idx="78">
                  <c:v>133</c:v>
                </c:pt>
                <c:pt idx="79">
                  <c:v>134</c:v>
                </c:pt>
                <c:pt idx="80">
                  <c:v>135</c:v>
                </c:pt>
                <c:pt idx="81">
                  <c:v>136</c:v>
                </c:pt>
                <c:pt idx="82">
                  <c:v>137</c:v>
                </c:pt>
                <c:pt idx="83">
                  <c:v>138</c:v>
                </c:pt>
                <c:pt idx="84">
                  <c:v>139</c:v>
                </c:pt>
                <c:pt idx="85">
                  <c:v>140</c:v>
                </c:pt>
                <c:pt idx="86">
                  <c:v>141</c:v>
                </c:pt>
                <c:pt idx="87">
                  <c:v>142</c:v>
                </c:pt>
                <c:pt idx="88">
                  <c:v>143</c:v>
                </c:pt>
                <c:pt idx="89">
                  <c:v>144</c:v>
                </c:pt>
                <c:pt idx="90">
                  <c:v>145</c:v>
                </c:pt>
                <c:pt idx="91">
                  <c:v>146</c:v>
                </c:pt>
                <c:pt idx="92">
                  <c:v>147</c:v>
                </c:pt>
                <c:pt idx="93">
                  <c:v>148</c:v>
                </c:pt>
                <c:pt idx="94">
                  <c:v>149</c:v>
                </c:pt>
                <c:pt idx="95">
                  <c:v>150</c:v>
                </c:pt>
                <c:pt idx="96">
                  <c:v>151</c:v>
                </c:pt>
                <c:pt idx="97">
                  <c:v>152</c:v>
                </c:pt>
                <c:pt idx="98">
                  <c:v>153</c:v>
                </c:pt>
                <c:pt idx="99">
                  <c:v>154</c:v>
                </c:pt>
                <c:pt idx="100">
                  <c:v>155</c:v>
                </c:pt>
                <c:pt idx="101">
                  <c:v>156</c:v>
                </c:pt>
                <c:pt idx="102">
                  <c:v>157</c:v>
                </c:pt>
                <c:pt idx="103">
                  <c:v>158</c:v>
                </c:pt>
                <c:pt idx="104">
                  <c:v>159</c:v>
                </c:pt>
                <c:pt idx="105">
                  <c:v>160</c:v>
                </c:pt>
                <c:pt idx="106">
                  <c:v>161</c:v>
                </c:pt>
                <c:pt idx="107">
                  <c:v>162</c:v>
                </c:pt>
                <c:pt idx="108">
                  <c:v>163</c:v>
                </c:pt>
                <c:pt idx="109">
                  <c:v>164</c:v>
                </c:pt>
                <c:pt idx="110">
                  <c:v>165</c:v>
                </c:pt>
                <c:pt idx="111">
                  <c:v>166</c:v>
                </c:pt>
                <c:pt idx="112">
                  <c:v>167</c:v>
                </c:pt>
                <c:pt idx="113">
                  <c:v>168</c:v>
                </c:pt>
                <c:pt idx="114">
                  <c:v>169</c:v>
                </c:pt>
                <c:pt idx="115">
                  <c:v>170</c:v>
                </c:pt>
                <c:pt idx="116">
                  <c:v>171</c:v>
                </c:pt>
                <c:pt idx="117">
                  <c:v>172</c:v>
                </c:pt>
                <c:pt idx="118">
                  <c:v>173</c:v>
                </c:pt>
                <c:pt idx="119">
                  <c:v>174</c:v>
                </c:pt>
                <c:pt idx="120">
                  <c:v>175</c:v>
                </c:pt>
                <c:pt idx="121">
                  <c:v>176</c:v>
                </c:pt>
                <c:pt idx="122">
                  <c:v>177</c:v>
                </c:pt>
              </c:numCache>
            </c:numRef>
          </c:xVal>
          <c:yVal>
            <c:numRef>
              <c:f>'New_removed_rate - bSIR'!$W$62:$W$184</c:f>
            </c:numRef>
          </c:yVal>
          <c:smooth val="1"/>
          <c:extLst>
            <c:ext xmlns:c16="http://schemas.microsoft.com/office/drawing/2014/chart" uri="{C3380CC4-5D6E-409C-BE32-E72D297353CC}">
              <c16:uniqueId val="{00000001-1858-47C8-B6E0-512AA87BD209}"/>
            </c:ext>
          </c:extLst>
        </c:ser>
        <c:ser>
          <c:idx val="2"/>
          <c:order val="2"/>
          <c:tx>
            <c:strRef>
              <c:f>'New_removed_rate - bSIR'!$Y$7</c:f>
              <c:strCache>
                <c:ptCount val="1"/>
                <c:pt idx="0">
                  <c:v>Italy h.t. (Norm. To val. at lockdown)</c:v>
                </c:pt>
              </c:strCache>
            </c:strRef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xVal>
            <c:numRef>
              <c:f>'New_removed_rate - bSIR'!$C$62:$C$184</c:f>
              <c:numCache>
                <c:formatCode>General</c:formatCode>
                <c:ptCount val="123"/>
                <c:pt idx="0">
                  <c:v>55</c:v>
                </c:pt>
                <c:pt idx="1">
                  <c:v>56</c:v>
                </c:pt>
                <c:pt idx="2">
                  <c:v>57</c:v>
                </c:pt>
                <c:pt idx="3">
                  <c:v>58</c:v>
                </c:pt>
                <c:pt idx="4">
                  <c:v>59</c:v>
                </c:pt>
                <c:pt idx="5">
                  <c:v>60</c:v>
                </c:pt>
                <c:pt idx="6">
                  <c:v>61</c:v>
                </c:pt>
                <c:pt idx="7">
                  <c:v>62</c:v>
                </c:pt>
                <c:pt idx="8">
                  <c:v>63</c:v>
                </c:pt>
                <c:pt idx="9">
                  <c:v>64</c:v>
                </c:pt>
                <c:pt idx="10">
                  <c:v>65</c:v>
                </c:pt>
                <c:pt idx="11">
                  <c:v>66</c:v>
                </c:pt>
                <c:pt idx="12">
                  <c:v>67</c:v>
                </c:pt>
                <c:pt idx="13">
                  <c:v>68</c:v>
                </c:pt>
                <c:pt idx="14">
                  <c:v>69</c:v>
                </c:pt>
                <c:pt idx="15">
                  <c:v>70</c:v>
                </c:pt>
                <c:pt idx="16">
                  <c:v>71</c:v>
                </c:pt>
                <c:pt idx="17">
                  <c:v>72</c:v>
                </c:pt>
                <c:pt idx="18">
                  <c:v>73</c:v>
                </c:pt>
                <c:pt idx="19">
                  <c:v>74</c:v>
                </c:pt>
                <c:pt idx="20">
                  <c:v>75</c:v>
                </c:pt>
                <c:pt idx="21">
                  <c:v>76</c:v>
                </c:pt>
                <c:pt idx="22">
                  <c:v>77</c:v>
                </c:pt>
                <c:pt idx="23">
                  <c:v>78</c:v>
                </c:pt>
                <c:pt idx="24">
                  <c:v>79</c:v>
                </c:pt>
                <c:pt idx="25">
                  <c:v>80</c:v>
                </c:pt>
                <c:pt idx="26">
                  <c:v>81</c:v>
                </c:pt>
                <c:pt idx="27">
                  <c:v>82</c:v>
                </c:pt>
                <c:pt idx="28">
                  <c:v>83</c:v>
                </c:pt>
                <c:pt idx="29">
                  <c:v>84</c:v>
                </c:pt>
                <c:pt idx="30">
                  <c:v>85</c:v>
                </c:pt>
                <c:pt idx="31">
                  <c:v>86</c:v>
                </c:pt>
                <c:pt idx="32">
                  <c:v>87</c:v>
                </c:pt>
                <c:pt idx="33">
                  <c:v>88</c:v>
                </c:pt>
                <c:pt idx="34">
                  <c:v>89</c:v>
                </c:pt>
                <c:pt idx="35">
                  <c:v>90</c:v>
                </c:pt>
                <c:pt idx="36">
                  <c:v>91</c:v>
                </c:pt>
                <c:pt idx="37">
                  <c:v>92</c:v>
                </c:pt>
                <c:pt idx="38">
                  <c:v>93</c:v>
                </c:pt>
                <c:pt idx="39">
                  <c:v>94</c:v>
                </c:pt>
                <c:pt idx="40">
                  <c:v>95</c:v>
                </c:pt>
                <c:pt idx="41">
                  <c:v>96</c:v>
                </c:pt>
                <c:pt idx="42">
                  <c:v>97</c:v>
                </c:pt>
                <c:pt idx="43">
                  <c:v>98</c:v>
                </c:pt>
                <c:pt idx="44">
                  <c:v>99</c:v>
                </c:pt>
                <c:pt idx="45">
                  <c:v>100</c:v>
                </c:pt>
                <c:pt idx="46">
                  <c:v>101</c:v>
                </c:pt>
                <c:pt idx="47">
                  <c:v>102</c:v>
                </c:pt>
                <c:pt idx="48">
                  <c:v>103</c:v>
                </c:pt>
                <c:pt idx="49">
                  <c:v>104</c:v>
                </c:pt>
                <c:pt idx="50">
                  <c:v>105</c:v>
                </c:pt>
                <c:pt idx="51">
                  <c:v>106</c:v>
                </c:pt>
                <c:pt idx="52">
                  <c:v>107</c:v>
                </c:pt>
                <c:pt idx="53">
                  <c:v>108</c:v>
                </c:pt>
                <c:pt idx="54">
                  <c:v>109</c:v>
                </c:pt>
                <c:pt idx="55">
                  <c:v>110</c:v>
                </c:pt>
                <c:pt idx="56">
                  <c:v>111</c:v>
                </c:pt>
                <c:pt idx="57">
                  <c:v>112</c:v>
                </c:pt>
                <c:pt idx="58">
                  <c:v>113</c:v>
                </c:pt>
                <c:pt idx="59">
                  <c:v>114</c:v>
                </c:pt>
                <c:pt idx="60">
                  <c:v>115</c:v>
                </c:pt>
                <c:pt idx="61">
                  <c:v>116</c:v>
                </c:pt>
                <c:pt idx="62">
                  <c:v>117</c:v>
                </c:pt>
                <c:pt idx="63">
                  <c:v>118</c:v>
                </c:pt>
                <c:pt idx="64">
                  <c:v>119</c:v>
                </c:pt>
                <c:pt idx="65">
                  <c:v>120</c:v>
                </c:pt>
                <c:pt idx="66">
                  <c:v>121</c:v>
                </c:pt>
                <c:pt idx="67">
                  <c:v>122</c:v>
                </c:pt>
                <c:pt idx="68">
                  <c:v>123</c:v>
                </c:pt>
                <c:pt idx="69">
                  <c:v>124</c:v>
                </c:pt>
                <c:pt idx="70">
                  <c:v>125</c:v>
                </c:pt>
                <c:pt idx="71">
                  <c:v>126</c:v>
                </c:pt>
                <c:pt idx="72">
                  <c:v>127</c:v>
                </c:pt>
                <c:pt idx="73">
                  <c:v>128</c:v>
                </c:pt>
                <c:pt idx="74">
                  <c:v>129</c:v>
                </c:pt>
                <c:pt idx="75">
                  <c:v>130</c:v>
                </c:pt>
                <c:pt idx="76">
                  <c:v>131</c:v>
                </c:pt>
                <c:pt idx="77">
                  <c:v>132</c:v>
                </c:pt>
                <c:pt idx="78">
                  <c:v>133</c:v>
                </c:pt>
                <c:pt idx="79">
                  <c:v>134</c:v>
                </c:pt>
                <c:pt idx="80">
                  <c:v>135</c:v>
                </c:pt>
                <c:pt idx="81">
                  <c:v>136</c:v>
                </c:pt>
                <c:pt idx="82">
                  <c:v>137</c:v>
                </c:pt>
                <c:pt idx="83">
                  <c:v>138</c:v>
                </c:pt>
                <c:pt idx="84">
                  <c:v>139</c:v>
                </c:pt>
                <c:pt idx="85">
                  <c:v>140</c:v>
                </c:pt>
                <c:pt idx="86">
                  <c:v>141</c:v>
                </c:pt>
                <c:pt idx="87">
                  <c:v>142</c:v>
                </c:pt>
                <c:pt idx="88">
                  <c:v>143</c:v>
                </c:pt>
                <c:pt idx="89">
                  <c:v>144</c:v>
                </c:pt>
                <c:pt idx="90">
                  <c:v>145</c:v>
                </c:pt>
                <c:pt idx="91">
                  <c:v>146</c:v>
                </c:pt>
                <c:pt idx="92">
                  <c:v>147</c:v>
                </c:pt>
                <c:pt idx="93">
                  <c:v>148</c:v>
                </c:pt>
                <c:pt idx="94">
                  <c:v>149</c:v>
                </c:pt>
                <c:pt idx="95">
                  <c:v>150</c:v>
                </c:pt>
                <c:pt idx="96">
                  <c:v>151</c:v>
                </c:pt>
                <c:pt idx="97">
                  <c:v>152</c:v>
                </c:pt>
                <c:pt idx="98">
                  <c:v>153</c:v>
                </c:pt>
                <c:pt idx="99">
                  <c:v>154</c:v>
                </c:pt>
                <c:pt idx="100">
                  <c:v>155</c:v>
                </c:pt>
                <c:pt idx="101">
                  <c:v>156</c:v>
                </c:pt>
                <c:pt idx="102">
                  <c:v>157</c:v>
                </c:pt>
                <c:pt idx="103">
                  <c:v>158</c:v>
                </c:pt>
                <c:pt idx="104">
                  <c:v>159</c:v>
                </c:pt>
                <c:pt idx="105">
                  <c:v>160</c:v>
                </c:pt>
                <c:pt idx="106">
                  <c:v>161</c:v>
                </c:pt>
                <c:pt idx="107">
                  <c:v>162</c:v>
                </c:pt>
                <c:pt idx="108">
                  <c:v>163</c:v>
                </c:pt>
                <c:pt idx="109">
                  <c:v>164</c:v>
                </c:pt>
                <c:pt idx="110">
                  <c:v>165</c:v>
                </c:pt>
                <c:pt idx="111">
                  <c:v>166</c:v>
                </c:pt>
                <c:pt idx="112">
                  <c:v>167</c:v>
                </c:pt>
                <c:pt idx="113">
                  <c:v>168</c:v>
                </c:pt>
                <c:pt idx="114">
                  <c:v>169</c:v>
                </c:pt>
                <c:pt idx="115">
                  <c:v>170</c:v>
                </c:pt>
                <c:pt idx="116">
                  <c:v>171</c:v>
                </c:pt>
                <c:pt idx="117">
                  <c:v>172</c:v>
                </c:pt>
                <c:pt idx="118">
                  <c:v>173</c:v>
                </c:pt>
                <c:pt idx="119">
                  <c:v>174</c:v>
                </c:pt>
                <c:pt idx="120">
                  <c:v>175</c:v>
                </c:pt>
                <c:pt idx="121">
                  <c:v>176</c:v>
                </c:pt>
                <c:pt idx="122">
                  <c:v>177</c:v>
                </c:pt>
              </c:numCache>
            </c:numRef>
          </c:xVal>
          <c:yVal>
            <c:numRef>
              <c:f>'New_removed_rate - bSIR'!$Y$62:$Y$184</c:f>
              <c:numCache>
                <c:formatCode>General</c:formatCode>
                <c:ptCount val="123"/>
                <c:pt idx="0">
                  <c:v>1.2684413249568891</c:v>
                </c:pt>
                <c:pt idx="1">
                  <c:v>1.2514893076144855</c:v>
                </c:pt>
                <c:pt idx="2">
                  <c:v>1.2345552641466493</c:v>
                </c:pt>
                <c:pt idx="3">
                  <c:v>1.2176401370414767</c:v>
                </c:pt>
                <c:pt idx="4">
                  <c:v>1.2007449195840174</c:v>
                </c:pt>
                <c:pt idx="5">
                  <c:v>1.1838706586998557</c:v>
                </c:pt>
                <c:pt idx="6">
                  <c:v>1.1670184579629381</c:v>
                </c:pt>
                <c:pt idx="7">
                  <c:v>1.150189480776749</c:v>
                </c:pt>
                <c:pt idx="8">
                  <c:v>1.1333849537382581</c:v>
                </c:pt>
                <c:pt idx="9">
                  <c:v>1.1166061701943419</c:v>
                </c:pt>
                <c:pt idx="10">
                  <c:v>1.0998544940006325</c:v>
                </c:pt>
                <c:pt idx="11">
                  <c:v>1.0831313634929114</c:v>
                </c:pt>
                <c:pt idx="12">
                  <c:v>1.0664382956812712</c:v>
                </c:pt>
                <c:pt idx="13">
                  <c:v>1.049776890677244</c:v>
                </c:pt>
                <c:pt idx="14">
                  <c:v>1.033148836363966</c:v>
                </c:pt>
                <c:pt idx="15">
                  <c:v>1.0165559133191346</c:v>
                </c:pt>
                <c:pt idx="16">
                  <c:v>1</c:v>
                </c:pt>
                <c:pt idx="17">
                  <c:v>0.98348307819890202</c:v>
                </c:pt>
                <c:pt idx="18">
                  <c:v>0.96700723877678574</c:v>
                </c:pt>
                <c:pt idx="19">
                  <c:v>0.95057468768074516</c:v>
                </c:pt>
                <c:pt idx="20">
                  <c:v>0.934187752249794</c:v>
                </c:pt>
                <c:pt idx="21">
                  <c:v>0.91784888781073004</c:v>
                </c:pt>
                <c:pt idx="22">
                  <c:v>0.90156068456301242</c:v>
                </c:pt>
                <c:pt idx="23">
                  <c:v>0.88532587474792857</c:v>
                </c:pt>
                <c:pt idx="24">
                  <c:v>0.86914734009285588</c:v>
                </c:pt>
                <c:pt idx="25">
                  <c:v>0.85302811951600754</c:v>
                </c:pt>
                <c:pt idx="26">
                  <c:v>0.83697141707052369</c:v>
                </c:pt>
                <c:pt idx="27">
                  <c:v>0.82098061009899037</c:v>
                </c:pt>
                <c:pt idx="28">
                  <c:v>0.80505925756026342</c:v>
                </c:pt>
                <c:pt idx="29">
                  <c:v>0.78921110847963427</c:v>
                </c:pt>
                <c:pt idx="30">
                  <c:v>0.77344011046076377</c:v>
                </c:pt>
                <c:pt idx="31">
                  <c:v>0.75775041818319033</c:v>
                </c:pt>
                <c:pt idx="32">
                  <c:v>0.74214640179243307</c:v>
                </c:pt>
                <c:pt idx="33">
                  <c:v>0.72663265507061603</c:v>
                </c:pt>
                <c:pt idx="34">
                  <c:v>0.71121400325396833</c:v>
                </c:pt>
                <c:pt idx="35">
                  <c:v>0.69589551033949182</c:v>
                </c:pt>
                <c:pt idx="36">
                  <c:v>0.68068248569649659</c:v>
                </c:pt>
                <c:pt idx="37">
                  <c:v>0.6655804897697416</c:v>
                </c:pt>
                <c:pt idx="38">
                  <c:v>0.65059533862981533</c:v>
                </c:pt>
                <c:pt idx="39">
                  <c:v>0.63573310709365349</c:v>
                </c:pt>
                <c:pt idx="40">
                  <c:v>0.62100013010434574</c:v>
                </c:pt>
                <c:pt idx="41">
                  <c:v>0.60640300202566166</c:v>
                </c:pt>
                <c:pt idx="42">
                  <c:v>0.59194857347431473</c:v>
                </c:pt>
                <c:pt idx="43">
                  <c:v>0.57764394528358165</c:v>
                </c:pt>
                <c:pt idx="44">
                  <c:v>0.56349645916762048</c:v>
                </c:pt>
                <c:pt idx="45">
                  <c:v>0.54951368463925632</c:v>
                </c:pt>
                <c:pt idx="46">
                  <c:v>0.53570340172810249</c:v>
                </c:pt>
                <c:pt idx="47">
                  <c:v>0.52207357905404617</c:v>
                </c:pt>
                <c:pt idx="48">
                  <c:v>0.50863234683697844</c:v>
                </c:pt>
                <c:pt idx="49">
                  <c:v>0.49538796447097022</c:v>
                </c:pt>
                <c:pt idx="50">
                  <c:v>0.48234878236345735</c:v>
                </c:pt>
                <c:pt idx="51">
                  <c:v>0.46952319784055524</c:v>
                </c:pt>
                <c:pt idx="52">
                  <c:v>0.45691960505057794</c:v>
                </c:pt>
                <c:pt idx="53">
                  <c:v>0.4445463389600407</c:v>
                </c:pt>
                <c:pt idx="54">
                  <c:v>0.43241161372883585</c:v>
                </c:pt>
                <c:pt idx="55">
                  <c:v>0.42052345597045027</c:v>
                </c:pt>
                <c:pt idx="56">
                  <c:v>0.40888963364281633</c:v>
                </c:pt>
                <c:pt idx="57">
                  <c:v>0.39751758156641104</c:v>
                </c:pt>
                <c:pt idx="58">
                  <c:v>0.38641432481629434</c:v>
                </c:pt>
                <c:pt idx="59">
                  <c:v>0.37558640146904959</c:v>
                </c:pt>
                <c:pt idx="60">
                  <c:v>0.36503978638733048</c:v>
                </c:pt>
                <c:pt idx="61">
                  <c:v>0.35477981787657459</c:v>
                </c:pt>
                <c:pt idx="62">
                  <c:v>0.34481112913383966</c:v>
                </c:pt>
                <c:pt idx="63">
                  <c:v>0.33513758641378133</c:v>
                </c:pt>
                <c:pt idx="64">
                  <c:v>0.32576223575189939</c:v>
                </c:pt>
                <c:pt idx="65">
                  <c:v>0.31668725990678592</c:v>
                </c:pt>
                <c:pt idx="66">
                  <c:v>0.30791394691450241</c:v>
                </c:pt>
                <c:pt idx="67">
                  <c:v>0.29944267130024521</c:v>
                </c:pt>
                <c:pt idx="68">
                  <c:v>0.29127288858276762</c:v>
                </c:pt>
                <c:pt idx="69">
                  <c:v>0.28340314325897353</c:v>
                </c:pt>
                <c:pt idx="70">
                  <c:v>0.27583108999661482</c:v>
                </c:pt>
                <c:pt idx="71">
                  <c:v>0.26855352732011339</c:v>
                </c:pt>
                <c:pt idx="72">
                  <c:v>0.26156644267465723</c:v>
                </c:pt>
                <c:pt idx="73">
                  <c:v>0.25486506741929371</c:v>
                </c:pt>
                <c:pt idx="74">
                  <c:v>0.248443940047262</c:v>
                </c:pt>
                <c:pt idx="75">
                  <c:v>0.24229697577067499</c:v>
                </c:pt>
                <c:pt idx="76">
                  <c:v>0.23641754053890154</c:v>
                </c:pt>
                <c:pt idx="77">
                  <c:v>0.2307985275808086</c:v>
                </c:pt>
                <c:pt idx="78">
                  <c:v>0.22543243465987592</c:v>
                </c:pt>
                <c:pt idx="79">
                  <c:v>0.22031144039358069</c:v>
                </c:pt>
                <c:pt idx="80">
                  <c:v>0.21542747819753544</c:v>
                </c:pt>
                <c:pt idx="81">
                  <c:v>0.21077230665326124</c:v>
                </c:pt>
                <c:pt idx="82">
                  <c:v>0.20633757534980277</c:v>
                </c:pt>
                <c:pt idx="83">
                  <c:v>0.20211488549913889</c:v>
                </c:pt>
                <c:pt idx="84">
                  <c:v>0.19809584486188411</c:v>
                </c:pt>
                <c:pt idx="85">
                  <c:v>0.19427211673437172</c:v>
                </c:pt>
                <c:pt idx="86">
                  <c:v>0.19063546293521044</c:v>
                </c:pt>
                <c:pt idx="87">
                  <c:v>0.18717778088584253</c:v>
                </c:pt>
                <c:pt idx="88">
                  <c:v>0.18389113500484611</c:v>
                </c:pt>
                <c:pt idx="89">
                  <c:v>0.18076778273085323</c:v>
                </c:pt>
                <c:pt idx="90">
                  <c:v>0.17780019555643936</c:v>
                </c:pt>
                <c:pt idx="91">
                  <c:v>0.17498107549838859</c:v>
                </c:pt>
                <c:pt idx="92">
                  <c:v>0.17230336745204783</c:v>
                </c:pt>
                <c:pt idx="93">
                  <c:v>0.16976026788276088</c:v>
                </c:pt>
                <c:pt idx="94">
                  <c:v>0.16734523029925835</c:v>
                </c:pt>
                <c:pt idx="95">
                  <c:v>0.1650519679356601</c:v>
                </c:pt>
                <c:pt idx="96">
                  <c:v>0.16287445404334819</c:v>
                </c:pt>
                <c:pt idx="97">
                  <c:v>0.16080692016386644</c:v>
                </c:pt>
                <c:pt idx="98">
                  <c:v>0.15884385272122051</c:v>
                </c:pt>
                <c:pt idx="99">
                  <c:v>0.15697998823814724</c:v>
                </c:pt>
                <c:pt idx="100">
                  <c:v>0.15521030744730291</c:v>
                </c:pt>
                <c:pt idx="101">
                  <c:v>0.15353002853582498</c:v>
                </c:pt>
                <c:pt idx="102">
                  <c:v>0.15193459973100659</c:v>
                </c:pt>
                <c:pt idx="103">
                  <c:v>0.1504196914062674</c:v>
                </c:pt>
                <c:pt idx="104">
                  <c:v>0.14898118786048745</c:v>
                </c:pt>
                <c:pt idx="105">
                  <c:v>0.1476151789001644</c:v>
                </c:pt>
                <c:pt idx="106">
                  <c:v>0.1463179513327526</c:v>
                </c:pt>
                <c:pt idx="107">
                  <c:v>0.14508598046088009</c:v>
                </c:pt>
                <c:pt idx="108">
                  <c:v>0.14391592165077716</c:v>
                </c:pt>
                <c:pt idx="109">
                  <c:v>0.14280460203400969</c:v>
                </c:pt>
                <c:pt idx="110">
                  <c:v>0.14174901238933971</c:v>
                </c:pt>
                <c:pt idx="111">
                  <c:v>0.14074629924101834</c:v>
                </c:pt>
                <c:pt idx="112">
                  <c:v>0.13979375720088641</c:v>
                </c:pt>
                <c:pt idx="113">
                  <c:v>0.13888882157412005</c:v>
                </c:pt>
                <c:pt idx="114">
                  <c:v>0.13802906124215353</c:v>
                </c:pt>
                <c:pt idx="115">
                  <c:v>0.13721217183107642</c:v>
                </c:pt>
                <c:pt idx="116">
                  <c:v>0.1364359691694958</c:v>
                </c:pt>
                <c:pt idx="117">
                  <c:v>0.13569838303634968</c:v>
                </c:pt>
                <c:pt idx="118">
                  <c:v>0.13499745119633191</c:v>
                </c:pt>
                <c:pt idx="119">
                  <c:v>0.13433131371834581</c:v>
                </c:pt>
                <c:pt idx="120">
                  <c:v>0.13369820757066014</c:v>
                </c:pt>
                <c:pt idx="121">
                  <c:v>0.13309646148509863</c:v>
                </c:pt>
                <c:pt idx="122">
                  <c:v>0.13252449108160619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858-47C8-B6E0-512AA87BD209}"/>
            </c:ext>
          </c:extLst>
        </c:ser>
        <c:ser>
          <c:idx val="3"/>
          <c:order val="3"/>
          <c:tx>
            <c:strRef>
              <c:f>'New_removed_rate - bSIR'!$AA$7</c:f>
              <c:strCache>
                <c:ptCount val="1"/>
                <c:pt idx="0">
                  <c:v>Italy acc. Fit (Norm. To val. at lockdown)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xVal>
            <c:numRef>
              <c:f>'New_removed_rate - bSIR'!$C$62:$C$184</c:f>
              <c:numCache>
                <c:formatCode>General</c:formatCode>
                <c:ptCount val="123"/>
                <c:pt idx="0">
                  <c:v>55</c:v>
                </c:pt>
                <c:pt idx="1">
                  <c:v>56</c:v>
                </c:pt>
                <c:pt idx="2">
                  <c:v>57</c:v>
                </c:pt>
                <c:pt idx="3">
                  <c:v>58</c:v>
                </c:pt>
                <c:pt idx="4">
                  <c:v>59</c:v>
                </c:pt>
                <c:pt idx="5">
                  <c:v>60</c:v>
                </c:pt>
                <c:pt idx="6">
                  <c:v>61</c:v>
                </c:pt>
                <c:pt idx="7">
                  <c:v>62</c:v>
                </c:pt>
                <c:pt idx="8">
                  <c:v>63</c:v>
                </c:pt>
                <c:pt idx="9">
                  <c:v>64</c:v>
                </c:pt>
                <c:pt idx="10">
                  <c:v>65</c:v>
                </c:pt>
                <c:pt idx="11">
                  <c:v>66</c:v>
                </c:pt>
                <c:pt idx="12">
                  <c:v>67</c:v>
                </c:pt>
                <c:pt idx="13">
                  <c:v>68</c:v>
                </c:pt>
                <c:pt idx="14">
                  <c:v>69</c:v>
                </c:pt>
                <c:pt idx="15">
                  <c:v>70</c:v>
                </c:pt>
                <c:pt idx="16">
                  <c:v>71</c:v>
                </c:pt>
                <c:pt idx="17">
                  <c:v>72</c:v>
                </c:pt>
                <c:pt idx="18">
                  <c:v>73</c:v>
                </c:pt>
                <c:pt idx="19">
                  <c:v>74</c:v>
                </c:pt>
                <c:pt idx="20">
                  <c:v>75</c:v>
                </c:pt>
                <c:pt idx="21">
                  <c:v>76</c:v>
                </c:pt>
                <c:pt idx="22">
                  <c:v>77</c:v>
                </c:pt>
                <c:pt idx="23">
                  <c:v>78</c:v>
                </c:pt>
                <c:pt idx="24">
                  <c:v>79</c:v>
                </c:pt>
                <c:pt idx="25">
                  <c:v>80</c:v>
                </c:pt>
                <c:pt idx="26">
                  <c:v>81</c:v>
                </c:pt>
                <c:pt idx="27">
                  <c:v>82</c:v>
                </c:pt>
                <c:pt idx="28">
                  <c:v>83</c:v>
                </c:pt>
                <c:pt idx="29">
                  <c:v>84</c:v>
                </c:pt>
                <c:pt idx="30">
                  <c:v>85</c:v>
                </c:pt>
                <c:pt idx="31">
                  <c:v>86</c:v>
                </c:pt>
                <c:pt idx="32">
                  <c:v>87</c:v>
                </c:pt>
                <c:pt idx="33">
                  <c:v>88</c:v>
                </c:pt>
                <c:pt idx="34">
                  <c:v>89</c:v>
                </c:pt>
                <c:pt idx="35">
                  <c:v>90</c:v>
                </c:pt>
                <c:pt idx="36">
                  <c:v>91</c:v>
                </c:pt>
                <c:pt idx="37">
                  <c:v>92</c:v>
                </c:pt>
                <c:pt idx="38">
                  <c:v>93</c:v>
                </c:pt>
                <c:pt idx="39">
                  <c:v>94</c:v>
                </c:pt>
                <c:pt idx="40">
                  <c:v>95</c:v>
                </c:pt>
                <c:pt idx="41">
                  <c:v>96</c:v>
                </c:pt>
                <c:pt idx="42">
                  <c:v>97</c:v>
                </c:pt>
                <c:pt idx="43">
                  <c:v>98</c:v>
                </c:pt>
                <c:pt idx="44">
                  <c:v>99</c:v>
                </c:pt>
                <c:pt idx="45">
                  <c:v>100</c:v>
                </c:pt>
                <c:pt idx="46">
                  <c:v>101</c:v>
                </c:pt>
                <c:pt idx="47">
                  <c:v>102</c:v>
                </c:pt>
                <c:pt idx="48">
                  <c:v>103</c:v>
                </c:pt>
                <c:pt idx="49">
                  <c:v>104</c:v>
                </c:pt>
                <c:pt idx="50">
                  <c:v>105</c:v>
                </c:pt>
                <c:pt idx="51">
                  <c:v>106</c:v>
                </c:pt>
                <c:pt idx="52">
                  <c:v>107</c:v>
                </c:pt>
                <c:pt idx="53">
                  <c:v>108</c:v>
                </c:pt>
                <c:pt idx="54">
                  <c:v>109</c:v>
                </c:pt>
                <c:pt idx="55">
                  <c:v>110</c:v>
                </c:pt>
                <c:pt idx="56">
                  <c:v>111</c:v>
                </c:pt>
                <c:pt idx="57">
                  <c:v>112</c:v>
                </c:pt>
                <c:pt idx="58">
                  <c:v>113</c:v>
                </c:pt>
                <c:pt idx="59">
                  <c:v>114</c:v>
                </c:pt>
                <c:pt idx="60">
                  <c:v>115</c:v>
                </c:pt>
                <c:pt idx="61">
                  <c:v>116</c:v>
                </c:pt>
                <c:pt idx="62">
                  <c:v>117</c:v>
                </c:pt>
                <c:pt idx="63">
                  <c:v>118</c:v>
                </c:pt>
                <c:pt idx="64">
                  <c:v>119</c:v>
                </c:pt>
                <c:pt idx="65">
                  <c:v>120</c:v>
                </c:pt>
                <c:pt idx="66">
                  <c:v>121</c:v>
                </c:pt>
                <c:pt idx="67">
                  <c:v>122</c:v>
                </c:pt>
                <c:pt idx="68">
                  <c:v>123</c:v>
                </c:pt>
                <c:pt idx="69">
                  <c:v>124</c:v>
                </c:pt>
                <c:pt idx="70">
                  <c:v>125</c:v>
                </c:pt>
                <c:pt idx="71">
                  <c:v>126</c:v>
                </c:pt>
                <c:pt idx="72">
                  <c:v>127</c:v>
                </c:pt>
                <c:pt idx="73">
                  <c:v>128</c:v>
                </c:pt>
                <c:pt idx="74">
                  <c:v>129</c:v>
                </c:pt>
                <c:pt idx="75">
                  <c:v>130</c:v>
                </c:pt>
                <c:pt idx="76">
                  <c:v>131</c:v>
                </c:pt>
                <c:pt idx="77">
                  <c:v>132</c:v>
                </c:pt>
                <c:pt idx="78">
                  <c:v>133</c:v>
                </c:pt>
                <c:pt idx="79">
                  <c:v>134</c:v>
                </c:pt>
                <c:pt idx="80">
                  <c:v>135</c:v>
                </c:pt>
                <c:pt idx="81">
                  <c:v>136</c:v>
                </c:pt>
                <c:pt idx="82">
                  <c:v>137</c:v>
                </c:pt>
                <c:pt idx="83">
                  <c:v>138</c:v>
                </c:pt>
                <c:pt idx="84">
                  <c:v>139</c:v>
                </c:pt>
                <c:pt idx="85">
                  <c:v>140</c:v>
                </c:pt>
                <c:pt idx="86">
                  <c:v>141</c:v>
                </c:pt>
                <c:pt idx="87">
                  <c:v>142</c:v>
                </c:pt>
                <c:pt idx="88">
                  <c:v>143</c:v>
                </c:pt>
                <c:pt idx="89">
                  <c:v>144</c:v>
                </c:pt>
                <c:pt idx="90">
                  <c:v>145</c:v>
                </c:pt>
                <c:pt idx="91">
                  <c:v>146</c:v>
                </c:pt>
                <c:pt idx="92">
                  <c:v>147</c:v>
                </c:pt>
                <c:pt idx="93">
                  <c:v>148</c:v>
                </c:pt>
                <c:pt idx="94">
                  <c:v>149</c:v>
                </c:pt>
                <c:pt idx="95">
                  <c:v>150</c:v>
                </c:pt>
                <c:pt idx="96">
                  <c:v>151</c:v>
                </c:pt>
                <c:pt idx="97">
                  <c:v>152</c:v>
                </c:pt>
                <c:pt idx="98">
                  <c:v>153</c:v>
                </c:pt>
                <c:pt idx="99">
                  <c:v>154</c:v>
                </c:pt>
                <c:pt idx="100">
                  <c:v>155</c:v>
                </c:pt>
                <c:pt idx="101">
                  <c:v>156</c:v>
                </c:pt>
                <c:pt idx="102">
                  <c:v>157</c:v>
                </c:pt>
                <c:pt idx="103">
                  <c:v>158</c:v>
                </c:pt>
                <c:pt idx="104">
                  <c:v>159</c:v>
                </c:pt>
                <c:pt idx="105">
                  <c:v>160</c:v>
                </c:pt>
                <c:pt idx="106">
                  <c:v>161</c:v>
                </c:pt>
                <c:pt idx="107">
                  <c:v>162</c:v>
                </c:pt>
                <c:pt idx="108">
                  <c:v>163</c:v>
                </c:pt>
                <c:pt idx="109">
                  <c:v>164</c:v>
                </c:pt>
                <c:pt idx="110">
                  <c:v>165</c:v>
                </c:pt>
                <c:pt idx="111">
                  <c:v>166</c:v>
                </c:pt>
                <c:pt idx="112">
                  <c:v>167</c:v>
                </c:pt>
                <c:pt idx="113">
                  <c:v>168</c:v>
                </c:pt>
                <c:pt idx="114">
                  <c:v>169</c:v>
                </c:pt>
                <c:pt idx="115">
                  <c:v>170</c:v>
                </c:pt>
                <c:pt idx="116">
                  <c:v>171</c:v>
                </c:pt>
                <c:pt idx="117">
                  <c:v>172</c:v>
                </c:pt>
                <c:pt idx="118">
                  <c:v>173</c:v>
                </c:pt>
                <c:pt idx="119">
                  <c:v>174</c:v>
                </c:pt>
                <c:pt idx="120">
                  <c:v>175</c:v>
                </c:pt>
                <c:pt idx="121">
                  <c:v>176</c:v>
                </c:pt>
                <c:pt idx="122">
                  <c:v>177</c:v>
                </c:pt>
              </c:numCache>
            </c:numRef>
          </c:xVal>
          <c:yVal>
            <c:numRef>
              <c:f>'New_removed_rate - bSIR'!$AA$62:$AA$184</c:f>
              <c:numCache>
                <c:formatCode>General</c:formatCode>
                <c:ptCount val="123"/>
                <c:pt idx="0">
                  <c:v>0.54359157290773996</c:v>
                </c:pt>
                <c:pt idx="1">
                  <c:v>0.5667522416470816</c:v>
                </c:pt>
                <c:pt idx="2">
                  <c:v>0.59067440409567373</c:v>
                </c:pt>
                <c:pt idx="3">
                  <c:v>0.61536009059515495</c:v>
                </c:pt>
                <c:pt idx="4">
                  <c:v>0.64080852361727525</c:v>
                </c:pt>
                <c:pt idx="5">
                  <c:v>0.66701579368638342</c:v>
                </c:pt>
                <c:pt idx="6">
                  <c:v>0.69397451525690257</c:v>
                </c:pt>
                <c:pt idx="7">
                  <c:v>0.72167346285466139</c:v>
                </c:pt>
                <c:pt idx="8">
                  <c:v>0.75009718808736736</c:v>
                </c:pt>
                <c:pt idx="9">
                  <c:v>0.77922561847252902</c:v>
                </c:pt>
                <c:pt idx="10">
                  <c:v>0.80903363942390782</c:v>
                </c:pt>
                <c:pt idx="11">
                  <c:v>0.83949066118303728</c:v>
                </c:pt>
                <c:pt idx="12">
                  <c:v>0.87056017298269117</c:v>
                </c:pt>
                <c:pt idx="13">
                  <c:v>0.90219928728599996</c:v>
                </c:pt>
                <c:pt idx="14">
                  <c:v>0.93435827755874146</c:v>
                </c:pt>
                <c:pt idx="15">
                  <c:v>0.96698011370241899</c:v>
                </c:pt>
                <c:pt idx="16">
                  <c:v>1</c:v>
                </c:pt>
                <c:pt idx="17">
                  <c:v>1.033344921200414</c:v>
                </c:pt>
                <c:pt idx="18">
                  <c:v>1.0669332031861147</c:v>
                </c:pt>
                <c:pt idx="19">
                  <c:v>1.100674095521313</c:v>
                </c:pt>
                <c:pt idx="20">
                  <c:v>1.1344673840556165</c:v>
                </c:pt>
                <c:pt idx="21">
                  <c:v>1.1682030426439507</c:v>
                </c:pt>
                <c:pt idx="22">
                  <c:v>1.201760933920881</c:v>
                </c:pt>
                <c:pt idx="23">
                  <c:v>1.2350105699139484</c:v>
                </c:pt>
                <c:pt idx="24">
                  <c:v>1.2678109440708396</c:v>
                </c:pt>
                <c:pt idx="25">
                  <c:v>1.300010446979633</c:v>
                </c:pt>
                <c:pt idx="26">
                  <c:v>1.3314468786465841</c:v>
                </c:pt>
                <c:pt idx="27">
                  <c:v>1.3619475706249307</c:v>
                </c:pt>
                <c:pt idx="28">
                  <c:v>1.3913296315207759</c:v>
                </c:pt>
                <c:pt idx="29">
                  <c:v>1.4194003293954678</c:v>
                </c:pt>
                <c:pt idx="30">
                  <c:v>1.445957624293434</c:v>
                </c:pt>
                <c:pt idx="31">
                  <c:v>1.4707908635053304</c:v>
                </c:pt>
                <c:pt idx="32">
                  <c:v>1.4936816511845667</c:v>
                </c:pt>
                <c:pt idx="33">
                  <c:v>1.5144049025296555</c:v>
                </c:pt>
                <c:pt idx="34">
                  <c:v>1.5327300908891708</c:v>
                </c:pt>
                <c:pt idx="35">
                  <c:v>1.5484226938114427</c:v>
                </c:pt>
                <c:pt idx="36">
                  <c:v>1.5612458412282755</c:v>
                </c:pt>
                <c:pt idx="37">
                  <c:v>1.5709621656244332</c:v>
                </c:pt>
                <c:pt idx="38">
                  <c:v>1.5773358502112411</c:v>
                </c:pt>
                <c:pt idx="39">
                  <c:v>1.5801348668199069</c:v>
                </c:pt>
                <c:pt idx="40">
                  <c:v>1.57913339050558</c:v>
                </c:pt>
                <c:pt idx="41">
                  <c:v>1.5741143727757814</c:v>
                </c:pt>
                <c:pt idx="42">
                  <c:v>1.5648722500201973</c:v>
                </c:pt>
                <c:pt idx="43">
                  <c:v>1.5512157582399926</c:v>
                </c:pt>
                <c:pt idx="44">
                  <c:v>1.5329708196948792</c:v>
                </c:pt>
                <c:pt idx="45">
                  <c:v>1.5099834617678636</c:v>
                </c:pt>
                <c:pt idx="46">
                  <c:v>1.4821227233725276</c:v>
                </c:pt>
                <c:pt idx="47">
                  <c:v>1.4492834997914394</c:v>
                </c:pt>
                <c:pt idx="48">
                  <c:v>1.4113892731407376</c:v>
                </c:pt>
                <c:pt idx="49">
                  <c:v>1.3683946729094356</c:v>
                </c:pt>
                <c:pt idx="50">
                  <c:v>1.320287809419185</c:v>
                </c:pt>
                <c:pt idx="51">
                  <c:v>1.2670923227700279</c:v>
                </c:pt>
                <c:pt idx="52">
                  <c:v>1.2088690910316533</c:v>
                </c:pt>
                <c:pt idx="53">
                  <c:v>1.1457175442215572</c:v>
                </c:pt>
                <c:pt idx="54">
                  <c:v>1.077776535048113</c:v>
                </c:pt>
                <c:pt idx="55">
                  <c:v>1.0052247234989995</c:v>
                </c:pt>
                <c:pt idx="56">
                  <c:v>0.92828044007297672</c:v>
                </c:pt>
                <c:pt idx="57">
                  <c:v>0.84720100166887669</c:v>
                </c:pt>
                <c:pt idx="58">
                  <c:v>0.76228146467591329</c:v>
                </c:pt>
                <c:pt idx="59">
                  <c:v>0.67385281140529374</c:v>
                </c:pt>
                <c:pt idx="60">
                  <c:v>0.58227957835670696</c:v>
                </c:pt>
                <c:pt idx="61">
                  <c:v>0.48795694756716212</c:v>
                </c:pt>
                <c:pt idx="62">
                  <c:v>0.39130733504916637</c:v>
                </c:pt>
                <c:pt idx="63">
                  <c:v>0.29277652267441773</c:v>
                </c:pt>
                <c:pt idx="64">
                  <c:v>0.19282939137775537</c:v>
                </c:pt>
                <c:pt idx="65">
                  <c:v>9.1945323838897669E-2</c:v>
                </c:pt>
                <c:pt idx="66">
                  <c:v>-9.3866465254816983E-3</c:v>
                </c:pt>
                <c:pt idx="67">
                  <c:v>-0.11067285667970012</c:v>
                </c:pt>
                <c:pt idx="68">
                  <c:v>-0.21142011705139399</c:v>
                </c:pt>
                <c:pt idx="69">
                  <c:v>-0.31114080622084805</c:v>
                </c:pt>
                <c:pt idx="70">
                  <c:v>-0.4093578670867225</c:v>
                </c:pt>
                <c:pt idx="71">
                  <c:v>-0.50560961703439722</c:v>
                </c:pt>
                <c:pt idx="72">
                  <c:v>-0.59945428961850877</c:v>
                </c:pt>
                <c:pt idx="73">
                  <c:v>-0.69047423239664729</c:v>
                </c:pt>
                <c:pt idx="74">
                  <c:v>-0.77827969454977519</c:v>
                </c:pt>
                <c:pt idx="75">
                  <c:v>-0.86251214846584701</c:v>
                </c:pt>
                <c:pt idx="76">
                  <c:v>-0.94284710116673365</c:v>
                </c:pt>
                <c:pt idx="77">
                  <c:v>-1.0189963639155355</c:v>
                </c:pt>
                <c:pt idx="78">
                  <c:v>-1.0907097611308387</c:v>
                </c:pt>
                <c:pt idx="79">
                  <c:v>-1.1577762724430525</c:v>
                </c:pt>
                <c:pt idx="80">
                  <c:v>-1.2200246139669824</c:v>
                </c:pt>
                <c:pt idx="81">
                  <c:v>-1.2773232762848545</c:v>
                </c:pt>
                <c:pt idx="82">
                  <c:v>-1.329580046937842</c:v>
                </c:pt>
                <c:pt idx="83">
                  <c:v>-1.3767410541744278</c:v>
                </c:pt>
                <c:pt idx="84">
                  <c:v>-1.4187893761292973</c:v>
                </c:pt>
                <c:pt idx="85">
                  <c:v>-1.4557432654023292</c:v>
                </c:pt>
                <c:pt idx="86">
                  <c:v>-1.4876540431349083</c:v>
                </c:pt>
                <c:pt idx="87">
                  <c:v>-1.5146037191620976</c:v>
                </c:pt>
                <c:pt idx="88">
                  <c:v>-1.5367023957303954</c:v>
                </c:pt>
                <c:pt idx="89">
                  <c:v>-1.5540855117333245</c:v>
                </c:pt>
                <c:pt idx="90">
                  <c:v>-1.5669109825883756</c:v>
                </c:pt>
                <c:pt idx="91">
                  <c:v>-1.5753562879417868</c:v>
                </c:pt>
                <c:pt idx="92">
                  <c:v>-1.5796155555410849</c:v>
                </c:pt>
                <c:pt idx="93">
                  <c:v>-1.5798966850640175</c:v>
                </c:pt>
                <c:pt idx="94">
                  <c:v>-1.5764185506395352</c:v>
                </c:pt>
                <c:pt idx="95">
                  <c:v>-1.569408315435002</c:v>
                </c:pt>
                <c:pt idx="96">
                  <c:v>-1.5590988861924691</c:v>
                </c:pt>
                <c:pt idx="97">
                  <c:v>-1.5457265301343766</c:v>
                </c:pt>
                <c:pt idx="98">
                  <c:v>-1.5295286713622627</c:v>
                </c:pt>
                <c:pt idx="99">
                  <c:v>-1.510741878853741</c:v>
                </c:pt>
                <c:pt idx="100">
                  <c:v>-1.4896000535118865</c:v>
                </c:pt>
                <c:pt idx="101">
                  <c:v>-1.4663328175025165</c:v>
                </c:pt>
                <c:pt idx="102">
                  <c:v>-1.441164105371717</c:v>
                </c:pt>
                <c:pt idx="103">
                  <c:v>-1.414310953191767</c:v>
                </c:pt>
                <c:pt idx="104">
                  <c:v>-1.3859824792439144</c:v>
                </c:pt>
                <c:pt idx="105">
                  <c:v>-1.3563790475022119</c:v>
                </c:pt>
                <c:pt idx="106">
                  <c:v>-1.325691603412789</c:v>
                </c:pt>
                <c:pt idx="107">
                  <c:v>-1.2941011701368037</c:v>
                </c:pt>
                <c:pt idx="108">
                  <c:v>-1.2617784925057556</c:v>
                </c:pt>
                <c:pt idx="109">
                  <c:v>-1.2288838153829695</c:v>
                </c:pt>
                <c:pt idx="110">
                  <c:v>-1.1955667828905285</c:v>
                </c:pt>
                <c:pt idx="111">
                  <c:v>-1.1619664450019318</c:v>
                </c:pt>
                <c:pt idx="112">
                  <c:v>-1.1282113582728284</c:v>
                </c:pt>
                <c:pt idx="113">
                  <c:v>-1.0944197679431069</c:v>
                </c:pt>
                <c:pt idx="114">
                  <c:v>-1.060699859253571</c:v>
                </c:pt>
                <c:pt idx="115">
                  <c:v>-1.027150066543151</c:v>
                </c:pt>
                <c:pt idx="116">
                  <c:v>-0.9938594294953389</c:v>
                </c:pt>
                <c:pt idx="117">
                  <c:v>-0.96090798675653921</c:v>
                </c:pt>
                <c:pt idx="118">
                  <c:v>-0.92836719802943146</c:v>
                </c:pt>
                <c:pt idx="119">
                  <c:v>-0.8963003866302085</c:v>
                </c:pt>
                <c:pt idx="120">
                  <c:v>-0.86476319537220403</c:v>
                </c:pt>
                <c:pt idx="121">
                  <c:v>-0.83380404948608955</c:v>
                </c:pt>
                <c:pt idx="122">
                  <c:v>-0.80346462109739281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858-47C8-B6E0-512AA87BD209}"/>
            </c:ext>
          </c:extLst>
        </c:ser>
        <c:ser>
          <c:idx val="4"/>
          <c:order val="4"/>
          <c:tx>
            <c:strRef>
              <c:f>'New_removed_rate - bSIR'!$B$6</c:f>
              <c:strCache>
                <c:ptCount val="1"/>
                <c:pt idx="0">
                  <c:v>15-May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dash"/>
              <a:round/>
              <a:headEnd type="stealth"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it-IT"/>
              </a:p>
            </c:txPr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('New_removed_rate - bSIR'!$C$6,'New_removed_rate - bSIR'!$C$6)</c:f>
              <c:numCache>
                <c:formatCode>General</c:formatCode>
                <c:ptCount val="2"/>
                <c:pt idx="0">
                  <c:v>136</c:v>
                </c:pt>
                <c:pt idx="1">
                  <c:v>136</c:v>
                </c:pt>
              </c:numCache>
            </c:numRef>
          </c:xVal>
          <c:yVal>
            <c:numRef>
              <c:f>('New_removed_rate - bSIR'!$D$6,'New_removed_rate - bSIR'!$I$6)</c:f>
              <c:numCache>
                <c:formatCode>General</c:formatCode>
                <c:ptCount val="2"/>
                <c:pt idx="0">
                  <c:v>1</c:v>
                </c:pt>
                <c:pt idx="1">
                  <c:v>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858-47C8-B6E0-512AA87BD209}"/>
            </c:ext>
          </c:extLst>
        </c:ser>
        <c:ser>
          <c:idx val="5"/>
          <c:order val="5"/>
          <c:tx>
            <c:strRef>
              <c:f>'New_removed_rate - bSIR'!$B$78</c:f>
              <c:strCache>
                <c:ptCount val="1"/>
                <c:pt idx="0">
                  <c:v>11-Mar</c:v>
                </c:pt>
              </c:strCache>
            </c:strRef>
          </c:tx>
          <c:spPr>
            <a:ln w="25400" cap="rnd" cmpd="sng">
              <a:solidFill>
                <a:srgbClr val="C00000"/>
              </a:solidFill>
              <a:prstDash val="dash"/>
              <a:round/>
              <a:headEnd type="stealth"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it-IT"/>
              </a:p>
            </c:txPr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('New_removed_rate - bSIR'!$C$78,'New_removed_rate - bSIR'!$C$78)</c:f>
              <c:numCache>
                <c:formatCode>General</c:formatCode>
                <c:ptCount val="2"/>
                <c:pt idx="0">
                  <c:v>71</c:v>
                </c:pt>
                <c:pt idx="1">
                  <c:v>71</c:v>
                </c:pt>
              </c:numCache>
            </c:numRef>
          </c:xVal>
          <c:yVal>
            <c:numRef>
              <c:f>('New_removed_rate - bSIR'!$D$6,'New_removed_rate - bSIR'!$I$6)</c:f>
              <c:numCache>
                <c:formatCode>General</c:formatCode>
                <c:ptCount val="2"/>
                <c:pt idx="0">
                  <c:v>1</c:v>
                </c:pt>
                <c:pt idx="1">
                  <c:v>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858-47C8-B6E0-512AA87BD209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axId val="989120184"/>
        <c:axId val="989123064"/>
      </c:scatterChart>
      <c:valAx>
        <c:axId val="989120184"/>
        <c:scaling>
          <c:orientation val="minMax"/>
          <c:min val="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Day of the year (55=feb-24)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89123064"/>
        <c:crosses val="autoZero"/>
        <c:crossBetween val="midCat"/>
        <c:majorUnit val="5"/>
      </c:valAx>
      <c:valAx>
        <c:axId val="989123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Item ratio</a:t>
                </a:r>
                <a:r>
                  <a:rPr lang="it-IT" baseline="0"/>
                  <a:t> to their fitted value at lockdown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891201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0886458398832042"/>
          <c:y val="0.26712709371907073"/>
          <c:w val="0.26112701486953871"/>
          <c:h val="0.24497973882478868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2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2"/>
    <cs:fontRef idx="minor">
      <a:schemeClr val="tx2"/>
    </cs:fontRef>
    <cs:spPr>
      <a:ln w="9525">
        <a:solidFill>
          <a:schemeClr val="phClr"/>
        </a:solidFill>
        <a:round/>
      </a:ln>
    </cs:spPr>
  </cs:dataPointMarker>
  <cs:dataPointMarkerLayout symbol="circle" size="5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spPr>
      <a:ln>
        <a:solidFill>
          <a:schemeClr val="tx2">
            <a:lumMod val="40000"/>
            <a:lumOff val="6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41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41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41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41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2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2"/>
    <cs:fontRef idx="minor">
      <a:schemeClr val="tx2"/>
    </cs:fontRef>
    <cs:spPr>
      <a:ln w="9525">
        <a:solidFill>
          <a:schemeClr val="phClr"/>
        </a:solidFill>
        <a:round/>
      </a:ln>
    </cs:spPr>
  </cs:dataPointMarker>
  <cs:dataPointMarkerLayout symbol="circle" size="5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spPr>
      <a:ln>
        <a:solidFill>
          <a:schemeClr val="tx2">
            <a:lumMod val="40000"/>
            <a:lumOff val="6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5.xml"/><Relationship Id="rId13" Type="http://schemas.openxmlformats.org/officeDocument/2006/relationships/chart" Target="../charts/chart20.xml"/><Relationship Id="rId3" Type="http://schemas.openxmlformats.org/officeDocument/2006/relationships/chart" Target="../charts/chart10.xml"/><Relationship Id="rId7" Type="http://schemas.openxmlformats.org/officeDocument/2006/relationships/chart" Target="../charts/chart14.xml"/><Relationship Id="rId12" Type="http://schemas.openxmlformats.org/officeDocument/2006/relationships/chart" Target="../charts/chart19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Relationship Id="rId6" Type="http://schemas.openxmlformats.org/officeDocument/2006/relationships/chart" Target="../charts/chart13.xml"/><Relationship Id="rId11" Type="http://schemas.openxmlformats.org/officeDocument/2006/relationships/chart" Target="../charts/chart18.xml"/><Relationship Id="rId5" Type="http://schemas.openxmlformats.org/officeDocument/2006/relationships/chart" Target="../charts/chart12.xml"/><Relationship Id="rId10" Type="http://schemas.openxmlformats.org/officeDocument/2006/relationships/chart" Target="../charts/chart17.xml"/><Relationship Id="rId4" Type="http://schemas.openxmlformats.org/officeDocument/2006/relationships/chart" Target="../charts/chart11.xml"/><Relationship Id="rId9" Type="http://schemas.openxmlformats.org/officeDocument/2006/relationships/chart" Target="../charts/chart16.xml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8.xml"/><Relationship Id="rId3" Type="http://schemas.openxmlformats.org/officeDocument/2006/relationships/chart" Target="../charts/chart23.xml"/><Relationship Id="rId7" Type="http://schemas.openxmlformats.org/officeDocument/2006/relationships/chart" Target="../charts/chart27.xml"/><Relationship Id="rId2" Type="http://schemas.openxmlformats.org/officeDocument/2006/relationships/chart" Target="../charts/chart22.xml"/><Relationship Id="rId1" Type="http://schemas.openxmlformats.org/officeDocument/2006/relationships/chart" Target="../charts/chart21.xml"/><Relationship Id="rId6" Type="http://schemas.openxmlformats.org/officeDocument/2006/relationships/chart" Target="../charts/chart26.xml"/><Relationship Id="rId5" Type="http://schemas.openxmlformats.org/officeDocument/2006/relationships/chart" Target="../charts/chart25.xml"/><Relationship Id="rId4" Type="http://schemas.openxmlformats.org/officeDocument/2006/relationships/chart" Target="../charts/chart2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30</xdr:col>
      <xdr:colOff>84245</xdr:colOff>
      <xdr:row>6</xdr:row>
      <xdr:rowOff>86433</xdr:rowOff>
    </xdr:from>
    <xdr:to>
      <xdr:col>41</xdr:col>
      <xdr:colOff>63737</xdr:colOff>
      <xdr:row>34</xdr:row>
      <xdr:rowOff>35978</xdr:rowOff>
    </xdr:to>
    <xdr:grpSp>
      <xdr:nvGrpSpPr>
        <xdr:cNvPr id="20" name="Gruppo 19">
          <a:extLst>
            <a:ext uri="{FF2B5EF4-FFF2-40B4-BE49-F238E27FC236}">
              <a16:creationId xmlns:a16="http://schemas.microsoft.com/office/drawing/2014/main" id="{D91AE2C4-84F3-4CC7-B2EE-B12DCA61AB8C}"/>
            </a:ext>
          </a:extLst>
        </xdr:cNvPr>
        <xdr:cNvGrpSpPr/>
      </xdr:nvGrpSpPr>
      <xdr:grpSpPr>
        <a:xfrm>
          <a:off x="27089525" y="1549473"/>
          <a:ext cx="8574852" cy="5496905"/>
          <a:chOff x="11774348" y="-22039"/>
          <a:chExt cx="8113804" cy="5567952"/>
        </a:xfrm>
      </xdr:grpSpPr>
      <xdr:graphicFrame macro="">
        <xdr:nvGraphicFramePr>
          <xdr:cNvPr id="27" name="Grafico 26">
            <a:extLst>
              <a:ext uri="{FF2B5EF4-FFF2-40B4-BE49-F238E27FC236}">
                <a16:creationId xmlns:a16="http://schemas.microsoft.com/office/drawing/2014/main" id="{38B53E38-C601-499A-9729-C04B6CFC3C31}"/>
              </a:ext>
            </a:extLst>
          </xdr:cNvPr>
          <xdr:cNvGraphicFramePr/>
        </xdr:nvGraphicFramePr>
        <xdr:xfrm>
          <a:off x="11774348" y="-22039"/>
          <a:ext cx="8113804" cy="5567952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 macro="">
        <xdr:nvGraphicFramePr>
          <xdr:cNvPr id="23" name="Grafico 22">
            <a:extLst>
              <a:ext uri="{FF2B5EF4-FFF2-40B4-BE49-F238E27FC236}">
                <a16:creationId xmlns:a16="http://schemas.microsoft.com/office/drawing/2014/main" id="{0773C989-B32E-45DF-88F2-56558ADFBF4E}"/>
              </a:ext>
            </a:extLst>
          </xdr:cNvPr>
          <xdr:cNvGraphicFramePr>
            <a:graphicFrameLocks/>
          </xdr:cNvGraphicFramePr>
        </xdr:nvGraphicFramePr>
        <xdr:xfrm>
          <a:off x="12843868" y="2234691"/>
          <a:ext cx="1567600" cy="860606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graphicFrame macro="">
        <xdr:nvGraphicFramePr>
          <xdr:cNvPr id="24" name="Grafico 23">
            <a:extLst>
              <a:ext uri="{FF2B5EF4-FFF2-40B4-BE49-F238E27FC236}">
                <a16:creationId xmlns:a16="http://schemas.microsoft.com/office/drawing/2014/main" id="{CE59E760-D0BE-4F09-91BF-D748A2E71E66}"/>
              </a:ext>
            </a:extLst>
          </xdr:cNvPr>
          <xdr:cNvGraphicFramePr>
            <a:graphicFrameLocks/>
          </xdr:cNvGraphicFramePr>
        </xdr:nvGraphicFramePr>
        <xdr:xfrm>
          <a:off x="12686670" y="914816"/>
          <a:ext cx="1640035" cy="1044658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  <xdr:graphicFrame macro="">
        <xdr:nvGraphicFramePr>
          <xdr:cNvPr id="25" name="Grafico 24">
            <a:extLst>
              <a:ext uri="{FF2B5EF4-FFF2-40B4-BE49-F238E27FC236}">
                <a16:creationId xmlns:a16="http://schemas.microsoft.com/office/drawing/2014/main" id="{DE365169-5442-450D-828E-476836958949}"/>
              </a:ext>
            </a:extLst>
          </xdr:cNvPr>
          <xdr:cNvGraphicFramePr>
            <a:graphicFrameLocks/>
          </xdr:cNvGraphicFramePr>
        </xdr:nvGraphicFramePr>
        <xdr:xfrm>
          <a:off x="16298376" y="3118436"/>
          <a:ext cx="1559001" cy="1030921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4"/>
          </a:graphicData>
        </a:graphic>
      </xdr:graphicFrame>
      <xdr:graphicFrame macro="">
        <xdr:nvGraphicFramePr>
          <xdr:cNvPr id="26" name="Grafico 25">
            <a:extLst>
              <a:ext uri="{FF2B5EF4-FFF2-40B4-BE49-F238E27FC236}">
                <a16:creationId xmlns:a16="http://schemas.microsoft.com/office/drawing/2014/main" id="{6D44ABFB-C9D6-4020-B288-E2FF692DE5E9}"/>
              </a:ext>
            </a:extLst>
          </xdr:cNvPr>
          <xdr:cNvGraphicFramePr>
            <a:graphicFrameLocks/>
          </xdr:cNvGraphicFramePr>
        </xdr:nvGraphicFramePr>
        <xdr:xfrm>
          <a:off x="14592436" y="1314390"/>
          <a:ext cx="1549082" cy="882114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5"/>
          </a:graphicData>
        </a:graphic>
      </xdr:graphicFrame>
    </xdr:grpSp>
    <xdr:clientData/>
  </xdr:twoCellAnchor>
  <xdr:oneCellAnchor>
    <xdr:from>
      <xdr:col>7</xdr:col>
      <xdr:colOff>1108363</xdr:colOff>
      <xdr:row>2</xdr:row>
      <xdr:rowOff>0</xdr:rowOff>
    </xdr:from>
    <xdr:ext cx="3519056" cy="955964"/>
    <xdr:sp macro="" textlink="">
      <xdr:nvSpPr>
        <xdr:cNvPr id="30" name="CasellaDiTesto 29">
          <a:extLst>
            <a:ext uri="{FF2B5EF4-FFF2-40B4-BE49-F238E27FC236}">
              <a16:creationId xmlns:a16="http://schemas.microsoft.com/office/drawing/2014/main" id="{85D63674-AC64-4D08-9E23-264FE1D33133}"/>
            </a:ext>
          </a:extLst>
        </xdr:cNvPr>
        <xdr:cNvSpPr txBox="1"/>
      </xdr:nvSpPr>
      <xdr:spPr>
        <a:xfrm>
          <a:off x="7952508" y="484909"/>
          <a:ext cx="3519056" cy="955964"/>
        </a:xfrm>
        <a:prstGeom prst="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none" lIns="0" tIns="0" rIns="0" bIns="0" rtlCol="0" anchor="t">
          <a:noAutofit/>
        </a:bodyPr>
        <a:lstStyle/>
        <a:p>
          <a:pPr marL="0" indent="0"/>
          <a:endParaRPr lang="it-IT" sz="1100" b="0" i="1">
            <a:solidFill>
              <a:schemeClr val="tx1"/>
            </a:solidFill>
            <a:effectLst/>
            <a:latin typeface="Cambria Math" panose="02040503050406030204" pitchFamily="18" charset="0"/>
            <a:ea typeface="+mn-ea"/>
            <a:cs typeface="+mn-cs"/>
          </a:endParaRPr>
        </a:p>
        <a:p>
          <a:pPr marL="0" indent="0"/>
          <a:endParaRPr lang="it-IT" sz="1100" b="0" i="1">
            <a:solidFill>
              <a:schemeClr val="tx1"/>
            </a:solidFill>
            <a:effectLst/>
            <a:latin typeface="Cambria Math" panose="02040503050406030204" pitchFamily="18" charset="0"/>
            <a:ea typeface="+mn-ea"/>
            <a:cs typeface="+mn-cs"/>
          </a:endParaRPr>
        </a:p>
      </xdr:txBody>
    </xdr:sp>
    <xdr:clientData/>
  </xdr:oneCellAnchor>
  <xdr:oneCellAnchor>
    <xdr:from>
      <xdr:col>8</xdr:col>
      <xdr:colOff>304800</xdr:colOff>
      <xdr:row>3</xdr:row>
      <xdr:rowOff>69273</xdr:rowOff>
    </xdr:from>
    <xdr:ext cx="2733420" cy="66294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" name="CasellaDiTesto 11">
              <a:extLst>
                <a:ext uri="{FF2B5EF4-FFF2-40B4-BE49-F238E27FC236}">
                  <a16:creationId xmlns:a16="http://schemas.microsoft.com/office/drawing/2014/main" id="{6CFE20F4-96C0-4952-BF34-3CCD2553641A}"/>
                </a:ext>
              </a:extLst>
            </xdr:cNvPr>
            <xdr:cNvSpPr txBox="1"/>
          </xdr:nvSpPr>
          <xdr:spPr>
            <a:xfrm>
              <a:off x="8257309" y="775855"/>
              <a:ext cx="2733420" cy="6629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it-IT" sz="1400" b="0" i="1">
                        <a:solidFill>
                          <a:sysClr val="windowText" lastClr="000000"/>
                        </a:solidFill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𝐶𝑑𝑓</m:t>
                    </m:r>
                    <m:r>
                      <a:rPr lang="it-IT" sz="1400" b="0" i="1">
                        <a:solidFill>
                          <a:sysClr val="windowText" lastClr="000000"/>
                        </a:solidFill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r>
                      <a:rPr lang="it-IT" sz="1400" b="0" i="1">
                        <a:solidFill>
                          <a:sysClr val="windowText" lastClr="000000"/>
                        </a:solidFill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𝐾</m:t>
                    </m:r>
                    <m:f>
                      <m:fPr>
                        <m:ctrlPr>
                          <a:rPr lang="it-IT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fPr>
                      <m:num>
                        <m:func>
                          <m:funcPr>
                            <m:ctrlPr>
                              <a:rPr lang="it-IT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funcPr>
                          <m:fName>
                            <m:r>
                              <m:rPr>
                                <m:sty m:val="p"/>
                              </m:rPr>
                              <a:rPr lang="it-IT" sz="1100" b="0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tanh</m:t>
                            </m:r>
                          </m:fName>
                          <m:e>
                            <m:d>
                              <m:dPr>
                                <m:ctrlPr>
                                  <a:rPr lang="it-IT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dPr>
                              <m:e>
                                <m:r>
                                  <a:rPr lang="it-IT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𝜓</m:t>
                                </m:r>
                                <m:r>
                                  <a:rPr lang="it-IT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𝑡</m:t>
                                </m:r>
                                <m:r>
                                  <a:rPr lang="it-IT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−</m:t>
                                </m:r>
                                <m:r>
                                  <a:rPr lang="it-IT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𝜑</m:t>
                                </m:r>
                              </m:e>
                            </m:d>
                          </m:e>
                        </m:func>
                        <m:r>
                          <a:rPr lang="it-IT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r>
                          <a:rPr lang="it-IT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𝑡𝑎𝑛h</m:t>
                        </m:r>
                        <m:r>
                          <a:rPr lang="it-IT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𝜑</m:t>
                        </m:r>
                      </m:num>
                      <m:den>
                        <m:r>
                          <a:rPr lang="it-IT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1+</m:t>
                        </m:r>
                        <m:r>
                          <a:rPr lang="it-IT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𝑡𝑎𝑛h</m:t>
                        </m:r>
                        <m:r>
                          <a:rPr lang="it-IT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𝜑</m:t>
                        </m:r>
                      </m:den>
                    </m:f>
                  </m:oMath>
                </m:oMathPara>
              </a14:m>
              <a:endParaRPr lang="it-IT" sz="1600">
                <a:solidFill>
                  <a:srgbClr val="FF0000"/>
                </a:solidFill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 xmlns="">
        <xdr:sp macro="" textlink="">
          <xdr:nvSpPr>
            <xdr:cNvPr id="12" name="CasellaDiTesto 11">
              <a:extLst>
                <a:ext uri="{FF2B5EF4-FFF2-40B4-BE49-F238E27FC236}">
                  <a16:creationId xmlns:a16="http://schemas.microsoft.com/office/drawing/2014/main" id="{6CFE20F4-96C0-4952-BF34-3CCD2553641A}"/>
                </a:ext>
              </a:extLst>
            </xdr:cNvPr>
            <xdr:cNvSpPr txBox="1"/>
          </xdr:nvSpPr>
          <xdr:spPr>
            <a:xfrm>
              <a:off x="8257309" y="775855"/>
              <a:ext cx="2733420" cy="6629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it-IT" sz="1400" b="0" i="0">
                  <a:solidFill>
                    <a:sysClr val="windowText" lastClr="000000"/>
                  </a:solidFill>
                  <a:latin typeface="Cambria Math" panose="02040503050406030204" pitchFamily="18" charset="0"/>
                  <a:ea typeface="Cambria Math" panose="02040503050406030204" pitchFamily="18" charset="0"/>
                </a:rPr>
                <a:t>𝐶𝑑𝑓=𝐾</a:t>
              </a:r>
              <a:r>
                <a:rPr lang="it-I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( tanh⁡(𝜓𝑡−𝜑)+𝑡𝑎𝑛ℎ𝜑)/(1+𝑡𝑎𝑛ℎ𝜑)</a:t>
              </a:r>
              <a:endParaRPr lang="it-IT" sz="1600">
                <a:solidFill>
                  <a:srgbClr val="FF0000"/>
                </a:solidFill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twoCellAnchor>
    <xdr:from>
      <xdr:col>31</xdr:col>
      <xdr:colOff>120934</xdr:colOff>
      <xdr:row>60</xdr:row>
      <xdr:rowOff>65314</xdr:rowOff>
    </xdr:from>
    <xdr:to>
      <xdr:col>37</xdr:col>
      <xdr:colOff>315686</xdr:colOff>
      <xdr:row>83</xdr:row>
      <xdr:rowOff>163284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140E0FF7-4B93-423B-9C06-3345B07356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34</xdr:col>
      <xdr:colOff>280060</xdr:colOff>
      <xdr:row>32</xdr:row>
      <xdr:rowOff>61356</xdr:rowOff>
    </xdr:from>
    <xdr:to>
      <xdr:col>35</xdr:col>
      <xdr:colOff>117763</xdr:colOff>
      <xdr:row>34</xdr:row>
      <xdr:rowOff>6926</xdr:rowOff>
    </xdr:to>
    <xdr:sp macro="" textlink="">
      <xdr:nvSpPr>
        <xdr:cNvPr id="13" name="CasellaDiTesto 20">
          <a:extLst>
            <a:ext uri="{FF2B5EF4-FFF2-40B4-BE49-F238E27FC236}">
              <a16:creationId xmlns:a16="http://schemas.microsoft.com/office/drawing/2014/main" id="{C1427DA8-6C0C-4B18-A7C3-E0E8B18B4071}"/>
            </a:ext>
          </a:extLst>
        </xdr:cNvPr>
        <xdr:cNvSpPr txBox="1"/>
      </xdr:nvSpPr>
      <xdr:spPr>
        <a:xfrm>
          <a:off x="30988660" y="6756070"/>
          <a:ext cx="686789" cy="31568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noAutofit/>
        </a:bodyPr>
        <a:lstStyle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100" b="0" i="0" u="none" strike="noStrike">
              <a:solidFill>
                <a:srgbClr val="9C5700"/>
              </a:solidFill>
              <a:latin typeface="Calibri"/>
              <a:cs typeface="Calibri"/>
            </a:rPr>
            <a:t>01-gen</a:t>
          </a:r>
          <a:endParaRPr lang="it-IT" sz="1100"/>
        </a:p>
      </xdr:txBody>
    </xdr:sp>
    <xdr:clientData/>
  </xdr:twoCellAnchor>
  <xdr:twoCellAnchor>
    <xdr:from>
      <xdr:col>31</xdr:col>
      <xdr:colOff>152401</xdr:colOff>
      <xdr:row>35</xdr:row>
      <xdr:rowOff>65313</xdr:rowOff>
    </xdr:from>
    <xdr:to>
      <xdr:col>37</xdr:col>
      <xdr:colOff>337458</xdr:colOff>
      <xdr:row>59</xdr:row>
      <xdr:rowOff>65314</xdr:rowOff>
    </xdr:to>
    <xdr:grpSp>
      <xdr:nvGrpSpPr>
        <xdr:cNvPr id="4" name="Gruppo 3">
          <a:extLst>
            <a:ext uri="{FF2B5EF4-FFF2-40B4-BE49-F238E27FC236}">
              <a16:creationId xmlns:a16="http://schemas.microsoft.com/office/drawing/2014/main" id="{B27AF182-0F72-42BC-B542-5B61D75665DC}"/>
            </a:ext>
          </a:extLst>
        </xdr:cNvPr>
        <xdr:cNvGrpSpPr/>
      </xdr:nvGrpSpPr>
      <xdr:grpSpPr>
        <a:xfrm>
          <a:off x="28437841" y="7258593"/>
          <a:ext cx="5305697" cy="4450081"/>
          <a:chOff x="28313744" y="7315199"/>
          <a:chExt cx="5279571" cy="4517572"/>
        </a:xfrm>
      </xdr:grpSpPr>
      <xdr:graphicFrame macro="">
        <xdr:nvGraphicFramePr>
          <xdr:cNvPr id="15" name="Grafico 14">
            <a:extLst>
              <a:ext uri="{FF2B5EF4-FFF2-40B4-BE49-F238E27FC236}">
                <a16:creationId xmlns:a16="http://schemas.microsoft.com/office/drawing/2014/main" id="{408FB116-EE2C-4EE3-97C5-32192A7FCB0E}"/>
              </a:ext>
            </a:extLst>
          </xdr:cNvPr>
          <xdr:cNvGraphicFramePr/>
        </xdr:nvGraphicFramePr>
        <xdr:xfrm>
          <a:off x="28313744" y="7315199"/>
          <a:ext cx="5279571" cy="4517572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7"/>
          </a:graphicData>
        </a:graphic>
      </xdr:graphicFrame>
      <xdr:sp macro="" textlink="$AD$52">
        <xdr:nvSpPr>
          <xdr:cNvPr id="3" name="CasellaDiTesto 2">
            <a:extLst>
              <a:ext uri="{FF2B5EF4-FFF2-40B4-BE49-F238E27FC236}">
                <a16:creationId xmlns:a16="http://schemas.microsoft.com/office/drawing/2014/main" id="{BA8BFB33-4B8C-4181-B7E0-E21DBD8FCC91}"/>
              </a:ext>
            </a:extLst>
          </xdr:cNvPr>
          <xdr:cNvSpPr txBox="1"/>
        </xdr:nvSpPr>
        <xdr:spPr>
          <a:xfrm>
            <a:off x="32580944" y="9252856"/>
            <a:ext cx="936171" cy="337457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fld id="{2F2652D0-B534-4849-91E7-761848BEA310}" type="TxLink">
              <a:rPr lang="en-US" sz="1800" b="1" i="0" u="none" strike="noStrike">
                <a:solidFill>
                  <a:srgbClr val="FF0000"/>
                </a:solidFill>
                <a:latin typeface="Calibri"/>
                <a:cs typeface="Calibri"/>
              </a:rPr>
              <a:pPr/>
              <a:t>Liguria</a:t>
            </a:fld>
            <a:endParaRPr lang="it-IT" sz="1800" b="1">
              <a:solidFill>
                <a:srgbClr val="FF0000"/>
              </a:solidFill>
            </a:endParaRPr>
          </a:p>
        </xdr:txBody>
      </xdr:sp>
    </xdr:grpSp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0.58374</cdr:x>
      <cdr:y>0.96376</cdr:y>
    </cdr:from>
    <cdr:to>
      <cdr:x>0.70904</cdr:x>
      <cdr:y>1</cdr:y>
    </cdr:to>
    <cdr:sp macro="" textlink="">
      <cdr:nvSpPr>
        <cdr:cNvPr id="4" name="CasellaDiTesto 3">
          <a:extLst xmlns:a="http://schemas.openxmlformats.org/drawingml/2006/main">
            <a:ext uri="{FF2B5EF4-FFF2-40B4-BE49-F238E27FC236}">
              <a16:creationId xmlns:a16="http://schemas.microsoft.com/office/drawing/2014/main" id="{9E257084-BCAB-4780-BA04-59B70F3F6E24}"/>
            </a:ext>
          </a:extLst>
        </cdr:cNvPr>
        <cdr:cNvSpPr txBox="1"/>
      </cdr:nvSpPr>
      <cdr:spPr>
        <a:xfrm xmlns:a="http://schemas.openxmlformats.org/drawingml/2006/main">
          <a:off x="4051467" y="5280210"/>
          <a:ext cx="869576" cy="19856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it-IT" sz="1100"/>
        </a:p>
      </cdr:txBody>
    </cdr: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0.41186</cdr:x>
      <cdr:y>0.89386</cdr:y>
    </cdr:from>
    <cdr:to>
      <cdr:x>0.49078</cdr:x>
      <cdr:y>0.94049</cdr:y>
    </cdr:to>
    <cdr:sp macro="" textlink="Start_data">
      <cdr:nvSpPr>
        <cdr:cNvPr id="2" name="CasellaDiTesto 20">
          <a:extLst xmlns:a="http://schemas.openxmlformats.org/drawingml/2006/main">
            <a:ext uri="{FF2B5EF4-FFF2-40B4-BE49-F238E27FC236}">
              <a16:creationId xmlns:a16="http://schemas.microsoft.com/office/drawing/2014/main" id="{67614E17-2C01-4AAA-9E0E-C8EAA83955DF}"/>
            </a:ext>
          </a:extLst>
        </cdr:cNvPr>
        <cdr:cNvSpPr txBox="1"/>
      </cdr:nvSpPr>
      <cdr:spPr>
        <a:xfrm xmlns:a="http://schemas.openxmlformats.org/drawingml/2006/main">
          <a:off x="1967740" y="2985518"/>
          <a:ext cx="377051" cy="155745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no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fld id="{18CC1527-1ADB-40E3-B99A-8405E79E78CA}" type="TxLink">
            <a:rPr lang="en-US" sz="1100" b="0" i="0" u="none" strike="noStrike">
              <a:solidFill>
                <a:srgbClr val="9C5700"/>
              </a:solidFill>
              <a:latin typeface="Calibri"/>
              <a:cs typeface="Calibri"/>
            </a:rPr>
            <a:pPr/>
            <a:t>01-gen</a:t>
          </a:fld>
          <a:endParaRPr lang="it-IT" sz="1100"/>
        </a:p>
      </cdr:txBody>
    </cdr:sp>
  </cdr:relSizeAnchor>
</c:userShapes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0.58374</cdr:x>
      <cdr:y>0.96376</cdr:y>
    </cdr:from>
    <cdr:to>
      <cdr:x>0.70904</cdr:x>
      <cdr:y>1</cdr:y>
    </cdr:to>
    <cdr:sp macro="" textlink="">
      <cdr:nvSpPr>
        <cdr:cNvPr id="4" name="CasellaDiTesto 3">
          <a:extLst xmlns:a="http://schemas.openxmlformats.org/drawingml/2006/main">
            <a:ext uri="{FF2B5EF4-FFF2-40B4-BE49-F238E27FC236}">
              <a16:creationId xmlns:a16="http://schemas.microsoft.com/office/drawing/2014/main" id="{9E257084-BCAB-4780-BA04-59B70F3F6E24}"/>
            </a:ext>
          </a:extLst>
        </cdr:cNvPr>
        <cdr:cNvSpPr txBox="1"/>
      </cdr:nvSpPr>
      <cdr:spPr>
        <a:xfrm xmlns:a="http://schemas.openxmlformats.org/drawingml/2006/main">
          <a:off x="4051467" y="5280210"/>
          <a:ext cx="869576" cy="19856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it-IT" sz="1100"/>
        </a:p>
      </cdr:txBody>
    </cdr:sp>
  </cdr:relSizeAnchor>
  <cdr:relSizeAnchor xmlns:cdr="http://schemas.openxmlformats.org/drawingml/2006/chartDrawing">
    <cdr:from>
      <cdr:x>0.48797</cdr:x>
      <cdr:y>0.93012</cdr:y>
    </cdr:from>
    <cdr:to>
      <cdr:x>0.61806</cdr:x>
      <cdr:y>1</cdr:y>
    </cdr:to>
    <cdr:sp macro="" textlink="">
      <cdr:nvSpPr>
        <cdr:cNvPr id="3" name="CasellaDiTesto 20">
          <a:extLst xmlns:a="http://schemas.openxmlformats.org/drawingml/2006/main">
            <a:ext uri="{FF2B5EF4-FFF2-40B4-BE49-F238E27FC236}">
              <a16:creationId xmlns:a16="http://schemas.microsoft.com/office/drawing/2014/main" id="{C1427DA8-6C0C-4B18-A7C3-E0E8B18B4071}"/>
            </a:ext>
          </a:extLst>
        </cdr:cNvPr>
        <cdr:cNvSpPr txBox="1"/>
      </cdr:nvSpPr>
      <cdr:spPr>
        <a:xfrm xmlns:a="http://schemas.openxmlformats.org/drawingml/2006/main">
          <a:off x="2576286" y="4212773"/>
          <a:ext cx="686789" cy="315685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square" rtlCol="0" anchor="t">
          <a:no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 b="0" i="0" u="none" strike="noStrike">
              <a:solidFill>
                <a:srgbClr val="9C5700"/>
              </a:solidFill>
              <a:latin typeface="Calibri"/>
              <a:cs typeface="Calibri"/>
            </a:rPr>
            <a:t>01-gen</a:t>
          </a:r>
          <a:endParaRPr lang="it-IT" sz="1100"/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1783976</xdr:colOff>
      <xdr:row>2</xdr:row>
      <xdr:rowOff>0</xdr:rowOff>
    </xdr:from>
    <xdr:ext cx="2761129" cy="955964"/>
    <xdr:sp macro="" textlink="">
      <xdr:nvSpPr>
        <xdr:cNvPr id="11" name="CasellaDiTesto 10">
          <a:extLst>
            <a:ext uri="{FF2B5EF4-FFF2-40B4-BE49-F238E27FC236}">
              <a16:creationId xmlns:a16="http://schemas.microsoft.com/office/drawing/2014/main" id="{1DA2B986-8FD6-4DD2-9DFE-D7A7AC122B4B}"/>
            </a:ext>
          </a:extLst>
        </xdr:cNvPr>
        <xdr:cNvSpPr txBox="1"/>
      </xdr:nvSpPr>
      <xdr:spPr>
        <a:xfrm>
          <a:off x="4948517" y="484094"/>
          <a:ext cx="2761129" cy="955964"/>
        </a:xfrm>
        <a:prstGeom prst="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none" lIns="0" tIns="0" rIns="0" bIns="0" rtlCol="0" anchor="t">
          <a:noAutofit/>
        </a:bodyPr>
        <a:lstStyle/>
        <a:p>
          <a:pPr marL="0" indent="0"/>
          <a:endParaRPr lang="it-IT" sz="1100" b="0" i="1">
            <a:solidFill>
              <a:schemeClr val="tx1"/>
            </a:solidFill>
            <a:effectLst/>
            <a:latin typeface="Cambria Math" panose="02040503050406030204" pitchFamily="18" charset="0"/>
            <a:ea typeface="+mn-ea"/>
            <a:cs typeface="+mn-cs"/>
          </a:endParaRPr>
        </a:p>
      </xdr:txBody>
    </xdr:sp>
    <xdr:clientData/>
  </xdr:oneCellAnchor>
  <xdr:oneCellAnchor>
    <xdr:from>
      <xdr:col>5</xdr:col>
      <xdr:colOff>27709</xdr:colOff>
      <xdr:row>2</xdr:row>
      <xdr:rowOff>224117</xdr:rowOff>
    </xdr:from>
    <xdr:ext cx="2733420" cy="66294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" name="CasellaDiTesto 13">
              <a:extLst>
                <a:ext uri="{FF2B5EF4-FFF2-40B4-BE49-F238E27FC236}">
                  <a16:creationId xmlns:a16="http://schemas.microsoft.com/office/drawing/2014/main" id="{5C96BCB5-5A1D-44B9-B2C7-54CD72640423}"/>
                </a:ext>
              </a:extLst>
            </xdr:cNvPr>
            <xdr:cNvSpPr txBox="1"/>
          </xdr:nvSpPr>
          <xdr:spPr>
            <a:xfrm>
              <a:off x="4976227" y="708211"/>
              <a:ext cx="2733420" cy="6629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it-IT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𝐶𝑑𝑓</m:t>
                    </m:r>
                    <m:r>
                      <a:rPr lang="it-IT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</m:t>
                    </m:r>
                    <m:r>
                      <a:rPr lang="it-IT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𝐾</m:t>
                    </m:r>
                    <m:f>
                      <m:fPr>
                        <m:ctrlPr>
                          <a:rPr lang="it-IT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fPr>
                      <m:num>
                        <m:func>
                          <m:funcPr>
                            <m:ctrlPr>
                              <a:rPr lang="it-IT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funcPr>
                          <m:fName>
                            <m:r>
                              <m:rPr>
                                <m:sty m:val="p"/>
                              </m:rPr>
                              <a:rPr lang="it-IT" sz="1100" b="0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tanh</m:t>
                            </m:r>
                          </m:fName>
                          <m:e>
                            <m:d>
                              <m:dPr>
                                <m:ctrlPr>
                                  <a:rPr lang="it-IT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dPr>
                              <m:e>
                                <m:r>
                                  <a:rPr lang="it-IT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𝜓</m:t>
                                </m:r>
                                <m:r>
                                  <a:rPr lang="it-IT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𝑡</m:t>
                                </m:r>
                                <m:r>
                                  <a:rPr lang="it-IT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−</m:t>
                                </m:r>
                                <m:r>
                                  <a:rPr lang="it-IT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𝜑</m:t>
                                </m:r>
                              </m:e>
                            </m:d>
                          </m:e>
                        </m:func>
                        <m:r>
                          <a:rPr lang="it-IT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r>
                          <a:rPr lang="it-IT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𝑡𝑎𝑛h</m:t>
                        </m:r>
                        <m:r>
                          <a:rPr lang="it-IT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𝜑</m:t>
                        </m:r>
                      </m:num>
                      <m:den>
                        <m:r>
                          <a:rPr lang="it-IT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1+</m:t>
                        </m:r>
                        <m:r>
                          <a:rPr lang="it-IT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𝑡𝑎𝑛h</m:t>
                        </m:r>
                        <m:r>
                          <a:rPr lang="it-IT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𝜑</m:t>
                        </m:r>
                      </m:den>
                    </m:f>
                  </m:oMath>
                </m:oMathPara>
              </a14:m>
              <a:endParaRPr lang="it-IT" sz="1400">
                <a:effectLst/>
              </a:endParaRPr>
            </a:p>
          </xdr:txBody>
        </xdr:sp>
      </mc:Choice>
      <mc:Fallback xmlns="">
        <xdr:sp macro="" textlink="">
          <xdr:nvSpPr>
            <xdr:cNvPr id="14" name="CasellaDiTesto 13">
              <a:extLst>
                <a:ext uri="{FF2B5EF4-FFF2-40B4-BE49-F238E27FC236}">
                  <a16:creationId xmlns:a16="http://schemas.microsoft.com/office/drawing/2014/main" id="{5C96BCB5-5A1D-44B9-B2C7-54CD72640423}"/>
                </a:ext>
              </a:extLst>
            </xdr:cNvPr>
            <xdr:cNvSpPr txBox="1"/>
          </xdr:nvSpPr>
          <xdr:spPr>
            <a:xfrm>
              <a:off x="4976227" y="708211"/>
              <a:ext cx="2733420" cy="6629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r>
                <a:rPr lang="it-I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𝐶𝑑𝑓=𝐾 ( tanh⁡(𝜓𝑡−𝜑)+𝑡𝑎𝑛ℎ𝜑)/(1+𝑡𝑎𝑛ℎ𝜑)</a:t>
              </a:r>
              <a:endParaRPr lang="it-IT" sz="1400">
                <a:effectLst/>
              </a:endParaRPr>
            </a:p>
          </xdr:txBody>
        </xdr:sp>
      </mc:Fallback>
    </mc:AlternateContent>
    <xdr:clientData/>
  </xdr:oneCellAnchor>
  <xdr:oneCellAnchor>
    <xdr:from>
      <xdr:col>10</xdr:col>
      <xdr:colOff>469075</xdr:colOff>
      <xdr:row>3</xdr:row>
      <xdr:rowOff>7917</xdr:rowOff>
    </xdr:from>
    <xdr:ext cx="3048000" cy="66294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" name="CasellaDiTesto 11">
              <a:extLst>
                <a:ext uri="{FF2B5EF4-FFF2-40B4-BE49-F238E27FC236}">
                  <a16:creationId xmlns:a16="http://schemas.microsoft.com/office/drawing/2014/main" id="{5C6A0994-61E9-4F18-9322-B05B3C30B947}"/>
                </a:ext>
              </a:extLst>
            </xdr:cNvPr>
            <xdr:cNvSpPr txBox="1"/>
          </xdr:nvSpPr>
          <xdr:spPr>
            <a:xfrm>
              <a:off x="11497293" y="714499"/>
              <a:ext cx="3048000" cy="6629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it-IT" sz="1400" b="0" i="1">
                        <a:solidFill>
                          <a:sysClr val="windowText" lastClr="000000"/>
                        </a:solidFill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𝑃𝑑𝑓</m:t>
                    </m:r>
                    <m:r>
                      <a:rPr lang="it-IT" sz="1400" b="0" i="1">
                        <a:solidFill>
                          <a:sysClr val="windowText" lastClr="000000"/>
                        </a:solidFill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r>
                      <a:rPr lang="it-IT" sz="1400" b="0" i="1">
                        <a:solidFill>
                          <a:sysClr val="windowText" lastClr="000000"/>
                        </a:solidFill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𝑘</m:t>
                    </m:r>
                    <m:sSup>
                      <m:sSupPr>
                        <m:ctrlPr>
                          <a:rPr lang="it-IT" sz="1400" b="0" i="1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it-IT" sz="1400" b="0" i="1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𝑠𝑒𝑐h</m:t>
                        </m:r>
                      </m:e>
                      <m:sup>
                        <m:r>
                          <a:rPr lang="it-IT" sz="1400" b="0" i="1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2</m:t>
                        </m:r>
                      </m:sup>
                    </m:sSup>
                    <m:d>
                      <m:dPr>
                        <m:ctrlPr>
                          <a:rPr lang="it-IT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dPr>
                      <m:e>
                        <m:r>
                          <a:rPr lang="it-IT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𝜓</m:t>
                        </m:r>
                        <m:r>
                          <a:rPr lang="it-IT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𝑡</m:t>
                        </m:r>
                        <m:r>
                          <a:rPr lang="it-IT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r>
                          <a:rPr lang="it-IT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𝜑</m:t>
                        </m:r>
                      </m:e>
                    </m:d>
                  </m:oMath>
                </m:oMathPara>
              </a14:m>
              <a:endParaRPr lang="it-IT" sz="1600">
                <a:solidFill>
                  <a:srgbClr val="FF0000"/>
                </a:solidFill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 xmlns="">
        <xdr:sp macro="" textlink="">
          <xdr:nvSpPr>
            <xdr:cNvPr id="12" name="CasellaDiTesto 11">
              <a:extLst>
                <a:ext uri="{FF2B5EF4-FFF2-40B4-BE49-F238E27FC236}">
                  <a16:creationId xmlns:a16="http://schemas.microsoft.com/office/drawing/2014/main" id="{5C6A0994-61E9-4F18-9322-B05B3C30B947}"/>
                </a:ext>
              </a:extLst>
            </xdr:cNvPr>
            <xdr:cNvSpPr txBox="1"/>
          </xdr:nvSpPr>
          <xdr:spPr>
            <a:xfrm>
              <a:off x="11497293" y="714499"/>
              <a:ext cx="3048000" cy="6629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it-IT" sz="1400" b="0" i="0">
                  <a:solidFill>
                    <a:sysClr val="windowText" lastClr="000000"/>
                  </a:solidFill>
                  <a:latin typeface="Cambria Math" panose="02040503050406030204" pitchFamily="18" charset="0"/>
                  <a:ea typeface="Cambria Math" panose="02040503050406030204" pitchFamily="18" charset="0"/>
                </a:rPr>
                <a:t>𝑃𝑑𝑓=𝑘〖𝑠𝑒𝑐ℎ〗^2</a:t>
              </a:r>
              <a:r>
                <a:rPr lang="it-I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(𝜓𝑡−𝜑)</a:t>
              </a:r>
              <a:endParaRPr lang="it-IT" sz="1600">
                <a:solidFill>
                  <a:srgbClr val="FF0000"/>
                </a:solidFill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twoCellAnchor>
    <xdr:from>
      <xdr:col>43</xdr:col>
      <xdr:colOff>25904</xdr:colOff>
      <xdr:row>88</xdr:row>
      <xdr:rowOff>126260</xdr:rowOff>
    </xdr:from>
    <xdr:to>
      <xdr:col>48</xdr:col>
      <xdr:colOff>186047</xdr:colOff>
      <xdr:row>113</xdr:row>
      <xdr:rowOff>10886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AE521C16-D5BC-4F75-B1E5-95B2F1AC4B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48</xdr:col>
      <xdr:colOff>312659</xdr:colOff>
      <xdr:row>88</xdr:row>
      <xdr:rowOff>123001</xdr:rowOff>
    </xdr:from>
    <xdr:to>
      <xdr:col>57</xdr:col>
      <xdr:colOff>217715</xdr:colOff>
      <xdr:row>113</xdr:row>
      <xdr:rowOff>10886</xdr:rowOff>
    </xdr:to>
    <xdr:graphicFrame macro="">
      <xdr:nvGraphicFramePr>
        <xdr:cNvPr id="13" name="Grafico 12">
          <a:extLst>
            <a:ext uri="{FF2B5EF4-FFF2-40B4-BE49-F238E27FC236}">
              <a16:creationId xmlns:a16="http://schemas.microsoft.com/office/drawing/2014/main" id="{7B7ACF9B-9BCB-4207-9A2C-F6E5F9EFAD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57</xdr:col>
      <xdr:colOff>354572</xdr:colOff>
      <xdr:row>88</xdr:row>
      <xdr:rowOff>135751</xdr:rowOff>
    </xdr:from>
    <xdr:to>
      <xdr:col>67</xdr:col>
      <xdr:colOff>171202</xdr:colOff>
      <xdr:row>113</xdr:row>
      <xdr:rowOff>21773</xdr:rowOff>
    </xdr:to>
    <xdr:graphicFrame macro="">
      <xdr:nvGraphicFramePr>
        <xdr:cNvPr id="21" name="Grafico 20">
          <a:extLst>
            <a:ext uri="{FF2B5EF4-FFF2-40B4-BE49-F238E27FC236}">
              <a16:creationId xmlns:a16="http://schemas.microsoft.com/office/drawing/2014/main" id="{193BAA6C-E4CA-496C-86C1-5B2CE86E13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43</xdr:col>
      <xdr:colOff>25263</xdr:colOff>
      <xdr:row>62</xdr:row>
      <xdr:rowOff>66499</xdr:rowOff>
    </xdr:from>
    <xdr:to>
      <xdr:col>48</xdr:col>
      <xdr:colOff>484908</xdr:colOff>
      <xdr:row>87</xdr:row>
      <xdr:rowOff>138545</xdr:rowOff>
    </xdr:to>
    <xdr:grpSp>
      <xdr:nvGrpSpPr>
        <xdr:cNvPr id="4" name="Gruppo 3">
          <a:extLst>
            <a:ext uri="{FF2B5EF4-FFF2-40B4-BE49-F238E27FC236}">
              <a16:creationId xmlns:a16="http://schemas.microsoft.com/office/drawing/2014/main" id="{AB583884-3606-4C41-A0BC-3D4A566F01F2}"/>
            </a:ext>
          </a:extLst>
        </xdr:cNvPr>
        <xdr:cNvGrpSpPr/>
      </xdr:nvGrpSpPr>
      <xdr:grpSpPr>
        <a:xfrm>
          <a:off x="52831863" y="11267899"/>
          <a:ext cx="6174645" cy="3882046"/>
          <a:chOff x="45703699" y="12203081"/>
          <a:chExt cx="6181573" cy="4574773"/>
        </a:xfrm>
      </xdr:grpSpPr>
      <xdr:graphicFrame macro="">
        <xdr:nvGraphicFramePr>
          <xdr:cNvPr id="17" name="Grafico 16">
            <a:extLst>
              <a:ext uri="{FF2B5EF4-FFF2-40B4-BE49-F238E27FC236}">
                <a16:creationId xmlns:a16="http://schemas.microsoft.com/office/drawing/2014/main" id="{45365524-1683-4C08-8DDF-8CCDA0315958}"/>
              </a:ext>
            </a:extLst>
          </xdr:cNvPr>
          <xdr:cNvGraphicFramePr>
            <a:graphicFrameLocks/>
          </xdr:cNvGraphicFramePr>
        </xdr:nvGraphicFramePr>
        <xdr:xfrm>
          <a:off x="45703699" y="12203081"/>
          <a:ext cx="6181573" cy="457477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4"/>
          </a:graphicData>
        </a:graphic>
      </xdr:graphicFrame>
      <xdr:sp macro="" textlink="$B$8">
        <xdr:nvSpPr>
          <xdr:cNvPr id="27" name="CasellaDiTesto 26">
            <a:extLst>
              <a:ext uri="{FF2B5EF4-FFF2-40B4-BE49-F238E27FC236}">
                <a16:creationId xmlns:a16="http://schemas.microsoft.com/office/drawing/2014/main" id="{C274B8A4-09CA-4700-ADB2-3D37453FEE77}"/>
              </a:ext>
            </a:extLst>
          </xdr:cNvPr>
          <xdr:cNvSpPr txBox="1"/>
        </xdr:nvSpPr>
        <xdr:spPr>
          <a:xfrm>
            <a:off x="48615599" y="16403780"/>
            <a:ext cx="595746" cy="26323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fld id="{DA042946-A852-47D0-A468-DBF120FFA9F2}" type="TxLink">
              <a:rPr lang="en-US" sz="1100" b="0" i="0" u="none" strike="noStrike">
                <a:ln>
                  <a:noFill/>
                </a:ln>
                <a:solidFill>
                  <a:srgbClr val="9C5700"/>
                </a:solidFill>
                <a:latin typeface="Calibri"/>
                <a:cs typeface="Calibri"/>
              </a:rPr>
              <a:pPr/>
              <a:t>01-gen</a:t>
            </a:fld>
            <a:endParaRPr lang="it-IT" sz="1100">
              <a:ln>
                <a:noFill/>
              </a:ln>
            </a:endParaRPr>
          </a:p>
        </xdr:txBody>
      </xdr:sp>
    </xdr:grpSp>
    <xdr:clientData/>
  </xdr:twoCellAnchor>
  <xdr:twoCellAnchor>
    <xdr:from>
      <xdr:col>48</xdr:col>
      <xdr:colOff>163286</xdr:colOff>
      <xdr:row>6</xdr:row>
      <xdr:rowOff>27764</xdr:rowOff>
    </xdr:from>
    <xdr:to>
      <xdr:col>56</xdr:col>
      <xdr:colOff>522514</xdr:colOff>
      <xdr:row>26</xdr:row>
      <xdr:rowOff>83128</xdr:rowOff>
    </xdr:to>
    <xdr:grpSp>
      <xdr:nvGrpSpPr>
        <xdr:cNvPr id="8" name="Gruppo 7">
          <a:extLst>
            <a:ext uri="{FF2B5EF4-FFF2-40B4-BE49-F238E27FC236}">
              <a16:creationId xmlns:a16="http://schemas.microsoft.com/office/drawing/2014/main" id="{B55350FE-EFD7-46C9-8F24-26EA7E6E9D3B}"/>
            </a:ext>
          </a:extLst>
        </xdr:cNvPr>
        <xdr:cNvGrpSpPr/>
      </xdr:nvGrpSpPr>
      <xdr:grpSpPr>
        <a:xfrm>
          <a:off x="58684886" y="1399364"/>
          <a:ext cx="5388428" cy="3789164"/>
          <a:chOff x="49648579" y="2024799"/>
          <a:chExt cx="6697857" cy="5179564"/>
        </a:xfrm>
      </xdr:grpSpPr>
      <xdr:graphicFrame macro="">
        <xdr:nvGraphicFramePr>
          <xdr:cNvPr id="2" name="Grafico 1">
            <a:extLst>
              <a:ext uri="{FF2B5EF4-FFF2-40B4-BE49-F238E27FC236}">
                <a16:creationId xmlns:a16="http://schemas.microsoft.com/office/drawing/2014/main" id="{5D623BEF-6D5C-4350-9007-0BD6128C0182}"/>
              </a:ext>
            </a:extLst>
          </xdr:cNvPr>
          <xdr:cNvGraphicFramePr/>
        </xdr:nvGraphicFramePr>
        <xdr:xfrm>
          <a:off x="49648579" y="2024799"/>
          <a:ext cx="6697857" cy="5179564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5"/>
          </a:graphicData>
        </a:graphic>
      </xdr:graphicFrame>
      <xdr:sp macro="" textlink="$B$8">
        <xdr:nvSpPr>
          <xdr:cNvPr id="29" name="CasellaDiTesto 28">
            <a:extLst>
              <a:ext uri="{FF2B5EF4-FFF2-40B4-BE49-F238E27FC236}">
                <a16:creationId xmlns:a16="http://schemas.microsoft.com/office/drawing/2014/main" id="{6266CE2D-1836-4634-9CF8-929A6EA84B7D}"/>
              </a:ext>
            </a:extLst>
          </xdr:cNvPr>
          <xdr:cNvSpPr txBox="1"/>
        </xdr:nvSpPr>
        <xdr:spPr>
          <a:xfrm>
            <a:off x="53677842" y="6769734"/>
            <a:ext cx="793354" cy="35862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fld id="{DA042946-A852-47D0-A468-DBF120FFA9F2}" type="TxLink">
              <a:rPr lang="en-US" sz="1100" b="0" i="0" u="none" strike="noStrike">
                <a:ln>
                  <a:noFill/>
                </a:ln>
                <a:solidFill>
                  <a:srgbClr val="9C5700"/>
                </a:solidFill>
                <a:latin typeface="Calibri"/>
                <a:cs typeface="Calibri"/>
              </a:rPr>
              <a:pPr/>
              <a:t>01-gen</a:t>
            </a:fld>
            <a:endParaRPr lang="it-IT" sz="1100">
              <a:ln>
                <a:noFill/>
              </a:ln>
            </a:endParaRPr>
          </a:p>
        </xdr:txBody>
      </xdr:sp>
    </xdr:grpSp>
    <xdr:clientData/>
  </xdr:twoCellAnchor>
  <xdr:twoCellAnchor>
    <xdr:from>
      <xdr:col>59</xdr:col>
      <xdr:colOff>243515</xdr:colOff>
      <xdr:row>61</xdr:row>
      <xdr:rowOff>158107</xdr:rowOff>
    </xdr:from>
    <xdr:to>
      <xdr:col>69</xdr:col>
      <xdr:colOff>595745</xdr:colOff>
      <xdr:row>87</xdr:row>
      <xdr:rowOff>83128</xdr:rowOff>
    </xdr:to>
    <xdr:grpSp>
      <xdr:nvGrpSpPr>
        <xdr:cNvPr id="6" name="Gruppo 5">
          <a:extLst>
            <a:ext uri="{FF2B5EF4-FFF2-40B4-BE49-F238E27FC236}">
              <a16:creationId xmlns:a16="http://schemas.microsoft.com/office/drawing/2014/main" id="{4DE758A0-AE09-4C67-8F84-BE7B4BB223A1}"/>
            </a:ext>
          </a:extLst>
        </xdr:cNvPr>
        <xdr:cNvGrpSpPr/>
      </xdr:nvGrpSpPr>
      <xdr:grpSpPr>
        <a:xfrm>
          <a:off x="65699315" y="11207107"/>
          <a:ext cx="6448230" cy="3887421"/>
          <a:chOff x="58529588" y="12114580"/>
          <a:chExt cx="6448230" cy="4607857"/>
        </a:xfrm>
      </xdr:grpSpPr>
      <xdr:graphicFrame macro="">
        <xdr:nvGraphicFramePr>
          <xdr:cNvPr id="19" name="Grafico 18">
            <a:extLst>
              <a:ext uri="{FF2B5EF4-FFF2-40B4-BE49-F238E27FC236}">
                <a16:creationId xmlns:a16="http://schemas.microsoft.com/office/drawing/2014/main" id="{CE4EBA3C-E971-4082-9011-FBBDE17545E7}"/>
              </a:ext>
            </a:extLst>
          </xdr:cNvPr>
          <xdr:cNvGraphicFramePr>
            <a:graphicFrameLocks/>
          </xdr:cNvGraphicFramePr>
        </xdr:nvGraphicFramePr>
        <xdr:xfrm>
          <a:off x="58529588" y="12114580"/>
          <a:ext cx="6448230" cy="4607857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6"/>
          </a:graphicData>
        </a:graphic>
      </xdr:graphicFrame>
      <xdr:sp macro="" textlink="$B$8">
        <xdr:nvSpPr>
          <xdr:cNvPr id="30" name="CasellaDiTesto 29">
            <a:extLst>
              <a:ext uri="{FF2B5EF4-FFF2-40B4-BE49-F238E27FC236}">
                <a16:creationId xmlns:a16="http://schemas.microsoft.com/office/drawing/2014/main" id="{47D6BD98-B2F3-48C5-8C1A-F26D8E8F780D}"/>
              </a:ext>
            </a:extLst>
          </xdr:cNvPr>
          <xdr:cNvSpPr txBox="1"/>
        </xdr:nvSpPr>
        <xdr:spPr>
          <a:xfrm>
            <a:off x="61597309" y="16362217"/>
            <a:ext cx="595746" cy="26323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fld id="{DA042946-A852-47D0-A468-DBF120FFA9F2}" type="TxLink">
              <a:rPr lang="en-US" sz="1100" b="0" i="0" u="none" strike="noStrike">
                <a:ln>
                  <a:noFill/>
                </a:ln>
                <a:solidFill>
                  <a:srgbClr val="9C5700"/>
                </a:solidFill>
                <a:latin typeface="Calibri"/>
                <a:cs typeface="Calibri"/>
              </a:rPr>
              <a:pPr/>
              <a:t>01-gen</a:t>
            </a:fld>
            <a:endParaRPr lang="it-IT" sz="1100">
              <a:ln>
                <a:noFill/>
              </a:ln>
            </a:endParaRPr>
          </a:p>
        </xdr:txBody>
      </xdr:sp>
    </xdr:grpSp>
    <xdr:clientData/>
  </xdr:twoCellAnchor>
  <xdr:twoCellAnchor>
    <xdr:from>
      <xdr:col>49</xdr:col>
      <xdr:colOff>61774</xdr:colOff>
      <xdr:row>61</xdr:row>
      <xdr:rowOff>113117</xdr:rowOff>
    </xdr:from>
    <xdr:to>
      <xdr:col>59</xdr:col>
      <xdr:colOff>138545</xdr:colOff>
      <xdr:row>86</xdr:row>
      <xdr:rowOff>138546</xdr:rowOff>
    </xdr:to>
    <xdr:grpSp>
      <xdr:nvGrpSpPr>
        <xdr:cNvPr id="5" name="Gruppo 4">
          <a:extLst>
            <a:ext uri="{FF2B5EF4-FFF2-40B4-BE49-F238E27FC236}">
              <a16:creationId xmlns:a16="http://schemas.microsoft.com/office/drawing/2014/main" id="{334284C0-D124-47E1-BDF3-0BAE65318AFF}"/>
            </a:ext>
          </a:extLst>
        </xdr:cNvPr>
        <xdr:cNvGrpSpPr/>
      </xdr:nvGrpSpPr>
      <xdr:grpSpPr>
        <a:xfrm>
          <a:off x="59192974" y="11162117"/>
          <a:ext cx="6401371" cy="3835429"/>
          <a:chOff x="52071738" y="12069590"/>
          <a:chExt cx="6352880" cy="4528156"/>
        </a:xfrm>
      </xdr:grpSpPr>
      <xdr:graphicFrame macro="">
        <xdr:nvGraphicFramePr>
          <xdr:cNvPr id="18" name="Grafico 17">
            <a:extLst>
              <a:ext uri="{FF2B5EF4-FFF2-40B4-BE49-F238E27FC236}">
                <a16:creationId xmlns:a16="http://schemas.microsoft.com/office/drawing/2014/main" id="{E458C615-7F1F-467C-A072-D2730B1EDD2D}"/>
              </a:ext>
            </a:extLst>
          </xdr:cNvPr>
          <xdr:cNvGraphicFramePr>
            <a:graphicFrameLocks/>
          </xdr:cNvGraphicFramePr>
        </xdr:nvGraphicFramePr>
        <xdr:xfrm>
          <a:off x="52071738" y="12069590"/>
          <a:ext cx="6352880" cy="4528156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7"/>
          </a:graphicData>
        </a:graphic>
      </xdr:graphicFrame>
      <xdr:sp macro="" textlink="$B$8">
        <xdr:nvSpPr>
          <xdr:cNvPr id="31" name="CasellaDiTesto 30">
            <a:extLst>
              <a:ext uri="{FF2B5EF4-FFF2-40B4-BE49-F238E27FC236}">
                <a16:creationId xmlns:a16="http://schemas.microsoft.com/office/drawing/2014/main" id="{451622B3-0829-4658-81D4-778A6069D79D}"/>
              </a:ext>
            </a:extLst>
          </xdr:cNvPr>
          <xdr:cNvSpPr txBox="1"/>
        </xdr:nvSpPr>
        <xdr:spPr>
          <a:xfrm>
            <a:off x="55044111" y="16237527"/>
            <a:ext cx="595746" cy="26323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fld id="{DA042946-A852-47D0-A468-DBF120FFA9F2}" type="TxLink">
              <a:rPr lang="en-US" sz="1100" b="0" i="0" u="none" strike="noStrike">
                <a:ln>
                  <a:noFill/>
                </a:ln>
                <a:solidFill>
                  <a:srgbClr val="9C5700"/>
                </a:solidFill>
                <a:latin typeface="Calibri"/>
                <a:cs typeface="Calibri"/>
              </a:rPr>
              <a:pPr/>
              <a:t>01-gen</a:t>
            </a:fld>
            <a:endParaRPr lang="it-IT" sz="1100">
              <a:ln>
                <a:noFill/>
              </a:ln>
            </a:endParaRPr>
          </a:p>
        </xdr:txBody>
      </xdr:sp>
    </xdr:grpSp>
    <xdr:clientData/>
  </xdr:twoCellAnchor>
  <xdr:twoCellAnchor>
    <xdr:from>
      <xdr:col>58</xdr:col>
      <xdr:colOff>92325</xdr:colOff>
      <xdr:row>27</xdr:row>
      <xdr:rowOff>190994</xdr:rowOff>
    </xdr:from>
    <xdr:to>
      <xdr:col>68</xdr:col>
      <xdr:colOff>72241</xdr:colOff>
      <xdr:row>48</xdr:row>
      <xdr:rowOff>103910</xdr:rowOff>
    </xdr:to>
    <xdr:grpSp>
      <xdr:nvGrpSpPr>
        <xdr:cNvPr id="9" name="Gruppo 8">
          <a:extLst>
            <a:ext uri="{FF2B5EF4-FFF2-40B4-BE49-F238E27FC236}">
              <a16:creationId xmlns:a16="http://schemas.microsoft.com/office/drawing/2014/main" id="{ABDE3383-7408-43D8-B438-484A6FC56597}"/>
            </a:ext>
          </a:extLst>
        </xdr:cNvPr>
        <xdr:cNvGrpSpPr/>
      </xdr:nvGrpSpPr>
      <xdr:grpSpPr>
        <a:xfrm>
          <a:off x="64938525" y="5524994"/>
          <a:ext cx="6075916" cy="3570516"/>
          <a:chOff x="57779684" y="7952509"/>
          <a:chExt cx="6075916" cy="3791199"/>
        </a:xfrm>
      </xdr:grpSpPr>
      <xdr:graphicFrame macro="">
        <xdr:nvGraphicFramePr>
          <xdr:cNvPr id="16" name="Grafico 15">
            <a:extLst>
              <a:ext uri="{FF2B5EF4-FFF2-40B4-BE49-F238E27FC236}">
                <a16:creationId xmlns:a16="http://schemas.microsoft.com/office/drawing/2014/main" id="{9D94183B-0E2E-4986-B776-9367A08D4AD3}"/>
              </a:ext>
            </a:extLst>
          </xdr:cNvPr>
          <xdr:cNvGraphicFramePr>
            <a:graphicFrameLocks/>
          </xdr:cNvGraphicFramePr>
        </xdr:nvGraphicFramePr>
        <xdr:xfrm>
          <a:off x="57779684" y="7952509"/>
          <a:ext cx="6075916" cy="3791199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8"/>
          </a:graphicData>
        </a:graphic>
      </xdr:graphicFrame>
      <xdr:sp macro="" textlink="$B$8">
        <xdr:nvSpPr>
          <xdr:cNvPr id="32" name="CasellaDiTesto 31">
            <a:extLst>
              <a:ext uri="{FF2B5EF4-FFF2-40B4-BE49-F238E27FC236}">
                <a16:creationId xmlns:a16="http://schemas.microsoft.com/office/drawing/2014/main" id="{BCA51D8B-73C1-458B-87A2-204935E18BA5}"/>
              </a:ext>
            </a:extLst>
          </xdr:cNvPr>
          <xdr:cNvSpPr txBox="1"/>
        </xdr:nvSpPr>
        <xdr:spPr>
          <a:xfrm>
            <a:off x="60669055" y="11360727"/>
            <a:ext cx="595746" cy="26323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fld id="{DA042946-A852-47D0-A468-DBF120FFA9F2}" type="TxLink">
              <a:rPr lang="en-US" sz="1100" b="0" i="0" u="none" strike="noStrike">
                <a:ln>
                  <a:noFill/>
                </a:ln>
                <a:solidFill>
                  <a:srgbClr val="9C5700"/>
                </a:solidFill>
                <a:latin typeface="Calibri"/>
                <a:cs typeface="Calibri"/>
              </a:rPr>
              <a:pPr/>
              <a:t>01-gen</a:t>
            </a:fld>
            <a:endParaRPr lang="it-IT" sz="1100">
              <a:ln>
                <a:noFill/>
              </a:ln>
            </a:endParaRPr>
          </a:p>
        </xdr:txBody>
      </xdr:sp>
    </xdr:grpSp>
    <xdr:clientData/>
  </xdr:twoCellAnchor>
  <xdr:twoCellAnchor>
    <xdr:from>
      <xdr:col>70</xdr:col>
      <xdr:colOff>97972</xdr:colOff>
      <xdr:row>61</xdr:row>
      <xdr:rowOff>174171</xdr:rowOff>
    </xdr:from>
    <xdr:to>
      <xdr:col>80</xdr:col>
      <xdr:colOff>346364</xdr:colOff>
      <xdr:row>87</xdr:row>
      <xdr:rowOff>88074</xdr:rowOff>
    </xdr:to>
    <xdr:grpSp>
      <xdr:nvGrpSpPr>
        <xdr:cNvPr id="24" name="Gruppo 23">
          <a:extLst>
            <a:ext uri="{FF2B5EF4-FFF2-40B4-BE49-F238E27FC236}">
              <a16:creationId xmlns:a16="http://schemas.microsoft.com/office/drawing/2014/main" id="{BFBE208D-52F9-4AAB-85F7-C0512BB98D6D}"/>
            </a:ext>
          </a:extLst>
        </xdr:cNvPr>
        <xdr:cNvGrpSpPr/>
      </xdr:nvGrpSpPr>
      <xdr:grpSpPr>
        <a:xfrm>
          <a:off x="72259372" y="11223171"/>
          <a:ext cx="6344392" cy="3876303"/>
          <a:chOff x="71834829" y="12333514"/>
          <a:chExt cx="6344392" cy="4725389"/>
        </a:xfrm>
      </xdr:grpSpPr>
      <xdr:graphicFrame macro="">
        <xdr:nvGraphicFramePr>
          <xdr:cNvPr id="20" name="Grafico 19">
            <a:extLst>
              <a:ext uri="{FF2B5EF4-FFF2-40B4-BE49-F238E27FC236}">
                <a16:creationId xmlns:a16="http://schemas.microsoft.com/office/drawing/2014/main" id="{BA06B07B-4246-4AE7-9C73-F7F0486044C4}"/>
              </a:ext>
            </a:extLst>
          </xdr:cNvPr>
          <xdr:cNvGraphicFramePr>
            <a:graphicFrameLocks/>
          </xdr:cNvGraphicFramePr>
        </xdr:nvGraphicFramePr>
        <xdr:xfrm>
          <a:off x="71834829" y="12333514"/>
          <a:ext cx="6344392" cy="4725389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9"/>
          </a:graphicData>
        </a:graphic>
      </xdr:graphicFrame>
      <xdr:sp macro="" textlink="$B$8">
        <xdr:nvSpPr>
          <xdr:cNvPr id="33" name="CasellaDiTesto 32">
            <a:extLst>
              <a:ext uri="{FF2B5EF4-FFF2-40B4-BE49-F238E27FC236}">
                <a16:creationId xmlns:a16="http://schemas.microsoft.com/office/drawing/2014/main" id="{0AEA9B35-D2AB-467F-8D8B-0E095F351D30}"/>
              </a:ext>
            </a:extLst>
          </xdr:cNvPr>
          <xdr:cNvSpPr txBox="1"/>
        </xdr:nvSpPr>
        <xdr:spPr>
          <a:xfrm>
            <a:off x="74806628" y="16685821"/>
            <a:ext cx="595746" cy="26818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fld id="{DA042946-A852-47D0-A468-DBF120FFA9F2}" type="TxLink">
              <a:rPr lang="en-US" sz="1100" b="0" i="0" u="none" strike="noStrike">
                <a:ln>
                  <a:noFill/>
                </a:ln>
                <a:solidFill>
                  <a:srgbClr val="9C5700"/>
                </a:solidFill>
                <a:latin typeface="Calibri"/>
                <a:cs typeface="Calibri"/>
              </a:rPr>
              <a:pPr/>
              <a:t>01-gen</a:t>
            </a:fld>
            <a:endParaRPr lang="it-IT" sz="1100">
              <a:ln>
                <a:noFill/>
              </a:ln>
            </a:endParaRPr>
          </a:p>
        </xdr:txBody>
      </xdr:sp>
    </xdr:grpSp>
    <xdr:clientData/>
  </xdr:twoCellAnchor>
  <xdr:twoCellAnchor>
    <xdr:from>
      <xdr:col>58</xdr:col>
      <xdr:colOff>74221</xdr:colOff>
      <xdr:row>6</xdr:row>
      <xdr:rowOff>16823</xdr:rowOff>
    </xdr:from>
    <xdr:to>
      <xdr:col>66</xdr:col>
      <xdr:colOff>576943</xdr:colOff>
      <xdr:row>26</xdr:row>
      <xdr:rowOff>87085</xdr:rowOff>
    </xdr:to>
    <xdr:grpSp>
      <xdr:nvGrpSpPr>
        <xdr:cNvPr id="28" name="Gruppo 27">
          <a:extLst>
            <a:ext uri="{FF2B5EF4-FFF2-40B4-BE49-F238E27FC236}">
              <a16:creationId xmlns:a16="http://schemas.microsoft.com/office/drawing/2014/main" id="{8CBE3920-484F-48EB-A00A-05B8CCF4C3F1}"/>
            </a:ext>
          </a:extLst>
        </xdr:cNvPr>
        <xdr:cNvGrpSpPr/>
      </xdr:nvGrpSpPr>
      <xdr:grpSpPr>
        <a:xfrm>
          <a:off x="64920421" y="1388423"/>
          <a:ext cx="5379522" cy="3804062"/>
          <a:chOff x="46642143" y="403817"/>
          <a:chExt cx="6697857" cy="5179564"/>
        </a:xfrm>
      </xdr:grpSpPr>
      <xdr:graphicFrame macro="">
        <xdr:nvGraphicFramePr>
          <xdr:cNvPr id="35" name="Grafico 34">
            <a:extLst>
              <a:ext uri="{FF2B5EF4-FFF2-40B4-BE49-F238E27FC236}">
                <a16:creationId xmlns:a16="http://schemas.microsoft.com/office/drawing/2014/main" id="{BE9B1099-C45E-4723-BC02-3411723344E0}"/>
              </a:ext>
            </a:extLst>
          </xdr:cNvPr>
          <xdr:cNvGraphicFramePr/>
        </xdr:nvGraphicFramePr>
        <xdr:xfrm>
          <a:off x="46642143" y="403817"/>
          <a:ext cx="6697857" cy="5179564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0"/>
          </a:graphicData>
        </a:graphic>
      </xdr:graphicFrame>
      <xdr:sp macro="" textlink="$B$8">
        <xdr:nvSpPr>
          <xdr:cNvPr id="36" name="CasellaDiTesto 35">
            <a:extLst>
              <a:ext uri="{FF2B5EF4-FFF2-40B4-BE49-F238E27FC236}">
                <a16:creationId xmlns:a16="http://schemas.microsoft.com/office/drawing/2014/main" id="{BC792426-F3F2-4FE1-9D5D-2E6ABBEB713B}"/>
              </a:ext>
            </a:extLst>
          </xdr:cNvPr>
          <xdr:cNvSpPr txBox="1"/>
        </xdr:nvSpPr>
        <xdr:spPr>
          <a:xfrm>
            <a:off x="50676616" y="5129459"/>
            <a:ext cx="874332" cy="38673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fld id="{DA042946-A852-47D0-A468-DBF120FFA9F2}" type="TxLink">
              <a:rPr lang="en-US" sz="1100" b="0" i="0" u="none" strike="noStrike">
                <a:ln>
                  <a:noFill/>
                </a:ln>
                <a:solidFill>
                  <a:srgbClr val="9C5700"/>
                </a:solidFill>
                <a:latin typeface="Calibri"/>
                <a:cs typeface="Calibri"/>
              </a:rPr>
              <a:pPr/>
              <a:t>01-gen</a:t>
            </a:fld>
            <a:endParaRPr lang="it-IT" sz="1100">
              <a:ln>
                <a:noFill/>
              </a:ln>
            </a:endParaRPr>
          </a:p>
        </xdr:txBody>
      </xdr:sp>
    </xdr:grpSp>
    <xdr:clientData/>
  </xdr:twoCellAnchor>
  <xdr:twoCellAnchor>
    <xdr:from>
      <xdr:col>68</xdr:col>
      <xdr:colOff>217715</xdr:colOff>
      <xdr:row>28</xdr:row>
      <xdr:rowOff>1</xdr:rowOff>
    </xdr:from>
    <xdr:to>
      <xdr:col>78</xdr:col>
      <xdr:colOff>197631</xdr:colOff>
      <xdr:row>48</xdr:row>
      <xdr:rowOff>114797</xdr:rowOff>
    </xdr:to>
    <xdr:grpSp>
      <xdr:nvGrpSpPr>
        <xdr:cNvPr id="41" name="Gruppo 40">
          <a:extLst>
            <a:ext uri="{FF2B5EF4-FFF2-40B4-BE49-F238E27FC236}">
              <a16:creationId xmlns:a16="http://schemas.microsoft.com/office/drawing/2014/main" id="{B3CD5EDA-155C-4286-AD15-65FB182125B6}"/>
            </a:ext>
          </a:extLst>
        </xdr:cNvPr>
        <xdr:cNvGrpSpPr/>
      </xdr:nvGrpSpPr>
      <xdr:grpSpPr>
        <a:xfrm>
          <a:off x="71159915" y="5562601"/>
          <a:ext cx="6075916" cy="3543796"/>
          <a:chOff x="57779684" y="7952509"/>
          <a:chExt cx="6075916" cy="3791199"/>
        </a:xfrm>
      </xdr:grpSpPr>
      <xdr:graphicFrame macro="">
        <xdr:nvGraphicFramePr>
          <xdr:cNvPr id="42" name="Grafico 41">
            <a:extLst>
              <a:ext uri="{FF2B5EF4-FFF2-40B4-BE49-F238E27FC236}">
                <a16:creationId xmlns:a16="http://schemas.microsoft.com/office/drawing/2014/main" id="{10B9C428-72D7-43D5-9A25-EA17BB27699E}"/>
              </a:ext>
            </a:extLst>
          </xdr:cNvPr>
          <xdr:cNvGraphicFramePr>
            <a:graphicFrameLocks/>
          </xdr:cNvGraphicFramePr>
        </xdr:nvGraphicFramePr>
        <xdr:xfrm>
          <a:off x="57779684" y="7952509"/>
          <a:ext cx="6075916" cy="3791199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1"/>
          </a:graphicData>
        </a:graphic>
      </xdr:graphicFrame>
      <xdr:sp macro="" textlink="$B$8">
        <xdr:nvSpPr>
          <xdr:cNvPr id="43" name="CasellaDiTesto 42">
            <a:extLst>
              <a:ext uri="{FF2B5EF4-FFF2-40B4-BE49-F238E27FC236}">
                <a16:creationId xmlns:a16="http://schemas.microsoft.com/office/drawing/2014/main" id="{DC22A4EC-0A7F-4629-824C-62748C49030C}"/>
              </a:ext>
            </a:extLst>
          </xdr:cNvPr>
          <xdr:cNvSpPr txBox="1"/>
        </xdr:nvSpPr>
        <xdr:spPr>
          <a:xfrm>
            <a:off x="61334081" y="11360727"/>
            <a:ext cx="595746" cy="26323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fld id="{DA042946-A852-47D0-A468-DBF120FFA9F2}" type="TxLink">
              <a:rPr lang="en-US" sz="1100" b="0" i="0" u="none" strike="noStrike">
                <a:ln>
                  <a:noFill/>
                </a:ln>
                <a:solidFill>
                  <a:srgbClr val="9C5700"/>
                </a:solidFill>
                <a:latin typeface="Calibri"/>
                <a:cs typeface="Calibri"/>
              </a:rPr>
              <a:pPr/>
              <a:t>01-gen</a:t>
            </a:fld>
            <a:endParaRPr lang="it-IT" sz="1100">
              <a:ln>
                <a:noFill/>
              </a:ln>
            </a:endParaRPr>
          </a:p>
        </xdr:txBody>
      </xdr:sp>
    </xdr:grpSp>
    <xdr:clientData/>
  </xdr:twoCellAnchor>
  <xdr:twoCellAnchor>
    <xdr:from>
      <xdr:col>46</xdr:col>
      <xdr:colOff>16066</xdr:colOff>
      <xdr:row>33</xdr:row>
      <xdr:rowOff>67590</xdr:rowOff>
    </xdr:from>
    <xdr:to>
      <xdr:col>55</xdr:col>
      <xdr:colOff>562100</xdr:colOff>
      <xdr:row>57</xdr:row>
      <xdr:rowOff>144483</xdr:rowOff>
    </xdr:to>
    <xdr:grpSp>
      <xdr:nvGrpSpPr>
        <xdr:cNvPr id="10" name="Gruppo 9">
          <a:extLst>
            <a:ext uri="{FF2B5EF4-FFF2-40B4-BE49-F238E27FC236}">
              <a16:creationId xmlns:a16="http://schemas.microsoft.com/office/drawing/2014/main" id="{83CDD66F-C880-439C-90BE-045CDBE4CE75}"/>
            </a:ext>
          </a:extLst>
        </xdr:cNvPr>
        <xdr:cNvGrpSpPr/>
      </xdr:nvGrpSpPr>
      <xdr:grpSpPr>
        <a:xfrm>
          <a:off x="56708866" y="6468390"/>
          <a:ext cx="6794434" cy="4115493"/>
          <a:chOff x="56316980" y="6969133"/>
          <a:chExt cx="6794434" cy="4594464"/>
        </a:xfrm>
      </xdr:grpSpPr>
      <xdr:grpSp>
        <xdr:nvGrpSpPr>
          <xdr:cNvPr id="7" name="Gruppo 6">
            <a:extLst>
              <a:ext uri="{FF2B5EF4-FFF2-40B4-BE49-F238E27FC236}">
                <a16:creationId xmlns:a16="http://schemas.microsoft.com/office/drawing/2014/main" id="{1377B26B-43A2-4D86-A7F5-6D05E3D9B1B5}"/>
              </a:ext>
            </a:extLst>
          </xdr:cNvPr>
          <xdr:cNvGrpSpPr/>
        </xdr:nvGrpSpPr>
        <xdr:grpSpPr>
          <a:xfrm>
            <a:off x="56316980" y="6969133"/>
            <a:ext cx="6794434" cy="4594464"/>
            <a:chOff x="49127460" y="8634290"/>
            <a:chExt cx="6794434" cy="4488872"/>
          </a:xfrm>
        </xdr:grpSpPr>
        <xdr:graphicFrame macro="">
          <xdr:nvGraphicFramePr>
            <xdr:cNvPr id="15" name="Grafico 14">
              <a:extLst>
                <a:ext uri="{FF2B5EF4-FFF2-40B4-BE49-F238E27FC236}">
                  <a16:creationId xmlns:a16="http://schemas.microsoft.com/office/drawing/2014/main" id="{E0CCC212-3C18-4678-8FDC-D975EEA29A88}"/>
                </a:ext>
              </a:extLst>
            </xdr:cNvPr>
            <xdr:cNvGraphicFramePr>
              <a:graphicFrameLocks/>
            </xdr:cNvGraphicFramePr>
          </xdr:nvGraphicFramePr>
          <xdr:xfrm>
            <a:off x="49127460" y="8634290"/>
            <a:ext cx="6794434" cy="4488872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12"/>
            </a:graphicData>
          </a:graphic>
        </xdr:graphicFrame>
        <xdr:sp macro="" textlink="$B$8">
          <xdr:nvSpPr>
            <xdr:cNvPr id="34" name="CasellaDiTesto 33">
              <a:extLst>
                <a:ext uri="{FF2B5EF4-FFF2-40B4-BE49-F238E27FC236}">
                  <a16:creationId xmlns:a16="http://schemas.microsoft.com/office/drawing/2014/main" id="{BB8A9304-746F-41F0-A147-1B3D922596B6}"/>
                </a:ext>
              </a:extLst>
            </xdr:cNvPr>
            <xdr:cNvSpPr txBox="1"/>
          </xdr:nvSpPr>
          <xdr:spPr>
            <a:xfrm>
              <a:off x="52424786" y="12654019"/>
              <a:ext cx="595746" cy="263237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fld id="{DA042946-A852-47D0-A468-DBF120FFA9F2}" type="TxLink">
                <a:rPr lang="en-US" sz="1100" b="0" i="0" u="none" strike="noStrike">
                  <a:ln>
                    <a:noFill/>
                  </a:ln>
                  <a:solidFill>
                    <a:srgbClr val="9C5700"/>
                  </a:solidFill>
                  <a:latin typeface="Calibri"/>
                  <a:cs typeface="Calibri"/>
                </a:rPr>
                <a:pPr/>
                <a:t>01-gen</a:t>
              </a:fld>
              <a:endParaRPr lang="it-IT" sz="1100">
                <a:ln>
                  <a:noFill/>
                </a:ln>
              </a:endParaRPr>
            </a:p>
          </xdr:txBody>
        </xdr:sp>
      </xdr:grpSp>
      <xdr:sp macro="" textlink="Cumul_removed_bSIR!$AD$52">
        <xdr:nvSpPr>
          <xdr:cNvPr id="40" name="CasellaDiTesto 39">
            <a:extLst>
              <a:ext uri="{FF2B5EF4-FFF2-40B4-BE49-F238E27FC236}">
                <a16:creationId xmlns:a16="http://schemas.microsoft.com/office/drawing/2014/main" id="{FCE1FEBE-31BB-4C36-AE5B-F28E94AB7959}"/>
              </a:ext>
            </a:extLst>
          </xdr:cNvPr>
          <xdr:cNvSpPr txBox="1"/>
        </xdr:nvSpPr>
        <xdr:spPr>
          <a:xfrm>
            <a:off x="61656686" y="7979229"/>
            <a:ext cx="936171" cy="337457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fld id="{C50FADCF-C35D-461F-85EE-8EFF41035337}" type="TxLink">
              <a:rPr lang="en-US" sz="1800" b="1" i="0" u="none" strike="noStrike">
                <a:solidFill>
                  <a:srgbClr val="FF0000"/>
                </a:solidFill>
                <a:latin typeface="Calibri"/>
                <a:cs typeface="Calibri"/>
              </a:rPr>
              <a:pPr/>
              <a:t>Liguria</a:t>
            </a:fld>
            <a:endParaRPr lang="it-IT" sz="3200" b="1">
              <a:solidFill>
                <a:srgbClr val="FF0000"/>
              </a:solidFill>
            </a:endParaRPr>
          </a:p>
        </xdr:txBody>
      </xdr:sp>
    </xdr:grpSp>
    <xdr:clientData/>
  </xdr:twoCellAnchor>
  <xdr:twoCellAnchor>
    <xdr:from>
      <xdr:col>67</xdr:col>
      <xdr:colOff>70262</xdr:colOff>
      <xdr:row>6</xdr:row>
      <xdr:rowOff>21771</xdr:rowOff>
    </xdr:from>
    <xdr:to>
      <xdr:col>76</xdr:col>
      <xdr:colOff>576943</xdr:colOff>
      <xdr:row>26</xdr:row>
      <xdr:rowOff>97971</xdr:rowOff>
    </xdr:to>
    <xdr:grpSp>
      <xdr:nvGrpSpPr>
        <xdr:cNvPr id="22" name="Gruppo 21">
          <a:extLst>
            <a:ext uri="{FF2B5EF4-FFF2-40B4-BE49-F238E27FC236}">
              <a16:creationId xmlns:a16="http://schemas.microsoft.com/office/drawing/2014/main" id="{D42F20A2-24A6-4D10-8509-DA715FE85DD4}"/>
            </a:ext>
          </a:extLst>
        </xdr:cNvPr>
        <xdr:cNvGrpSpPr/>
      </xdr:nvGrpSpPr>
      <xdr:grpSpPr>
        <a:xfrm>
          <a:off x="70402862" y="1393371"/>
          <a:ext cx="5993081" cy="3810000"/>
          <a:chOff x="69978319" y="1469571"/>
          <a:chExt cx="5993081" cy="4201886"/>
        </a:xfrm>
      </xdr:grpSpPr>
      <xdr:grpSp>
        <xdr:nvGrpSpPr>
          <xdr:cNvPr id="37" name="Gruppo 36">
            <a:extLst>
              <a:ext uri="{FF2B5EF4-FFF2-40B4-BE49-F238E27FC236}">
                <a16:creationId xmlns:a16="http://schemas.microsoft.com/office/drawing/2014/main" id="{38D9F5B2-6824-48C8-9EAE-414F2DB71AED}"/>
              </a:ext>
            </a:extLst>
          </xdr:cNvPr>
          <xdr:cNvGrpSpPr/>
        </xdr:nvGrpSpPr>
        <xdr:grpSpPr>
          <a:xfrm>
            <a:off x="69978319" y="1469571"/>
            <a:ext cx="5993081" cy="4201886"/>
            <a:chOff x="48609894" y="6677891"/>
            <a:chExt cx="6794434" cy="4488872"/>
          </a:xfrm>
        </xdr:grpSpPr>
        <xdr:graphicFrame macro="">
          <xdr:nvGraphicFramePr>
            <xdr:cNvPr id="38" name="Grafico 37">
              <a:extLst>
                <a:ext uri="{FF2B5EF4-FFF2-40B4-BE49-F238E27FC236}">
                  <a16:creationId xmlns:a16="http://schemas.microsoft.com/office/drawing/2014/main" id="{3C4BCE83-FB93-492A-9F40-ECCC162EB01E}"/>
                </a:ext>
              </a:extLst>
            </xdr:cNvPr>
            <xdr:cNvGraphicFramePr>
              <a:graphicFrameLocks/>
            </xdr:cNvGraphicFramePr>
          </xdr:nvGraphicFramePr>
          <xdr:xfrm>
            <a:off x="48609894" y="6677891"/>
            <a:ext cx="6794434" cy="4488872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13"/>
            </a:graphicData>
          </a:graphic>
        </xdr:graphicFrame>
        <xdr:sp macro="" textlink="$B$8">
          <xdr:nvSpPr>
            <xdr:cNvPr id="39" name="CasellaDiTesto 38">
              <a:extLst>
                <a:ext uri="{FF2B5EF4-FFF2-40B4-BE49-F238E27FC236}">
                  <a16:creationId xmlns:a16="http://schemas.microsoft.com/office/drawing/2014/main" id="{8D40946E-570E-4B6E-A464-D16F28E4E5B1}"/>
                </a:ext>
              </a:extLst>
            </xdr:cNvPr>
            <xdr:cNvSpPr txBox="1"/>
          </xdr:nvSpPr>
          <xdr:spPr>
            <a:xfrm>
              <a:off x="52536442" y="10723417"/>
              <a:ext cx="868598" cy="268907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fld id="{DA042946-A852-47D0-A468-DBF120FFA9F2}" type="TxLink">
                <a:rPr lang="en-US" sz="1100" b="0" i="0" u="none" strike="noStrike">
                  <a:ln>
                    <a:noFill/>
                  </a:ln>
                  <a:solidFill>
                    <a:srgbClr val="9C5700"/>
                  </a:solidFill>
                  <a:latin typeface="Calibri"/>
                  <a:cs typeface="Calibri"/>
                </a:rPr>
                <a:pPr/>
                <a:t>01-gen</a:t>
              </a:fld>
              <a:endParaRPr lang="it-IT" sz="1100">
                <a:ln>
                  <a:noFill/>
                </a:ln>
              </a:endParaRPr>
            </a:p>
          </xdr:txBody>
        </xdr:sp>
      </xdr:grpSp>
      <xdr:sp macro="" textlink="Cumul_removed_bSIR!$AD$52">
        <xdr:nvSpPr>
          <xdr:cNvPr id="44" name="CasellaDiTesto 43">
            <a:extLst>
              <a:ext uri="{FF2B5EF4-FFF2-40B4-BE49-F238E27FC236}">
                <a16:creationId xmlns:a16="http://schemas.microsoft.com/office/drawing/2014/main" id="{5CC42541-0E6B-4295-AAC5-5E7E1B688A4C}"/>
              </a:ext>
            </a:extLst>
          </xdr:cNvPr>
          <xdr:cNvSpPr txBox="1"/>
        </xdr:nvSpPr>
        <xdr:spPr>
          <a:xfrm>
            <a:off x="74289061" y="2100942"/>
            <a:ext cx="936171" cy="337457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fld id="{C50FADCF-C35D-461F-85EE-8EFF41035337}" type="TxLink">
              <a:rPr lang="en-US" sz="1800" b="1" i="0" u="none" strike="noStrike">
                <a:solidFill>
                  <a:srgbClr val="FF0000"/>
                </a:solidFill>
                <a:latin typeface="Calibri"/>
                <a:cs typeface="Calibri"/>
              </a:rPr>
              <a:pPr/>
              <a:t>Liguria</a:t>
            </a:fld>
            <a:endParaRPr lang="it-IT" sz="3200" b="1">
              <a:solidFill>
                <a:srgbClr val="FF0000"/>
              </a:solidFill>
            </a:endParaRPr>
          </a:p>
        </xdr:txBody>
      </xdr:sp>
    </xdr:grpSp>
    <xdr:clientData/>
  </xdr:twoCellAnchor>
  <xdr:twoCellAnchor>
    <xdr:from>
      <xdr:col>57</xdr:col>
      <xdr:colOff>116203</xdr:colOff>
      <xdr:row>69</xdr:row>
      <xdr:rowOff>145775</xdr:rowOff>
    </xdr:from>
    <xdr:to>
      <xdr:col>58</xdr:col>
      <xdr:colOff>399231</xdr:colOff>
      <xdr:row>71</xdr:row>
      <xdr:rowOff>113118</xdr:rowOff>
    </xdr:to>
    <xdr:sp macro="" textlink="Cumul_removed_bSIR!$AD$52">
      <xdr:nvSpPr>
        <xdr:cNvPr id="45" name="CasellaDiTesto 44">
          <a:extLst>
            <a:ext uri="{FF2B5EF4-FFF2-40B4-BE49-F238E27FC236}">
              <a16:creationId xmlns:a16="http://schemas.microsoft.com/office/drawing/2014/main" id="{67457D69-8F12-469F-9F69-EE03D1C45F3E}"/>
            </a:ext>
          </a:extLst>
        </xdr:cNvPr>
        <xdr:cNvSpPr txBox="1"/>
      </xdr:nvSpPr>
      <xdr:spPr>
        <a:xfrm>
          <a:off x="63884717" y="13785575"/>
          <a:ext cx="936171" cy="33745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C50FADCF-C35D-461F-85EE-8EFF41035337}" type="TxLink">
            <a:rPr lang="en-US" sz="1800" b="1" i="0" u="none" strike="noStrike">
              <a:solidFill>
                <a:srgbClr val="FF0000"/>
              </a:solidFill>
              <a:latin typeface="Calibri"/>
              <a:cs typeface="Calibri"/>
            </a:rPr>
            <a:pPr/>
            <a:t>Liguria</a:t>
          </a:fld>
          <a:endParaRPr lang="it-IT" sz="3200" b="1">
            <a:solidFill>
              <a:srgbClr val="FF0000"/>
            </a:solidFill>
          </a:endParaRPr>
        </a:p>
      </xdr:txBody>
    </xdr:sp>
    <xdr:clientData/>
  </xdr:twoCell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0.79615</cdr:x>
      <cdr:y>0.26927</cdr:y>
    </cdr:from>
    <cdr:to>
      <cdr:x>0.96535</cdr:x>
      <cdr:y>0.34402</cdr:y>
    </cdr:to>
    <cdr:sp macro="" textlink="">
      <cdr:nvSpPr>
        <cdr:cNvPr id="2" name="CasellaDiTesto 44">
          <a:extLst xmlns:a="http://schemas.openxmlformats.org/drawingml/2006/main">
            <a:ext uri="{FF2B5EF4-FFF2-40B4-BE49-F238E27FC236}">
              <a16:creationId xmlns:a16="http://schemas.microsoft.com/office/drawing/2014/main" id="{67457D69-8F12-469F-9F69-EE03D1C45F3E}"/>
            </a:ext>
          </a:extLst>
        </cdr:cNvPr>
        <cdr:cNvSpPr txBox="1"/>
      </cdr:nvSpPr>
      <cdr:spPr>
        <a:xfrm xmlns:a="http://schemas.openxmlformats.org/drawingml/2006/main">
          <a:off x="4405086" y="1215572"/>
          <a:ext cx="936171" cy="337457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  <a:ln xmlns:a="http://schemas.openxmlformats.org/drawingml/2006/main" w="9525" cmpd="sng">
          <a:solidFill>
            <a:schemeClr val="lt1">
              <a:shade val="50000"/>
            </a:schemeClr>
          </a:solidFill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fld id="{C50FADCF-C35D-461F-85EE-8EFF41035337}" type="TxLink">
            <a:rPr lang="en-US" sz="1800" b="1" i="0" u="none" strike="noStrike">
              <a:solidFill>
                <a:srgbClr val="FF0000"/>
              </a:solidFill>
              <a:latin typeface="Calibri"/>
              <a:cs typeface="Calibri"/>
            </a:rPr>
            <a:pPr/>
            <a:t>Liguria</a:t>
          </a:fld>
          <a:endParaRPr lang="it-IT" sz="3200" b="1">
            <a:solidFill>
              <a:srgbClr val="FF0000"/>
            </a:solidFill>
          </a:endParaRPr>
        </a:p>
      </cdr:txBody>
    </cdr: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1121036</xdr:colOff>
      <xdr:row>2</xdr:row>
      <xdr:rowOff>0</xdr:rowOff>
    </xdr:from>
    <xdr:ext cx="3797327" cy="955964"/>
    <xdr:sp macro="" textlink="">
      <xdr:nvSpPr>
        <xdr:cNvPr id="2" name="CasellaDiTesto 1">
          <a:extLst>
            <a:ext uri="{FF2B5EF4-FFF2-40B4-BE49-F238E27FC236}">
              <a16:creationId xmlns:a16="http://schemas.microsoft.com/office/drawing/2014/main" id="{91CE4325-58D0-4837-96AD-2C726665C1A4}"/>
            </a:ext>
          </a:extLst>
        </xdr:cNvPr>
        <xdr:cNvSpPr txBox="1"/>
      </xdr:nvSpPr>
      <xdr:spPr>
        <a:xfrm>
          <a:off x="4238309" y="484909"/>
          <a:ext cx="3797327" cy="955964"/>
        </a:xfrm>
        <a:prstGeom prst="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none" lIns="0" tIns="0" rIns="0" bIns="0" rtlCol="0" anchor="t">
          <a:noAutofit/>
        </a:bodyPr>
        <a:lstStyle/>
        <a:p>
          <a:pPr marL="0" indent="0"/>
          <a:endParaRPr lang="it-IT" sz="1100" b="0" i="1">
            <a:solidFill>
              <a:schemeClr val="tx1"/>
            </a:solidFill>
            <a:effectLst/>
            <a:latin typeface="Cambria Math" panose="02040503050406030204" pitchFamily="18" charset="0"/>
            <a:ea typeface="+mn-ea"/>
            <a:cs typeface="+mn-cs"/>
          </a:endParaRPr>
        </a:p>
      </xdr:txBody>
    </xdr:sp>
    <xdr:clientData/>
  </xdr:oneCellAnchor>
  <xdr:oneCellAnchor>
    <xdr:from>
      <xdr:col>5</xdr:col>
      <xdr:colOff>193963</xdr:colOff>
      <xdr:row>3</xdr:row>
      <xdr:rowOff>41563</xdr:rowOff>
    </xdr:from>
    <xdr:ext cx="3574473" cy="60996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asellaDiTesto 2">
              <a:extLst>
                <a:ext uri="{FF2B5EF4-FFF2-40B4-BE49-F238E27FC236}">
                  <a16:creationId xmlns:a16="http://schemas.microsoft.com/office/drawing/2014/main" id="{3CE62C54-55FA-4C3F-99FF-C51B410C77B3}"/>
                </a:ext>
              </a:extLst>
            </xdr:cNvPr>
            <xdr:cNvSpPr txBox="1"/>
          </xdr:nvSpPr>
          <xdr:spPr>
            <a:xfrm>
              <a:off x="4433454" y="748145"/>
              <a:ext cx="3574473" cy="60996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it-IT" sz="1400" b="0" i="1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it-IT" sz="1400" b="0" i="1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𝑦</m:t>
                        </m:r>
                      </m:e>
                      <m:sup>
                        <m:r>
                          <a:rPr lang="it-IT" sz="1400" b="0" i="1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′</m:t>
                        </m:r>
                      </m:sup>
                    </m:sSup>
                    <m:r>
                      <a:rPr lang="it-IT" sz="1400" b="0" i="1">
                        <a:solidFill>
                          <a:sysClr val="windowText" lastClr="000000"/>
                        </a:solidFill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r>
                      <a:rPr lang="it-IT" sz="1400" b="0" i="1">
                        <a:solidFill>
                          <a:sysClr val="windowText" lastClr="000000"/>
                        </a:solidFill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𝜂</m:t>
                    </m:r>
                    <m:d>
                      <m:dPr>
                        <m:ctrlPr>
                          <a:rPr lang="it-IT" sz="1400" b="0" i="1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it-IT" sz="1400" b="0" i="1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𝑡</m:t>
                        </m:r>
                      </m:e>
                    </m:d>
                    <m:r>
                      <a:rPr lang="it-IT" sz="1400" b="0" i="1">
                        <a:solidFill>
                          <a:sysClr val="windowText" lastClr="000000"/>
                        </a:solidFill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𝑃𝑑𝑓</m:t>
                    </m:r>
                    <m:r>
                      <a:rPr lang="it-IT" sz="1400" b="0" i="1">
                        <a:solidFill>
                          <a:sysClr val="windowText" lastClr="000000"/>
                        </a:solidFill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=−2</m:t>
                    </m:r>
                    <m:r>
                      <a:rPr lang="it-IT" sz="1400" b="0" i="1">
                        <a:solidFill>
                          <a:sysClr val="windowText" lastClr="000000"/>
                        </a:solidFill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𝜓</m:t>
                    </m:r>
                    <m:r>
                      <m:rPr>
                        <m:sty m:val="p"/>
                      </m:rPr>
                      <a:rPr lang="it-IT" sz="1400" b="0" i="0">
                        <a:solidFill>
                          <a:sysClr val="windowText" lastClr="000000"/>
                        </a:solidFill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tanh</m:t>
                    </m:r>
                    <m:r>
                      <a:rPr lang="it-IT" sz="1400" b="0" i="1">
                        <a:solidFill>
                          <a:sysClr val="windowText" lastClr="000000"/>
                        </a:solidFill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⁡(</m:t>
                    </m:r>
                    <m:r>
                      <a:rPr lang="it-IT" sz="1400" b="0" i="1">
                        <a:solidFill>
                          <a:sysClr val="windowText" lastClr="000000"/>
                        </a:solidFill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𝜓</m:t>
                    </m:r>
                    <m:r>
                      <a:rPr lang="it-IT" sz="1400" b="0" i="1">
                        <a:solidFill>
                          <a:sysClr val="windowText" lastClr="000000"/>
                        </a:solidFill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𝑡</m:t>
                    </m:r>
                    <m:r>
                      <a:rPr lang="it-IT" sz="1400" b="0" i="1">
                        <a:solidFill>
                          <a:sysClr val="windowText" lastClr="000000"/>
                        </a:solidFill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−</m:t>
                    </m:r>
                    <m:r>
                      <a:rPr lang="it-IT" sz="1400" b="0" i="1">
                        <a:solidFill>
                          <a:sysClr val="windowText" lastClr="000000"/>
                        </a:solidFill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𝜑</m:t>
                    </m:r>
                    <m:r>
                      <a:rPr lang="it-IT" sz="1400" b="0" i="1">
                        <a:solidFill>
                          <a:sysClr val="windowText" lastClr="000000"/>
                        </a:solidFill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)∙</m:t>
                    </m:r>
                    <m:r>
                      <a:rPr lang="it-IT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𝑃𝑑𝑓</m:t>
                    </m:r>
                  </m:oMath>
                </m:oMathPara>
              </a14:m>
              <a:endParaRPr lang="it-IT" sz="1600">
                <a:solidFill>
                  <a:srgbClr val="FF0000"/>
                </a:solidFill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 xmlns="">
        <xdr:sp macro="" textlink="">
          <xdr:nvSpPr>
            <xdr:cNvPr id="3" name="CasellaDiTesto 2">
              <a:extLst>
                <a:ext uri="{FF2B5EF4-FFF2-40B4-BE49-F238E27FC236}">
                  <a16:creationId xmlns:a16="http://schemas.microsoft.com/office/drawing/2014/main" id="{3CE62C54-55FA-4C3F-99FF-C51B410C77B3}"/>
                </a:ext>
              </a:extLst>
            </xdr:cNvPr>
            <xdr:cNvSpPr txBox="1"/>
          </xdr:nvSpPr>
          <xdr:spPr>
            <a:xfrm>
              <a:off x="4433454" y="748145"/>
              <a:ext cx="3574473" cy="60996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it-IT" sz="1400" b="0" i="0">
                  <a:solidFill>
                    <a:sysClr val="windowText" lastClr="000000"/>
                  </a:solidFill>
                  <a:latin typeface="Cambria Math" panose="02040503050406030204" pitchFamily="18" charset="0"/>
                  <a:ea typeface="Cambria Math" panose="02040503050406030204" pitchFamily="18" charset="0"/>
                </a:rPr>
                <a:t>𝑦^′=𝜂(𝑡)𝑃𝑑𝑓=−2𝜓tanh⁡(𝜓𝑡−𝜑)∙</a:t>
              </a:r>
              <a:r>
                <a:rPr lang="it-I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𝑃𝑑𝑓</a:t>
              </a:r>
              <a:endParaRPr lang="it-IT" sz="1600">
                <a:solidFill>
                  <a:srgbClr val="FF0000"/>
                </a:solidFill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twoCellAnchor>
    <xdr:from>
      <xdr:col>78</xdr:col>
      <xdr:colOff>21597</xdr:colOff>
      <xdr:row>7</xdr:row>
      <xdr:rowOff>29744</xdr:rowOff>
    </xdr:from>
    <xdr:to>
      <xdr:col>93</xdr:col>
      <xdr:colOff>419100</xdr:colOff>
      <xdr:row>57</xdr:row>
      <xdr:rowOff>30480</xdr:rowOff>
    </xdr:to>
    <xdr:grpSp>
      <xdr:nvGrpSpPr>
        <xdr:cNvPr id="11" name="Gruppo 10">
          <a:extLst>
            <a:ext uri="{FF2B5EF4-FFF2-40B4-BE49-F238E27FC236}">
              <a16:creationId xmlns:a16="http://schemas.microsoft.com/office/drawing/2014/main" id="{BC17B7EB-DB64-4FEB-8E6B-D7FE9075A18D}"/>
            </a:ext>
          </a:extLst>
        </xdr:cNvPr>
        <xdr:cNvGrpSpPr/>
      </xdr:nvGrpSpPr>
      <xdr:grpSpPr>
        <a:xfrm>
          <a:off x="68753997" y="1934744"/>
          <a:ext cx="9693903" cy="8382736"/>
          <a:chOff x="63960324" y="2038653"/>
          <a:chExt cx="9693903" cy="9200154"/>
        </a:xfrm>
      </xdr:grpSpPr>
      <xdr:graphicFrame macro="">
        <xdr:nvGraphicFramePr>
          <xdr:cNvPr id="4" name="Grafico 3">
            <a:extLst>
              <a:ext uri="{FF2B5EF4-FFF2-40B4-BE49-F238E27FC236}">
                <a16:creationId xmlns:a16="http://schemas.microsoft.com/office/drawing/2014/main" id="{FB88C70D-47F4-4CF0-84B4-220FDF4FACDC}"/>
              </a:ext>
            </a:extLst>
          </xdr:cNvPr>
          <xdr:cNvGraphicFramePr>
            <a:graphicFrameLocks/>
          </xdr:cNvGraphicFramePr>
        </xdr:nvGraphicFramePr>
        <xdr:xfrm>
          <a:off x="63960324" y="2038653"/>
          <a:ext cx="9693903" cy="9200154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sp macro="" textlink="$B$8">
        <xdr:nvSpPr>
          <xdr:cNvPr id="5" name="CasellaDiTesto 4">
            <a:extLst>
              <a:ext uri="{FF2B5EF4-FFF2-40B4-BE49-F238E27FC236}">
                <a16:creationId xmlns:a16="http://schemas.microsoft.com/office/drawing/2014/main" id="{1A0EFA68-397F-40D6-9CF4-DEC61FC1CC85}"/>
              </a:ext>
            </a:extLst>
          </xdr:cNvPr>
          <xdr:cNvSpPr txBox="1"/>
        </xdr:nvSpPr>
        <xdr:spPr>
          <a:xfrm>
            <a:off x="69293102" y="10871599"/>
            <a:ext cx="858982" cy="31865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fld id="{066C2CB5-EDD9-4959-A92C-1D08B76F0C24}" type="TxLink">
              <a:rPr lang="en-US" sz="1100" b="0" i="0" u="none" strike="noStrike">
                <a:solidFill>
                  <a:srgbClr val="000000"/>
                </a:solidFill>
                <a:latin typeface="Calibri"/>
                <a:cs typeface="Calibri"/>
              </a:rPr>
              <a:pPr/>
              <a:t>1-Jan</a:t>
            </a:fld>
            <a:endParaRPr lang="it-IT" sz="1100"/>
          </a:p>
        </xdr:txBody>
      </xdr:sp>
    </xdr:grpSp>
    <xdr:clientData/>
  </xdr:twoCellAnchor>
  <xdr:twoCellAnchor>
    <xdr:from>
      <xdr:col>78</xdr:col>
      <xdr:colOff>213360</xdr:colOff>
      <xdr:row>112</xdr:row>
      <xdr:rowOff>0</xdr:rowOff>
    </xdr:from>
    <xdr:to>
      <xdr:col>95</xdr:col>
      <xdr:colOff>548640</xdr:colOff>
      <xdr:row>163</xdr:row>
      <xdr:rowOff>736</xdr:rowOff>
    </xdr:to>
    <xdr:grpSp>
      <xdr:nvGrpSpPr>
        <xdr:cNvPr id="10" name="Gruppo 9">
          <a:extLst>
            <a:ext uri="{FF2B5EF4-FFF2-40B4-BE49-F238E27FC236}">
              <a16:creationId xmlns:a16="http://schemas.microsoft.com/office/drawing/2014/main" id="{6DECABC1-C931-41E9-A563-16C2E4503A7A}"/>
            </a:ext>
          </a:extLst>
        </xdr:cNvPr>
        <xdr:cNvGrpSpPr/>
      </xdr:nvGrpSpPr>
      <xdr:grpSpPr>
        <a:xfrm>
          <a:off x="68945760" y="18973800"/>
          <a:ext cx="10850880" cy="7773136"/>
          <a:chOff x="64042846" y="20934218"/>
          <a:chExt cx="10351002" cy="9158591"/>
        </a:xfrm>
      </xdr:grpSpPr>
      <xdr:graphicFrame macro="">
        <xdr:nvGraphicFramePr>
          <xdr:cNvPr id="16" name="Grafico 15">
            <a:extLst>
              <a:ext uri="{FF2B5EF4-FFF2-40B4-BE49-F238E27FC236}">
                <a16:creationId xmlns:a16="http://schemas.microsoft.com/office/drawing/2014/main" id="{FA9C7014-D65F-4E09-9E65-304A78CC2FAC}"/>
              </a:ext>
            </a:extLst>
          </xdr:cNvPr>
          <xdr:cNvGraphicFramePr>
            <a:graphicFrameLocks/>
          </xdr:cNvGraphicFramePr>
        </xdr:nvGraphicFramePr>
        <xdr:xfrm>
          <a:off x="64042846" y="20934218"/>
          <a:ext cx="10351002" cy="9158591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sp macro="" textlink="$B$8">
        <xdr:nvSpPr>
          <xdr:cNvPr id="8" name="CasellaDiTesto 7">
            <a:extLst>
              <a:ext uri="{FF2B5EF4-FFF2-40B4-BE49-F238E27FC236}">
                <a16:creationId xmlns:a16="http://schemas.microsoft.com/office/drawing/2014/main" id="{2FF9ECB3-9A3D-4591-BAD2-B65A99C1919B}"/>
              </a:ext>
            </a:extLst>
          </xdr:cNvPr>
          <xdr:cNvSpPr txBox="1"/>
        </xdr:nvSpPr>
        <xdr:spPr>
          <a:xfrm>
            <a:off x="68967888" y="29704145"/>
            <a:ext cx="858981" cy="31865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fld id="{066C2CB5-EDD9-4959-A92C-1D08B76F0C24}" type="TxLink">
              <a:rPr lang="en-US" sz="1100" b="0" i="0" u="none" strike="noStrike">
                <a:solidFill>
                  <a:srgbClr val="000000"/>
                </a:solidFill>
                <a:latin typeface="Calibri"/>
                <a:cs typeface="Calibri"/>
              </a:rPr>
              <a:pPr/>
              <a:t>1-Jan</a:t>
            </a:fld>
            <a:endParaRPr lang="it-IT" sz="1100"/>
          </a:p>
        </xdr:txBody>
      </xdr:sp>
    </xdr:grpSp>
    <xdr:clientData/>
  </xdr:twoCellAnchor>
  <xdr:twoCellAnchor>
    <xdr:from>
      <xdr:col>73</xdr:col>
      <xdr:colOff>624840</xdr:colOff>
      <xdr:row>58</xdr:row>
      <xdr:rowOff>8708</xdr:rowOff>
    </xdr:from>
    <xdr:to>
      <xdr:col>94</xdr:col>
      <xdr:colOff>152400</xdr:colOff>
      <xdr:row>108</xdr:row>
      <xdr:rowOff>129187</xdr:rowOff>
    </xdr:to>
    <xdr:grpSp>
      <xdr:nvGrpSpPr>
        <xdr:cNvPr id="7" name="Gruppo 6">
          <a:extLst>
            <a:ext uri="{FF2B5EF4-FFF2-40B4-BE49-F238E27FC236}">
              <a16:creationId xmlns:a16="http://schemas.microsoft.com/office/drawing/2014/main" id="{7E6A6F8F-ECA6-4666-8535-AC2B0BEEB172}"/>
            </a:ext>
          </a:extLst>
        </xdr:cNvPr>
        <xdr:cNvGrpSpPr/>
      </xdr:nvGrpSpPr>
      <xdr:grpSpPr>
        <a:xfrm>
          <a:off x="67299840" y="10448108"/>
          <a:ext cx="11490960" cy="8045279"/>
          <a:chOff x="65116365" y="11472881"/>
          <a:chExt cx="12066235" cy="9153643"/>
        </a:xfrm>
      </xdr:grpSpPr>
      <xdr:graphicFrame macro="">
        <xdr:nvGraphicFramePr>
          <xdr:cNvPr id="15" name="Grafico 14">
            <a:extLst>
              <a:ext uri="{FF2B5EF4-FFF2-40B4-BE49-F238E27FC236}">
                <a16:creationId xmlns:a16="http://schemas.microsoft.com/office/drawing/2014/main" id="{2718E7EC-53A9-4247-9081-C1F91024AD23}"/>
              </a:ext>
            </a:extLst>
          </xdr:cNvPr>
          <xdr:cNvGraphicFramePr>
            <a:graphicFrameLocks/>
          </xdr:cNvGraphicFramePr>
        </xdr:nvGraphicFramePr>
        <xdr:xfrm>
          <a:off x="66831598" y="11472881"/>
          <a:ext cx="10351002" cy="915364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  <xdr:sp macro="" textlink="$B$8">
        <xdr:nvSpPr>
          <xdr:cNvPr id="9" name="CasellaDiTesto 8">
            <a:extLst>
              <a:ext uri="{FF2B5EF4-FFF2-40B4-BE49-F238E27FC236}">
                <a16:creationId xmlns:a16="http://schemas.microsoft.com/office/drawing/2014/main" id="{995BEFC0-0565-4B38-B050-923574DA70E2}"/>
              </a:ext>
            </a:extLst>
          </xdr:cNvPr>
          <xdr:cNvSpPr txBox="1"/>
        </xdr:nvSpPr>
        <xdr:spPr>
          <a:xfrm>
            <a:off x="65116365" y="20227637"/>
            <a:ext cx="858981" cy="31865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fld id="{066C2CB5-EDD9-4959-A92C-1D08B76F0C24}" type="TxLink">
              <a:rPr lang="en-US" sz="1100" b="0" i="0" u="none" strike="noStrike">
                <a:solidFill>
                  <a:srgbClr val="000000"/>
                </a:solidFill>
                <a:latin typeface="Calibri"/>
                <a:cs typeface="Calibri"/>
              </a:rPr>
              <a:pPr/>
              <a:t>1-Jan</a:t>
            </a:fld>
            <a:endParaRPr lang="it-IT" sz="1100"/>
          </a:p>
        </xdr:txBody>
      </xdr:sp>
    </xdr:grpSp>
    <xdr:clientData/>
  </xdr:twoCellAnchor>
  <xdr:twoCellAnchor>
    <xdr:from>
      <xdr:col>77</xdr:col>
      <xdr:colOff>548640</xdr:colOff>
      <xdr:row>166</xdr:row>
      <xdr:rowOff>58880</xdr:rowOff>
    </xdr:from>
    <xdr:to>
      <xdr:col>96</xdr:col>
      <xdr:colOff>548640</xdr:colOff>
      <xdr:row>208</xdr:row>
      <xdr:rowOff>129540</xdr:rowOff>
    </xdr:to>
    <xdr:graphicFrame macro="">
      <xdr:nvGraphicFramePr>
        <xdr:cNvPr id="6" name="Grafico 5">
          <a:extLst>
            <a:ext uri="{FF2B5EF4-FFF2-40B4-BE49-F238E27FC236}">
              <a16:creationId xmlns:a16="http://schemas.microsoft.com/office/drawing/2014/main" id="{68ADF25C-5B0D-40FE-879A-CD0259AB3D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97</xdr:col>
      <xdr:colOff>289560</xdr:colOff>
      <xdr:row>130</xdr:row>
      <xdr:rowOff>137160</xdr:rowOff>
    </xdr:from>
    <xdr:to>
      <xdr:col>114</xdr:col>
      <xdr:colOff>235528</xdr:colOff>
      <xdr:row>169</xdr:row>
      <xdr:rowOff>8315</xdr:rowOff>
    </xdr:to>
    <xdr:graphicFrame macro="">
      <xdr:nvGraphicFramePr>
        <xdr:cNvPr id="14" name="Grafico 13">
          <a:extLst>
            <a:ext uri="{FF2B5EF4-FFF2-40B4-BE49-F238E27FC236}">
              <a16:creationId xmlns:a16="http://schemas.microsoft.com/office/drawing/2014/main" id="{C704E39C-C628-4D10-96ED-5D07EA3D0E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97</xdr:col>
      <xdr:colOff>533400</xdr:colOff>
      <xdr:row>95</xdr:row>
      <xdr:rowOff>118653</xdr:rowOff>
    </xdr:from>
    <xdr:to>
      <xdr:col>110</xdr:col>
      <xdr:colOff>555172</xdr:colOff>
      <xdr:row>128</xdr:row>
      <xdr:rowOff>102325</xdr:rowOff>
    </xdr:to>
    <xdr:graphicFrame macro="">
      <xdr:nvGraphicFramePr>
        <xdr:cNvPr id="12" name="Grafico 11">
          <a:extLst>
            <a:ext uri="{FF2B5EF4-FFF2-40B4-BE49-F238E27FC236}">
              <a16:creationId xmlns:a16="http://schemas.microsoft.com/office/drawing/2014/main" id="{7A12B357-E9EA-42E4-B2BE-7B03D4F751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95</xdr:col>
      <xdr:colOff>16295</xdr:colOff>
      <xdr:row>57</xdr:row>
      <xdr:rowOff>5283</xdr:rowOff>
    </xdr:from>
    <xdr:to>
      <xdr:col>109</xdr:col>
      <xdr:colOff>20650</xdr:colOff>
      <xdr:row>92</xdr:row>
      <xdr:rowOff>5284</xdr:rowOff>
    </xdr:to>
    <xdr:graphicFrame macro="">
      <xdr:nvGraphicFramePr>
        <xdr:cNvPr id="17" name="Grafico 16">
          <a:extLst>
            <a:ext uri="{FF2B5EF4-FFF2-40B4-BE49-F238E27FC236}">
              <a16:creationId xmlns:a16="http://schemas.microsoft.com/office/drawing/2014/main" id="{AD9EFEED-8EE9-43F3-9679-6DE58456CC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93</xdr:col>
      <xdr:colOff>554181</xdr:colOff>
      <xdr:row>7</xdr:row>
      <xdr:rowOff>48490</xdr:rowOff>
    </xdr:from>
    <xdr:to>
      <xdr:col>110</xdr:col>
      <xdr:colOff>533400</xdr:colOff>
      <xdr:row>56</xdr:row>
      <xdr:rowOff>0</xdr:rowOff>
    </xdr:to>
    <xdr:graphicFrame macro="">
      <xdr:nvGraphicFramePr>
        <xdr:cNvPr id="13" name="Grafico 12">
          <a:extLst>
            <a:ext uri="{FF2B5EF4-FFF2-40B4-BE49-F238E27FC236}">
              <a16:creationId xmlns:a16="http://schemas.microsoft.com/office/drawing/2014/main" id="{A5370FF9-BF85-4943-9234-9A0D5B766F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0.45787</cdr:x>
      <cdr:y>0.95993</cdr:y>
    </cdr:from>
    <cdr:to>
      <cdr:x>0.54498</cdr:x>
      <cdr:y>0.99458</cdr:y>
    </cdr:to>
    <cdr:sp macro="" textlink="">
      <cdr:nvSpPr>
        <cdr:cNvPr id="2" name="CasellaDiTesto 4">
          <a:extLst xmlns:a="http://schemas.openxmlformats.org/drawingml/2006/main">
            <a:ext uri="{FF2B5EF4-FFF2-40B4-BE49-F238E27FC236}">
              <a16:creationId xmlns:a16="http://schemas.microsoft.com/office/drawing/2014/main" id="{1A0EFA68-397F-40D6-9CF4-DEC61FC1CC85}"/>
            </a:ext>
          </a:extLst>
        </cdr:cNvPr>
        <cdr:cNvSpPr txBox="1"/>
      </cdr:nvSpPr>
      <cdr:spPr>
        <a:xfrm xmlns:a="http://schemas.openxmlformats.org/drawingml/2006/main">
          <a:off x="4515223" y="8755529"/>
          <a:ext cx="858982" cy="3161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 cmpd="sng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fld id="{066C2CB5-EDD9-4959-A92C-1D08B76F0C24}" type="TxLink">
            <a:rPr lang="en-US" sz="1100" b="0" i="0" u="none" strike="noStrike">
              <a:solidFill>
                <a:srgbClr val="000000"/>
              </a:solidFill>
              <a:latin typeface="Calibri"/>
              <a:cs typeface="Calibri"/>
            </a:rPr>
            <a:pPr/>
            <a:t>1-Jan</a:t>
          </a:fld>
          <a:endParaRPr lang="it-IT" sz="1100"/>
        </a:p>
      </cdr:txBody>
    </cdr:sp>
  </cdr:relSizeAnchor>
  <cdr:relSizeAnchor xmlns:cdr="http://schemas.openxmlformats.org/drawingml/2006/chartDrawing">
    <cdr:from>
      <cdr:x>0.8515</cdr:x>
      <cdr:y>0.20804</cdr:y>
    </cdr:from>
    <cdr:to>
      <cdr:x>0.94643</cdr:x>
      <cdr:y>0.24425</cdr:y>
    </cdr:to>
    <cdr:sp macro="" textlink="">
      <cdr:nvSpPr>
        <cdr:cNvPr id="3" name="CasellaDiTesto 39">
          <a:extLst xmlns:a="http://schemas.openxmlformats.org/drawingml/2006/main">
            <a:ext uri="{FF2B5EF4-FFF2-40B4-BE49-F238E27FC236}">
              <a16:creationId xmlns:a16="http://schemas.microsoft.com/office/drawing/2014/main" id="{FCE1FEBE-31BB-4C36-AE5B-F28E94AB7959}"/>
            </a:ext>
          </a:extLst>
        </cdr:cNvPr>
        <cdr:cNvSpPr txBox="1"/>
      </cdr:nvSpPr>
      <cdr:spPr>
        <a:xfrm xmlns:a="http://schemas.openxmlformats.org/drawingml/2006/main">
          <a:off x="8396941" y="1897530"/>
          <a:ext cx="936171" cy="330261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  <a:ln xmlns:a="http://schemas.openxmlformats.org/drawingml/2006/main" w="9525" cmpd="sng">
          <a:solidFill>
            <a:schemeClr val="lt1">
              <a:shade val="50000"/>
            </a:schemeClr>
          </a:solidFill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fld id="{C50FADCF-C35D-461F-85EE-8EFF41035337}" type="TxLink">
            <a:rPr lang="en-US" sz="1800" b="1" i="0" u="none" strike="noStrike">
              <a:solidFill>
                <a:srgbClr val="FF0000"/>
              </a:solidFill>
              <a:latin typeface="Calibri"/>
              <a:cs typeface="Calibri"/>
            </a:rPr>
            <a:pPr/>
            <a:t>Liguria</a:t>
          </a:fld>
          <a:endParaRPr lang="it-IT" sz="3200" b="1">
            <a:solidFill>
              <a:srgbClr val="FF0000"/>
            </a:solidFill>
          </a:endParaRPr>
        </a:p>
      </cdr:txBody>
    </cdr:sp>
  </cdr:relSizeAnchor>
</c:userShapes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0.28842</cdr:x>
      <cdr:y>0.68364</cdr:y>
    </cdr:from>
    <cdr:to>
      <cdr:x>0.36817</cdr:x>
      <cdr:y>0.72691</cdr:y>
    </cdr:to>
    <cdr:sp macro="" textlink="">
      <cdr:nvSpPr>
        <cdr:cNvPr id="2" name="CasellaDiTesto 39">
          <a:extLst xmlns:a="http://schemas.openxmlformats.org/drawingml/2006/main">
            <a:ext uri="{FF2B5EF4-FFF2-40B4-BE49-F238E27FC236}">
              <a16:creationId xmlns:a16="http://schemas.microsoft.com/office/drawing/2014/main" id="{81DB8C92-D4CF-4FC6-9B52-44974EA937D3}"/>
            </a:ext>
          </a:extLst>
        </cdr:cNvPr>
        <cdr:cNvSpPr txBox="1"/>
      </cdr:nvSpPr>
      <cdr:spPr>
        <a:xfrm xmlns:a="http://schemas.openxmlformats.org/drawingml/2006/main">
          <a:off x="3384550" y="5518150"/>
          <a:ext cx="935806" cy="349250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  <a:ln xmlns:a="http://schemas.openxmlformats.org/drawingml/2006/main" w="9525" cmpd="sng">
          <a:solidFill>
            <a:schemeClr val="lt1">
              <a:shade val="50000"/>
            </a:schemeClr>
          </a:solidFill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fld id="{C50FADCF-C35D-461F-85EE-8EFF41035337}" type="TxLink">
            <a:rPr lang="en-US" sz="1800" b="1" i="0" u="none" strike="noStrike">
              <a:solidFill>
                <a:srgbClr val="FF0000"/>
              </a:solidFill>
              <a:latin typeface="Calibri"/>
              <a:cs typeface="Calibri"/>
            </a:rPr>
            <a:pPr/>
            <a:t>Liguria</a:t>
          </a:fld>
          <a:endParaRPr lang="it-IT" sz="3200" b="1">
            <a:solidFill>
              <a:srgbClr val="FF0000"/>
            </a:solidFill>
          </a:endParaRPr>
        </a:p>
      </cdr:txBody>
    </cdr:sp>
  </cdr:relSizeAnchor>
</c:userShapes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0.3357</cdr:x>
      <cdr:y>0.57841</cdr:y>
    </cdr:from>
    <cdr:to>
      <cdr:x>0.42647</cdr:x>
      <cdr:y>0.62625</cdr:y>
    </cdr:to>
    <cdr:sp macro="" textlink="">
      <cdr:nvSpPr>
        <cdr:cNvPr id="2" name="CasellaDiTesto 39">
          <a:extLst xmlns:a="http://schemas.openxmlformats.org/drawingml/2006/main">
            <a:ext uri="{FF2B5EF4-FFF2-40B4-BE49-F238E27FC236}">
              <a16:creationId xmlns:a16="http://schemas.microsoft.com/office/drawing/2014/main" id="{109ACD86-9341-4846-BF0C-87B1C5F88725}"/>
            </a:ext>
          </a:extLst>
        </cdr:cNvPr>
        <cdr:cNvSpPr txBox="1"/>
      </cdr:nvSpPr>
      <cdr:spPr>
        <a:xfrm xmlns:a="http://schemas.openxmlformats.org/drawingml/2006/main">
          <a:off x="3460750" y="4222750"/>
          <a:ext cx="935806" cy="349250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  <a:ln xmlns:a="http://schemas.openxmlformats.org/drawingml/2006/main" w="9525" cmpd="sng">
          <a:solidFill>
            <a:schemeClr val="lt1">
              <a:shade val="50000"/>
            </a:schemeClr>
          </a:solidFill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fld id="{C50FADCF-C35D-461F-85EE-8EFF41035337}" type="TxLink">
            <a:rPr lang="en-US" sz="1800" b="1" i="0" u="none" strike="noStrike">
              <a:solidFill>
                <a:srgbClr val="FF0000"/>
              </a:solidFill>
              <a:latin typeface="Calibri"/>
              <a:cs typeface="Calibri"/>
            </a:rPr>
            <a:pPr/>
            <a:t>Liguria</a:t>
          </a:fld>
          <a:endParaRPr lang="it-IT" sz="3200" b="1">
            <a:solidFill>
              <a:srgbClr val="FF0000"/>
            </a:solidFill>
          </a:endParaRPr>
        </a:p>
      </cdr:txBody>
    </cdr:sp>
  </cdr:relSizeAnchor>
</c:userShapes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0.179</cdr:x>
      <cdr:y>0.63397</cdr:y>
    </cdr:from>
    <cdr:to>
      <cdr:x>0.29676</cdr:x>
      <cdr:y>0.68967</cdr:y>
    </cdr:to>
    <cdr:sp macro="" textlink="">
      <cdr:nvSpPr>
        <cdr:cNvPr id="2" name="CasellaDiTesto 39">
          <a:extLst xmlns:a="http://schemas.openxmlformats.org/drawingml/2006/main">
            <a:ext uri="{FF2B5EF4-FFF2-40B4-BE49-F238E27FC236}">
              <a16:creationId xmlns:a16="http://schemas.microsoft.com/office/drawing/2014/main" id="{81DB8C92-D4CF-4FC6-9B52-44974EA937D3}"/>
            </a:ext>
          </a:extLst>
        </cdr:cNvPr>
        <cdr:cNvSpPr txBox="1"/>
      </cdr:nvSpPr>
      <cdr:spPr>
        <a:xfrm xmlns:a="http://schemas.openxmlformats.org/drawingml/2006/main">
          <a:off x="1422400" y="3975100"/>
          <a:ext cx="935806" cy="349250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  <a:ln xmlns:a="http://schemas.openxmlformats.org/drawingml/2006/main" w="9525" cmpd="sng">
          <a:solidFill>
            <a:schemeClr val="lt1">
              <a:shade val="50000"/>
            </a:schemeClr>
          </a:solidFill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fld id="{C50FADCF-C35D-461F-85EE-8EFF41035337}" type="TxLink">
            <a:rPr lang="en-US" sz="1800" b="1" i="0" u="none" strike="noStrike">
              <a:solidFill>
                <a:srgbClr val="FF0000"/>
              </a:solidFill>
              <a:latin typeface="Calibri"/>
              <a:cs typeface="Calibri"/>
            </a:rPr>
            <a:pPr/>
            <a:t>Liguria</a:t>
          </a:fld>
          <a:endParaRPr lang="it-IT" sz="3200" b="1">
            <a:solidFill>
              <a:srgbClr val="FF0000"/>
            </a:solidFill>
          </a:endParaRPr>
        </a:p>
      </cdr:txBody>
    </cdr:sp>
  </cdr:relSizeAnchor>
</c:userShapes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0.73103</cdr:x>
      <cdr:y>0.65905</cdr:y>
    </cdr:from>
    <cdr:to>
      <cdr:x>0.84062</cdr:x>
      <cdr:y>0.71143</cdr:y>
    </cdr:to>
    <cdr:sp macro="" textlink="">
      <cdr:nvSpPr>
        <cdr:cNvPr id="2" name="CasellaDiTesto 39">
          <a:extLst xmlns:a="http://schemas.openxmlformats.org/drawingml/2006/main">
            <a:ext uri="{FF2B5EF4-FFF2-40B4-BE49-F238E27FC236}">
              <a16:creationId xmlns:a16="http://schemas.microsoft.com/office/drawing/2014/main" id="{81DB8C92-D4CF-4FC6-9B52-44974EA937D3}"/>
            </a:ext>
          </a:extLst>
        </cdr:cNvPr>
        <cdr:cNvSpPr txBox="1"/>
      </cdr:nvSpPr>
      <cdr:spPr>
        <a:xfrm xmlns:a="http://schemas.openxmlformats.org/drawingml/2006/main">
          <a:off x="6242050" y="4394200"/>
          <a:ext cx="935806" cy="349250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  <a:ln xmlns:a="http://schemas.openxmlformats.org/drawingml/2006/main" w="9525" cmpd="sng">
          <a:solidFill>
            <a:schemeClr val="lt1">
              <a:shade val="50000"/>
            </a:schemeClr>
          </a:solidFill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fld id="{C50FADCF-C35D-461F-85EE-8EFF41035337}" type="TxLink">
            <a:rPr lang="en-US" sz="1800" b="1" i="0" u="none" strike="noStrike">
              <a:solidFill>
                <a:srgbClr val="FF0000"/>
              </a:solidFill>
              <a:latin typeface="Calibri"/>
              <a:cs typeface="Calibri"/>
            </a:rPr>
            <a:pPr/>
            <a:t>Liguria</a:t>
          </a:fld>
          <a:endParaRPr lang="it-IT" sz="3200" b="1">
            <a:solidFill>
              <a:srgbClr val="FF0000"/>
            </a:solidFill>
          </a:endParaRPr>
        </a:p>
      </cdr:txBody>
    </cdr:sp>
  </cdr:relSizeAnchor>
</c:userShapes>
</file>

<file path=xl/persons/person.xml><?xml version="1.0" encoding="utf-8"?>
<personList xmlns="http://schemas.microsoft.com/office/spreadsheetml/2018/threadedcomments" xmlns:x="http://schemas.openxmlformats.org/spreadsheetml/2006/main">
  <person displayName="Pier Franco Nali" id="{46504131-ADD3-4530-BCC7-16E4FED1C2C4}" userId="1f297b06b5980845" providerId="Windows Live"/>
</personList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mpfn" refreshedDate="43966.019191550928" createdVersion="6" refreshedVersion="6" minRefreshableVersion="3" recordCount="1702" xr:uid="{D725F143-88C9-43C4-96A8-75CDF08649CC}">
  <cacheSource type="worksheet">
    <worksheetSource ref="A1:Q1048576" sheet="dpc-covid19-ita-regioni"/>
  </cacheSource>
  <cacheFields count="18">
    <cacheField name="data" numFmtId="0">
      <sharedItems containsNonDate="0" containsDate="1" containsString="0" containsBlank="1" minDate="2020-02-24T18:00:00" maxDate="2020-05-14T17:00:00" count="82">
        <d v="2020-02-24T18:00:00"/>
        <d v="2020-02-25T18:00:00"/>
        <d v="2020-02-26T18:00:00"/>
        <d v="2020-02-27T18:00:00"/>
        <d v="2020-02-28T18:00:00"/>
        <d v="2020-02-29T17:00:00"/>
        <d v="2020-03-01T17:00:00"/>
        <d v="2020-03-02T18:00:00"/>
        <d v="2020-03-03T18:00:00"/>
        <d v="2020-03-04T17:00:00"/>
        <d v="2020-03-05T17:00:00"/>
        <d v="2020-03-06T17:00:00"/>
        <d v="2020-03-07T18:00:00"/>
        <d v="2020-03-08T18:00:00"/>
        <d v="2020-03-09T18:00:00"/>
        <d v="2020-03-10T18:00:00"/>
        <d v="2020-03-11T17:00:00"/>
        <d v="2020-03-12T17:00:00"/>
        <d v="2020-03-13T17:00:00"/>
        <d v="2020-03-14T17:00:00"/>
        <d v="2020-03-15T17:00:00"/>
        <d v="2020-03-16T17:00:00"/>
        <d v="2020-03-17T17:00:00"/>
        <d v="2020-03-18T17:00:00"/>
        <d v="2020-03-19T17:00:00"/>
        <d v="2020-03-20T17:00:00"/>
        <d v="2020-03-21T17:00:00"/>
        <d v="2020-03-22T17:00:00"/>
        <d v="2020-03-23T17:00:00"/>
        <d v="2020-03-24T17:00:00"/>
        <d v="2020-03-25T17:00:00"/>
        <d v="2020-03-26T17:00:00"/>
        <d v="2020-03-27T17:00:00"/>
        <d v="2020-03-28T17:00:00"/>
        <d v="2020-03-29T17:00:00"/>
        <d v="2020-03-30T17:00:00"/>
        <d v="2020-03-31T17:00:00"/>
        <d v="2020-04-01T17:00:00"/>
        <d v="2020-04-02T17:00:00"/>
        <d v="2020-04-03T17:00:00"/>
        <d v="2020-04-04T17:00:00"/>
        <d v="2020-04-05T17:00:00"/>
        <d v="2020-04-06T17:00:00"/>
        <d v="2020-04-07T17:00:00"/>
        <d v="2020-04-08T17:00:00"/>
        <d v="2020-04-09T17:00:00"/>
        <d v="2020-04-10T17:00:00"/>
        <d v="2020-04-11T17:00:00"/>
        <d v="2020-04-12T17:00:00"/>
        <d v="2020-04-13T17:00:00"/>
        <d v="2020-04-14T17:00:00"/>
        <d v="2020-04-15T17:00:00"/>
        <d v="2020-04-16T17:00:00"/>
        <d v="2020-04-17T17:00:00"/>
        <d v="2020-04-18T17:00:00"/>
        <d v="2020-04-19T17:00:00"/>
        <d v="2020-04-20T17:00:00"/>
        <d v="2020-04-21T17:00:00"/>
        <d v="2020-04-22T17:00:00"/>
        <d v="2020-04-23T17:00:00"/>
        <d v="2020-04-24T17:00:00"/>
        <d v="2020-04-25T17:00:00"/>
        <d v="2020-04-26T17:00:00"/>
        <d v="2020-04-27T17:00:00"/>
        <d v="2020-04-28T17:00:00"/>
        <d v="2020-04-29T17:00:00"/>
        <d v="2020-04-30T17:00:00"/>
        <d v="2020-05-01T17:00:00"/>
        <d v="2020-05-02T17:00:00"/>
        <d v="2020-05-03T17:00:00"/>
        <d v="2020-05-04T17:00:00"/>
        <d v="2020-05-05T17:00:00"/>
        <d v="2020-05-06T17:00:00"/>
        <d v="2020-05-07T17:00:00"/>
        <d v="2020-05-08T17:00:00"/>
        <d v="2020-05-09T17:00:00"/>
        <d v="2020-05-10T17:00:00"/>
        <d v="2020-05-11T17:00:00"/>
        <d v="2020-05-12T17:00:00"/>
        <d v="2020-05-13T17:00:00"/>
        <d v="2020-05-14T17:00:00"/>
        <m/>
      </sharedItems>
      <fieldGroup par="17" base="0">
        <rangePr groupBy="days" startDate="2020-02-24T18:00:00" endDate="2020-05-14T17:00:00"/>
        <groupItems count="368">
          <s v="(vuoto)"/>
          <s v="01-gen"/>
          <s v="02-gen"/>
          <s v="03-gen"/>
          <s v="04-gen"/>
          <s v="05-gen"/>
          <s v="06-gen"/>
          <s v="07-gen"/>
          <s v="08-gen"/>
          <s v="09-gen"/>
          <s v="10-gen"/>
          <s v="11-gen"/>
          <s v="12-gen"/>
          <s v="13-gen"/>
          <s v="14-gen"/>
          <s v="15-gen"/>
          <s v="16-gen"/>
          <s v="17-gen"/>
          <s v="18-gen"/>
          <s v="19-gen"/>
          <s v="20-gen"/>
          <s v="21-gen"/>
          <s v="22-gen"/>
          <s v="23-gen"/>
          <s v="24-gen"/>
          <s v="25-gen"/>
          <s v="26-gen"/>
          <s v="27-gen"/>
          <s v="28-gen"/>
          <s v="29-gen"/>
          <s v="30-gen"/>
          <s v="31-gen"/>
          <s v="01-feb"/>
          <s v="02-feb"/>
          <s v="03-feb"/>
          <s v="04-feb"/>
          <s v="05-feb"/>
          <s v="06-feb"/>
          <s v="07-feb"/>
          <s v="08-feb"/>
          <s v="0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01-mar"/>
          <s v="02-mar"/>
          <s v="03-mar"/>
          <s v="04-mar"/>
          <s v="05-mar"/>
          <s v="06-mar"/>
          <s v="07-mar"/>
          <s v="08-mar"/>
          <s v="0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01-apr"/>
          <s v="02-apr"/>
          <s v="03-apr"/>
          <s v="04-apr"/>
          <s v="05-apr"/>
          <s v="06-apr"/>
          <s v="07-apr"/>
          <s v="08-apr"/>
          <s v="0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01-mag"/>
          <s v="02-mag"/>
          <s v="03-mag"/>
          <s v="04-mag"/>
          <s v="05-mag"/>
          <s v="06-mag"/>
          <s v="07-mag"/>
          <s v="08-mag"/>
          <s v="09-mag"/>
          <s v="10-mag"/>
          <s v="11-mag"/>
          <s v="12-mag"/>
          <s v="13-mag"/>
          <s v="14-mag"/>
          <s v="15-mag"/>
          <s v="16-mag"/>
          <s v="17-mag"/>
          <s v="18-mag"/>
          <s v="19-mag"/>
          <s v="20-mag"/>
          <s v="21-mag"/>
          <s v="22-mag"/>
          <s v="23-mag"/>
          <s v="24-mag"/>
          <s v="25-mag"/>
          <s v="26-mag"/>
          <s v="27-mag"/>
          <s v="28-mag"/>
          <s v="29-mag"/>
          <s v="30-mag"/>
          <s v="31-mag"/>
          <s v="01-giu"/>
          <s v="02-giu"/>
          <s v="03-giu"/>
          <s v="04-giu"/>
          <s v="05-giu"/>
          <s v="06-giu"/>
          <s v="07-giu"/>
          <s v="08-giu"/>
          <s v="09-giu"/>
          <s v="10-giu"/>
          <s v="11-giu"/>
          <s v="12-giu"/>
          <s v="13-giu"/>
          <s v="14-giu"/>
          <s v="15-giu"/>
          <s v="16-giu"/>
          <s v="17-giu"/>
          <s v="18-giu"/>
          <s v="19-giu"/>
          <s v="20-giu"/>
          <s v="21-giu"/>
          <s v="22-giu"/>
          <s v="23-giu"/>
          <s v="24-giu"/>
          <s v="25-giu"/>
          <s v="26-giu"/>
          <s v="27-giu"/>
          <s v="28-giu"/>
          <s v="29-giu"/>
          <s v="30-giu"/>
          <s v="01-lug"/>
          <s v="02-lug"/>
          <s v="03-lug"/>
          <s v="04-lug"/>
          <s v="05-lug"/>
          <s v="06-lug"/>
          <s v="07-lug"/>
          <s v="08-lug"/>
          <s v="09-lug"/>
          <s v="10-lug"/>
          <s v="11-lug"/>
          <s v="12-lug"/>
          <s v="13-lug"/>
          <s v="14-lug"/>
          <s v="15-lug"/>
          <s v="16-lug"/>
          <s v="17-lug"/>
          <s v="18-lug"/>
          <s v="19-lug"/>
          <s v="20-lug"/>
          <s v="21-lug"/>
          <s v="22-lug"/>
          <s v="23-lug"/>
          <s v="24-lug"/>
          <s v="25-lug"/>
          <s v="26-lug"/>
          <s v="27-lug"/>
          <s v="28-lug"/>
          <s v="29-lug"/>
          <s v="30-lug"/>
          <s v="31-lug"/>
          <s v="01-ago"/>
          <s v="02-ago"/>
          <s v="03-ago"/>
          <s v="04-ago"/>
          <s v="05-ago"/>
          <s v="06-ago"/>
          <s v="07-ago"/>
          <s v="08-ago"/>
          <s v="09-ago"/>
          <s v="10-ago"/>
          <s v="11-ago"/>
          <s v="12-ago"/>
          <s v="13-ago"/>
          <s v="14-ago"/>
          <s v="15-ago"/>
          <s v="16-ago"/>
          <s v="17-ago"/>
          <s v="18-ago"/>
          <s v="19-ago"/>
          <s v="20-ago"/>
          <s v="21-ago"/>
          <s v="22-ago"/>
          <s v="23-ago"/>
          <s v="24-ago"/>
          <s v="25-ago"/>
          <s v="26-ago"/>
          <s v="27-ago"/>
          <s v="28-ago"/>
          <s v="29-ago"/>
          <s v="30-ago"/>
          <s v="31-ago"/>
          <s v="01-set"/>
          <s v="02-set"/>
          <s v="03-set"/>
          <s v="04-set"/>
          <s v="05-set"/>
          <s v="06-set"/>
          <s v="07-set"/>
          <s v="08-set"/>
          <s v="09-set"/>
          <s v="10-set"/>
          <s v="11-set"/>
          <s v="12-set"/>
          <s v="13-set"/>
          <s v="14-set"/>
          <s v="15-set"/>
          <s v="16-set"/>
          <s v="17-set"/>
          <s v="18-set"/>
          <s v="19-set"/>
          <s v="20-set"/>
          <s v="21-set"/>
          <s v="22-set"/>
          <s v="23-set"/>
          <s v="24-set"/>
          <s v="25-set"/>
          <s v="26-set"/>
          <s v="27-set"/>
          <s v="28-set"/>
          <s v="29-set"/>
          <s v="30-set"/>
          <s v="01-ott"/>
          <s v="02-ott"/>
          <s v="03-ott"/>
          <s v="04-ott"/>
          <s v="05-ott"/>
          <s v="06-ott"/>
          <s v="07-ott"/>
          <s v="08-ott"/>
          <s v="09-ott"/>
          <s v="10-ott"/>
          <s v="11-ott"/>
          <s v="12-ott"/>
          <s v="13-ott"/>
          <s v="14-ott"/>
          <s v="15-ott"/>
          <s v="16-ott"/>
          <s v="17-ott"/>
          <s v="18-ott"/>
          <s v="19-ott"/>
          <s v="20-ott"/>
          <s v="21-ott"/>
          <s v="22-ott"/>
          <s v="23-ott"/>
          <s v="24-ott"/>
          <s v="25-ott"/>
          <s v="26-ott"/>
          <s v="27-ott"/>
          <s v="28-ott"/>
          <s v="29-ott"/>
          <s v="30-ott"/>
          <s v="31-ott"/>
          <s v="01-nov"/>
          <s v="02-nov"/>
          <s v="03-nov"/>
          <s v="04-nov"/>
          <s v="05-nov"/>
          <s v="06-nov"/>
          <s v="07-nov"/>
          <s v="08-nov"/>
          <s v="0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01-dic"/>
          <s v="02-dic"/>
          <s v="03-dic"/>
          <s v="04-dic"/>
          <s v="05-dic"/>
          <s v="06-dic"/>
          <s v="07-dic"/>
          <s v="08-dic"/>
          <s v="09-dic"/>
          <s v="10-dic"/>
          <s v="11-dic"/>
          <s v="12-dic"/>
          <s v="13-dic"/>
          <s v="14-dic"/>
          <s v="15-dic"/>
          <s v="16-dic"/>
          <s v="17-dic"/>
          <s v="18-dic"/>
          <s v="19-dic"/>
          <s v="20-dic"/>
          <s v="21-dic"/>
          <s v="22-dic"/>
          <s v="23-dic"/>
          <s v="24-dic"/>
          <s v="25-dic"/>
          <s v="26-dic"/>
          <s v="27-dic"/>
          <s v="28-dic"/>
          <s v="29-dic"/>
          <s v="30-dic"/>
          <s v="31-dic"/>
          <s v="&gt;14/05/2020"/>
        </groupItems>
      </fieldGroup>
    </cacheField>
    <cacheField name="stato" numFmtId="0">
      <sharedItems containsBlank="1"/>
    </cacheField>
    <cacheField name="codice_regione" numFmtId="0">
      <sharedItems containsString="0" containsBlank="1" containsNumber="1" containsInteger="1" minValue="1" maxValue="20" count="21">
        <n v="13"/>
        <n v="17"/>
        <n v="4"/>
        <n v="18"/>
        <n v="15"/>
        <n v="8"/>
        <n v="6"/>
        <n v="12"/>
        <n v="7"/>
        <n v="3"/>
        <n v="11"/>
        <n v="14"/>
        <n v="1"/>
        <n v="16"/>
        <n v="20"/>
        <n v="19"/>
        <n v="9"/>
        <n v="10"/>
        <n v="2"/>
        <n v="5"/>
        <m/>
      </sharedItems>
    </cacheField>
    <cacheField name="denominazione_regione" numFmtId="0">
      <sharedItems containsBlank="1" count="22">
        <s v="Abruzzo"/>
        <s v="Basilicata"/>
        <s v="P.A. Bolzano"/>
        <s v="Calabria"/>
        <s v="Campania"/>
        <s v="Emilia-Romagna"/>
        <s v="Friuli Venezia Giulia"/>
        <s v="Lazio"/>
        <s v="Liguria"/>
        <s v="Lombardia"/>
        <s v="Marche"/>
        <s v="Molise"/>
        <s v="Piemonte"/>
        <s v="Puglia"/>
        <s v="Sardegna"/>
        <s v="Sicilia"/>
        <s v="Toscana"/>
        <s v="P.A. Trento"/>
        <s v="Umbria"/>
        <s v="Valle d'Aosta"/>
        <s v="Veneto"/>
        <m/>
      </sharedItems>
    </cacheField>
    <cacheField name="lat" numFmtId="0">
      <sharedItems containsString="0" containsBlank="1" containsNumber="1" containsInteger="1" minValue="450732745" maxValue="4649933453"/>
    </cacheField>
    <cacheField name="long" numFmtId="0">
      <sharedItems containsString="0" containsBlank="1" containsNumber="1" containsInteger="1" minValue="89326992" maxValue="9190347404"/>
    </cacheField>
    <cacheField name="ricoverati_con_sintomi" numFmtId="0">
      <sharedItems containsString="0" containsBlank="1" containsNumber="1" containsInteger="1" minValue="0" maxValue="12077"/>
    </cacheField>
    <cacheField name="terapia_intensiva" numFmtId="0">
      <sharedItems containsString="0" containsBlank="1" containsNumber="1" containsInteger="1" minValue="0" maxValue="1381"/>
    </cacheField>
    <cacheField name="totale_ospedalizzati" numFmtId="0">
      <sharedItems containsString="0" containsBlank="1" containsNumber="1" containsInteger="1" minValue="0" maxValue="13328"/>
    </cacheField>
    <cacheField name="isolamento_domiciliare" numFmtId="0">
      <sharedItems containsString="0" containsBlank="1" containsNumber="1" containsInteger="1" minValue="0" maxValue="30382"/>
    </cacheField>
    <cacheField name="totale_positivi" numFmtId="0">
      <sharedItems containsString="0" containsBlank="1" containsNumber="1" containsInteger="1" minValue="0" maxValue="37307"/>
    </cacheField>
    <cacheField name="variazione_totale_positivi" numFmtId="0">
      <sharedItems containsString="0" containsBlank="1" containsNumber="1" containsInteger="1" minValue="-5339" maxValue="1950"/>
    </cacheField>
    <cacheField name="nuovi_positivi" numFmtId="0">
      <sharedItems containsString="0" containsBlank="1" containsNumber="1" containsInteger="1" minValue="-18" maxValue="3251"/>
    </cacheField>
    <cacheField name="dimessi_guariti" numFmtId="0">
      <sharedItems containsString="0" containsBlank="1" containsNumber="1" containsInteger="1" minValue="0" maxValue="38568"/>
    </cacheField>
    <cacheField name="deceduti" numFmtId="0">
      <sharedItems containsString="0" containsBlank="1" containsNumber="1" containsInteger="1" minValue="0" maxValue="15296"/>
    </cacheField>
    <cacheField name="totale_casi" numFmtId="0">
      <sharedItems containsString="0" containsBlank="1" containsNumber="1" containsInteger="1" minValue="0" maxValue="83820"/>
    </cacheField>
    <cacheField name="tamponi" numFmtId="0">
      <sharedItems containsString="0" containsBlank="1" containsNumber="1" containsInteger="1" minValue="0" maxValue="538243"/>
    </cacheField>
    <cacheField name="Mesi" numFmtId="0" databaseField="0">
      <fieldGroup base="0">
        <rangePr groupBy="months" startDate="2020-02-24T18:00:00" endDate="2020-05-14T17:00:00"/>
        <groupItems count="14">
          <s v="&lt;24/02/2020"/>
          <s v="gen"/>
          <s v="feb"/>
          <s v="mar"/>
          <s v="apr"/>
          <s v="mag"/>
          <s v="giu"/>
          <s v="lug"/>
          <s v="ago"/>
          <s v="set"/>
          <s v="ott"/>
          <s v="nov"/>
          <s v="dic"/>
          <s v="&gt;14/05/2020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02">
  <r>
    <x v="0"/>
    <s v="ITA"/>
    <x v="0"/>
    <x v="0"/>
    <n v="4235122196"/>
    <n v="1339843823"/>
    <n v="0"/>
    <n v="0"/>
    <n v="0"/>
    <n v="0"/>
    <n v="0"/>
    <n v="0"/>
    <n v="0"/>
    <n v="0"/>
    <n v="0"/>
    <n v="0"/>
    <n v="5"/>
  </r>
  <r>
    <x v="0"/>
    <s v="ITA"/>
    <x v="1"/>
    <x v="1"/>
    <n v="4063947052"/>
    <n v="1580514834"/>
    <n v="0"/>
    <n v="0"/>
    <n v="0"/>
    <n v="0"/>
    <n v="0"/>
    <n v="0"/>
    <n v="0"/>
    <n v="0"/>
    <n v="0"/>
    <n v="0"/>
    <n v="0"/>
  </r>
  <r>
    <x v="0"/>
    <s v="ITA"/>
    <x v="2"/>
    <x v="2"/>
    <n v="4649933453"/>
    <n v="1135662422"/>
    <n v="0"/>
    <n v="0"/>
    <n v="0"/>
    <n v="0"/>
    <n v="0"/>
    <n v="0"/>
    <n v="0"/>
    <n v="0"/>
    <n v="0"/>
    <n v="0"/>
    <n v="1"/>
  </r>
  <r>
    <x v="0"/>
    <s v="ITA"/>
    <x v="3"/>
    <x v="3"/>
    <n v="3890597598"/>
    <n v="1659440194"/>
    <n v="0"/>
    <n v="0"/>
    <n v="0"/>
    <n v="0"/>
    <n v="0"/>
    <n v="0"/>
    <n v="0"/>
    <n v="0"/>
    <n v="0"/>
    <n v="0"/>
    <n v="1"/>
  </r>
  <r>
    <x v="0"/>
    <s v="ITA"/>
    <x v="4"/>
    <x v="4"/>
    <n v="4083956555"/>
    <n v="1425084984"/>
    <n v="0"/>
    <n v="0"/>
    <n v="0"/>
    <n v="0"/>
    <n v="0"/>
    <n v="0"/>
    <n v="0"/>
    <n v="0"/>
    <n v="0"/>
    <n v="0"/>
    <n v="10"/>
  </r>
  <r>
    <x v="0"/>
    <s v="ITA"/>
    <x v="5"/>
    <x v="5"/>
    <n v="4449436681"/>
    <n v="113417208"/>
    <n v="10"/>
    <n v="2"/>
    <n v="12"/>
    <n v="6"/>
    <n v="18"/>
    <n v="0"/>
    <n v="18"/>
    <n v="0"/>
    <n v="0"/>
    <n v="18"/>
    <n v="148"/>
  </r>
  <r>
    <x v="0"/>
    <s v="ITA"/>
    <x v="6"/>
    <x v="6"/>
    <n v="456494354"/>
    <n v="1376813649"/>
    <n v="0"/>
    <n v="0"/>
    <n v="0"/>
    <n v="0"/>
    <n v="0"/>
    <n v="0"/>
    <n v="0"/>
    <n v="0"/>
    <n v="0"/>
    <n v="0"/>
    <n v="58"/>
  </r>
  <r>
    <x v="0"/>
    <s v="ITA"/>
    <x v="7"/>
    <x v="7"/>
    <n v="4189277044"/>
    <n v="1248366722"/>
    <n v="1"/>
    <n v="1"/>
    <n v="2"/>
    <n v="0"/>
    <n v="2"/>
    <n v="0"/>
    <n v="2"/>
    <n v="1"/>
    <n v="0"/>
    <n v="3"/>
    <n v="124"/>
  </r>
  <r>
    <x v="0"/>
    <s v="ITA"/>
    <x v="8"/>
    <x v="8"/>
    <n v="4441149315"/>
    <n v="89326992"/>
    <n v="0"/>
    <n v="0"/>
    <n v="0"/>
    <n v="0"/>
    <n v="0"/>
    <n v="0"/>
    <n v="0"/>
    <n v="0"/>
    <n v="0"/>
    <n v="0"/>
    <n v="1"/>
  </r>
  <r>
    <x v="0"/>
    <s v="ITA"/>
    <x v="9"/>
    <x v="9"/>
    <n v="4546679409"/>
    <n v="9190347404"/>
    <n v="76"/>
    <n v="19"/>
    <n v="95"/>
    <n v="71"/>
    <n v="166"/>
    <n v="0"/>
    <n v="166"/>
    <n v="0"/>
    <n v="6"/>
    <n v="172"/>
    <n v="1463"/>
  </r>
  <r>
    <x v="0"/>
    <s v="ITA"/>
    <x v="10"/>
    <x v="10"/>
    <n v="4361675973"/>
    <n v="135188753"/>
    <n v="0"/>
    <n v="0"/>
    <n v="0"/>
    <n v="0"/>
    <n v="0"/>
    <n v="0"/>
    <n v="0"/>
    <n v="0"/>
    <n v="0"/>
    <n v="0"/>
    <n v="16"/>
  </r>
  <r>
    <x v="0"/>
    <s v="ITA"/>
    <x v="11"/>
    <x v="11"/>
    <n v="4155774754"/>
    <n v="1465916051"/>
    <n v="0"/>
    <n v="0"/>
    <n v="0"/>
    <n v="0"/>
    <n v="0"/>
    <n v="0"/>
    <n v="0"/>
    <n v="0"/>
    <n v="0"/>
    <n v="0"/>
    <n v="0"/>
  </r>
  <r>
    <x v="0"/>
    <s v="ITA"/>
    <x v="12"/>
    <x v="12"/>
    <n v="450732745"/>
    <n v="7680687483"/>
    <n v="2"/>
    <n v="0"/>
    <n v="2"/>
    <n v="1"/>
    <n v="3"/>
    <n v="0"/>
    <n v="3"/>
    <n v="0"/>
    <n v="0"/>
    <n v="3"/>
    <n v="141"/>
  </r>
  <r>
    <x v="0"/>
    <s v="ITA"/>
    <x v="13"/>
    <x v="13"/>
    <n v="4112559576"/>
    <n v="1686736689"/>
    <n v="0"/>
    <n v="0"/>
    <n v="0"/>
    <n v="0"/>
    <n v="0"/>
    <n v="0"/>
    <n v="0"/>
    <n v="0"/>
    <n v="0"/>
    <n v="0"/>
    <n v="0"/>
  </r>
  <r>
    <x v="0"/>
    <s v="ITA"/>
    <x v="14"/>
    <x v="14"/>
    <n v="3921531192"/>
    <n v="9110616306"/>
    <n v="0"/>
    <n v="0"/>
    <n v="0"/>
    <n v="0"/>
    <n v="0"/>
    <n v="0"/>
    <n v="0"/>
    <n v="0"/>
    <n v="0"/>
    <n v="0"/>
    <n v="1"/>
  </r>
  <r>
    <x v="0"/>
    <s v="ITA"/>
    <x v="15"/>
    <x v="15"/>
    <n v="3811569725"/>
    <n v="133623567"/>
    <n v="0"/>
    <n v="0"/>
    <n v="0"/>
    <n v="0"/>
    <n v="0"/>
    <n v="0"/>
    <n v="0"/>
    <n v="0"/>
    <n v="0"/>
    <n v="0"/>
    <n v="5"/>
  </r>
  <r>
    <x v="0"/>
    <s v="ITA"/>
    <x v="16"/>
    <x v="16"/>
    <n v="4376923077"/>
    <n v="1125588885"/>
    <n v="0"/>
    <n v="0"/>
    <n v="0"/>
    <n v="0"/>
    <n v="0"/>
    <n v="0"/>
    <n v="0"/>
    <n v="0"/>
    <n v="0"/>
    <n v="0"/>
    <n v="140"/>
  </r>
  <r>
    <x v="0"/>
    <s v="ITA"/>
    <x v="2"/>
    <x v="17"/>
    <n v="4606893511"/>
    <n v="1112123097"/>
    <n v="0"/>
    <n v="0"/>
    <n v="0"/>
    <n v="0"/>
    <n v="0"/>
    <n v="0"/>
    <n v="0"/>
    <n v="0"/>
    <n v="0"/>
    <n v="0"/>
    <n v="3"/>
  </r>
  <r>
    <x v="0"/>
    <s v="ITA"/>
    <x v="17"/>
    <x v="18"/>
    <n v="4310675841"/>
    <n v="1238824698"/>
    <n v="0"/>
    <n v="0"/>
    <n v="0"/>
    <n v="0"/>
    <n v="0"/>
    <n v="0"/>
    <n v="0"/>
    <n v="0"/>
    <n v="0"/>
    <n v="0"/>
    <n v="0"/>
  </r>
  <r>
    <x v="0"/>
    <s v="ITA"/>
    <x v="18"/>
    <x v="19"/>
    <n v="4573750286"/>
    <n v="7320149366"/>
    <n v="0"/>
    <n v="0"/>
    <n v="0"/>
    <n v="0"/>
    <n v="0"/>
    <n v="0"/>
    <n v="0"/>
    <n v="0"/>
    <n v="0"/>
    <n v="0"/>
    <n v="7"/>
  </r>
  <r>
    <x v="0"/>
    <s v="ITA"/>
    <x v="19"/>
    <x v="20"/>
    <n v="4543490485"/>
    <n v="1233845213"/>
    <n v="12"/>
    <n v="4"/>
    <n v="16"/>
    <n v="16"/>
    <n v="32"/>
    <n v="0"/>
    <n v="32"/>
    <n v="0"/>
    <n v="1"/>
    <n v="33"/>
    <n v="2200"/>
  </r>
  <r>
    <x v="1"/>
    <s v="ITA"/>
    <x v="0"/>
    <x v="0"/>
    <n v="4235122196"/>
    <n v="1339843823"/>
    <n v="0"/>
    <n v="0"/>
    <n v="0"/>
    <n v="0"/>
    <n v="0"/>
    <n v="0"/>
    <n v="0"/>
    <n v="0"/>
    <n v="0"/>
    <n v="0"/>
    <n v="5"/>
  </r>
  <r>
    <x v="1"/>
    <s v="ITA"/>
    <x v="1"/>
    <x v="1"/>
    <n v="4063947052"/>
    <n v="1580514834"/>
    <n v="0"/>
    <n v="0"/>
    <n v="0"/>
    <n v="0"/>
    <n v="0"/>
    <n v="0"/>
    <n v="0"/>
    <n v="0"/>
    <n v="0"/>
    <n v="0"/>
    <n v="0"/>
  </r>
  <r>
    <x v="1"/>
    <s v="ITA"/>
    <x v="2"/>
    <x v="2"/>
    <n v="4649933453"/>
    <n v="1135662422"/>
    <n v="1"/>
    <n v="0"/>
    <n v="1"/>
    <n v="0"/>
    <n v="1"/>
    <n v="1"/>
    <n v="1"/>
    <n v="0"/>
    <n v="0"/>
    <n v="1"/>
    <n v="1"/>
  </r>
  <r>
    <x v="1"/>
    <s v="ITA"/>
    <x v="3"/>
    <x v="3"/>
    <n v="3890597598"/>
    <n v="1659440194"/>
    <n v="0"/>
    <n v="0"/>
    <n v="0"/>
    <n v="0"/>
    <n v="0"/>
    <n v="0"/>
    <n v="0"/>
    <n v="0"/>
    <n v="0"/>
    <n v="0"/>
    <n v="2"/>
  </r>
  <r>
    <x v="1"/>
    <s v="ITA"/>
    <x v="4"/>
    <x v="4"/>
    <n v="4083956555"/>
    <n v="1425084984"/>
    <n v="0"/>
    <n v="0"/>
    <n v="0"/>
    <n v="0"/>
    <n v="0"/>
    <n v="0"/>
    <n v="0"/>
    <n v="0"/>
    <n v="0"/>
    <n v="0"/>
    <n v="10"/>
  </r>
  <r>
    <x v="1"/>
    <s v="ITA"/>
    <x v="5"/>
    <x v="5"/>
    <n v="4449436681"/>
    <n v="113417208"/>
    <n v="15"/>
    <n v="2"/>
    <n v="17"/>
    <n v="9"/>
    <n v="26"/>
    <n v="8"/>
    <n v="8"/>
    <n v="0"/>
    <n v="0"/>
    <n v="26"/>
    <n v="391"/>
  </r>
  <r>
    <x v="1"/>
    <s v="ITA"/>
    <x v="6"/>
    <x v="6"/>
    <n v="456494354"/>
    <n v="1376813649"/>
    <n v="0"/>
    <n v="0"/>
    <n v="0"/>
    <n v="0"/>
    <n v="0"/>
    <n v="0"/>
    <n v="0"/>
    <n v="0"/>
    <n v="0"/>
    <n v="0"/>
    <n v="89"/>
  </r>
  <r>
    <x v="1"/>
    <s v="ITA"/>
    <x v="7"/>
    <x v="7"/>
    <n v="4189277044"/>
    <n v="1248366722"/>
    <n v="1"/>
    <n v="1"/>
    <n v="2"/>
    <n v="0"/>
    <n v="2"/>
    <n v="0"/>
    <n v="0"/>
    <n v="1"/>
    <n v="0"/>
    <n v="3"/>
    <n v="124"/>
  </r>
  <r>
    <x v="1"/>
    <s v="ITA"/>
    <x v="8"/>
    <x v="8"/>
    <n v="4441149315"/>
    <n v="89326992"/>
    <n v="1"/>
    <n v="0"/>
    <n v="1"/>
    <n v="0"/>
    <n v="1"/>
    <n v="1"/>
    <n v="1"/>
    <n v="0"/>
    <n v="0"/>
    <n v="1"/>
    <n v="39"/>
  </r>
  <r>
    <x v="1"/>
    <s v="ITA"/>
    <x v="9"/>
    <x v="9"/>
    <n v="4546679409"/>
    <n v="9190347404"/>
    <n v="79"/>
    <n v="25"/>
    <n v="104"/>
    <n v="127"/>
    <n v="231"/>
    <n v="65"/>
    <n v="68"/>
    <n v="0"/>
    <n v="9"/>
    <n v="240"/>
    <n v="3700"/>
  </r>
  <r>
    <x v="1"/>
    <s v="ITA"/>
    <x v="10"/>
    <x v="10"/>
    <n v="4361675973"/>
    <n v="135188753"/>
    <n v="0"/>
    <n v="0"/>
    <n v="0"/>
    <n v="0"/>
    <n v="0"/>
    <n v="0"/>
    <n v="0"/>
    <n v="0"/>
    <n v="0"/>
    <n v="0"/>
    <n v="21"/>
  </r>
  <r>
    <x v="1"/>
    <s v="ITA"/>
    <x v="11"/>
    <x v="11"/>
    <n v="4155774754"/>
    <n v="1465916051"/>
    <n v="0"/>
    <n v="0"/>
    <n v="0"/>
    <n v="0"/>
    <n v="0"/>
    <n v="0"/>
    <n v="0"/>
    <n v="0"/>
    <n v="0"/>
    <n v="0"/>
    <n v="0"/>
  </r>
  <r>
    <x v="1"/>
    <s v="ITA"/>
    <x v="12"/>
    <x v="12"/>
    <n v="450732745"/>
    <n v="7680687483"/>
    <n v="2"/>
    <n v="0"/>
    <n v="2"/>
    <n v="1"/>
    <n v="3"/>
    <n v="0"/>
    <n v="0"/>
    <n v="0"/>
    <n v="0"/>
    <n v="3"/>
    <n v="141"/>
  </r>
  <r>
    <x v="1"/>
    <s v="ITA"/>
    <x v="13"/>
    <x v="13"/>
    <n v="4112559576"/>
    <n v="1686736689"/>
    <n v="0"/>
    <n v="0"/>
    <n v="0"/>
    <n v="0"/>
    <n v="0"/>
    <n v="0"/>
    <n v="0"/>
    <n v="0"/>
    <n v="0"/>
    <n v="0"/>
    <n v="0"/>
  </r>
  <r>
    <x v="1"/>
    <s v="ITA"/>
    <x v="14"/>
    <x v="14"/>
    <n v="3921531192"/>
    <n v="9110616306"/>
    <n v="0"/>
    <n v="0"/>
    <n v="0"/>
    <n v="0"/>
    <n v="0"/>
    <n v="0"/>
    <n v="0"/>
    <n v="0"/>
    <n v="0"/>
    <n v="0"/>
    <n v="1"/>
  </r>
  <r>
    <x v="1"/>
    <s v="ITA"/>
    <x v="15"/>
    <x v="15"/>
    <n v="3811569725"/>
    <n v="133623567"/>
    <n v="1"/>
    <n v="0"/>
    <n v="1"/>
    <n v="2"/>
    <n v="3"/>
    <n v="3"/>
    <n v="3"/>
    <n v="0"/>
    <n v="0"/>
    <n v="3"/>
    <n v="5"/>
  </r>
  <r>
    <x v="1"/>
    <s v="ITA"/>
    <x v="16"/>
    <x v="16"/>
    <n v="4376923077"/>
    <n v="1125588885"/>
    <n v="2"/>
    <n v="0"/>
    <n v="2"/>
    <n v="0"/>
    <n v="2"/>
    <n v="2"/>
    <n v="2"/>
    <n v="0"/>
    <n v="0"/>
    <n v="2"/>
    <n v="296"/>
  </r>
  <r>
    <x v="1"/>
    <s v="ITA"/>
    <x v="2"/>
    <x v="17"/>
    <n v="4606893511"/>
    <n v="1112123097"/>
    <n v="0"/>
    <n v="0"/>
    <n v="0"/>
    <n v="0"/>
    <n v="0"/>
    <n v="0"/>
    <n v="0"/>
    <n v="0"/>
    <n v="0"/>
    <n v="0"/>
    <n v="3"/>
  </r>
  <r>
    <x v="1"/>
    <s v="ITA"/>
    <x v="17"/>
    <x v="18"/>
    <n v="4310675841"/>
    <n v="1238824698"/>
    <n v="0"/>
    <n v="0"/>
    <n v="0"/>
    <n v="0"/>
    <n v="0"/>
    <n v="0"/>
    <n v="0"/>
    <n v="0"/>
    <n v="0"/>
    <n v="0"/>
    <n v="8"/>
  </r>
  <r>
    <x v="1"/>
    <s v="ITA"/>
    <x v="18"/>
    <x v="19"/>
    <n v="4573750286"/>
    <n v="7320149366"/>
    <n v="0"/>
    <n v="0"/>
    <n v="0"/>
    <n v="0"/>
    <n v="0"/>
    <n v="0"/>
    <n v="0"/>
    <n v="0"/>
    <n v="0"/>
    <n v="0"/>
    <n v="7"/>
  </r>
  <r>
    <x v="1"/>
    <s v="ITA"/>
    <x v="19"/>
    <x v="20"/>
    <n v="4543490485"/>
    <n v="1233845213"/>
    <n v="12"/>
    <n v="7"/>
    <n v="19"/>
    <n v="23"/>
    <n v="42"/>
    <n v="10"/>
    <n v="10"/>
    <n v="0"/>
    <n v="1"/>
    <n v="43"/>
    <n v="3780"/>
  </r>
  <r>
    <x v="2"/>
    <s v="ITA"/>
    <x v="0"/>
    <x v="0"/>
    <n v="4235122196"/>
    <n v="1339843823"/>
    <n v="0"/>
    <n v="0"/>
    <n v="0"/>
    <n v="0"/>
    <n v="0"/>
    <n v="0"/>
    <n v="0"/>
    <n v="0"/>
    <n v="0"/>
    <n v="0"/>
    <n v="13"/>
  </r>
  <r>
    <x v="2"/>
    <s v="ITA"/>
    <x v="1"/>
    <x v="1"/>
    <n v="4063947052"/>
    <n v="1580514834"/>
    <n v="0"/>
    <n v="0"/>
    <n v="0"/>
    <n v="0"/>
    <n v="0"/>
    <n v="0"/>
    <n v="0"/>
    <n v="0"/>
    <n v="0"/>
    <n v="0"/>
    <n v="0"/>
  </r>
  <r>
    <x v="2"/>
    <s v="ITA"/>
    <x v="2"/>
    <x v="2"/>
    <n v="4649933453"/>
    <n v="1135662422"/>
    <n v="1"/>
    <n v="0"/>
    <n v="1"/>
    <n v="0"/>
    <n v="1"/>
    <n v="0"/>
    <n v="0"/>
    <n v="0"/>
    <n v="0"/>
    <n v="1"/>
    <n v="1"/>
  </r>
  <r>
    <x v="2"/>
    <s v="ITA"/>
    <x v="3"/>
    <x v="3"/>
    <n v="3890597598"/>
    <n v="1659440194"/>
    <n v="0"/>
    <n v="0"/>
    <n v="0"/>
    <n v="0"/>
    <n v="0"/>
    <n v="0"/>
    <n v="0"/>
    <n v="0"/>
    <n v="0"/>
    <n v="0"/>
    <n v="3"/>
  </r>
  <r>
    <x v="2"/>
    <s v="ITA"/>
    <x v="4"/>
    <x v="4"/>
    <n v="4083956555"/>
    <n v="1425084984"/>
    <n v="0"/>
    <n v="0"/>
    <n v="0"/>
    <n v="0"/>
    <n v="0"/>
    <n v="0"/>
    <n v="0"/>
    <n v="0"/>
    <n v="0"/>
    <n v="0"/>
    <n v="10"/>
  </r>
  <r>
    <x v="2"/>
    <s v="ITA"/>
    <x v="5"/>
    <x v="5"/>
    <n v="4449436681"/>
    <n v="113417208"/>
    <n v="20"/>
    <n v="3"/>
    <n v="23"/>
    <n v="23"/>
    <n v="46"/>
    <n v="20"/>
    <n v="21"/>
    <n v="0"/>
    <n v="1"/>
    <n v="47"/>
    <n v="577"/>
  </r>
  <r>
    <x v="2"/>
    <s v="ITA"/>
    <x v="6"/>
    <x v="6"/>
    <n v="456494354"/>
    <n v="1376813649"/>
    <n v="0"/>
    <n v="0"/>
    <n v="0"/>
    <n v="0"/>
    <n v="0"/>
    <n v="0"/>
    <n v="0"/>
    <n v="0"/>
    <n v="0"/>
    <n v="0"/>
    <n v="114"/>
  </r>
  <r>
    <x v="2"/>
    <s v="ITA"/>
    <x v="7"/>
    <x v="7"/>
    <n v="4189277044"/>
    <n v="1248366722"/>
    <n v="0"/>
    <n v="0"/>
    <n v="0"/>
    <n v="0"/>
    <n v="0"/>
    <n v="-2"/>
    <n v="0"/>
    <n v="3"/>
    <n v="0"/>
    <n v="3"/>
    <n v="124"/>
  </r>
  <r>
    <x v="2"/>
    <s v="ITA"/>
    <x v="8"/>
    <x v="8"/>
    <n v="4441149315"/>
    <n v="89326992"/>
    <n v="6"/>
    <n v="0"/>
    <n v="6"/>
    <n v="5"/>
    <n v="11"/>
    <n v="10"/>
    <n v="10"/>
    <n v="0"/>
    <n v="0"/>
    <n v="11"/>
    <n v="66"/>
  </r>
  <r>
    <x v="2"/>
    <s v="ITA"/>
    <x v="9"/>
    <x v="9"/>
    <n v="4546679409"/>
    <n v="9190347404"/>
    <n v="79"/>
    <n v="25"/>
    <n v="104"/>
    <n v="145"/>
    <n v="249"/>
    <n v="18"/>
    <n v="18"/>
    <n v="0"/>
    <n v="9"/>
    <n v="258"/>
    <n v="3208"/>
  </r>
  <r>
    <x v="2"/>
    <s v="ITA"/>
    <x v="10"/>
    <x v="10"/>
    <n v="4361675973"/>
    <n v="135188753"/>
    <n v="1"/>
    <n v="0"/>
    <n v="1"/>
    <n v="0"/>
    <n v="1"/>
    <n v="1"/>
    <n v="1"/>
    <n v="0"/>
    <n v="0"/>
    <n v="1"/>
    <n v="28"/>
  </r>
  <r>
    <x v="2"/>
    <s v="ITA"/>
    <x v="11"/>
    <x v="11"/>
    <n v="4155774754"/>
    <n v="1465916051"/>
    <n v="0"/>
    <n v="0"/>
    <n v="0"/>
    <n v="0"/>
    <n v="0"/>
    <n v="0"/>
    <n v="0"/>
    <n v="0"/>
    <n v="0"/>
    <n v="0"/>
    <n v="0"/>
  </r>
  <r>
    <x v="2"/>
    <s v="ITA"/>
    <x v="12"/>
    <x v="12"/>
    <n v="450732745"/>
    <n v="7680687483"/>
    <n v="2"/>
    <n v="0"/>
    <n v="2"/>
    <n v="1"/>
    <n v="3"/>
    <n v="0"/>
    <n v="0"/>
    <n v="0"/>
    <n v="0"/>
    <n v="3"/>
    <n v="156"/>
  </r>
  <r>
    <x v="2"/>
    <s v="ITA"/>
    <x v="13"/>
    <x v="13"/>
    <n v="4112559576"/>
    <n v="1686736689"/>
    <n v="0"/>
    <n v="0"/>
    <n v="0"/>
    <n v="0"/>
    <n v="0"/>
    <n v="0"/>
    <n v="0"/>
    <n v="0"/>
    <n v="0"/>
    <n v="0"/>
    <n v="0"/>
  </r>
  <r>
    <x v="2"/>
    <s v="ITA"/>
    <x v="14"/>
    <x v="14"/>
    <n v="3921531192"/>
    <n v="9110616306"/>
    <n v="0"/>
    <n v="0"/>
    <n v="0"/>
    <n v="0"/>
    <n v="0"/>
    <n v="0"/>
    <n v="0"/>
    <n v="0"/>
    <n v="0"/>
    <n v="0"/>
    <n v="1"/>
  </r>
  <r>
    <x v="2"/>
    <s v="ITA"/>
    <x v="15"/>
    <x v="15"/>
    <n v="3811569725"/>
    <n v="133623567"/>
    <n v="1"/>
    <n v="0"/>
    <n v="1"/>
    <n v="2"/>
    <n v="3"/>
    <n v="0"/>
    <n v="0"/>
    <n v="0"/>
    <n v="0"/>
    <n v="3"/>
    <n v="5"/>
  </r>
  <r>
    <x v="2"/>
    <s v="ITA"/>
    <x v="16"/>
    <x v="16"/>
    <n v="4376923077"/>
    <n v="1125588885"/>
    <n v="2"/>
    <n v="0"/>
    <n v="2"/>
    <n v="0"/>
    <n v="2"/>
    <n v="0"/>
    <n v="0"/>
    <n v="0"/>
    <n v="0"/>
    <n v="2"/>
    <n v="363"/>
  </r>
  <r>
    <x v="2"/>
    <s v="ITA"/>
    <x v="2"/>
    <x v="17"/>
    <n v="4606893511"/>
    <n v="1112123097"/>
    <n v="0"/>
    <n v="0"/>
    <n v="0"/>
    <n v="0"/>
    <n v="0"/>
    <n v="0"/>
    <n v="0"/>
    <n v="0"/>
    <n v="0"/>
    <n v="0"/>
    <n v="3"/>
  </r>
  <r>
    <x v="2"/>
    <s v="ITA"/>
    <x v="17"/>
    <x v="18"/>
    <n v="4310675841"/>
    <n v="1238824698"/>
    <n v="0"/>
    <n v="0"/>
    <n v="0"/>
    <n v="0"/>
    <n v="0"/>
    <n v="0"/>
    <n v="0"/>
    <n v="0"/>
    <n v="0"/>
    <n v="0"/>
    <n v="8"/>
  </r>
  <r>
    <x v="2"/>
    <s v="ITA"/>
    <x v="18"/>
    <x v="19"/>
    <n v="4573750286"/>
    <n v="7320149366"/>
    <n v="0"/>
    <n v="0"/>
    <n v="0"/>
    <n v="0"/>
    <n v="0"/>
    <n v="0"/>
    <n v="0"/>
    <n v="0"/>
    <n v="0"/>
    <n v="0"/>
    <n v="7"/>
  </r>
  <r>
    <x v="2"/>
    <s v="ITA"/>
    <x v="19"/>
    <x v="20"/>
    <n v="4543490485"/>
    <n v="1233845213"/>
    <n v="16"/>
    <n v="8"/>
    <n v="24"/>
    <n v="45"/>
    <n v="69"/>
    <n v="27"/>
    <n v="28"/>
    <n v="0"/>
    <n v="2"/>
    <n v="71"/>
    <n v="4900"/>
  </r>
  <r>
    <x v="3"/>
    <s v="ITA"/>
    <x v="0"/>
    <x v="0"/>
    <n v="4235122196"/>
    <n v="1339843823"/>
    <n v="1"/>
    <n v="0"/>
    <n v="1"/>
    <n v="0"/>
    <n v="1"/>
    <n v="1"/>
    <n v="1"/>
    <n v="0"/>
    <n v="0"/>
    <n v="1"/>
    <n v="33"/>
  </r>
  <r>
    <x v="3"/>
    <s v="ITA"/>
    <x v="1"/>
    <x v="1"/>
    <n v="4063947052"/>
    <n v="1580514834"/>
    <n v="0"/>
    <n v="0"/>
    <n v="0"/>
    <n v="0"/>
    <n v="0"/>
    <n v="0"/>
    <n v="0"/>
    <n v="0"/>
    <n v="0"/>
    <n v="0"/>
    <n v="0"/>
  </r>
  <r>
    <x v="3"/>
    <s v="ITA"/>
    <x v="2"/>
    <x v="2"/>
    <n v="4649933453"/>
    <n v="1135662422"/>
    <n v="1"/>
    <n v="0"/>
    <n v="1"/>
    <n v="0"/>
    <n v="1"/>
    <n v="0"/>
    <n v="0"/>
    <n v="0"/>
    <n v="0"/>
    <n v="1"/>
    <n v="2"/>
  </r>
  <r>
    <x v="3"/>
    <s v="ITA"/>
    <x v="3"/>
    <x v="3"/>
    <n v="3890597598"/>
    <n v="1659440194"/>
    <n v="0"/>
    <n v="0"/>
    <n v="0"/>
    <n v="0"/>
    <n v="0"/>
    <n v="0"/>
    <n v="0"/>
    <n v="0"/>
    <n v="0"/>
    <n v="0"/>
    <n v="14"/>
  </r>
  <r>
    <x v="3"/>
    <s v="ITA"/>
    <x v="4"/>
    <x v="4"/>
    <n v="4083956555"/>
    <n v="1425084984"/>
    <n v="2"/>
    <n v="0"/>
    <n v="2"/>
    <n v="1"/>
    <n v="3"/>
    <n v="3"/>
    <n v="3"/>
    <n v="0"/>
    <n v="0"/>
    <n v="3"/>
    <n v="10"/>
  </r>
  <r>
    <x v="3"/>
    <s v="ITA"/>
    <x v="5"/>
    <x v="5"/>
    <n v="4449436681"/>
    <n v="113417208"/>
    <n v="36"/>
    <n v="6"/>
    <n v="42"/>
    <n v="54"/>
    <n v="96"/>
    <n v="50"/>
    <n v="50"/>
    <n v="0"/>
    <n v="1"/>
    <n v="97"/>
    <n v="1033"/>
  </r>
  <r>
    <x v="3"/>
    <s v="ITA"/>
    <x v="6"/>
    <x v="6"/>
    <n v="456494354"/>
    <n v="1376813649"/>
    <n v="0"/>
    <n v="0"/>
    <n v="0"/>
    <n v="0"/>
    <n v="0"/>
    <n v="0"/>
    <n v="0"/>
    <n v="0"/>
    <n v="0"/>
    <n v="0"/>
    <n v="141"/>
  </r>
  <r>
    <x v="3"/>
    <s v="ITA"/>
    <x v="7"/>
    <x v="7"/>
    <n v="4189277044"/>
    <n v="1248366722"/>
    <n v="0"/>
    <n v="0"/>
    <n v="0"/>
    <n v="0"/>
    <n v="0"/>
    <n v="0"/>
    <n v="0"/>
    <n v="3"/>
    <n v="0"/>
    <n v="3"/>
    <n v="552"/>
  </r>
  <r>
    <x v="3"/>
    <s v="ITA"/>
    <x v="8"/>
    <x v="8"/>
    <n v="4441149315"/>
    <n v="89326992"/>
    <n v="9"/>
    <n v="0"/>
    <n v="9"/>
    <n v="10"/>
    <n v="19"/>
    <n v="8"/>
    <n v="8"/>
    <n v="0"/>
    <n v="0"/>
    <n v="19"/>
    <n v="78"/>
  </r>
  <r>
    <x v="3"/>
    <s v="ITA"/>
    <x v="9"/>
    <x v="9"/>
    <n v="4546679409"/>
    <n v="9190347404"/>
    <n v="172"/>
    <n v="41"/>
    <n v="213"/>
    <n v="136"/>
    <n v="349"/>
    <n v="100"/>
    <n v="145"/>
    <n v="40"/>
    <n v="14"/>
    <n v="403"/>
    <n v="3320"/>
  </r>
  <r>
    <x v="3"/>
    <s v="ITA"/>
    <x v="10"/>
    <x v="10"/>
    <n v="4361675973"/>
    <n v="135188753"/>
    <n v="2"/>
    <n v="1"/>
    <n v="3"/>
    <n v="0"/>
    <n v="3"/>
    <n v="2"/>
    <n v="2"/>
    <n v="0"/>
    <n v="0"/>
    <n v="3"/>
    <n v="46"/>
  </r>
  <r>
    <x v="3"/>
    <s v="ITA"/>
    <x v="11"/>
    <x v="11"/>
    <n v="4155774754"/>
    <n v="1465916051"/>
    <n v="0"/>
    <n v="0"/>
    <n v="0"/>
    <n v="0"/>
    <n v="0"/>
    <n v="0"/>
    <n v="0"/>
    <n v="0"/>
    <n v="0"/>
    <n v="0"/>
    <n v="0"/>
  </r>
  <r>
    <x v="3"/>
    <s v="ITA"/>
    <x v="12"/>
    <x v="12"/>
    <n v="450732745"/>
    <n v="7680687483"/>
    <n v="2"/>
    <n v="0"/>
    <n v="2"/>
    <n v="0"/>
    <n v="2"/>
    <n v="-1"/>
    <n v="-1"/>
    <n v="0"/>
    <n v="0"/>
    <n v="2"/>
    <n v="156"/>
  </r>
  <r>
    <x v="3"/>
    <s v="ITA"/>
    <x v="13"/>
    <x v="13"/>
    <n v="4112559576"/>
    <n v="1686736689"/>
    <n v="1"/>
    <n v="0"/>
    <n v="1"/>
    <n v="0"/>
    <n v="1"/>
    <n v="1"/>
    <n v="1"/>
    <n v="0"/>
    <n v="0"/>
    <n v="1"/>
    <n v="0"/>
  </r>
  <r>
    <x v="3"/>
    <s v="ITA"/>
    <x v="14"/>
    <x v="14"/>
    <n v="3921531192"/>
    <n v="9110616306"/>
    <n v="0"/>
    <n v="0"/>
    <n v="0"/>
    <n v="0"/>
    <n v="0"/>
    <n v="0"/>
    <n v="0"/>
    <n v="0"/>
    <n v="0"/>
    <n v="0"/>
    <n v="1"/>
  </r>
  <r>
    <x v="3"/>
    <s v="ITA"/>
    <x v="15"/>
    <x v="15"/>
    <n v="3811569725"/>
    <n v="133623567"/>
    <n v="1"/>
    <n v="0"/>
    <n v="1"/>
    <n v="1"/>
    <n v="2"/>
    <n v="-1"/>
    <n v="1"/>
    <n v="2"/>
    <n v="0"/>
    <n v="4"/>
    <n v="5"/>
  </r>
  <r>
    <x v="3"/>
    <s v="ITA"/>
    <x v="16"/>
    <x v="16"/>
    <n v="4376923077"/>
    <n v="1125588885"/>
    <n v="2"/>
    <n v="0"/>
    <n v="2"/>
    <n v="0"/>
    <n v="2"/>
    <n v="0"/>
    <n v="0"/>
    <n v="0"/>
    <n v="0"/>
    <n v="2"/>
    <n v="410"/>
  </r>
  <r>
    <x v="3"/>
    <s v="ITA"/>
    <x v="2"/>
    <x v="17"/>
    <n v="4606893511"/>
    <n v="1112123097"/>
    <n v="0"/>
    <n v="0"/>
    <n v="0"/>
    <n v="0"/>
    <n v="0"/>
    <n v="0"/>
    <n v="0"/>
    <n v="0"/>
    <n v="0"/>
    <n v="0"/>
    <n v="32"/>
  </r>
  <r>
    <x v="3"/>
    <s v="ITA"/>
    <x v="17"/>
    <x v="18"/>
    <n v="4310675841"/>
    <n v="1238824698"/>
    <n v="0"/>
    <n v="0"/>
    <n v="0"/>
    <n v="0"/>
    <n v="0"/>
    <n v="0"/>
    <n v="0"/>
    <n v="0"/>
    <n v="0"/>
    <n v="0"/>
    <n v="8"/>
  </r>
  <r>
    <x v="3"/>
    <s v="ITA"/>
    <x v="18"/>
    <x v="19"/>
    <n v="4573750286"/>
    <n v="7320149366"/>
    <n v="0"/>
    <n v="0"/>
    <n v="0"/>
    <n v="0"/>
    <n v="0"/>
    <n v="0"/>
    <n v="0"/>
    <n v="0"/>
    <n v="0"/>
    <n v="0"/>
    <n v="9"/>
  </r>
  <r>
    <x v="3"/>
    <s v="ITA"/>
    <x v="19"/>
    <x v="20"/>
    <n v="4543490485"/>
    <n v="1233845213"/>
    <n v="19"/>
    <n v="8"/>
    <n v="27"/>
    <n v="82"/>
    <n v="109"/>
    <n v="40"/>
    <n v="40"/>
    <n v="0"/>
    <n v="2"/>
    <n v="111"/>
    <n v="6164"/>
  </r>
  <r>
    <x v="4"/>
    <s v="ITA"/>
    <x v="0"/>
    <x v="0"/>
    <n v="4235122196"/>
    <n v="1339843823"/>
    <n v="1"/>
    <n v="0"/>
    <n v="1"/>
    <n v="0"/>
    <n v="1"/>
    <n v="0"/>
    <n v="0"/>
    <n v="0"/>
    <n v="0"/>
    <n v="1"/>
    <n v="33"/>
  </r>
  <r>
    <x v="4"/>
    <s v="ITA"/>
    <x v="1"/>
    <x v="1"/>
    <n v="4063947052"/>
    <n v="1580514834"/>
    <n v="0"/>
    <n v="0"/>
    <n v="0"/>
    <n v="0"/>
    <n v="0"/>
    <n v="0"/>
    <n v="0"/>
    <n v="0"/>
    <n v="0"/>
    <n v="0"/>
    <n v="0"/>
  </r>
  <r>
    <x v="4"/>
    <s v="ITA"/>
    <x v="2"/>
    <x v="2"/>
    <n v="4649933453"/>
    <n v="1135662422"/>
    <n v="1"/>
    <n v="0"/>
    <n v="1"/>
    <n v="0"/>
    <n v="1"/>
    <n v="0"/>
    <n v="0"/>
    <n v="0"/>
    <n v="0"/>
    <n v="1"/>
    <n v="2"/>
  </r>
  <r>
    <x v="4"/>
    <s v="ITA"/>
    <x v="3"/>
    <x v="3"/>
    <n v="3890597598"/>
    <n v="1659440194"/>
    <n v="0"/>
    <n v="0"/>
    <n v="0"/>
    <n v="1"/>
    <n v="1"/>
    <n v="1"/>
    <n v="1"/>
    <n v="0"/>
    <n v="0"/>
    <n v="1"/>
    <n v="21"/>
  </r>
  <r>
    <x v="4"/>
    <s v="ITA"/>
    <x v="4"/>
    <x v="4"/>
    <n v="4083956555"/>
    <n v="1425084984"/>
    <n v="2"/>
    <n v="0"/>
    <n v="2"/>
    <n v="2"/>
    <n v="4"/>
    <n v="1"/>
    <n v="1"/>
    <n v="0"/>
    <n v="0"/>
    <n v="4"/>
    <n v="213"/>
  </r>
  <r>
    <x v="4"/>
    <s v="ITA"/>
    <x v="5"/>
    <x v="5"/>
    <n v="4449436681"/>
    <n v="113417208"/>
    <n v="56"/>
    <n v="6"/>
    <n v="62"/>
    <n v="81"/>
    <n v="143"/>
    <n v="47"/>
    <n v="48"/>
    <n v="0"/>
    <n v="2"/>
    <n v="145"/>
    <n v="1277"/>
  </r>
  <r>
    <x v="4"/>
    <s v="ITA"/>
    <x v="6"/>
    <x v="6"/>
    <n v="456494354"/>
    <n v="1376813649"/>
    <n v="0"/>
    <n v="0"/>
    <n v="0"/>
    <n v="0"/>
    <n v="0"/>
    <n v="0"/>
    <n v="0"/>
    <n v="0"/>
    <n v="0"/>
    <n v="0"/>
    <n v="169"/>
  </r>
  <r>
    <x v="4"/>
    <s v="ITA"/>
    <x v="7"/>
    <x v="7"/>
    <n v="4189277044"/>
    <n v="1248366722"/>
    <n v="0"/>
    <n v="0"/>
    <n v="0"/>
    <n v="0"/>
    <n v="0"/>
    <n v="0"/>
    <n v="0"/>
    <n v="3"/>
    <n v="0"/>
    <n v="3"/>
    <n v="611"/>
  </r>
  <r>
    <x v="4"/>
    <s v="ITA"/>
    <x v="8"/>
    <x v="8"/>
    <n v="4441149315"/>
    <n v="89326992"/>
    <n v="9"/>
    <n v="0"/>
    <n v="9"/>
    <n v="10"/>
    <n v="19"/>
    <n v="0"/>
    <n v="0"/>
    <n v="0"/>
    <n v="0"/>
    <n v="19"/>
    <n v="112"/>
  </r>
  <r>
    <x v="4"/>
    <s v="ITA"/>
    <x v="9"/>
    <x v="9"/>
    <n v="4546679409"/>
    <n v="9190347404"/>
    <n v="235"/>
    <n v="47"/>
    <n v="282"/>
    <n v="192"/>
    <n v="474"/>
    <n v="125"/>
    <n v="128"/>
    <n v="40"/>
    <n v="17"/>
    <n v="531"/>
    <n v="4835"/>
  </r>
  <r>
    <x v="4"/>
    <s v="ITA"/>
    <x v="10"/>
    <x v="10"/>
    <n v="4361675973"/>
    <n v="135188753"/>
    <n v="3"/>
    <n v="2"/>
    <n v="5"/>
    <n v="1"/>
    <n v="6"/>
    <n v="3"/>
    <n v="3"/>
    <n v="0"/>
    <n v="0"/>
    <n v="6"/>
    <n v="47"/>
  </r>
  <r>
    <x v="4"/>
    <s v="ITA"/>
    <x v="11"/>
    <x v="11"/>
    <n v="4155774754"/>
    <n v="1465916051"/>
    <n v="0"/>
    <n v="0"/>
    <n v="0"/>
    <n v="0"/>
    <n v="0"/>
    <n v="0"/>
    <n v="0"/>
    <n v="0"/>
    <n v="0"/>
    <n v="0"/>
    <n v="0"/>
  </r>
  <r>
    <x v="4"/>
    <s v="ITA"/>
    <x v="12"/>
    <x v="12"/>
    <n v="450732745"/>
    <n v="7680687483"/>
    <n v="7"/>
    <n v="0"/>
    <n v="7"/>
    <n v="4"/>
    <n v="11"/>
    <n v="9"/>
    <n v="9"/>
    <n v="0"/>
    <n v="0"/>
    <n v="11"/>
    <n v="227"/>
  </r>
  <r>
    <x v="4"/>
    <s v="ITA"/>
    <x v="13"/>
    <x v="13"/>
    <n v="4112559576"/>
    <n v="1686736689"/>
    <n v="1"/>
    <n v="0"/>
    <n v="1"/>
    <n v="2"/>
    <n v="3"/>
    <n v="2"/>
    <n v="2"/>
    <n v="0"/>
    <n v="0"/>
    <n v="3"/>
    <n v="242"/>
  </r>
  <r>
    <x v="4"/>
    <s v="ITA"/>
    <x v="14"/>
    <x v="14"/>
    <n v="3921531192"/>
    <n v="9110616306"/>
    <n v="0"/>
    <n v="0"/>
    <n v="0"/>
    <n v="0"/>
    <n v="0"/>
    <n v="0"/>
    <n v="0"/>
    <n v="0"/>
    <n v="0"/>
    <n v="0"/>
    <n v="1"/>
  </r>
  <r>
    <x v="4"/>
    <s v="ITA"/>
    <x v="15"/>
    <x v="15"/>
    <n v="3811569725"/>
    <n v="133623567"/>
    <n v="1"/>
    <n v="0"/>
    <n v="1"/>
    <n v="1"/>
    <n v="2"/>
    <n v="0"/>
    <n v="0"/>
    <n v="2"/>
    <n v="0"/>
    <n v="4"/>
    <n v="5"/>
  </r>
  <r>
    <x v="4"/>
    <s v="ITA"/>
    <x v="16"/>
    <x v="16"/>
    <n v="4376923077"/>
    <n v="1125588885"/>
    <n v="5"/>
    <n v="0"/>
    <n v="5"/>
    <n v="2"/>
    <n v="7"/>
    <n v="5"/>
    <n v="6"/>
    <n v="1"/>
    <n v="0"/>
    <n v="8"/>
    <n v="437"/>
  </r>
  <r>
    <x v="4"/>
    <s v="ITA"/>
    <x v="2"/>
    <x v="17"/>
    <n v="4606893511"/>
    <n v="1112123097"/>
    <n v="0"/>
    <n v="0"/>
    <n v="0"/>
    <n v="0"/>
    <n v="0"/>
    <n v="0"/>
    <n v="0"/>
    <n v="0"/>
    <n v="0"/>
    <n v="0"/>
    <n v="32"/>
  </r>
  <r>
    <x v="4"/>
    <s v="ITA"/>
    <x v="17"/>
    <x v="18"/>
    <n v="4310675841"/>
    <n v="1238824698"/>
    <n v="0"/>
    <n v="0"/>
    <n v="0"/>
    <n v="0"/>
    <n v="0"/>
    <n v="0"/>
    <n v="0"/>
    <n v="0"/>
    <n v="0"/>
    <n v="0"/>
    <n v="8"/>
  </r>
  <r>
    <x v="4"/>
    <s v="ITA"/>
    <x v="18"/>
    <x v="19"/>
    <n v="4573750286"/>
    <n v="7320149366"/>
    <n v="0"/>
    <n v="0"/>
    <n v="0"/>
    <n v="0"/>
    <n v="0"/>
    <n v="0"/>
    <n v="0"/>
    <n v="0"/>
    <n v="0"/>
    <n v="0"/>
    <n v="9"/>
  </r>
  <r>
    <x v="4"/>
    <s v="ITA"/>
    <x v="19"/>
    <x v="20"/>
    <n v="4543490485"/>
    <n v="1233845213"/>
    <n v="24"/>
    <n v="9"/>
    <n v="33"/>
    <n v="116"/>
    <n v="149"/>
    <n v="40"/>
    <n v="40"/>
    <n v="0"/>
    <n v="2"/>
    <n v="151"/>
    <n v="7414"/>
  </r>
  <r>
    <x v="5"/>
    <s v="ITA"/>
    <x v="0"/>
    <x v="0"/>
    <n v="4235122196"/>
    <n v="1339843823"/>
    <n v="2"/>
    <n v="0"/>
    <n v="2"/>
    <n v="0"/>
    <n v="2"/>
    <n v="1"/>
    <n v="1"/>
    <n v="0"/>
    <n v="0"/>
    <n v="2"/>
    <n v="43"/>
  </r>
  <r>
    <x v="5"/>
    <s v="ITA"/>
    <x v="1"/>
    <x v="1"/>
    <n v="4063947052"/>
    <n v="1580514834"/>
    <n v="0"/>
    <n v="0"/>
    <n v="0"/>
    <n v="0"/>
    <n v="0"/>
    <n v="0"/>
    <n v="0"/>
    <n v="0"/>
    <n v="0"/>
    <n v="0"/>
    <n v="32"/>
  </r>
  <r>
    <x v="5"/>
    <s v="ITA"/>
    <x v="2"/>
    <x v="2"/>
    <n v="4649933453"/>
    <n v="1135662422"/>
    <n v="1"/>
    <n v="0"/>
    <n v="1"/>
    <n v="0"/>
    <n v="1"/>
    <n v="0"/>
    <n v="0"/>
    <n v="0"/>
    <n v="0"/>
    <n v="1"/>
    <n v="16"/>
  </r>
  <r>
    <x v="5"/>
    <s v="ITA"/>
    <x v="3"/>
    <x v="3"/>
    <n v="3890597598"/>
    <n v="1659440194"/>
    <n v="0"/>
    <n v="0"/>
    <n v="0"/>
    <n v="1"/>
    <n v="1"/>
    <n v="0"/>
    <n v="0"/>
    <n v="0"/>
    <n v="0"/>
    <n v="1"/>
    <n v="27"/>
  </r>
  <r>
    <x v="5"/>
    <s v="ITA"/>
    <x v="4"/>
    <x v="4"/>
    <n v="4083956555"/>
    <n v="1425084984"/>
    <n v="3"/>
    <n v="0"/>
    <n v="3"/>
    <n v="10"/>
    <n v="13"/>
    <n v="9"/>
    <n v="9"/>
    <n v="0"/>
    <n v="0"/>
    <n v="13"/>
    <n v="373"/>
  </r>
  <r>
    <x v="5"/>
    <s v="ITA"/>
    <x v="5"/>
    <x v="5"/>
    <n v="4449436681"/>
    <n v="113417208"/>
    <n v="86"/>
    <n v="11"/>
    <n v="97"/>
    <n v="116"/>
    <n v="213"/>
    <n v="70"/>
    <n v="72"/>
    <n v="0"/>
    <n v="4"/>
    <n v="217"/>
    <n v="1550"/>
  </r>
  <r>
    <x v="5"/>
    <s v="ITA"/>
    <x v="6"/>
    <x v="6"/>
    <n v="456494354"/>
    <n v="1376813649"/>
    <n v="0"/>
    <n v="0"/>
    <n v="0"/>
    <n v="0"/>
    <n v="0"/>
    <n v="0"/>
    <n v="0"/>
    <n v="0"/>
    <n v="0"/>
    <n v="0"/>
    <n v="189"/>
  </r>
  <r>
    <x v="5"/>
    <s v="ITA"/>
    <x v="7"/>
    <x v="7"/>
    <n v="4189277044"/>
    <n v="1248366722"/>
    <n v="3"/>
    <n v="0"/>
    <n v="3"/>
    <n v="0"/>
    <n v="3"/>
    <n v="3"/>
    <n v="3"/>
    <n v="3"/>
    <n v="0"/>
    <n v="6"/>
    <n v="679"/>
  </r>
  <r>
    <x v="5"/>
    <s v="ITA"/>
    <x v="8"/>
    <x v="8"/>
    <n v="4441149315"/>
    <n v="89326992"/>
    <n v="4"/>
    <n v="1"/>
    <n v="5"/>
    <n v="33"/>
    <n v="38"/>
    <n v="19"/>
    <n v="23"/>
    <n v="4"/>
    <n v="0"/>
    <n v="42"/>
    <n v="121"/>
  </r>
  <r>
    <x v="5"/>
    <s v="ITA"/>
    <x v="9"/>
    <x v="9"/>
    <n v="4546679409"/>
    <n v="9190347404"/>
    <n v="256"/>
    <n v="80"/>
    <n v="336"/>
    <n v="216"/>
    <n v="552"/>
    <n v="78"/>
    <n v="84"/>
    <n v="40"/>
    <n v="23"/>
    <n v="615"/>
    <n v="5723"/>
  </r>
  <r>
    <x v="5"/>
    <s v="ITA"/>
    <x v="10"/>
    <x v="10"/>
    <n v="4361675973"/>
    <n v="135188753"/>
    <n v="6"/>
    <n v="2"/>
    <n v="8"/>
    <n v="3"/>
    <n v="11"/>
    <n v="5"/>
    <n v="5"/>
    <n v="0"/>
    <n v="0"/>
    <n v="11"/>
    <n v="68"/>
  </r>
  <r>
    <x v="5"/>
    <s v="ITA"/>
    <x v="11"/>
    <x v="11"/>
    <n v="4155774754"/>
    <n v="1465916051"/>
    <n v="0"/>
    <n v="0"/>
    <n v="0"/>
    <n v="0"/>
    <n v="0"/>
    <n v="0"/>
    <n v="0"/>
    <n v="0"/>
    <n v="0"/>
    <n v="0"/>
    <n v="0"/>
  </r>
  <r>
    <x v="5"/>
    <s v="ITA"/>
    <x v="12"/>
    <x v="12"/>
    <n v="450732745"/>
    <n v="7680687483"/>
    <n v="7"/>
    <n v="0"/>
    <n v="7"/>
    <n v="4"/>
    <n v="11"/>
    <n v="0"/>
    <n v="0"/>
    <n v="0"/>
    <n v="0"/>
    <n v="11"/>
    <n v="308"/>
  </r>
  <r>
    <x v="5"/>
    <s v="ITA"/>
    <x v="13"/>
    <x v="13"/>
    <n v="4112559576"/>
    <n v="1686736689"/>
    <n v="1"/>
    <n v="0"/>
    <n v="1"/>
    <n v="2"/>
    <n v="3"/>
    <n v="0"/>
    <n v="0"/>
    <n v="0"/>
    <n v="0"/>
    <n v="3"/>
    <n v="252"/>
  </r>
  <r>
    <x v="5"/>
    <s v="ITA"/>
    <x v="14"/>
    <x v="14"/>
    <n v="3921531192"/>
    <n v="9110616306"/>
    <n v="0"/>
    <n v="0"/>
    <n v="0"/>
    <n v="0"/>
    <n v="0"/>
    <n v="0"/>
    <n v="0"/>
    <n v="0"/>
    <n v="0"/>
    <n v="0"/>
    <n v="1"/>
  </r>
  <r>
    <x v="5"/>
    <s v="ITA"/>
    <x v="15"/>
    <x v="15"/>
    <n v="3811569725"/>
    <n v="133623567"/>
    <n v="1"/>
    <n v="0"/>
    <n v="1"/>
    <n v="1"/>
    <n v="2"/>
    <n v="0"/>
    <n v="0"/>
    <n v="2"/>
    <n v="0"/>
    <n v="4"/>
    <n v="6"/>
  </r>
  <r>
    <x v="5"/>
    <s v="ITA"/>
    <x v="16"/>
    <x v="16"/>
    <n v="4376923077"/>
    <n v="1125588885"/>
    <n v="7"/>
    <n v="0"/>
    <n v="7"/>
    <n v="3"/>
    <n v="10"/>
    <n v="3"/>
    <n v="3"/>
    <n v="1"/>
    <n v="0"/>
    <n v="11"/>
    <n v="531"/>
  </r>
  <r>
    <x v="5"/>
    <s v="ITA"/>
    <x v="2"/>
    <x v="17"/>
    <n v="4606893511"/>
    <n v="1112123097"/>
    <n v="0"/>
    <n v="0"/>
    <n v="0"/>
    <n v="0"/>
    <n v="0"/>
    <n v="0"/>
    <n v="0"/>
    <n v="0"/>
    <n v="0"/>
    <n v="0"/>
    <n v="43"/>
  </r>
  <r>
    <x v="5"/>
    <s v="ITA"/>
    <x v="17"/>
    <x v="18"/>
    <n v="4310675841"/>
    <n v="1238824698"/>
    <n v="0"/>
    <n v="0"/>
    <n v="0"/>
    <n v="0"/>
    <n v="0"/>
    <n v="0"/>
    <n v="0"/>
    <n v="0"/>
    <n v="0"/>
    <n v="0"/>
    <n v="31"/>
  </r>
  <r>
    <x v="5"/>
    <s v="ITA"/>
    <x v="18"/>
    <x v="19"/>
    <n v="4573750286"/>
    <n v="7320149366"/>
    <n v="0"/>
    <n v="0"/>
    <n v="0"/>
    <n v="0"/>
    <n v="0"/>
    <n v="0"/>
    <n v="0"/>
    <n v="0"/>
    <n v="0"/>
    <n v="0"/>
    <n v="9"/>
  </r>
  <r>
    <x v="5"/>
    <s v="ITA"/>
    <x v="19"/>
    <x v="20"/>
    <n v="4543490485"/>
    <n v="1233845213"/>
    <n v="24"/>
    <n v="11"/>
    <n v="35"/>
    <n v="154"/>
    <n v="189"/>
    <n v="40"/>
    <n v="40"/>
    <n v="0"/>
    <n v="2"/>
    <n v="191"/>
    <n v="8659"/>
  </r>
  <r>
    <x v="6"/>
    <s v="ITA"/>
    <x v="0"/>
    <x v="0"/>
    <n v="4235122196"/>
    <n v="1339843823"/>
    <n v="3"/>
    <n v="0"/>
    <n v="3"/>
    <n v="2"/>
    <n v="5"/>
    <n v="3"/>
    <n v="3"/>
    <n v="0"/>
    <n v="0"/>
    <n v="5"/>
    <n v="52"/>
  </r>
  <r>
    <x v="6"/>
    <s v="ITA"/>
    <x v="1"/>
    <x v="1"/>
    <n v="4063947052"/>
    <n v="1580514834"/>
    <n v="0"/>
    <n v="0"/>
    <n v="0"/>
    <n v="0"/>
    <n v="0"/>
    <n v="0"/>
    <n v="0"/>
    <n v="0"/>
    <n v="0"/>
    <n v="0"/>
    <n v="39"/>
  </r>
  <r>
    <x v="6"/>
    <s v="ITA"/>
    <x v="2"/>
    <x v="2"/>
    <n v="4649933453"/>
    <n v="1135662422"/>
    <n v="1"/>
    <n v="0"/>
    <n v="1"/>
    <n v="0"/>
    <n v="1"/>
    <n v="0"/>
    <n v="0"/>
    <n v="0"/>
    <n v="0"/>
    <n v="1"/>
    <n v="20"/>
  </r>
  <r>
    <x v="6"/>
    <s v="ITA"/>
    <x v="3"/>
    <x v="3"/>
    <n v="3890597598"/>
    <n v="1659440194"/>
    <n v="0"/>
    <n v="0"/>
    <n v="0"/>
    <n v="1"/>
    <n v="1"/>
    <n v="0"/>
    <n v="0"/>
    <n v="0"/>
    <n v="0"/>
    <n v="1"/>
    <n v="35"/>
  </r>
  <r>
    <x v="6"/>
    <s v="ITA"/>
    <x v="4"/>
    <x v="4"/>
    <n v="4083956555"/>
    <n v="1425084984"/>
    <n v="4"/>
    <n v="0"/>
    <n v="4"/>
    <n v="13"/>
    <n v="17"/>
    <n v="4"/>
    <n v="4"/>
    <n v="0"/>
    <n v="0"/>
    <n v="17"/>
    <n v="373"/>
  </r>
  <r>
    <x v="6"/>
    <s v="ITA"/>
    <x v="5"/>
    <x v="5"/>
    <n v="4449436681"/>
    <n v="113417208"/>
    <n v="127"/>
    <n v="13"/>
    <n v="140"/>
    <n v="137"/>
    <n v="277"/>
    <n v="64"/>
    <n v="68"/>
    <n v="0"/>
    <n v="8"/>
    <n v="285"/>
    <n v="1795"/>
  </r>
  <r>
    <x v="6"/>
    <s v="ITA"/>
    <x v="6"/>
    <x v="6"/>
    <n v="456494354"/>
    <n v="1376813649"/>
    <n v="0"/>
    <n v="0"/>
    <n v="0"/>
    <n v="6"/>
    <n v="6"/>
    <n v="6"/>
    <n v="6"/>
    <n v="0"/>
    <n v="0"/>
    <n v="6"/>
    <n v="243"/>
  </r>
  <r>
    <x v="6"/>
    <s v="ITA"/>
    <x v="7"/>
    <x v="7"/>
    <n v="4189277044"/>
    <n v="1248366722"/>
    <n v="3"/>
    <n v="0"/>
    <n v="3"/>
    <n v="0"/>
    <n v="3"/>
    <n v="0"/>
    <n v="0"/>
    <n v="3"/>
    <n v="0"/>
    <n v="6"/>
    <n v="724"/>
  </r>
  <r>
    <x v="6"/>
    <s v="ITA"/>
    <x v="8"/>
    <x v="8"/>
    <n v="4441149315"/>
    <n v="89326992"/>
    <n v="12"/>
    <n v="1"/>
    <n v="13"/>
    <n v="8"/>
    <n v="21"/>
    <n v="-17"/>
    <n v="-17"/>
    <n v="4"/>
    <n v="0"/>
    <n v="25"/>
    <n v="121"/>
  </r>
  <r>
    <x v="6"/>
    <s v="ITA"/>
    <x v="9"/>
    <x v="9"/>
    <n v="4546679409"/>
    <n v="9190347404"/>
    <n v="406"/>
    <n v="106"/>
    <n v="512"/>
    <n v="375"/>
    <n v="887"/>
    <n v="335"/>
    <n v="369"/>
    <n v="73"/>
    <n v="24"/>
    <n v="984"/>
    <n v="6879"/>
  </r>
  <r>
    <x v="6"/>
    <s v="ITA"/>
    <x v="10"/>
    <x v="10"/>
    <n v="4361675973"/>
    <n v="135188753"/>
    <n v="12"/>
    <n v="5"/>
    <n v="17"/>
    <n v="8"/>
    <n v="25"/>
    <n v="14"/>
    <n v="14"/>
    <n v="0"/>
    <n v="0"/>
    <n v="25"/>
    <n v="101"/>
  </r>
  <r>
    <x v="6"/>
    <s v="ITA"/>
    <x v="11"/>
    <x v="11"/>
    <n v="4155774754"/>
    <n v="1465916051"/>
    <n v="0"/>
    <n v="0"/>
    <n v="0"/>
    <n v="0"/>
    <n v="0"/>
    <n v="0"/>
    <n v="0"/>
    <n v="0"/>
    <n v="0"/>
    <n v="0"/>
    <n v="6"/>
  </r>
  <r>
    <x v="6"/>
    <s v="ITA"/>
    <x v="12"/>
    <x v="12"/>
    <n v="450732745"/>
    <n v="7680687483"/>
    <n v="11"/>
    <n v="2"/>
    <n v="13"/>
    <n v="36"/>
    <n v="49"/>
    <n v="38"/>
    <n v="38"/>
    <n v="0"/>
    <n v="0"/>
    <n v="49"/>
    <n v="362"/>
  </r>
  <r>
    <x v="6"/>
    <s v="ITA"/>
    <x v="13"/>
    <x v="13"/>
    <n v="4112559576"/>
    <n v="1686736689"/>
    <n v="1"/>
    <n v="0"/>
    <n v="1"/>
    <n v="2"/>
    <n v="3"/>
    <n v="0"/>
    <n v="0"/>
    <n v="0"/>
    <n v="0"/>
    <n v="3"/>
    <n v="262"/>
  </r>
  <r>
    <x v="6"/>
    <s v="ITA"/>
    <x v="14"/>
    <x v="14"/>
    <n v="3921531192"/>
    <n v="9110616306"/>
    <n v="0"/>
    <n v="0"/>
    <n v="0"/>
    <n v="0"/>
    <n v="0"/>
    <n v="0"/>
    <n v="0"/>
    <n v="0"/>
    <n v="0"/>
    <n v="0"/>
    <n v="29"/>
  </r>
  <r>
    <x v="6"/>
    <s v="ITA"/>
    <x v="15"/>
    <x v="15"/>
    <n v="3811569725"/>
    <n v="133623567"/>
    <n v="1"/>
    <n v="0"/>
    <n v="1"/>
    <n v="6"/>
    <n v="7"/>
    <n v="5"/>
    <n v="5"/>
    <n v="2"/>
    <n v="0"/>
    <n v="9"/>
    <n v="291"/>
  </r>
  <r>
    <x v="6"/>
    <s v="ITA"/>
    <x v="16"/>
    <x v="16"/>
    <n v="4376923077"/>
    <n v="1125588885"/>
    <n v="7"/>
    <n v="0"/>
    <n v="7"/>
    <n v="5"/>
    <n v="12"/>
    <n v="2"/>
    <n v="2"/>
    <n v="1"/>
    <n v="0"/>
    <n v="13"/>
    <n v="572"/>
  </r>
  <r>
    <x v="6"/>
    <s v="ITA"/>
    <x v="2"/>
    <x v="17"/>
    <n v="4606893511"/>
    <n v="1112123097"/>
    <n v="0"/>
    <n v="0"/>
    <n v="0"/>
    <n v="0"/>
    <n v="0"/>
    <n v="0"/>
    <n v="0"/>
    <n v="0"/>
    <n v="0"/>
    <n v="0"/>
    <n v="122"/>
  </r>
  <r>
    <x v="6"/>
    <s v="ITA"/>
    <x v="17"/>
    <x v="18"/>
    <n v="4310675841"/>
    <n v="1238824698"/>
    <n v="0"/>
    <n v="0"/>
    <n v="0"/>
    <n v="2"/>
    <n v="2"/>
    <n v="2"/>
    <n v="2"/>
    <n v="0"/>
    <n v="0"/>
    <n v="2"/>
    <n v="35"/>
  </r>
  <r>
    <x v="6"/>
    <s v="ITA"/>
    <x v="18"/>
    <x v="19"/>
    <n v="4573750286"/>
    <n v="7320149366"/>
    <n v="0"/>
    <n v="0"/>
    <n v="0"/>
    <n v="0"/>
    <n v="0"/>
    <n v="0"/>
    <n v="0"/>
    <n v="0"/>
    <n v="0"/>
    <n v="0"/>
    <n v="10"/>
  </r>
  <r>
    <x v="6"/>
    <s v="ITA"/>
    <x v="19"/>
    <x v="20"/>
    <n v="4543490485"/>
    <n v="1233845213"/>
    <n v="51"/>
    <n v="13"/>
    <n v="64"/>
    <n v="197"/>
    <n v="261"/>
    <n v="72"/>
    <n v="72"/>
    <n v="0"/>
    <n v="2"/>
    <n v="263"/>
    <n v="9056"/>
  </r>
  <r>
    <x v="7"/>
    <s v="ITA"/>
    <x v="0"/>
    <x v="0"/>
    <n v="4235122196"/>
    <n v="1339843823"/>
    <n v="3"/>
    <n v="0"/>
    <n v="3"/>
    <n v="2"/>
    <n v="5"/>
    <n v="0"/>
    <n v="0"/>
    <n v="0"/>
    <n v="0"/>
    <n v="5"/>
    <n v="52"/>
  </r>
  <r>
    <x v="7"/>
    <s v="ITA"/>
    <x v="1"/>
    <x v="1"/>
    <n v="4063947052"/>
    <n v="1580514834"/>
    <n v="0"/>
    <n v="0"/>
    <n v="0"/>
    <n v="0"/>
    <n v="0"/>
    <n v="0"/>
    <n v="0"/>
    <n v="0"/>
    <n v="0"/>
    <n v="0"/>
    <n v="39"/>
  </r>
  <r>
    <x v="7"/>
    <s v="ITA"/>
    <x v="2"/>
    <x v="2"/>
    <n v="4649933453"/>
    <n v="1135662422"/>
    <n v="1"/>
    <n v="0"/>
    <n v="1"/>
    <n v="0"/>
    <n v="1"/>
    <n v="0"/>
    <n v="0"/>
    <n v="0"/>
    <n v="0"/>
    <n v="1"/>
    <n v="20"/>
  </r>
  <r>
    <x v="7"/>
    <s v="ITA"/>
    <x v="3"/>
    <x v="3"/>
    <n v="3890597598"/>
    <n v="1659440194"/>
    <n v="0"/>
    <n v="0"/>
    <n v="0"/>
    <n v="1"/>
    <n v="1"/>
    <n v="0"/>
    <n v="0"/>
    <n v="0"/>
    <n v="0"/>
    <n v="1"/>
    <n v="39"/>
  </r>
  <r>
    <x v="7"/>
    <s v="ITA"/>
    <x v="4"/>
    <x v="4"/>
    <n v="4083956555"/>
    <n v="1425084984"/>
    <n v="4"/>
    <n v="0"/>
    <n v="4"/>
    <n v="13"/>
    <n v="17"/>
    <n v="0"/>
    <n v="0"/>
    <n v="0"/>
    <n v="0"/>
    <n v="17"/>
    <n v="373"/>
  </r>
  <r>
    <x v="7"/>
    <s v="ITA"/>
    <x v="5"/>
    <x v="5"/>
    <n v="4449436681"/>
    <n v="113417208"/>
    <n v="148"/>
    <n v="16"/>
    <n v="164"/>
    <n v="160"/>
    <n v="324"/>
    <n v="47"/>
    <n v="50"/>
    <n v="0"/>
    <n v="11"/>
    <n v="335"/>
    <n v="1973"/>
  </r>
  <r>
    <x v="7"/>
    <s v="ITA"/>
    <x v="6"/>
    <x v="6"/>
    <n v="456494354"/>
    <n v="1376813649"/>
    <n v="0"/>
    <n v="0"/>
    <n v="0"/>
    <n v="9"/>
    <n v="9"/>
    <n v="3"/>
    <n v="3"/>
    <n v="0"/>
    <n v="0"/>
    <n v="9"/>
    <n v="269"/>
  </r>
  <r>
    <x v="7"/>
    <s v="ITA"/>
    <x v="7"/>
    <x v="7"/>
    <n v="4189277044"/>
    <n v="1248366722"/>
    <n v="3"/>
    <n v="0"/>
    <n v="3"/>
    <n v="1"/>
    <n v="4"/>
    <n v="1"/>
    <n v="1"/>
    <n v="3"/>
    <n v="0"/>
    <n v="7"/>
    <n v="773"/>
  </r>
  <r>
    <x v="7"/>
    <s v="ITA"/>
    <x v="8"/>
    <x v="8"/>
    <n v="4441149315"/>
    <n v="89326992"/>
    <n v="12"/>
    <n v="1"/>
    <n v="13"/>
    <n v="5"/>
    <n v="18"/>
    <n v="-3"/>
    <n v="-3"/>
    <n v="4"/>
    <n v="0"/>
    <n v="22"/>
    <n v="121"/>
  </r>
  <r>
    <x v="7"/>
    <s v="ITA"/>
    <x v="9"/>
    <x v="9"/>
    <n v="4546679409"/>
    <n v="9190347404"/>
    <n v="478"/>
    <n v="127"/>
    <n v="605"/>
    <n v="472"/>
    <n v="1077"/>
    <n v="190"/>
    <n v="270"/>
    <n v="139"/>
    <n v="38"/>
    <n v="1254"/>
    <n v="7925"/>
  </r>
  <r>
    <x v="7"/>
    <s v="ITA"/>
    <x v="10"/>
    <x v="10"/>
    <n v="4361675973"/>
    <n v="135188753"/>
    <n v="17"/>
    <n v="6"/>
    <n v="23"/>
    <n v="11"/>
    <n v="34"/>
    <n v="9"/>
    <n v="10"/>
    <n v="0"/>
    <n v="1"/>
    <n v="35"/>
    <n v="137"/>
  </r>
  <r>
    <x v="7"/>
    <s v="ITA"/>
    <x v="11"/>
    <x v="11"/>
    <n v="4155774754"/>
    <n v="1465916051"/>
    <n v="0"/>
    <n v="0"/>
    <n v="0"/>
    <n v="0"/>
    <n v="0"/>
    <n v="0"/>
    <n v="0"/>
    <n v="0"/>
    <n v="0"/>
    <n v="0"/>
    <n v="13"/>
  </r>
  <r>
    <x v="7"/>
    <s v="ITA"/>
    <x v="12"/>
    <x v="12"/>
    <n v="450732745"/>
    <n v="7680687483"/>
    <n v="12"/>
    <n v="2"/>
    <n v="14"/>
    <n v="37"/>
    <n v="51"/>
    <n v="2"/>
    <n v="2"/>
    <n v="0"/>
    <n v="0"/>
    <n v="51"/>
    <n v="434"/>
  </r>
  <r>
    <x v="7"/>
    <s v="ITA"/>
    <x v="13"/>
    <x v="13"/>
    <n v="4112559576"/>
    <n v="1686736689"/>
    <n v="2"/>
    <n v="0"/>
    <n v="2"/>
    <n v="2"/>
    <n v="4"/>
    <n v="1"/>
    <n v="1"/>
    <n v="0"/>
    <n v="0"/>
    <n v="4"/>
    <n v="278"/>
  </r>
  <r>
    <x v="7"/>
    <s v="ITA"/>
    <x v="14"/>
    <x v="14"/>
    <n v="3921531192"/>
    <n v="9110616306"/>
    <n v="0"/>
    <n v="0"/>
    <n v="0"/>
    <n v="0"/>
    <n v="0"/>
    <n v="0"/>
    <n v="0"/>
    <n v="0"/>
    <n v="0"/>
    <n v="0"/>
    <n v="29"/>
  </r>
  <r>
    <x v="7"/>
    <s v="ITA"/>
    <x v="15"/>
    <x v="15"/>
    <n v="3811569725"/>
    <n v="133623567"/>
    <n v="2"/>
    <n v="0"/>
    <n v="2"/>
    <n v="3"/>
    <n v="5"/>
    <n v="-2"/>
    <n v="-2"/>
    <n v="2"/>
    <n v="0"/>
    <n v="7"/>
    <n v="307"/>
  </r>
  <r>
    <x v="7"/>
    <s v="ITA"/>
    <x v="16"/>
    <x v="16"/>
    <n v="4376923077"/>
    <n v="1125588885"/>
    <n v="7"/>
    <n v="0"/>
    <n v="7"/>
    <n v="5"/>
    <n v="12"/>
    <n v="0"/>
    <n v="0"/>
    <n v="1"/>
    <n v="0"/>
    <n v="13"/>
    <n v="613"/>
  </r>
  <r>
    <x v="7"/>
    <s v="ITA"/>
    <x v="2"/>
    <x v="17"/>
    <n v="4606893511"/>
    <n v="1112123097"/>
    <n v="0"/>
    <n v="0"/>
    <n v="0"/>
    <n v="0"/>
    <n v="0"/>
    <n v="0"/>
    <n v="0"/>
    <n v="0"/>
    <n v="0"/>
    <n v="0"/>
    <n v="122"/>
  </r>
  <r>
    <x v="7"/>
    <s v="ITA"/>
    <x v="17"/>
    <x v="18"/>
    <n v="4310675841"/>
    <n v="1238824698"/>
    <n v="0"/>
    <n v="0"/>
    <n v="0"/>
    <n v="2"/>
    <n v="2"/>
    <n v="0"/>
    <n v="0"/>
    <n v="0"/>
    <n v="0"/>
    <n v="2"/>
    <n v="35"/>
  </r>
  <r>
    <x v="7"/>
    <s v="ITA"/>
    <x v="18"/>
    <x v="19"/>
    <n v="4573750286"/>
    <n v="7320149366"/>
    <n v="0"/>
    <n v="0"/>
    <n v="0"/>
    <n v="0"/>
    <n v="0"/>
    <n v="0"/>
    <n v="0"/>
    <n v="0"/>
    <n v="0"/>
    <n v="0"/>
    <n v="11"/>
  </r>
  <r>
    <x v="7"/>
    <s v="ITA"/>
    <x v="19"/>
    <x v="20"/>
    <n v="4543490485"/>
    <n v="1233845213"/>
    <n v="53"/>
    <n v="14"/>
    <n v="67"/>
    <n v="204"/>
    <n v="271"/>
    <n v="10"/>
    <n v="10"/>
    <n v="0"/>
    <n v="2"/>
    <n v="273"/>
    <n v="9782"/>
  </r>
  <r>
    <x v="8"/>
    <s v="ITA"/>
    <x v="0"/>
    <x v="0"/>
    <n v="4235122196"/>
    <n v="1339843823"/>
    <n v="5"/>
    <n v="0"/>
    <n v="5"/>
    <n v="1"/>
    <n v="6"/>
    <n v="1"/>
    <n v="1"/>
    <n v="0"/>
    <n v="0"/>
    <n v="6"/>
    <n v="52"/>
  </r>
  <r>
    <x v="8"/>
    <s v="ITA"/>
    <x v="1"/>
    <x v="1"/>
    <n v="4063947052"/>
    <n v="1580514834"/>
    <n v="0"/>
    <n v="0"/>
    <n v="0"/>
    <n v="1"/>
    <n v="1"/>
    <n v="1"/>
    <n v="1"/>
    <n v="0"/>
    <n v="0"/>
    <n v="1"/>
    <n v="42"/>
  </r>
  <r>
    <x v="8"/>
    <s v="ITA"/>
    <x v="2"/>
    <x v="2"/>
    <n v="4649933453"/>
    <n v="1135662422"/>
    <n v="1"/>
    <n v="0"/>
    <n v="1"/>
    <n v="0"/>
    <n v="1"/>
    <n v="0"/>
    <n v="0"/>
    <n v="0"/>
    <n v="0"/>
    <n v="1"/>
    <n v="20"/>
  </r>
  <r>
    <x v="8"/>
    <s v="ITA"/>
    <x v="3"/>
    <x v="3"/>
    <n v="3890597598"/>
    <n v="1659440194"/>
    <n v="0"/>
    <n v="0"/>
    <n v="0"/>
    <n v="1"/>
    <n v="1"/>
    <n v="0"/>
    <n v="0"/>
    <n v="0"/>
    <n v="0"/>
    <n v="1"/>
    <n v="39"/>
  </r>
  <r>
    <x v="8"/>
    <s v="ITA"/>
    <x v="4"/>
    <x v="4"/>
    <n v="4083956555"/>
    <n v="1425084984"/>
    <n v="11"/>
    <n v="0"/>
    <n v="11"/>
    <n v="19"/>
    <n v="30"/>
    <n v="13"/>
    <n v="13"/>
    <n v="0"/>
    <n v="0"/>
    <n v="30"/>
    <n v="405"/>
  </r>
  <r>
    <x v="8"/>
    <s v="ITA"/>
    <x v="5"/>
    <x v="5"/>
    <n v="4449436681"/>
    <n v="113417208"/>
    <n v="187"/>
    <n v="24"/>
    <n v="211"/>
    <n v="187"/>
    <n v="398"/>
    <n v="74"/>
    <n v="85"/>
    <n v="4"/>
    <n v="18"/>
    <n v="420"/>
    <n v="2012"/>
  </r>
  <r>
    <x v="8"/>
    <s v="ITA"/>
    <x v="6"/>
    <x v="6"/>
    <n v="456494354"/>
    <n v="1376813649"/>
    <n v="1"/>
    <n v="0"/>
    <n v="1"/>
    <n v="12"/>
    <n v="13"/>
    <n v="4"/>
    <n v="4"/>
    <n v="0"/>
    <n v="0"/>
    <n v="13"/>
    <n v="354"/>
  </r>
  <r>
    <x v="8"/>
    <s v="ITA"/>
    <x v="7"/>
    <x v="7"/>
    <n v="4189277044"/>
    <n v="1248366722"/>
    <n v="10"/>
    <n v="0"/>
    <n v="10"/>
    <n v="1"/>
    <n v="11"/>
    <n v="7"/>
    <n v="7"/>
    <n v="3"/>
    <n v="0"/>
    <n v="14"/>
    <n v="877"/>
  </r>
  <r>
    <x v="8"/>
    <s v="ITA"/>
    <x v="8"/>
    <x v="8"/>
    <n v="4441149315"/>
    <n v="89326992"/>
    <n v="12"/>
    <n v="2"/>
    <n v="14"/>
    <n v="5"/>
    <n v="19"/>
    <n v="1"/>
    <n v="2"/>
    <n v="4"/>
    <n v="1"/>
    <n v="24"/>
    <n v="121"/>
  </r>
  <r>
    <x v="8"/>
    <s v="ITA"/>
    <x v="9"/>
    <x v="9"/>
    <n v="4546679409"/>
    <n v="9190347404"/>
    <n v="698"/>
    <n v="167"/>
    <n v="865"/>
    <n v="461"/>
    <n v="1326"/>
    <n v="249"/>
    <n v="266"/>
    <n v="139"/>
    <n v="55"/>
    <n v="1520"/>
    <n v="9577"/>
  </r>
  <r>
    <x v="8"/>
    <s v="ITA"/>
    <x v="10"/>
    <x v="10"/>
    <n v="4361675973"/>
    <n v="135188753"/>
    <n v="27"/>
    <n v="13"/>
    <n v="40"/>
    <n v="19"/>
    <n v="59"/>
    <n v="25"/>
    <n v="26"/>
    <n v="0"/>
    <n v="2"/>
    <n v="61"/>
    <n v="200"/>
  </r>
  <r>
    <x v="8"/>
    <s v="ITA"/>
    <x v="11"/>
    <x v="11"/>
    <n v="4155774754"/>
    <n v="1465916051"/>
    <n v="3"/>
    <n v="0"/>
    <n v="3"/>
    <n v="0"/>
    <n v="3"/>
    <n v="3"/>
    <n v="3"/>
    <n v="0"/>
    <n v="0"/>
    <n v="3"/>
    <n v="13"/>
  </r>
  <r>
    <x v="8"/>
    <s v="ITA"/>
    <x v="12"/>
    <x v="12"/>
    <n v="450732745"/>
    <n v="7680687483"/>
    <n v="13"/>
    <n v="3"/>
    <n v="16"/>
    <n v="40"/>
    <n v="56"/>
    <n v="5"/>
    <n v="5"/>
    <n v="0"/>
    <n v="0"/>
    <n v="56"/>
    <n v="458"/>
  </r>
  <r>
    <x v="8"/>
    <s v="ITA"/>
    <x v="13"/>
    <x v="13"/>
    <n v="4112559576"/>
    <n v="1686736689"/>
    <n v="2"/>
    <n v="0"/>
    <n v="2"/>
    <n v="4"/>
    <n v="6"/>
    <n v="2"/>
    <n v="2"/>
    <n v="0"/>
    <n v="0"/>
    <n v="6"/>
    <n v="298"/>
  </r>
  <r>
    <x v="8"/>
    <s v="ITA"/>
    <x v="14"/>
    <x v="14"/>
    <n v="3921531192"/>
    <n v="9110616306"/>
    <n v="1"/>
    <n v="0"/>
    <n v="1"/>
    <n v="0"/>
    <n v="1"/>
    <n v="1"/>
    <n v="1"/>
    <n v="0"/>
    <n v="0"/>
    <n v="1"/>
    <n v="29"/>
  </r>
  <r>
    <x v="8"/>
    <s v="ITA"/>
    <x v="15"/>
    <x v="15"/>
    <n v="3811569725"/>
    <n v="133623567"/>
    <n v="2"/>
    <n v="0"/>
    <n v="2"/>
    <n v="3"/>
    <n v="5"/>
    <n v="0"/>
    <n v="0"/>
    <n v="2"/>
    <n v="0"/>
    <n v="7"/>
    <n v="307"/>
  </r>
  <r>
    <x v="8"/>
    <s v="ITA"/>
    <x v="16"/>
    <x v="16"/>
    <n v="4376923077"/>
    <n v="1125588885"/>
    <n v="10"/>
    <n v="0"/>
    <n v="10"/>
    <n v="8"/>
    <n v="18"/>
    <n v="6"/>
    <n v="6"/>
    <n v="1"/>
    <n v="0"/>
    <n v="19"/>
    <n v="697"/>
  </r>
  <r>
    <x v="8"/>
    <s v="ITA"/>
    <x v="2"/>
    <x v="17"/>
    <n v="4606893511"/>
    <n v="1112123097"/>
    <n v="1"/>
    <n v="0"/>
    <n v="1"/>
    <n v="3"/>
    <n v="4"/>
    <n v="4"/>
    <n v="4"/>
    <n v="0"/>
    <n v="0"/>
    <n v="4"/>
    <n v="122"/>
  </r>
  <r>
    <x v="8"/>
    <s v="ITA"/>
    <x v="17"/>
    <x v="18"/>
    <n v="4310675841"/>
    <n v="1238824698"/>
    <n v="1"/>
    <n v="1"/>
    <n v="2"/>
    <n v="6"/>
    <n v="8"/>
    <n v="6"/>
    <n v="6"/>
    <n v="0"/>
    <n v="0"/>
    <n v="8"/>
    <n v="45"/>
  </r>
  <r>
    <x v="8"/>
    <s v="ITA"/>
    <x v="18"/>
    <x v="19"/>
    <n v="4573750286"/>
    <n v="7320149366"/>
    <n v="0"/>
    <n v="0"/>
    <n v="0"/>
    <n v="0"/>
    <n v="0"/>
    <n v="0"/>
    <n v="0"/>
    <n v="0"/>
    <n v="0"/>
    <n v="0"/>
    <n v="12"/>
  </r>
  <r>
    <x v="8"/>
    <s v="ITA"/>
    <x v="19"/>
    <x v="20"/>
    <n v="4543490485"/>
    <n v="1233845213"/>
    <n v="49"/>
    <n v="19"/>
    <n v="68"/>
    <n v="229"/>
    <n v="297"/>
    <n v="26"/>
    <n v="34"/>
    <n v="7"/>
    <n v="3"/>
    <n v="307"/>
    <n v="10176"/>
  </r>
  <r>
    <x v="9"/>
    <s v="ITA"/>
    <x v="0"/>
    <x v="0"/>
    <n v="4235122196"/>
    <n v="1339843823"/>
    <n v="7"/>
    <n v="0"/>
    <n v="7"/>
    <n v="0"/>
    <n v="7"/>
    <n v="1"/>
    <n v="1"/>
    <n v="0"/>
    <n v="0"/>
    <n v="7"/>
    <n v="85"/>
  </r>
  <r>
    <x v="9"/>
    <s v="ITA"/>
    <x v="1"/>
    <x v="1"/>
    <n v="4063947052"/>
    <n v="1580514834"/>
    <n v="0"/>
    <n v="0"/>
    <n v="0"/>
    <n v="1"/>
    <n v="1"/>
    <n v="0"/>
    <n v="0"/>
    <n v="0"/>
    <n v="0"/>
    <n v="1"/>
    <n v="48"/>
  </r>
  <r>
    <x v="9"/>
    <s v="ITA"/>
    <x v="2"/>
    <x v="2"/>
    <n v="4649933453"/>
    <n v="1135662422"/>
    <n v="1"/>
    <n v="0"/>
    <n v="1"/>
    <n v="0"/>
    <n v="1"/>
    <n v="0"/>
    <n v="0"/>
    <n v="0"/>
    <n v="0"/>
    <n v="1"/>
    <n v="20"/>
  </r>
  <r>
    <x v="9"/>
    <s v="ITA"/>
    <x v="3"/>
    <x v="3"/>
    <n v="3890597598"/>
    <n v="1659440194"/>
    <n v="0"/>
    <n v="0"/>
    <n v="0"/>
    <n v="1"/>
    <n v="1"/>
    <n v="0"/>
    <n v="0"/>
    <n v="0"/>
    <n v="0"/>
    <n v="1"/>
    <n v="46"/>
  </r>
  <r>
    <x v="9"/>
    <s v="ITA"/>
    <x v="4"/>
    <x v="4"/>
    <n v="4083956555"/>
    <n v="1425084984"/>
    <n v="11"/>
    <n v="0"/>
    <n v="11"/>
    <n v="20"/>
    <n v="31"/>
    <n v="1"/>
    <n v="1"/>
    <n v="0"/>
    <n v="0"/>
    <n v="31"/>
    <n v="429"/>
  </r>
  <r>
    <x v="9"/>
    <s v="ITA"/>
    <x v="5"/>
    <x v="5"/>
    <n v="4449436681"/>
    <n v="113417208"/>
    <n v="256"/>
    <n v="26"/>
    <n v="282"/>
    <n v="234"/>
    <n v="516"/>
    <n v="118"/>
    <n v="124"/>
    <n v="6"/>
    <n v="22"/>
    <n v="544"/>
    <n v="2500"/>
  </r>
  <r>
    <x v="9"/>
    <s v="ITA"/>
    <x v="6"/>
    <x v="6"/>
    <n v="456494354"/>
    <n v="1376813649"/>
    <n v="3"/>
    <n v="0"/>
    <n v="3"/>
    <n v="15"/>
    <n v="18"/>
    <n v="5"/>
    <n v="5"/>
    <n v="0"/>
    <n v="0"/>
    <n v="18"/>
    <n v="376"/>
  </r>
  <r>
    <x v="9"/>
    <s v="ITA"/>
    <x v="7"/>
    <x v="7"/>
    <n v="4189277044"/>
    <n v="1248366722"/>
    <n v="15"/>
    <n v="3"/>
    <n v="18"/>
    <n v="9"/>
    <n v="27"/>
    <n v="16"/>
    <n v="16"/>
    <n v="3"/>
    <n v="0"/>
    <n v="30"/>
    <n v="995"/>
  </r>
  <r>
    <x v="9"/>
    <s v="ITA"/>
    <x v="8"/>
    <x v="8"/>
    <n v="4441149315"/>
    <n v="89326992"/>
    <n v="10"/>
    <n v="3"/>
    <n v="13"/>
    <n v="8"/>
    <n v="21"/>
    <n v="2"/>
    <n v="2"/>
    <n v="4"/>
    <n v="1"/>
    <n v="26"/>
    <n v="133"/>
  </r>
  <r>
    <x v="9"/>
    <s v="ITA"/>
    <x v="9"/>
    <x v="9"/>
    <n v="4546679409"/>
    <n v="9190347404"/>
    <n v="877"/>
    <n v="209"/>
    <n v="1086"/>
    <n v="411"/>
    <n v="1497"/>
    <n v="171"/>
    <n v="300"/>
    <n v="250"/>
    <n v="73"/>
    <n v="1820"/>
    <n v="12138"/>
  </r>
  <r>
    <x v="9"/>
    <s v="ITA"/>
    <x v="10"/>
    <x v="10"/>
    <n v="4361675973"/>
    <n v="135188753"/>
    <n v="34"/>
    <n v="15"/>
    <n v="49"/>
    <n v="31"/>
    <n v="80"/>
    <n v="21"/>
    <n v="23"/>
    <n v="0"/>
    <n v="4"/>
    <n v="84"/>
    <n v="288"/>
  </r>
  <r>
    <x v="9"/>
    <s v="ITA"/>
    <x v="11"/>
    <x v="11"/>
    <n v="4155774754"/>
    <n v="1465916051"/>
    <n v="3"/>
    <n v="0"/>
    <n v="3"/>
    <n v="0"/>
    <n v="3"/>
    <n v="0"/>
    <n v="0"/>
    <n v="0"/>
    <n v="0"/>
    <n v="3"/>
    <n v="19"/>
  </r>
  <r>
    <x v="9"/>
    <s v="ITA"/>
    <x v="12"/>
    <x v="12"/>
    <n v="450732745"/>
    <n v="7680687483"/>
    <n v="26"/>
    <n v="13"/>
    <n v="39"/>
    <n v="43"/>
    <n v="82"/>
    <n v="26"/>
    <n v="26"/>
    <n v="0"/>
    <n v="0"/>
    <n v="82"/>
    <n v="543"/>
  </r>
  <r>
    <x v="9"/>
    <s v="ITA"/>
    <x v="13"/>
    <x v="13"/>
    <n v="4112559576"/>
    <n v="1686736689"/>
    <n v="4"/>
    <n v="0"/>
    <n v="4"/>
    <n v="3"/>
    <n v="7"/>
    <n v="1"/>
    <n v="3"/>
    <n v="1"/>
    <n v="1"/>
    <n v="9"/>
    <n v="322"/>
  </r>
  <r>
    <x v="9"/>
    <s v="ITA"/>
    <x v="14"/>
    <x v="14"/>
    <n v="3921531192"/>
    <n v="9110616306"/>
    <n v="1"/>
    <n v="0"/>
    <n v="1"/>
    <n v="1"/>
    <n v="2"/>
    <n v="1"/>
    <n v="1"/>
    <n v="0"/>
    <n v="0"/>
    <n v="2"/>
    <n v="42"/>
  </r>
  <r>
    <x v="9"/>
    <s v="ITA"/>
    <x v="15"/>
    <x v="15"/>
    <n v="3811569725"/>
    <n v="133623567"/>
    <n v="5"/>
    <n v="0"/>
    <n v="5"/>
    <n v="11"/>
    <n v="16"/>
    <n v="11"/>
    <n v="11"/>
    <n v="2"/>
    <n v="0"/>
    <n v="18"/>
    <n v="367"/>
  </r>
  <r>
    <x v="9"/>
    <s v="ITA"/>
    <x v="16"/>
    <x v="16"/>
    <n v="4376923077"/>
    <n v="1125588885"/>
    <n v="15"/>
    <n v="2"/>
    <n v="17"/>
    <n v="20"/>
    <n v="37"/>
    <n v="19"/>
    <n v="19"/>
    <n v="1"/>
    <n v="0"/>
    <n v="38"/>
    <n v="776"/>
  </r>
  <r>
    <x v="9"/>
    <s v="ITA"/>
    <x v="2"/>
    <x v="17"/>
    <n v="4606893511"/>
    <n v="1112123097"/>
    <n v="1"/>
    <n v="0"/>
    <n v="1"/>
    <n v="4"/>
    <n v="5"/>
    <n v="1"/>
    <n v="1"/>
    <n v="0"/>
    <n v="0"/>
    <n v="5"/>
    <n v="122"/>
  </r>
  <r>
    <x v="9"/>
    <s v="ITA"/>
    <x v="17"/>
    <x v="18"/>
    <n v="4310675841"/>
    <n v="1238824698"/>
    <n v="1"/>
    <n v="1"/>
    <n v="2"/>
    <n v="7"/>
    <n v="9"/>
    <n v="1"/>
    <n v="1"/>
    <n v="0"/>
    <n v="0"/>
    <n v="9"/>
    <n v="58"/>
  </r>
  <r>
    <x v="9"/>
    <s v="ITA"/>
    <x v="18"/>
    <x v="19"/>
    <n v="4573750286"/>
    <n v="7320149366"/>
    <n v="0"/>
    <n v="0"/>
    <n v="0"/>
    <n v="0"/>
    <n v="0"/>
    <n v="0"/>
    <n v="0"/>
    <n v="0"/>
    <n v="0"/>
    <n v="0"/>
    <n v="15"/>
  </r>
  <r>
    <x v="9"/>
    <s v="ITA"/>
    <x v="19"/>
    <x v="20"/>
    <n v="4543490485"/>
    <n v="1233845213"/>
    <n v="76"/>
    <n v="23"/>
    <n v="99"/>
    <n v="246"/>
    <n v="345"/>
    <n v="48"/>
    <n v="53"/>
    <n v="9"/>
    <n v="6"/>
    <n v="360"/>
    <n v="10515"/>
  </r>
  <r>
    <x v="10"/>
    <s v="ITA"/>
    <x v="0"/>
    <x v="0"/>
    <n v="4235122196"/>
    <n v="1339843823"/>
    <n v="8"/>
    <n v="0"/>
    <n v="8"/>
    <n v="0"/>
    <n v="8"/>
    <n v="1"/>
    <n v="1"/>
    <n v="0"/>
    <n v="0"/>
    <n v="8"/>
    <n v="96"/>
  </r>
  <r>
    <x v="10"/>
    <s v="ITA"/>
    <x v="1"/>
    <x v="1"/>
    <n v="4063947052"/>
    <n v="1580514834"/>
    <n v="0"/>
    <n v="0"/>
    <n v="0"/>
    <n v="1"/>
    <n v="1"/>
    <n v="0"/>
    <n v="0"/>
    <n v="0"/>
    <n v="0"/>
    <n v="1"/>
    <n v="54"/>
  </r>
  <r>
    <x v="10"/>
    <s v="ITA"/>
    <x v="2"/>
    <x v="2"/>
    <n v="4649933453"/>
    <n v="1135662422"/>
    <n v="1"/>
    <n v="0"/>
    <n v="1"/>
    <n v="0"/>
    <n v="1"/>
    <n v="0"/>
    <n v="0"/>
    <n v="0"/>
    <n v="0"/>
    <n v="1"/>
    <n v="20"/>
  </r>
  <r>
    <x v="10"/>
    <s v="ITA"/>
    <x v="3"/>
    <x v="3"/>
    <n v="3890597598"/>
    <n v="1659440194"/>
    <n v="1"/>
    <n v="0"/>
    <n v="1"/>
    <n v="1"/>
    <n v="2"/>
    <n v="1"/>
    <n v="1"/>
    <n v="0"/>
    <n v="0"/>
    <n v="2"/>
    <n v="53"/>
  </r>
  <r>
    <x v="10"/>
    <s v="ITA"/>
    <x v="4"/>
    <x v="4"/>
    <n v="4083956555"/>
    <n v="1425084984"/>
    <n v="12"/>
    <n v="0"/>
    <n v="12"/>
    <n v="33"/>
    <n v="45"/>
    <n v="14"/>
    <n v="14"/>
    <n v="0"/>
    <n v="0"/>
    <n v="45"/>
    <n v="471"/>
  </r>
  <r>
    <x v="10"/>
    <s v="ITA"/>
    <x v="5"/>
    <x v="5"/>
    <n v="4449436681"/>
    <n v="113417208"/>
    <n v="327"/>
    <n v="32"/>
    <n v="359"/>
    <n v="299"/>
    <n v="658"/>
    <n v="142"/>
    <n v="154"/>
    <n v="10"/>
    <n v="30"/>
    <n v="698"/>
    <n v="2884"/>
  </r>
  <r>
    <x v="10"/>
    <s v="ITA"/>
    <x v="6"/>
    <x v="6"/>
    <n v="456494354"/>
    <n v="1376813649"/>
    <n v="4"/>
    <n v="0"/>
    <n v="4"/>
    <n v="17"/>
    <n v="21"/>
    <n v="3"/>
    <n v="3"/>
    <n v="0"/>
    <n v="0"/>
    <n v="21"/>
    <n v="397"/>
  </r>
  <r>
    <x v="10"/>
    <s v="ITA"/>
    <x v="7"/>
    <x v="7"/>
    <n v="4189277044"/>
    <n v="1248366722"/>
    <n v="20"/>
    <n v="7"/>
    <n v="27"/>
    <n v="14"/>
    <n v="41"/>
    <n v="14"/>
    <n v="14"/>
    <n v="3"/>
    <n v="0"/>
    <n v="44"/>
    <n v="1175"/>
  </r>
  <r>
    <x v="10"/>
    <s v="ITA"/>
    <x v="8"/>
    <x v="8"/>
    <n v="4441149315"/>
    <n v="89326992"/>
    <n v="11"/>
    <n v="3"/>
    <n v="14"/>
    <n v="7"/>
    <n v="21"/>
    <n v="0"/>
    <n v="2"/>
    <n v="4"/>
    <n v="3"/>
    <n v="28"/>
    <n v="146"/>
  </r>
  <r>
    <x v="10"/>
    <s v="ITA"/>
    <x v="9"/>
    <x v="9"/>
    <n v="4546679409"/>
    <n v="9190347404"/>
    <n v="1169"/>
    <n v="244"/>
    <n v="1413"/>
    <n v="364"/>
    <n v="1777"/>
    <n v="280"/>
    <n v="431"/>
    <n v="376"/>
    <n v="98"/>
    <n v="2251"/>
    <n v="12354"/>
  </r>
  <r>
    <x v="10"/>
    <s v="ITA"/>
    <x v="10"/>
    <x v="10"/>
    <n v="4361675973"/>
    <n v="135188753"/>
    <n v="57"/>
    <n v="19"/>
    <n v="76"/>
    <n v="44"/>
    <n v="120"/>
    <n v="40"/>
    <n v="40"/>
    <n v="0"/>
    <n v="4"/>
    <n v="124"/>
    <n v="413"/>
  </r>
  <r>
    <x v="10"/>
    <s v="ITA"/>
    <x v="11"/>
    <x v="11"/>
    <n v="4155774754"/>
    <n v="1465916051"/>
    <n v="4"/>
    <n v="0"/>
    <n v="4"/>
    <n v="3"/>
    <n v="7"/>
    <n v="4"/>
    <n v="4"/>
    <n v="0"/>
    <n v="0"/>
    <n v="7"/>
    <n v="24"/>
  </r>
  <r>
    <x v="10"/>
    <s v="ITA"/>
    <x v="12"/>
    <x v="12"/>
    <n v="450732745"/>
    <n v="7680687483"/>
    <n v="43"/>
    <n v="17"/>
    <n v="60"/>
    <n v="46"/>
    <n v="106"/>
    <n v="24"/>
    <n v="26"/>
    <n v="0"/>
    <n v="2"/>
    <n v="108"/>
    <n v="543"/>
  </r>
  <r>
    <x v="10"/>
    <s v="ITA"/>
    <x v="13"/>
    <x v="13"/>
    <n v="4112559576"/>
    <n v="1686736689"/>
    <n v="5"/>
    <n v="1"/>
    <n v="6"/>
    <n v="6"/>
    <n v="12"/>
    <n v="5"/>
    <n v="5"/>
    <n v="1"/>
    <n v="1"/>
    <n v="14"/>
    <n v="359"/>
  </r>
  <r>
    <x v="10"/>
    <s v="ITA"/>
    <x v="14"/>
    <x v="14"/>
    <n v="3921531192"/>
    <n v="9110616306"/>
    <n v="2"/>
    <n v="0"/>
    <n v="2"/>
    <n v="0"/>
    <n v="2"/>
    <n v="0"/>
    <n v="0"/>
    <n v="0"/>
    <n v="0"/>
    <n v="2"/>
    <n v="50"/>
  </r>
  <r>
    <x v="10"/>
    <s v="ITA"/>
    <x v="15"/>
    <x v="15"/>
    <n v="3811569725"/>
    <n v="133623567"/>
    <n v="5"/>
    <n v="0"/>
    <n v="5"/>
    <n v="11"/>
    <n v="16"/>
    <n v="0"/>
    <n v="0"/>
    <n v="2"/>
    <n v="0"/>
    <n v="18"/>
    <n v="367"/>
  </r>
  <r>
    <x v="10"/>
    <s v="ITA"/>
    <x v="16"/>
    <x v="16"/>
    <n v="4376923077"/>
    <n v="1125588885"/>
    <n v="26"/>
    <n v="3"/>
    <n v="29"/>
    <n v="31"/>
    <n v="60"/>
    <n v="23"/>
    <n v="23"/>
    <n v="1"/>
    <n v="0"/>
    <n v="61"/>
    <n v="776"/>
  </r>
  <r>
    <x v="10"/>
    <s v="ITA"/>
    <x v="2"/>
    <x v="17"/>
    <n v="4606893511"/>
    <n v="1112123097"/>
    <n v="2"/>
    <n v="0"/>
    <n v="2"/>
    <n v="5"/>
    <n v="7"/>
    <n v="2"/>
    <n v="2"/>
    <n v="0"/>
    <n v="0"/>
    <n v="7"/>
    <n v="122"/>
  </r>
  <r>
    <x v="10"/>
    <s v="ITA"/>
    <x v="17"/>
    <x v="18"/>
    <n v="4310675841"/>
    <n v="1238824698"/>
    <n v="1"/>
    <n v="1"/>
    <n v="2"/>
    <n v="7"/>
    <n v="9"/>
    <n v="0"/>
    <n v="0"/>
    <n v="0"/>
    <n v="0"/>
    <n v="9"/>
    <n v="88"/>
  </r>
  <r>
    <x v="10"/>
    <s v="ITA"/>
    <x v="18"/>
    <x v="19"/>
    <n v="4573750286"/>
    <n v="7320149366"/>
    <n v="0"/>
    <n v="0"/>
    <n v="0"/>
    <n v="2"/>
    <n v="2"/>
    <n v="2"/>
    <n v="2"/>
    <n v="0"/>
    <n v="0"/>
    <n v="2"/>
    <n v="21"/>
  </r>
  <r>
    <x v="10"/>
    <s v="ITA"/>
    <x v="19"/>
    <x v="20"/>
    <n v="4543490485"/>
    <n v="1233845213"/>
    <n v="92"/>
    <n v="24"/>
    <n v="116"/>
    <n v="264"/>
    <n v="380"/>
    <n v="35"/>
    <n v="47"/>
    <n v="17"/>
    <n v="10"/>
    <n v="407"/>
    <n v="11949"/>
  </r>
  <r>
    <x v="11"/>
    <s v="ITA"/>
    <x v="0"/>
    <x v="0"/>
    <n v="4235122196"/>
    <n v="1339843823"/>
    <n v="9"/>
    <n v="0"/>
    <n v="9"/>
    <n v="0"/>
    <n v="9"/>
    <n v="1"/>
    <n v="1"/>
    <n v="0"/>
    <n v="0"/>
    <n v="9"/>
    <n v="96"/>
  </r>
  <r>
    <x v="11"/>
    <s v="ITA"/>
    <x v="1"/>
    <x v="1"/>
    <n v="4063947052"/>
    <n v="1580514834"/>
    <n v="1"/>
    <n v="0"/>
    <n v="1"/>
    <n v="2"/>
    <n v="3"/>
    <n v="2"/>
    <n v="2"/>
    <n v="0"/>
    <n v="0"/>
    <n v="3"/>
    <n v="63"/>
  </r>
  <r>
    <x v="11"/>
    <s v="ITA"/>
    <x v="2"/>
    <x v="2"/>
    <n v="4649933453"/>
    <n v="1135662422"/>
    <n v="4"/>
    <n v="0"/>
    <n v="4"/>
    <n v="0"/>
    <n v="4"/>
    <n v="3"/>
    <n v="3"/>
    <n v="0"/>
    <n v="0"/>
    <n v="4"/>
    <n v="36"/>
  </r>
  <r>
    <x v="11"/>
    <s v="ITA"/>
    <x v="3"/>
    <x v="3"/>
    <n v="3890597598"/>
    <n v="1659440194"/>
    <n v="2"/>
    <n v="0"/>
    <n v="2"/>
    <n v="2"/>
    <n v="4"/>
    <n v="2"/>
    <n v="2"/>
    <n v="0"/>
    <n v="0"/>
    <n v="4"/>
    <n v="99"/>
  </r>
  <r>
    <x v="11"/>
    <s v="ITA"/>
    <x v="4"/>
    <x v="4"/>
    <n v="4083956555"/>
    <n v="1425084984"/>
    <n v="12"/>
    <n v="0"/>
    <n v="12"/>
    <n v="45"/>
    <n v="57"/>
    <n v="12"/>
    <n v="12"/>
    <n v="0"/>
    <n v="0"/>
    <n v="57"/>
    <n v="471"/>
  </r>
  <r>
    <x v="11"/>
    <s v="ITA"/>
    <x v="5"/>
    <x v="5"/>
    <n v="4449436681"/>
    <n v="113417208"/>
    <n v="397"/>
    <n v="53"/>
    <n v="450"/>
    <n v="366"/>
    <n v="816"/>
    <n v="158"/>
    <n v="172"/>
    <n v="17"/>
    <n v="37"/>
    <n v="870"/>
    <n v="3136"/>
  </r>
  <r>
    <x v="11"/>
    <s v="ITA"/>
    <x v="6"/>
    <x v="6"/>
    <n v="456494354"/>
    <n v="1376813649"/>
    <n v="4"/>
    <n v="0"/>
    <n v="4"/>
    <n v="24"/>
    <n v="28"/>
    <n v="7"/>
    <n v="10"/>
    <n v="3"/>
    <n v="0"/>
    <n v="31"/>
    <n v="577"/>
  </r>
  <r>
    <x v="11"/>
    <s v="ITA"/>
    <x v="7"/>
    <x v="7"/>
    <n v="4189277044"/>
    <n v="1248366722"/>
    <n v="26"/>
    <n v="8"/>
    <n v="34"/>
    <n v="16"/>
    <n v="50"/>
    <n v="9"/>
    <n v="10"/>
    <n v="3"/>
    <n v="1"/>
    <n v="54"/>
    <n v="1373"/>
  </r>
  <r>
    <x v="11"/>
    <s v="ITA"/>
    <x v="8"/>
    <x v="8"/>
    <n v="4441149315"/>
    <n v="89326992"/>
    <n v="12"/>
    <n v="5"/>
    <n v="17"/>
    <n v="7"/>
    <n v="24"/>
    <n v="3"/>
    <n v="4"/>
    <n v="5"/>
    <n v="3"/>
    <n v="32"/>
    <n v="229"/>
  </r>
  <r>
    <x v="11"/>
    <s v="ITA"/>
    <x v="9"/>
    <x v="9"/>
    <n v="4546679409"/>
    <n v="9190347404"/>
    <n v="1622"/>
    <n v="309"/>
    <n v="1931"/>
    <n v="77"/>
    <n v="2008"/>
    <n v="231"/>
    <n v="361"/>
    <n v="469"/>
    <n v="135"/>
    <n v="2612"/>
    <n v="13556"/>
  </r>
  <r>
    <x v="11"/>
    <s v="ITA"/>
    <x v="10"/>
    <x v="10"/>
    <n v="4361675973"/>
    <n v="135188753"/>
    <n v="73"/>
    <n v="20"/>
    <n v="93"/>
    <n v="62"/>
    <n v="155"/>
    <n v="35"/>
    <n v="35"/>
    <n v="0"/>
    <n v="4"/>
    <n v="159"/>
    <n v="585"/>
  </r>
  <r>
    <x v="11"/>
    <s v="ITA"/>
    <x v="11"/>
    <x v="11"/>
    <n v="4155774754"/>
    <n v="1465916051"/>
    <n v="3"/>
    <n v="2"/>
    <n v="5"/>
    <n v="7"/>
    <n v="12"/>
    <n v="5"/>
    <n v="5"/>
    <n v="0"/>
    <n v="0"/>
    <n v="12"/>
    <n v="104"/>
  </r>
  <r>
    <x v="11"/>
    <s v="ITA"/>
    <x v="12"/>
    <x v="12"/>
    <n v="450732745"/>
    <n v="7680687483"/>
    <n v="57"/>
    <n v="30"/>
    <n v="87"/>
    <n v="52"/>
    <n v="139"/>
    <n v="33"/>
    <n v="35"/>
    <n v="0"/>
    <n v="4"/>
    <n v="143"/>
    <n v="793"/>
  </r>
  <r>
    <x v="11"/>
    <s v="ITA"/>
    <x v="13"/>
    <x v="13"/>
    <n v="4112559576"/>
    <n v="1686736689"/>
    <n v="5"/>
    <n v="1"/>
    <n v="6"/>
    <n v="9"/>
    <n v="15"/>
    <n v="3"/>
    <n v="3"/>
    <n v="1"/>
    <n v="1"/>
    <n v="17"/>
    <n v="395"/>
  </r>
  <r>
    <x v="11"/>
    <s v="ITA"/>
    <x v="14"/>
    <x v="14"/>
    <n v="3921531192"/>
    <n v="9110616306"/>
    <n v="2"/>
    <n v="0"/>
    <n v="2"/>
    <n v="3"/>
    <n v="5"/>
    <n v="3"/>
    <n v="3"/>
    <n v="0"/>
    <n v="0"/>
    <n v="5"/>
    <n v="99"/>
  </r>
  <r>
    <x v="11"/>
    <s v="ITA"/>
    <x v="15"/>
    <x v="15"/>
    <n v="3811569725"/>
    <n v="133623567"/>
    <n v="7"/>
    <n v="0"/>
    <n v="7"/>
    <n v="15"/>
    <n v="22"/>
    <n v="6"/>
    <n v="6"/>
    <n v="2"/>
    <n v="0"/>
    <n v="24"/>
    <n v="367"/>
  </r>
  <r>
    <x v="11"/>
    <s v="ITA"/>
    <x v="16"/>
    <x v="16"/>
    <n v="4376923077"/>
    <n v="1125588885"/>
    <n v="35"/>
    <n v="5"/>
    <n v="40"/>
    <n v="38"/>
    <n v="78"/>
    <n v="18"/>
    <n v="18"/>
    <n v="1"/>
    <n v="0"/>
    <n v="79"/>
    <n v="1097"/>
  </r>
  <r>
    <x v="11"/>
    <s v="ITA"/>
    <x v="2"/>
    <x v="17"/>
    <n v="4606893511"/>
    <n v="1112123097"/>
    <n v="4"/>
    <n v="0"/>
    <n v="4"/>
    <n v="6"/>
    <n v="10"/>
    <n v="3"/>
    <n v="3"/>
    <n v="0"/>
    <n v="0"/>
    <n v="10"/>
    <n v="122"/>
  </r>
  <r>
    <x v="11"/>
    <s v="ITA"/>
    <x v="17"/>
    <x v="18"/>
    <n v="4310675841"/>
    <n v="1238824698"/>
    <n v="2"/>
    <n v="2"/>
    <n v="4"/>
    <n v="12"/>
    <n v="16"/>
    <n v="7"/>
    <n v="7"/>
    <n v="0"/>
    <n v="0"/>
    <n v="16"/>
    <n v="110"/>
  </r>
  <r>
    <x v="11"/>
    <s v="ITA"/>
    <x v="18"/>
    <x v="19"/>
    <n v="4573750286"/>
    <n v="7320149366"/>
    <n v="0"/>
    <n v="0"/>
    <n v="0"/>
    <n v="7"/>
    <n v="7"/>
    <n v="5"/>
    <n v="5"/>
    <n v="0"/>
    <n v="0"/>
    <n v="7"/>
    <n v="28"/>
  </r>
  <r>
    <x v="11"/>
    <s v="ITA"/>
    <x v="19"/>
    <x v="20"/>
    <n v="4543490485"/>
    <n v="1233845213"/>
    <n v="117"/>
    <n v="27"/>
    <n v="144"/>
    <n v="310"/>
    <n v="454"/>
    <n v="74"/>
    <n v="81"/>
    <n v="22"/>
    <n v="12"/>
    <n v="488"/>
    <n v="13023"/>
  </r>
  <r>
    <x v="12"/>
    <s v="ITA"/>
    <x v="0"/>
    <x v="0"/>
    <n v="4235122196"/>
    <n v="1339843823"/>
    <n v="11"/>
    <n v="0"/>
    <n v="11"/>
    <n v="0"/>
    <n v="11"/>
    <n v="2"/>
    <n v="2"/>
    <n v="0"/>
    <n v="0"/>
    <n v="11"/>
    <n v="123"/>
  </r>
  <r>
    <x v="12"/>
    <s v="ITA"/>
    <x v="1"/>
    <x v="1"/>
    <n v="4063947052"/>
    <n v="1580514834"/>
    <n v="1"/>
    <n v="0"/>
    <n v="1"/>
    <n v="2"/>
    <n v="3"/>
    <n v="0"/>
    <n v="0"/>
    <n v="0"/>
    <n v="0"/>
    <n v="3"/>
    <n v="75"/>
  </r>
  <r>
    <x v="12"/>
    <s v="ITA"/>
    <x v="2"/>
    <x v="2"/>
    <n v="4649933453"/>
    <n v="1135662422"/>
    <n v="8"/>
    <n v="0"/>
    <n v="8"/>
    <n v="1"/>
    <n v="9"/>
    <n v="5"/>
    <n v="5"/>
    <n v="0"/>
    <n v="0"/>
    <n v="9"/>
    <n v="36"/>
  </r>
  <r>
    <x v="12"/>
    <s v="ITA"/>
    <x v="3"/>
    <x v="3"/>
    <n v="3890597598"/>
    <n v="1659440194"/>
    <n v="2"/>
    <n v="0"/>
    <n v="2"/>
    <n v="2"/>
    <n v="4"/>
    <n v="0"/>
    <n v="0"/>
    <n v="0"/>
    <n v="0"/>
    <n v="4"/>
    <n v="113"/>
  </r>
  <r>
    <x v="12"/>
    <s v="ITA"/>
    <x v="4"/>
    <x v="4"/>
    <n v="4083956555"/>
    <n v="1425084984"/>
    <n v="16"/>
    <n v="0"/>
    <n v="16"/>
    <n v="45"/>
    <n v="61"/>
    <n v="4"/>
    <n v="4"/>
    <n v="0"/>
    <n v="0"/>
    <n v="61"/>
    <n v="612"/>
  </r>
  <r>
    <x v="12"/>
    <s v="ITA"/>
    <x v="5"/>
    <x v="5"/>
    <n v="4449436681"/>
    <n v="113417208"/>
    <n v="464"/>
    <n v="64"/>
    <n v="528"/>
    <n v="409"/>
    <n v="937"/>
    <n v="121"/>
    <n v="140"/>
    <n v="25"/>
    <n v="48"/>
    <n v="1010"/>
    <n v="3604"/>
  </r>
  <r>
    <x v="12"/>
    <s v="ITA"/>
    <x v="6"/>
    <x v="6"/>
    <n v="456494354"/>
    <n v="1376813649"/>
    <n v="7"/>
    <n v="1"/>
    <n v="8"/>
    <n v="31"/>
    <n v="39"/>
    <n v="11"/>
    <n v="11"/>
    <n v="3"/>
    <n v="0"/>
    <n v="42"/>
    <n v="577"/>
  </r>
  <r>
    <x v="12"/>
    <s v="ITA"/>
    <x v="7"/>
    <x v="7"/>
    <n v="4189277044"/>
    <n v="1248366722"/>
    <n v="43"/>
    <n v="8"/>
    <n v="51"/>
    <n v="21"/>
    <n v="72"/>
    <n v="22"/>
    <n v="22"/>
    <n v="3"/>
    <n v="1"/>
    <n v="76"/>
    <n v="1582"/>
  </r>
  <r>
    <x v="12"/>
    <s v="ITA"/>
    <x v="8"/>
    <x v="8"/>
    <n v="4441149315"/>
    <n v="89326992"/>
    <n v="26"/>
    <n v="6"/>
    <n v="32"/>
    <n v="10"/>
    <n v="42"/>
    <n v="18"/>
    <n v="19"/>
    <n v="5"/>
    <n v="4"/>
    <n v="51"/>
    <n v="331"/>
  </r>
  <r>
    <x v="12"/>
    <s v="ITA"/>
    <x v="9"/>
    <x v="9"/>
    <n v="4546679409"/>
    <n v="9190347404"/>
    <n v="1661"/>
    <n v="359"/>
    <n v="2020"/>
    <n v="722"/>
    <n v="2742"/>
    <n v="734"/>
    <n v="808"/>
    <n v="524"/>
    <n v="154"/>
    <n v="3420"/>
    <n v="15778"/>
  </r>
  <r>
    <x v="12"/>
    <s v="ITA"/>
    <x v="10"/>
    <x v="10"/>
    <n v="4361675973"/>
    <n v="135188753"/>
    <n v="94"/>
    <n v="36"/>
    <n v="130"/>
    <n v="71"/>
    <n v="201"/>
    <n v="46"/>
    <n v="48"/>
    <n v="0"/>
    <n v="6"/>
    <n v="207"/>
    <n v="816"/>
  </r>
  <r>
    <x v="12"/>
    <s v="ITA"/>
    <x v="11"/>
    <x v="11"/>
    <n v="4155774754"/>
    <n v="1465916051"/>
    <n v="3"/>
    <n v="2"/>
    <n v="5"/>
    <n v="9"/>
    <n v="14"/>
    <n v="2"/>
    <n v="2"/>
    <n v="0"/>
    <n v="0"/>
    <n v="14"/>
    <n v="112"/>
  </r>
  <r>
    <x v="12"/>
    <s v="ITA"/>
    <x v="12"/>
    <x v="12"/>
    <n v="450732745"/>
    <n v="7680687483"/>
    <n v="110"/>
    <n v="38"/>
    <n v="148"/>
    <n v="54"/>
    <n v="202"/>
    <n v="63"/>
    <n v="64"/>
    <n v="0"/>
    <n v="5"/>
    <n v="207"/>
    <n v="1046"/>
  </r>
  <r>
    <x v="12"/>
    <s v="ITA"/>
    <x v="13"/>
    <x v="13"/>
    <n v="4112559576"/>
    <n v="1686736689"/>
    <n v="9"/>
    <n v="2"/>
    <n v="11"/>
    <n v="12"/>
    <n v="23"/>
    <n v="8"/>
    <n v="9"/>
    <n v="1"/>
    <n v="2"/>
    <n v="26"/>
    <n v="395"/>
  </r>
  <r>
    <x v="12"/>
    <s v="ITA"/>
    <x v="14"/>
    <x v="14"/>
    <n v="3921531192"/>
    <n v="9110616306"/>
    <n v="2"/>
    <n v="0"/>
    <n v="2"/>
    <n v="3"/>
    <n v="5"/>
    <n v="0"/>
    <n v="0"/>
    <n v="0"/>
    <n v="0"/>
    <n v="5"/>
    <n v="99"/>
  </r>
  <r>
    <x v="12"/>
    <s v="ITA"/>
    <x v="15"/>
    <x v="15"/>
    <n v="3811569725"/>
    <n v="133623567"/>
    <n v="8"/>
    <n v="0"/>
    <n v="8"/>
    <n v="25"/>
    <n v="33"/>
    <n v="11"/>
    <n v="11"/>
    <n v="2"/>
    <n v="0"/>
    <n v="35"/>
    <n v="643"/>
  </r>
  <r>
    <x v="12"/>
    <s v="ITA"/>
    <x v="16"/>
    <x v="16"/>
    <n v="4376923077"/>
    <n v="1125588885"/>
    <n v="54"/>
    <n v="7"/>
    <n v="61"/>
    <n v="51"/>
    <n v="112"/>
    <n v="34"/>
    <n v="34"/>
    <n v="1"/>
    <n v="0"/>
    <n v="113"/>
    <n v="1331"/>
  </r>
  <r>
    <x v="12"/>
    <s v="ITA"/>
    <x v="2"/>
    <x v="17"/>
    <n v="4606893511"/>
    <n v="1112123097"/>
    <n v="6"/>
    <n v="1"/>
    <n v="7"/>
    <n v="7"/>
    <n v="14"/>
    <n v="4"/>
    <n v="4"/>
    <n v="0"/>
    <n v="0"/>
    <n v="14"/>
    <n v="194"/>
  </r>
  <r>
    <x v="12"/>
    <s v="ITA"/>
    <x v="17"/>
    <x v="18"/>
    <n v="4310675841"/>
    <n v="1238824698"/>
    <n v="2"/>
    <n v="2"/>
    <n v="4"/>
    <n v="20"/>
    <n v="24"/>
    <n v="8"/>
    <n v="8"/>
    <n v="0"/>
    <n v="0"/>
    <n v="24"/>
    <n v="134"/>
  </r>
  <r>
    <x v="12"/>
    <s v="ITA"/>
    <x v="18"/>
    <x v="19"/>
    <n v="4573750286"/>
    <n v="7320149366"/>
    <n v="1"/>
    <n v="0"/>
    <n v="1"/>
    <n v="7"/>
    <n v="8"/>
    <n v="1"/>
    <n v="1"/>
    <n v="0"/>
    <n v="0"/>
    <n v="8"/>
    <n v="32"/>
  </r>
  <r>
    <x v="12"/>
    <s v="ITA"/>
    <x v="19"/>
    <x v="20"/>
    <n v="4543490485"/>
    <n v="1233845213"/>
    <n v="123"/>
    <n v="41"/>
    <n v="164"/>
    <n v="341"/>
    <n v="505"/>
    <n v="51"/>
    <n v="55"/>
    <n v="25"/>
    <n v="13"/>
    <n v="543"/>
    <n v="14429"/>
  </r>
  <r>
    <x v="13"/>
    <s v="ITA"/>
    <x v="0"/>
    <x v="0"/>
    <n v="4235122196"/>
    <n v="1339843823"/>
    <n v="14"/>
    <n v="0"/>
    <n v="14"/>
    <n v="3"/>
    <n v="17"/>
    <n v="6"/>
    <n v="6"/>
    <n v="0"/>
    <n v="0"/>
    <n v="17"/>
    <n v="163"/>
  </r>
  <r>
    <x v="13"/>
    <s v="ITA"/>
    <x v="1"/>
    <x v="1"/>
    <n v="4063947052"/>
    <n v="1580514834"/>
    <n v="2"/>
    <n v="0"/>
    <n v="2"/>
    <n v="2"/>
    <n v="4"/>
    <n v="1"/>
    <n v="1"/>
    <n v="0"/>
    <n v="0"/>
    <n v="4"/>
    <n v="123"/>
  </r>
  <r>
    <x v="13"/>
    <s v="ITA"/>
    <x v="2"/>
    <x v="2"/>
    <n v="4649933453"/>
    <n v="1135662422"/>
    <n v="8"/>
    <n v="0"/>
    <n v="8"/>
    <n v="1"/>
    <n v="9"/>
    <n v="0"/>
    <n v="0"/>
    <n v="0"/>
    <n v="0"/>
    <n v="9"/>
    <n v="36"/>
  </r>
  <r>
    <x v="13"/>
    <s v="ITA"/>
    <x v="3"/>
    <x v="3"/>
    <n v="3890597598"/>
    <n v="1659440194"/>
    <n v="5"/>
    <n v="0"/>
    <n v="5"/>
    <n v="4"/>
    <n v="9"/>
    <n v="5"/>
    <n v="5"/>
    <n v="0"/>
    <n v="0"/>
    <n v="9"/>
    <n v="113"/>
  </r>
  <r>
    <x v="13"/>
    <s v="ITA"/>
    <x v="4"/>
    <x v="4"/>
    <n v="4083956555"/>
    <n v="1425084984"/>
    <n v="30"/>
    <n v="7"/>
    <n v="37"/>
    <n v="63"/>
    <n v="100"/>
    <n v="39"/>
    <n v="40"/>
    <n v="1"/>
    <n v="0"/>
    <n v="101"/>
    <n v="980"/>
  </r>
  <r>
    <x v="13"/>
    <s v="ITA"/>
    <x v="5"/>
    <x v="5"/>
    <n v="4449436681"/>
    <n v="113417208"/>
    <n v="542"/>
    <n v="75"/>
    <n v="617"/>
    <n v="480"/>
    <n v="1097"/>
    <n v="160"/>
    <n v="170"/>
    <n v="27"/>
    <n v="56"/>
    <n v="1180"/>
    <n v="4344"/>
  </r>
  <r>
    <x v="13"/>
    <s v="ITA"/>
    <x v="6"/>
    <x v="6"/>
    <n v="456494354"/>
    <n v="1376813649"/>
    <n v="7"/>
    <n v="1"/>
    <n v="8"/>
    <n v="45"/>
    <n v="53"/>
    <n v="14"/>
    <n v="15"/>
    <n v="3"/>
    <n v="1"/>
    <n v="57"/>
    <n v="997"/>
  </r>
  <r>
    <x v="13"/>
    <s v="ITA"/>
    <x v="7"/>
    <x v="7"/>
    <n v="4189277044"/>
    <n v="1248366722"/>
    <n v="47"/>
    <n v="8"/>
    <n v="55"/>
    <n v="26"/>
    <n v="81"/>
    <n v="9"/>
    <n v="11"/>
    <n v="3"/>
    <n v="3"/>
    <n v="87"/>
    <n v="1929"/>
  </r>
  <r>
    <x v="13"/>
    <s v="ITA"/>
    <x v="8"/>
    <x v="8"/>
    <n v="4441149315"/>
    <n v="89326992"/>
    <n v="39"/>
    <n v="11"/>
    <n v="50"/>
    <n v="17"/>
    <n v="67"/>
    <n v="25"/>
    <n v="27"/>
    <n v="5"/>
    <n v="6"/>
    <n v="78"/>
    <n v="401"/>
  </r>
  <r>
    <x v="13"/>
    <s v="ITA"/>
    <x v="9"/>
    <x v="9"/>
    <n v="4546679409"/>
    <n v="9190347404"/>
    <n v="2217"/>
    <n v="399"/>
    <n v="2616"/>
    <n v="756"/>
    <n v="3372"/>
    <n v="630"/>
    <n v="769"/>
    <n v="550"/>
    <n v="267"/>
    <n v="4189"/>
    <n v="18534"/>
  </r>
  <r>
    <x v="13"/>
    <s v="ITA"/>
    <x v="10"/>
    <x v="10"/>
    <n v="4361675973"/>
    <n v="135188753"/>
    <n v="110"/>
    <n v="41"/>
    <n v="151"/>
    <n v="114"/>
    <n v="265"/>
    <n v="64"/>
    <n v="65"/>
    <n v="0"/>
    <n v="7"/>
    <n v="272"/>
    <n v="1025"/>
  </r>
  <r>
    <x v="13"/>
    <s v="ITA"/>
    <x v="11"/>
    <x v="11"/>
    <n v="4155774754"/>
    <n v="1465916051"/>
    <n v="4"/>
    <n v="2"/>
    <n v="6"/>
    <n v="8"/>
    <n v="14"/>
    <n v="0"/>
    <n v="0"/>
    <n v="0"/>
    <n v="0"/>
    <n v="14"/>
    <n v="116"/>
  </r>
  <r>
    <x v="13"/>
    <s v="ITA"/>
    <x v="12"/>
    <x v="12"/>
    <n v="450732745"/>
    <n v="7680687483"/>
    <n v="245"/>
    <n v="45"/>
    <n v="290"/>
    <n v="65"/>
    <n v="355"/>
    <n v="153"/>
    <n v="153"/>
    <n v="0"/>
    <n v="5"/>
    <n v="360"/>
    <n v="1636"/>
  </r>
  <r>
    <x v="13"/>
    <s v="ITA"/>
    <x v="13"/>
    <x v="13"/>
    <n v="4112559576"/>
    <n v="1686736689"/>
    <n v="17"/>
    <n v="3"/>
    <n v="20"/>
    <n v="16"/>
    <n v="36"/>
    <n v="13"/>
    <n v="14"/>
    <n v="1"/>
    <n v="3"/>
    <n v="40"/>
    <n v="627"/>
  </r>
  <r>
    <x v="13"/>
    <s v="ITA"/>
    <x v="14"/>
    <x v="14"/>
    <n v="3921531192"/>
    <n v="9110616306"/>
    <n v="5"/>
    <n v="0"/>
    <n v="5"/>
    <n v="6"/>
    <n v="11"/>
    <n v="6"/>
    <n v="6"/>
    <n v="0"/>
    <n v="0"/>
    <n v="11"/>
    <n v="149"/>
  </r>
  <r>
    <x v="13"/>
    <s v="ITA"/>
    <x v="15"/>
    <x v="15"/>
    <n v="3811569725"/>
    <n v="133623567"/>
    <n v="18"/>
    <n v="0"/>
    <n v="18"/>
    <n v="33"/>
    <n v="51"/>
    <n v="18"/>
    <n v="18"/>
    <n v="2"/>
    <n v="0"/>
    <n v="53"/>
    <n v="791"/>
  </r>
  <r>
    <x v="13"/>
    <s v="ITA"/>
    <x v="16"/>
    <x v="16"/>
    <n v="4376923077"/>
    <n v="1125588885"/>
    <n v="91"/>
    <n v="7"/>
    <n v="98"/>
    <n v="67"/>
    <n v="165"/>
    <n v="53"/>
    <n v="53"/>
    <n v="1"/>
    <n v="0"/>
    <n v="166"/>
    <n v="1618"/>
  </r>
  <r>
    <x v="13"/>
    <s v="ITA"/>
    <x v="2"/>
    <x v="17"/>
    <n v="4606893511"/>
    <n v="1112123097"/>
    <n v="7"/>
    <n v="2"/>
    <n v="9"/>
    <n v="14"/>
    <n v="23"/>
    <n v="9"/>
    <n v="9"/>
    <n v="0"/>
    <n v="0"/>
    <n v="23"/>
    <n v="228"/>
  </r>
  <r>
    <x v="13"/>
    <s v="ITA"/>
    <x v="17"/>
    <x v="18"/>
    <n v="4310675841"/>
    <n v="1238824698"/>
    <n v="2"/>
    <n v="2"/>
    <n v="4"/>
    <n v="22"/>
    <n v="26"/>
    <n v="2"/>
    <n v="2"/>
    <n v="0"/>
    <n v="0"/>
    <n v="26"/>
    <n v="168"/>
  </r>
  <r>
    <x v="13"/>
    <s v="ITA"/>
    <x v="18"/>
    <x v="19"/>
    <n v="4573750286"/>
    <n v="7320149366"/>
    <n v="1"/>
    <n v="0"/>
    <n v="1"/>
    <n v="8"/>
    <n v="9"/>
    <n v="1"/>
    <n v="1"/>
    <n v="0"/>
    <n v="0"/>
    <n v="9"/>
    <n v="41"/>
  </r>
  <r>
    <x v="13"/>
    <s v="ITA"/>
    <x v="19"/>
    <x v="20"/>
    <n v="4543490485"/>
    <n v="1233845213"/>
    <n v="146"/>
    <n v="47"/>
    <n v="193"/>
    <n v="430"/>
    <n v="623"/>
    <n v="118"/>
    <n v="127"/>
    <n v="29"/>
    <n v="18"/>
    <n v="670"/>
    <n v="15918"/>
  </r>
  <r>
    <x v="14"/>
    <s v="ITA"/>
    <x v="0"/>
    <x v="0"/>
    <n v="4235122196"/>
    <n v="1339843823"/>
    <n v="25"/>
    <n v="0"/>
    <n v="25"/>
    <n v="5"/>
    <n v="30"/>
    <n v="13"/>
    <n v="13"/>
    <n v="0"/>
    <n v="0"/>
    <n v="30"/>
    <n v="237"/>
  </r>
  <r>
    <x v="14"/>
    <s v="ITA"/>
    <x v="1"/>
    <x v="1"/>
    <n v="4063947052"/>
    <n v="1580514834"/>
    <n v="2"/>
    <n v="0"/>
    <n v="2"/>
    <n v="3"/>
    <n v="5"/>
    <n v="1"/>
    <n v="1"/>
    <n v="0"/>
    <n v="0"/>
    <n v="5"/>
    <n v="135"/>
  </r>
  <r>
    <x v="14"/>
    <s v="ITA"/>
    <x v="2"/>
    <x v="2"/>
    <n v="4649933453"/>
    <n v="1135662422"/>
    <n v="8"/>
    <n v="0"/>
    <n v="8"/>
    <n v="1"/>
    <n v="9"/>
    <n v="0"/>
    <n v="0"/>
    <n v="0"/>
    <n v="0"/>
    <n v="9"/>
    <n v="36"/>
  </r>
  <r>
    <x v="14"/>
    <s v="ITA"/>
    <x v="3"/>
    <x v="3"/>
    <n v="3890597598"/>
    <n v="1659440194"/>
    <n v="8"/>
    <n v="0"/>
    <n v="8"/>
    <n v="1"/>
    <n v="9"/>
    <n v="0"/>
    <n v="2"/>
    <n v="2"/>
    <n v="0"/>
    <n v="11"/>
    <n v="173"/>
  </r>
  <r>
    <x v="14"/>
    <s v="ITA"/>
    <x v="4"/>
    <x v="4"/>
    <n v="4083956555"/>
    <n v="1425084984"/>
    <n v="42"/>
    <n v="8"/>
    <n v="50"/>
    <n v="69"/>
    <n v="119"/>
    <n v="19"/>
    <n v="19"/>
    <n v="1"/>
    <n v="0"/>
    <n v="120"/>
    <n v="980"/>
  </r>
  <r>
    <x v="14"/>
    <s v="ITA"/>
    <x v="5"/>
    <x v="5"/>
    <n v="4449436681"/>
    <n v="113417208"/>
    <n v="576"/>
    <n v="90"/>
    <n v="666"/>
    <n v="620"/>
    <n v="1286"/>
    <n v="189"/>
    <n v="206"/>
    <n v="30"/>
    <n v="70"/>
    <n v="1386"/>
    <n v="4906"/>
  </r>
  <r>
    <x v="14"/>
    <s v="ITA"/>
    <x v="6"/>
    <x v="6"/>
    <n v="456494354"/>
    <n v="1376813649"/>
    <n v="18"/>
    <n v="1"/>
    <n v="19"/>
    <n v="70"/>
    <n v="89"/>
    <n v="36"/>
    <n v="36"/>
    <n v="3"/>
    <n v="1"/>
    <n v="93"/>
    <n v="1344"/>
  </r>
  <r>
    <x v="14"/>
    <s v="ITA"/>
    <x v="7"/>
    <x v="7"/>
    <n v="4189277044"/>
    <n v="1248366722"/>
    <n v="55"/>
    <n v="8"/>
    <n v="63"/>
    <n v="31"/>
    <n v="94"/>
    <n v="13"/>
    <n v="15"/>
    <n v="3"/>
    <n v="5"/>
    <n v="102"/>
    <n v="1929"/>
  </r>
  <r>
    <x v="14"/>
    <s v="ITA"/>
    <x v="8"/>
    <x v="8"/>
    <n v="4441149315"/>
    <n v="89326992"/>
    <n v="60"/>
    <n v="17"/>
    <n v="77"/>
    <n v="20"/>
    <n v="97"/>
    <n v="30"/>
    <n v="31"/>
    <n v="5"/>
    <n v="7"/>
    <n v="109"/>
    <n v="611"/>
  </r>
  <r>
    <x v="14"/>
    <s v="ITA"/>
    <x v="9"/>
    <x v="9"/>
    <n v="4546679409"/>
    <n v="9190347404"/>
    <n v="2802"/>
    <n v="440"/>
    <n v="3242"/>
    <n v="1248"/>
    <n v="4490"/>
    <n v="1118"/>
    <n v="1280"/>
    <n v="646"/>
    <n v="333"/>
    <n v="5469"/>
    <n v="20135"/>
  </r>
  <r>
    <x v="14"/>
    <s v="ITA"/>
    <x v="10"/>
    <x v="10"/>
    <n v="4361675973"/>
    <n v="135188753"/>
    <n v="136"/>
    <n v="47"/>
    <n v="183"/>
    <n v="130"/>
    <n v="313"/>
    <n v="48"/>
    <n v="51"/>
    <n v="0"/>
    <n v="10"/>
    <n v="323"/>
    <n v="1250"/>
  </r>
  <r>
    <x v="14"/>
    <s v="ITA"/>
    <x v="11"/>
    <x v="11"/>
    <n v="4155774754"/>
    <n v="1465916051"/>
    <n v="4"/>
    <n v="2"/>
    <n v="6"/>
    <n v="8"/>
    <n v="14"/>
    <n v="0"/>
    <n v="0"/>
    <n v="0"/>
    <n v="0"/>
    <n v="14"/>
    <n v="212"/>
  </r>
  <r>
    <x v="14"/>
    <s v="ITA"/>
    <x v="12"/>
    <x v="12"/>
    <n v="450732745"/>
    <n v="7680687483"/>
    <n v="222"/>
    <n v="50"/>
    <n v="272"/>
    <n v="65"/>
    <n v="337"/>
    <n v="-18"/>
    <n v="-10"/>
    <n v="0"/>
    <n v="13"/>
    <n v="350"/>
    <n v="1681"/>
  </r>
  <r>
    <x v="14"/>
    <s v="ITA"/>
    <x v="13"/>
    <x v="13"/>
    <n v="4112559576"/>
    <n v="1686736689"/>
    <n v="20"/>
    <n v="6"/>
    <n v="26"/>
    <n v="20"/>
    <n v="46"/>
    <n v="10"/>
    <n v="10"/>
    <n v="1"/>
    <n v="3"/>
    <n v="50"/>
    <n v="685"/>
  </r>
  <r>
    <x v="14"/>
    <s v="ITA"/>
    <x v="14"/>
    <x v="14"/>
    <n v="3921531192"/>
    <n v="9110616306"/>
    <n v="8"/>
    <n v="0"/>
    <n v="8"/>
    <n v="11"/>
    <n v="19"/>
    <n v="8"/>
    <n v="8"/>
    <n v="0"/>
    <n v="0"/>
    <n v="19"/>
    <n v="185"/>
  </r>
  <r>
    <x v="14"/>
    <s v="ITA"/>
    <x v="15"/>
    <x v="15"/>
    <n v="3811569725"/>
    <n v="133623567"/>
    <n v="19"/>
    <n v="0"/>
    <n v="19"/>
    <n v="33"/>
    <n v="52"/>
    <n v="1"/>
    <n v="1"/>
    <n v="2"/>
    <n v="0"/>
    <n v="54"/>
    <n v="836"/>
  </r>
  <r>
    <x v="14"/>
    <s v="ITA"/>
    <x v="16"/>
    <x v="16"/>
    <n v="4376923077"/>
    <n v="1125588885"/>
    <n v="107"/>
    <n v="9"/>
    <n v="116"/>
    <n v="90"/>
    <n v="206"/>
    <n v="41"/>
    <n v="42"/>
    <n v="1"/>
    <n v="1"/>
    <n v="208"/>
    <n v="2018"/>
  </r>
  <r>
    <x v="14"/>
    <s v="ITA"/>
    <x v="2"/>
    <x v="17"/>
    <n v="4606893511"/>
    <n v="1112123097"/>
    <n v="10"/>
    <n v="2"/>
    <n v="12"/>
    <n v="21"/>
    <n v="33"/>
    <n v="10"/>
    <n v="10"/>
    <n v="0"/>
    <n v="0"/>
    <n v="33"/>
    <n v="267"/>
  </r>
  <r>
    <x v="14"/>
    <s v="ITA"/>
    <x v="17"/>
    <x v="18"/>
    <n v="4310675841"/>
    <n v="1238824698"/>
    <n v="4"/>
    <n v="2"/>
    <n v="6"/>
    <n v="22"/>
    <n v="28"/>
    <n v="2"/>
    <n v="2"/>
    <n v="0"/>
    <n v="0"/>
    <n v="28"/>
    <n v="183"/>
  </r>
  <r>
    <x v="14"/>
    <s v="ITA"/>
    <x v="18"/>
    <x v="19"/>
    <n v="4573750286"/>
    <n v="7320149366"/>
    <n v="4"/>
    <n v="0"/>
    <n v="4"/>
    <n v="11"/>
    <n v="15"/>
    <n v="6"/>
    <n v="6"/>
    <n v="0"/>
    <n v="0"/>
    <n v="15"/>
    <n v="67"/>
  </r>
  <r>
    <x v="14"/>
    <s v="ITA"/>
    <x v="19"/>
    <x v="20"/>
    <n v="4543490485"/>
    <n v="1233845213"/>
    <n v="186"/>
    <n v="51"/>
    <n v="237"/>
    <n v="457"/>
    <n v="694"/>
    <n v="71"/>
    <n v="74"/>
    <n v="30"/>
    <n v="20"/>
    <n v="744"/>
    <n v="15956"/>
  </r>
  <r>
    <x v="15"/>
    <s v="ITA"/>
    <x v="0"/>
    <x v="0"/>
    <n v="4235122196"/>
    <n v="1339843823"/>
    <n v="17"/>
    <n v="9"/>
    <n v="26"/>
    <n v="11"/>
    <n v="37"/>
    <n v="7"/>
    <n v="8"/>
    <n v="0"/>
    <n v="1"/>
    <n v="38"/>
    <n v="310"/>
  </r>
  <r>
    <x v="15"/>
    <s v="ITA"/>
    <x v="1"/>
    <x v="1"/>
    <n v="4063947052"/>
    <n v="1580514834"/>
    <n v="2"/>
    <n v="0"/>
    <n v="2"/>
    <n v="5"/>
    <n v="7"/>
    <n v="2"/>
    <n v="2"/>
    <n v="0"/>
    <n v="0"/>
    <n v="7"/>
    <n v="148"/>
  </r>
  <r>
    <x v="15"/>
    <s v="ITA"/>
    <x v="2"/>
    <x v="2"/>
    <n v="4649933453"/>
    <n v="1135662422"/>
    <n v="17"/>
    <n v="1"/>
    <n v="18"/>
    <n v="20"/>
    <n v="38"/>
    <n v="29"/>
    <n v="29"/>
    <n v="0"/>
    <n v="0"/>
    <n v="38"/>
    <n v="36"/>
  </r>
  <r>
    <x v="15"/>
    <s v="ITA"/>
    <x v="3"/>
    <x v="3"/>
    <n v="3890597598"/>
    <n v="1659440194"/>
    <n v="8"/>
    <n v="2"/>
    <n v="10"/>
    <n v="1"/>
    <n v="11"/>
    <n v="2"/>
    <n v="2"/>
    <n v="2"/>
    <n v="0"/>
    <n v="13"/>
    <n v="360"/>
  </r>
  <r>
    <x v="15"/>
    <s v="ITA"/>
    <x v="4"/>
    <x v="4"/>
    <n v="4083956555"/>
    <n v="1425084984"/>
    <n v="33"/>
    <n v="8"/>
    <n v="41"/>
    <n v="85"/>
    <n v="126"/>
    <n v="7"/>
    <n v="7"/>
    <n v="1"/>
    <n v="0"/>
    <n v="127"/>
    <n v="1141"/>
  </r>
  <r>
    <x v="15"/>
    <s v="ITA"/>
    <x v="5"/>
    <x v="5"/>
    <n v="4449436681"/>
    <n v="113417208"/>
    <n v="669"/>
    <n v="98"/>
    <n v="767"/>
    <n v="650"/>
    <n v="1417"/>
    <n v="131"/>
    <n v="147"/>
    <n v="31"/>
    <n v="85"/>
    <n v="1533"/>
    <n v="5494"/>
  </r>
  <r>
    <x v="15"/>
    <s v="ITA"/>
    <x v="6"/>
    <x v="6"/>
    <n v="456494354"/>
    <n v="1376813649"/>
    <n v="27"/>
    <n v="6"/>
    <n v="33"/>
    <n v="77"/>
    <n v="110"/>
    <n v="21"/>
    <n v="23"/>
    <n v="3"/>
    <n v="3"/>
    <n v="116"/>
    <n v="1602"/>
  </r>
  <r>
    <x v="15"/>
    <s v="ITA"/>
    <x v="7"/>
    <x v="7"/>
    <n v="4189277044"/>
    <n v="1248366722"/>
    <n v="50"/>
    <n v="15"/>
    <n v="65"/>
    <n v="34"/>
    <n v="99"/>
    <n v="5"/>
    <n v="14"/>
    <n v="11"/>
    <n v="6"/>
    <n v="116"/>
    <n v="3591"/>
  </r>
  <r>
    <x v="15"/>
    <s v="ITA"/>
    <x v="8"/>
    <x v="8"/>
    <n v="4441149315"/>
    <n v="89326992"/>
    <n v="57"/>
    <n v="29"/>
    <n v="86"/>
    <n v="42"/>
    <n v="128"/>
    <n v="31"/>
    <n v="32"/>
    <n v="5"/>
    <n v="8"/>
    <n v="141"/>
    <n v="694"/>
  </r>
  <r>
    <x v="15"/>
    <s v="ITA"/>
    <x v="9"/>
    <x v="9"/>
    <n v="4546679409"/>
    <n v="9190347404"/>
    <n v="3319"/>
    <n v="466"/>
    <n v="3785"/>
    <n v="642"/>
    <n v="4427"/>
    <n v="-63"/>
    <n v="322"/>
    <n v="896"/>
    <n v="468"/>
    <n v="5791"/>
    <n v="21479"/>
  </r>
  <r>
    <x v="15"/>
    <s v="ITA"/>
    <x v="10"/>
    <x v="10"/>
    <n v="4361675973"/>
    <n v="135188753"/>
    <n v="152"/>
    <n v="54"/>
    <n v="206"/>
    <n v="175"/>
    <n v="381"/>
    <n v="68"/>
    <n v="71"/>
    <n v="0"/>
    <n v="13"/>
    <n v="394"/>
    <n v="1437"/>
  </r>
  <r>
    <x v="15"/>
    <s v="ITA"/>
    <x v="11"/>
    <x v="11"/>
    <n v="4155774754"/>
    <n v="1465916051"/>
    <n v="3"/>
    <n v="3"/>
    <n v="6"/>
    <n v="9"/>
    <n v="15"/>
    <n v="1"/>
    <n v="1"/>
    <n v="0"/>
    <n v="0"/>
    <n v="15"/>
    <n v="225"/>
  </r>
  <r>
    <x v="15"/>
    <s v="ITA"/>
    <x v="12"/>
    <x v="12"/>
    <n v="450732745"/>
    <n v="7680687483"/>
    <n v="306"/>
    <n v="66"/>
    <n v="372"/>
    <n v="64"/>
    <n v="436"/>
    <n v="99"/>
    <n v="103"/>
    <n v="0"/>
    <n v="17"/>
    <n v="453"/>
    <n v="2374"/>
  </r>
  <r>
    <x v="15"/>
    <s v="ITA"/>
    <x v="13"/>
    <x v="13"/>
    <n v="4112559576"/>
    <n v="1686736689"/>
    <n v="28"/>
    <n v="6"/>
    <n v="34"/>
    <n v="21"/>
    <n v="55"/>
    <n v="9"/>
    <n v="9"/>
    <n v="1"/>
    <n v="3"/>
    <n v="59"/>
    <n v="747"/>
  </r>
  <r>
    <x v="15"/>
    <s v="ITA"/>
    <x v="14"/>
    <x v="14"/>
    <n v="3921531192"/>
    <n v="9110616306"/>
    <n v="9"/>
    <n v="0"/>
    <n v="9"/>
    <n v="11"/>
    <n v="20"/>
    <n v="1"/>
    <n v="1"/>
    <n v="0"/>
    <n v="0"/>
    <n v="20"/>
    <n v="204"/>
  </r>
  <r>
    <x v="15"/>
    <s v="ITA"/>
    <x v="15"/>
    <x v="15"/>
    <n v="3811569725"/>
    <n v="133623567"/>
    <n v="17"/>
    <n v="2"/>
    <n v="19"/>
    <n v="41"/>
    <n v="60"/>
    <n v="8"/>
    <n v="8"/>
    <n v="2"/>
    <n v="0"/>
    <n v="62"/>
    <n v="955"/>
  </r>
  <r>
    <x v="15"/>
    <s v="ITA"/>
    <x v="16"/>
    <x v="16"/>
    <n v="4376923077"/>
    <n v="1125588885"/>
    <n v="91"/>
    <n v="40"/>
    <n v="131"/>
    <n v="129"/>
    <n v="260"/>
    <n v="54"/>
    <n v="56"/>
    <n v="3"/>
    <n v="1"/>
    <n v="264"/>
    <n v="2573"/>
  </r>
  <r>
    <x v="15"/>
    <s v="ITA"/>
    <x v="2"/>
    <x v="17"/>
    <n v="4606893511"/>
    <n v="1112123097"/>
    <n v="19"/>
    <n v="3"/>
    <n v="22"/>
    <n v="28"/>
    <n v="50"/>
    <n v="17"/>
    <n v="19"/>
    <n v="2"/>
    <n v="0"/>
    <n v="52"/>
    <n v="399"/>
  </r>
  <r>
    <x v="15"/>
    <s v="ITA"/>
    <x v="17"/>
    <x v="18"/>
    <n v="4310675841"/>
    <n v="1238824698"/>
    <n v="8"/>
    <n v="2"/>
    <n v="10"/>
    <n v="27"/>
    <n v="37"/>
    <n v="9"/>
    <n v="9"/>
    <n v="0"/>
    <n v="0"/>
    <n v="37"/>
    <n v="260"/>
  </r>
  <r>
    <x v="15"/>
    <s v="ITA"/>
    <x v="18"/>
    <x v="19"/>
    <n v="4573750286"/>
    <n v="7320149366"/>
    <n v="2"/>
    <n v="0"/>
    <n v="2"/>
    <n v="15"/>
    <n v="17"/>
    <n v="2"/>
    <n v="2"/>
    <n v="0"/>
    <n v="0"/>
    <n v="17"/>
    <n v="89"/>
  </r>
  <r>
    <x v="15"/>
    <s v="ITA"/>
    <x v="19"/>
    <x v="20"/>
    <n v="4543490485"/>
    <n v="1233845213"/>
    <n v="204"/>
    <n v="67"/>
    <n v="271"/>
    <n v="512"/>
    <n v="783"/>
    <n v="89"/>
    <n v="112"/>
    <n v="47"/>
    <n v="26"/>
    <n v="856"/>
    <n v="16643"/>
  </r>
  <r>
    <x v="16"/>
    <s v="ITA"/>
    <x v="0"/>
    <x v="0"/>
    <n v="4235122196"/>
    <n v="1339843823"/>
    <n v="17"/>
    <n v="9"/>
    <n v="26"/>
    <n v="11"/>
    <n v="37"/>
    <n v="0"/>
    <n v="0"/>
    <n v="0"/>
    <n v="1"/>
    <n v="38"/>
    <n v="310"/>
  </r>
  <r>
    <x v="16"/>
    <s v="ITA"/>
    <x v="1"/>
    <x v="1"/>
    <n v="4063947052"/>
    <n v="1580514834"/>
    <n v="1"/>
    <n v="1"/>
    <n v="2"/>
    <n v="6"/>
    <n v="8"/>
    <n v="1"/>
    <n v="1"/>
    <n v="0"/>
    <n v="0"/>
    <n v="8"/>
    <n v="155"/>
  </r>
  <r>
    <x v="16"/>
    <s v="ITA"/>
    <x v="2"/>
    <x v="2"/>
    <n v="4649933453"/>
    <n v="1135662422"/>
    <n v="8"/>
    <n v="4"/>
    <n v="12"/>
    <n v="63"/>
    <n v="75"/>
    <n v="37"/>
    <n v="37"/>
    <n v="0"/>
    <n v="0"/>
    <n v="75"/>
    <n v="75"/>
  </r>
  <r>
    <x v="16"/>
    <s v="ITA"/>
    <x v="3"/>
    <x v="3"/>
    <n v="3890597598"/>
    <n v="1659440194"/>
    <n v="10"/>
    <n v="2"/>
    <n v="12"/>
    <n v="5"/>
    <n v="17"/>
    <n v="6"/>
    <n v="6"/>
    <n v="2"/>
    <n v="0"/>
    <n v="19"/>
    <n v="405"/>
  </r>
  <r>
    <x v="16"/>
    <s v="ITA"/>
    <x v="4"/>
    <x v="4"/>
    <n v="4083956555"/>
    <n v="1425084984"/>
    <n v="56"/>
    <n v="11"/>
    <n v="67"/>
    <n v="82"/>
    <n v="149"/>
    <n v="23"/>
    <n v="27"/>
    <n v="4"/>
    <n v="1"/>
    <n v="154"/>
    <n v="1375"/>
  </r>
  <r>
    <x v="16"/>
    <s v="ITA"/>
    <x v="5"/>
    <x v="5"/>
    <n v="4449436681"/>
    <n v="113417208"/>
    <n v="745"/>
    <n v="104"/>
    <n v="849"/>
    <n v="739"/>
    <n v="1588"/>
    <n v="171"/>
    <n v="206"/>
    <n v="38"/>
    <n v="113"/>
    <n v="1739"/>
    <n v="6640"/>
  </r>
  <r>
    <x v="16"/>
    <s v="ITA"/>
    <x v="6"/>
    <x v="6"/>
    <n v="456494354"/>
    <n v="1376813649"/>
    <n v="16"/>
    <n v="5"/>
    <n v="21"/>
    <n v="89"/>
    <n v="110"/>
    <n v="0"/>
    <n v="10"/>
    <n v="10"/>
    <n v="6"/>
    <n v="126"/>
    <n v="2073"/>
  </r>
  <r>
    <x v="16"/>
    <s v="ITA"/>
    <x v="7"/>
    <x v="7"/>
    <n v="4189277044"/>
    <n v="1248366722"/>
    <n v="67"/>
    <n v="18"/>
    <n v="85"/>
    <n v="40"/>
    <n v="125"/>
    <n v="26"/>
    <n v="34"/>
    <n v="19"/>
    <n v="6"/>
    <n v="150"/>
    <n v="3591"/>
  </r>
  <r>
    <x v="16"/>
    <s v="ITA"/>
    <x v="8"/>
    <x v="8"/>
    <n v="4441149315"/>
    <n v="89326992"/>
    <n v="74"/>
    <n v="34"/>
    <n v="108"/>
    <n v="73"/>
    <n v="181"/>
    <n v="53"/>
    <n v="53"/>
    <n v="5"/>
    <n v="8"/>
    <n v="194"/>
    <n v="1025"/>
  </r>
  <r>
    <x v="16"/>
    <s v="ITA"/>
    <x v="9"/>
    <x v="9"/>
    <n v="4546679409"/>
    <n v="9190347404"/>
    <n v="3852"/>
    <n v="560"/>
    <n v="4412"/>
    <n v="1351"/>
    <n v="5763"/>
    <n v="1336"/>
    <n v="1489"/>
    <n v="900"/>
    <n v="617"/>
    <n v="7280"/>
    <n v="25629"/>
  </r>
  <r>
    <x v="16"/>
    <s v="ITA"/>
    <x v="10"/>
    <x v="10"/>
    <n v="4361675973"/>
    <n v="135188753"/>
    <n v="212"/>
    <n v="66"/>
    <n v="278"/>
    <n v="183"/>
    <n v="461"/>
    <n v="80"/>
    <n v="85"/>
    <n v="0"/>
    <n v="18"/>
    <n v="479"/>
    <n v="1656"/>
  </r>
  <r>
    <x v="16"/>
    <s v="ITA"/>
    <x v="11"/>
    <x v="11"/>
    <n v="4155774754"/>
    <n v="1465916051"/>
    <n v="4"/>
    <n v="3"/>
    <n v="7"/>
    <n v="9"/>
    <n v="16"/>
    <n v="1"/>
    <n v="1"/>
    <n v="0"/>
    <n v="0"/>
    <n v="16"/>
    <n v="233"/>
  </r>
  <r>
    <x v="16"/>
    <s v="ITA"/>
    <x v="12"/>
    <x v="12"/>
    <n v="450732745"/>
    <n v="7680687483"/>
    <n v="319"/>
    <n v="75"/>
    <n v="394"/>
    <n v="86"/>
    <n v="480"/>
    <n v="44"/>
    <n v="48"/>
    <n v="0"/>
    <n v="21"/>
    <n v="501"/>
    <n v="2431"/>
  </r>
  <r>
    <x v="16"/>
    <s v="ITA"/>
    <x v="13"/>
    <x v="13"/>
    <n v="4112559576"/>
    <n v="1686736689"/>
    <n v="38"/>
    <n v="4"/>
    <n v="42"/>
    <n v="29"/>
    <n v="71"/>
    <n v="16"/>
    <n v="18"/>
    <n v="1"/>
    <n v="5"/>
    <n v="77"/>
    <n v="909"/>
  </r>
  <r>
    <x v="16"/>
    <s v="ITA"/>
    <x v="14"/>
    <x v="14"/>
    <n v="3921531192"/>
    <n v="9110616306"/>
    <n v="10"/>
    <n v="0"/>
    <n v="10"/>
    <n v="27"/>
    <n v="37"/>
    <n v="17"/>
    <n v="17"/>
    <n v="0"/>
    <n v="0"/>
    <n v="37"/>
    <n v="283"/>
  </r>
  <r>
    <x v="16"/>
    <s v="ITA"/>
    <x v="15"/>
    <x v="15"/>
    <n v="3811569725"/>
    <n v="133623567"/>
    <n v="23"/>
    <n v="1"/>
    <n v="24"/>
    <n v="57"/>
    <n v="81"/>
    <n v="21"/>
    <n v="21"/>
    <n v="2"/>
    <n v="0"/>
    <n v="83"/>
    <n v="1194"/>
  </r>
  <r>
    <x v="16"/>
    <s v="ITA"/>
    <x v="16"/>
    <x v="16"/>
    <n v="4376923077"/>
    <n v="1125588885"/>
    <n v="87"/>
    <n v="54"/>
    <n v="141"/>
    <n v="173"/>
    <n v="314"/>
    <n v="54"/>
    <n v="56"/>
    <n v="5"/>
    <n v="1"/>
    <n v="320"/>
    <n v="2804"/>
  </r>
  <r>
    <x v="16"/>
    <s v="ITA"/>
    <x v="2"/>
    <x v="17"/>
    <n v="4606893511"/>
    <n v="1112123097"/>
    <n v="28"/>
    <n v="4"/>
    <n v="32"/>
    <n v="42"/>
    <n v="74"/>
    <n v="24"/>
    <n v="25"/>
    <n v="3"/>
    <n v="0"/>
    <n v="77"/>
    <n v="527"/>
  </r>
  <r>
    <x v="16"/>
    <s v="ITA"/>
    <x v="17"/>
    <x v="18"/>
    <n v="4310675841"/>
    <n v="1238824698"/>
    <n v="7"/>
    <n v="5"/>
    <n v="12"/>
    <n v="32"/>
    <n v="44"/>
    <n v="7"/>
    <n v="9"/>
    <n v="2"/>
    <n v="0"/>
    <n v="46"/>
    <n v="340"/>
  </r>
  <r>
    <x v="16"/>
    <s v="ITA"/>
    <x v="18"/>
    <x v="19"/>
    <n v="4573750286"/>
    <n v="7320149366"/>
    <n v="2"/>
    <n v="0"/>
    <n v="2"/>
    <n v="17"/>
    <n v="19"/>
    <n v="2"/>
    <n v="3"/>
    <n v="0"/>
    <n v="1"/>
    <n v="20"/>
    <n v="99"/>
  </r>
  <r>
    <x v="16"/>
    <s v="ITA"/>
    <x v="19"/>
    <x v="20"/>
    <n v="4543490485"/>
    <n v="1233845213"/>
    <n v="262"/>
    <n v="68"/>
    <n v="330"/>
    <n v="610"/>
    <n v="940"/>
    <n v="157"/>
    <n v="167"/>
    <n v="54"/>
    <n v="29"/>
    <n v="1023"/>
    <n v="21400"/>
  </r>
  <r>
    <x v="17"/>
    <s v="ITA"/>
    <x v="0"/>
    <x v="0"/>
    <n v="4235122196"/>
    <n v="1339843823"/>
    <n v="47"/>
    <n v="12"/>
    <n v="59"/>
    <n v="19"/>
    <n v="78"/>
    <n v="41"/>
    <n v="46"/>
    <n v="4"/>
    <n v="2"/>
    <n v="84"/>
    <n v="867"/>
  </r>
  <r>
    <x v="17"/>
    <s v="ITA"/>
    <x v="1"/>
    <x v="1"/>
    <n v="4063947052"/>
    <n v="1580514834"/>
    <n v="1"/>
    <n v="1"/>
    <n v="2"/>
    <n v="6"/>
    <n v="8"/>
    <n v="0"/>
    <n v="0"/>
    <n v="0"/>
    <n v="0"/>
    <n v="8"/>
    <n v="155"/>
  </r>
  <r>
    <x v="17"/>
    <s v="ITA"/>
    <x v="2"/>
    <x v="2"/>
    <n v="4649933453"/>
    <n v="1135662422"/>
    <n v="21"/>
    <n v="4"/>
    <n v="25"/>
    <n v="78"/>
    <n v="103"/>
    <n v="28"/>
    <n v="29"/>
    <n v="0"/>
    <n v="1"/>
    <n v="104"/>
    <n v="607"/>
  </r>
  <r>
    <x v="17"/>
    <s v="ITA"/>
    <x v="3"/>
    <x v="3"/>
    <n v="3890597598"/>
    <n v="1659440194"/>
    <n v="14"/>
    <n v="2"/>
    <n v="16"/>
    <n v="16"/>
    <n v="32"/>
    <n v="15"/>
    <n v="14"/>
    <n v="1"/>
    <n v="0"/>
    <n v="33"/>
    <n v="483"/>
  </r>
  <r>
    <x v="17"/>
    <s v="ITA"/>
    <x v="4"/>
    <x v="4"/>
    <n v="4083956555"/>
    <n v="1425084984"/>
    <n v="56"/>
    <n v="11"/>
    <n v="67"/>
    <n v="107"/>
    <n v="174"/>
    <n v="25"/>
    <n v="25"/>
    <n v="4"/>
    <n v="1"/>
    <n v="179"/>
    <n v="1551"/>
  </r>
  <r>
    <x v="17"/>
    <s v="ITA"/>
    <x v="5"/>
    <x v="5"/>
    <n v="4449436681"/>
    <n v="113417208"/>
    <n v="814"/>
    <n v="112"/>
    <n v="926"/>
    <n v="832"/>
    <n v="1758"/>
    <n v="170"/>
    <n v="208"/>
    <n v="43"/>
    <n v="146"/>
    <n v="1947"/>
    <n v="7600"/>
  </r>
  <r>
    <x v="17"/>
    <s v="ITA"/>
    <x v="6"/>
    <x v="6"/>
    <n v="456494354"/>
    <n v="1376813649"/>
    <n v="23"/>
    <n v="10"/>
    <n v="33"/>
    <n v="115"/>
    <n v="148"/>
    <n v="38"/>
    <n v="41"/>
    <n v="11"/>
    <n v="8"/>
    <n v="167"/>
    <n v="2604"/>
  </r>
  <r>
    <x v="17"/>
    <s v="ITA"/>
    <x v="7"/>
    <x v="7"/>
    <n v="4189277044"/>
    <n v="1248366722"/>
    <n v="85"/>
    <n v="20"/>
    <n v="105"/>
    <n v="67"/>
    <n v="172"/>
    <n v="47"/>
    <n v="50"/>
    <n v="19"/>
    <n v="9"/>
    <n v="200"/>
    <n v="5592"/>
  </r>
  <r>
    <x v="17"/>
    <s v="ITA"/>
    <x v="8"/>
    <x v="8"/>
    <n v="4441149315"/>
    <n v="89326992"/>
    <n v="100"/>
    <n v="36"/>
    <n v="136"/>
    <n v="107"/>
    <n v="243"/>
    <n v="62"/>
    <n v="80"/>
    <n v="20"/>
    <n v="11"/>
    <n v="274"/>
    <n v="1174"/>
  </r>
  <r>
    <x v="17"/>
    <s v="ITA"/>
    <x v="9"/>
    <x v="9"/>
    <n v="4546679409"/>
    <n v="9190347404"/>
    <n v="4247"/>
    <n v="605"/>
    <n v="4852"/>
    <n v="2044"/>
    <n v="6896"/>
    <n v="1133"/>
    <n v="1445"/>
    <n v="1085"/>
    <n v="744"/>
    <n v="8725"/>
    <n v="29534"/>
  </r>
  <r>
    <x v="17"/>
    <s v="ITA"/>
    <x v="10"/>
    <x v="10"/>
    <n v="4361675973"/>
    <n v="135188753"/>
    <n v="254"/>
    <n v="76"/>
    <n v="330"/>
    <n v="240"/>
    <n v="570"/>
    <n v="109"/>
    <n v="113"/>
    <n v="0"/>
    <n v="22"/>
    <n v="592"/>
    <n v="1907"/>
  </r>
  <r>
    <x v="17"/>
    <s v="ITA"/>
    <x v="11"/>
    <x v="11"/>
    <n v="4155774754"/>
    <n v="1465916051"/>
    <n v="4"/>
    <n v="3"/>
    <n v="7"/>
    <n v="9"/>
    <n v="16"/>
    <n v="0"/>
    <n v="0"/>
    <n v="0"/>
    <n v="0"/>
    <n v="16"/>
    <n v="238"/>
  </r>
  <r>
    <x v="17"/>
    <s v="ITA"/>
    <x v="12"/>
    <x v="12"/>
    <n v="450732745"/>
    <n v="7680687483"/>
    <n v="368"/>
    <n v="97"/>
    <n v="465"/>
    <n v="89"/>
    <n v="554"/>
    <n v="74"/>
    <n v="79"/>
    <n v="0"/>
    <n v="26"/>
    <n v="580"/>
    <n v="2879"/>
  </r>
  <r>
    <x v="17"/>
    <s v="ITA"/>
    <x v="13"/>
    <x v="13"/>
    <n v="4112559576"/>
    <n v="1686736689"/>
    <n v="58"/>
    <n v="2"/>
    <n v="60"/>
    <n v="38"/>
    <n v="98"/>
    <n v="27"/>
    <n v="27"/>
    <n v="1"/>
    <n v="5"/>
    <n v="104"/>
    <n v="1269"/>
  </r>
  <r>
    <x v="17"/>
    <s v="ITA"/>
    <x v="14"/>
    <x v="14"/>
    <n v="3921531192"/>
    <n v="9110616306"/>
    <n v="12"/>
    <n v="0"/>
    <n v="12"/>
    <n v="27"/>
    <n v="39"/>
    <n v="2"/>
    <n v="2"/>
    <n v="0"/>
    <n v="0"/>
    <n v="39"/>
    <n v="302"/>
  </r>
  <r>
    <x v="17"/>
    <s v="ITA"/>
    <x v="15"/>
    <x v="15"/>
    <n v="3811569725"/>
    <n v="133623567"/>
    <n v="28"/>
    <n v="5"/>
    <n v="33"/>
    <n v="78"/>
    <n v="111"/>
    <n v="30"/>
    <n v="32"/>
    <n v="2"/>
    <n v="2"/>
    <n v="115"/>
    <n v="1477"/>
  </r>
  <r>
    <x v="17"/>
    <s v="ITA"/>
    <x v="16"/>
    <x v="16"/>
    <n v="4376923077"/>
    <n v="1125588885"/>
    <n v="100"/>
    <n v="59"/>
    <n v="159"/>
    <n v="193"/>
    <n v="352"/>
    <n v="38"/>
    <n v="44"/>
    <n v="7"/>
    <n v="5"/>
    <n v="364"/>
    <n v="3165"/>
  </r>
  <r>
    <x v="17"/>
    <s v="ITA"/>
    <x v="2"/>
    <x v="17"/>
    <n v="4606893511"/>
    <n v="1112123097"/>
    <n v="43"/>
    <n v="5"/>
    <n v="48"/>
    <n v="54"/>
    <n v="102"/>
    <n v="28"/>
    <n v="30"/>
    <n v="4"/>
    <n v="1"/>
    <n v="107"/>
    <n v="593"/>
  </r>
  <r>
    <x v="17"/>
    <s v="ITA"/>
    <x v="17"/>
    <x v="18"/>
    <n v="4310675841"/>
    <n v="1238824698"/>
    <n v="8"/>
    <n v="8"/>
    <n v="16"/>
    <n v="46"/>
    <n v="62"/>
    <n v="18"/>
    <n v="18"/>
    <n v="2"/>
    <n v="0"/>
    <n v="64"/>
    <n v="458"/>
  </r>
  <r>
    <x v="17"/>
    <s v="ITA"/>
    <x v="18"/>
    <x v="19"/>
    <n v="4573750286"/>
    <n v="7320149366"/>
    <n v="7"/>
    <n v="0"/>
    <n v="7"/>
    <n v="19"/>
    <n v="26"/>
    <n v="7"/>
    <n v="7"/>
    <n v="0"/>
    <n v="1"/>
    <n v="27"/>
    <n v="118"/>
  </r>
  <r>
    <x v="17"/>
    <s v="ITA"/>
    <x v="19"/>
    <x v="20"/>
    <n v="4543490485"/>
    <n v="1233845213"/>
    <n v="360"/>
    <n v="85"/>
    <n v="445"/>
    <n v="852"/>
    <n v="1297"/>
    <n v="357"/>
    <n v="361"/>
    <n v="55"/>
    <n v="32"/>
    <n v="1384"/>
    <n v="23438"/>
  </r>
  <r>
    <x v="18"/>
    <s v="ITA"/>
    <x v="0"/>
    <x v="0"/>
    <n v="4235122196"/>
    <n v="1339843823"/>
    <n v="42"/>
    <n v="14"/>
    <n v="56"/>
    <n v="27"/>
    <n v="83"/>
    <n v="5"/>
    <n v="5"/>
    <n v="4"/>
    <n v="2"/>
    <n v="89"/>
    <n v="958"/>
  </r>
  <r>
    <x v="18"/>
    <s v="ITA"/>
    <x v="1"/>
    <x v="1"/>
    <n v="4063947052"/>
    <n v="1580514834"/>
    <n v="1"/>
    <n v="1"/>
    <n v="2"/>
    <n v="8"/>
    <n v="10"/>
    <n v="2"/>
    <n v="2"/>
    <n v="0"/>
    <n v="0"/>
    <n v="10"/>
    <n v="155"/>
  </r>
  <r>
    <x v="18"/>
    <s v="ITA"/>
    <x v="2"/>
    <x v="2"/>
    <n v="4649933453"/>
    <n v="1135662422"/>
    <n v="20"/>
    <n v="5"/>
    <n v="25"/>
    <n v="98"/>
    <n v="123"/>
    <n v="20"/>
    <n v="21"/>
    <n v="0"/>
    <n v="2"/>
    <n v="125"/>
    <n v="811"/>
  </r>
  <r>
    <x v="18"/>
    <s v="ITA"/>
    <x v="3"/>
    <x v="3"/>
    <n v="3890597598"/>
    <n v="1659440194"/>
    <n v="18"/>
    <n v="3"/>
    <n v="21"/>
    <n v="16"/>
    <n v="37"/>
    <n v="5"/>
    <n v="5"/>
    <n v="1"/>
    <n v="0"/>
    <n v="38"/>
    <n v="504"/>
  </r>
  <r>
    <x v="18"/>
    <s v="ITA"/>
    <x v="4"/>
    <x v="4"/>
    <n v="4083956555"/>
    <n v="1425084984"/>
    <n v="60"/>
    <n v="19"/>
    <n v="79"/>
    <n v="134"/>
    <n v="213"/>
    <n v="39"/>
    <n v="41"/>
    <n v="5"/>
    <n v="2"/>
    <n v="220"/>
    <n v="1671"/>
  </r>
  <r>
    <x v="18"/>
    <s v="ITA"/>
    <x v="5"/>
    <x v="5"/>
    <n v="4449436681"/>
    <n v="113417208"/>
    <n v="942"/>
    <n v="128"/>
    <n v="1070"/>
    <n v="941"/>
    <n v="2011"/>
    <n v="253"/>
    <n v="316"/>
    <n v="51"/>
    <n v="201"/>
    <n v="2263"/>
    <n v="8787"/>
  </r>
  <r>
    <x v="18"/>
    <s v="ITA"/>
    <x v="6"/>
    <x v="6"/>
    <n v="456494354"/>
    <n v="1376813649"/>
    <n v="59"/>
    <n v="8"/>
    <n v="67"/>
    <n v="169"/>
    <n v="236"/>
    <n v="88"/>
    <n v="90"/>
    <n v="11"/>
    <n v="10"/>
    <n v="257"/>
    <n v="3149"/>
  </r>
  <r>
    <x v="18"/>
    <s v="ITA"/>
    <x v="7"/>
    <x v="7"/>
    <n v="4189277044"/>
    <n v="1248366722"/>
    <n v="122"/>
    <n v="24"/>
    <n v="146"/>
    <n v="96"/>
    <n v="242"/>
    <n v="70"/>
    <n v="77"/>
    <n v="24"/>
    <n v="11"/>
    <n v="277"/>
    <n v="6491"/>
  </r>
  <r>
    <x v="18"/>
    <s v="ITA"/>
    <x v="8"/>
    <x v="8"/>
    <n v="4441149315"/>
    <n v="89326992"/>
    <n v="128"/>
    <n v="44"/>
    <n v="172"/>
    <n v="132"/>
    <n v="304"/>
    <n v="61"/>
    <n v="71"/>
    <n v="24"/>
    <n v="17"/>
    <n v="345"/>
    <n v="1442"/>
  </r>
  <r>
    <x v="18"/>
    <s v="ITA"/>
    <x v="9"/>
    <x v="9"/>
    <n v="4546679409"/>
    <n v="9190347404"/>
    <n v="4435"/>
    <n v="650"/>
    <n v="5085"/>
    <n v="2647"/>
    <n v="7732"/>
    <n v="836"/>
    <n v="1095"/>
    <n v="1198"/>
    <n v="890"/>
    <n v="9820"/>
    <n v="32700"/>
  </r>
  <r>
    <x v="18"/>
    <s v="ITA"/>
    <x v="10"/>
    <x v="10"/>
    <n v="4361675973"/>
    <n v="135188753"/>
    <n v="337"/>
    <n v="85"/>
    <n v="422"/>
    <n v="276"/>
    <n v="698"/>
    <n v="128"/>
    <n v="133"/>
    <n v="0"/>
    <n v="27"/>
    <n v="725"/>
    <n v="2218"/>
  </r>
  <r>
    <x v="18"/>
    <s v="ITA"/>
    <x v="11"/>
    <x v="11"/>
    <n v="4155774754"/>
    <n v="1465916051"/>
    <n v="5"/>
    <n v="3"/>
    <n v="8"/>
    <n v="9"/>
    <n v="17"/>
    <n v="1"/>
    <n v="1"/>
    <n v="0"/>
    <n v="0"/>
    <n v="17"/>
    <n v="243"/>
  </r>
  <r>
    <x v="18"/>
    <s v="ITA"/>
    <x v="12"/>
    <x v="12"/>
    <n v="450732745"/>
    <n v="7680687483"/>
    <n v="556"/>
    <n v="135"/>
    <n v="691"/>
    <n v="103"/>
    <n v="794"/>
    <n v="240"/>
    <n v="260"/>
    <n v="0"/>
    <n v="46"/>
    <n v="840"/>
    <n v="3105"/>
  </r>
  <r>
    <x v="18"/>
    <s v="ITA"/>
    <x v="13"/>
    <x v="13"/>
    <n v="4112559576"/>
    <n v="1686736689"/>
    <n v="77"/>
    <n v="2"/>
    <n v="79"/>
    <n v="42"/>
    <n v="121"/>
    <n v="23"/>
    <n v="25"/>
    <n v="3"/>
    <n v="5"/>
    <n v="129"/>
    <n v="1449"/>
  </r>
  <r>
    <x v="18"/>
    <s v="ITA"/>
    <x v="14"/>
    <x v="14"/>
    <n v="3921531192"/>
    <n v="9110616306"/>
    <n v="12"/>
    <n v="0"/>
    <n v="12"/>
    <n v="31"/>
    <n v="43"/>
    <n v="4"/>
    <n v="4"/>
    <n v="0"/>
    <n v="0"/>
    <n v="43"/>
    <n v="504"/>
  </r>
  <r>
    <x v="18"/>
    <s v="ITA"/>
    <x v="15"/>
    <x v="15"/>
    <n v="3811569725"/>
    <n v="133623567"/>
    <n v="37"/>
    <n v="7"/>
    <n v="44"/>
    <n v="82"/>
    <n v="126"/>
    <n v="15"/>
    <n v="15"/>
    <n v="2"/>
    <n v="2"/>
    <n v="130"/>
    <n v="1950"/>
  </r>
  <r>
    <x v="18"/>
    <s v="ITA"/>
    <x v="16"/>
    <x v="16"/>
    <n v="4376923077"/>
    <n v="1125588885"/>
    <n v="134"/>
    <n v="77"/>
    <n v="211"/>
    <n v="244"/>
    <n v="455"/>
    <n v="103"/>
    <n v="106"/>
    <n v="10"/>
    <n v="5"/>
    <n v="470"/>
    <n v="4049"/>
  </r>
  <r>
    <x v="18"/>
    <s v="ITA"/>
    <x v="2"/>
    <x v="17"/>
    <n v="4606893511"/>
    <n v="1112123097"/>
    <n v="58"/>
    <n v="6"/>
    <n v="64"/>
    <n v="93"/>
    <n v="157"/>
    <n v="55"/>
    <n v="56"/>
    <n v="4"/>
    <n v="2"/>
    <n v="163"/>
    <n v="846"/>
  </r>
  <r>
    <x v="18"/>
    <s v="ITA"/>
    <x v="17"/>
    <x v="18"/>
    <n v="4310675841"/>
    <n v="1238824698"/>
    <n v="11"/>
    <n v="10"/>
    <n v="21"/>
    <n v="52"/>
    <n v="73"/>
    <n v="11"/>
    <n v="12"/>
    <n v="2"/>
    <n v="1"/>
    <n v="76"/>
    <n v="576"/>
  </r>
  <r>
    <x v="18"/>
    <s v="ITA"/>
    <x v="18"/>
    <x v="19"/>
    <n v="4573750286"/>
    <n v="7320149366"/>
    <n v="6"/>
    <n v="0"/>
    <n v="6"/>
    <n v="21"/>
    <n v="27"/>
    <n v="1"/>
    <n v="1"/>
    <n v="0"/>
    <n v="1"/>
    <n v="28"/>
    <n v="189"/>
  </r>
  <r>
    <x v="18"/>
    <s v="ITA"/>
    <x v="19"/>
    <x v="20"/>
    <n v="4543490485"/>
    <n v="1233845213"/>
    <n v="366"/>
    <n v="107"/>
    <n v="473"/>
    <n v="980"/>
    <n v="1453"/>
    <n v="156"/>
    <n v="211"/>
    <n v="100"/>
    <n v="42"/>
    <n v="1595"/>
    <n v="25691"/>
  </r>
  <r>
    <x v="19"/>
    <s v="ITA"/>
    <x v="0"/>
    <x v="0"/>
    <n v="4235122196"/>
    <n v="1339843823"/>
    <n v="51"/>
    <n v="14"/>
    <n v="65"/>
    <n v="41"/>
    <n v="106"/>
    <n v="23"/>
    <n v="23"/>
    <n v="4"/>
    <n v="2"/>
    <n v="112"/>
    <n v="1232"/>
  </r>
  <r>
    <x v="19"/>
    <s v="ITA"/>
    <x v="1"/>
    <x v="1"/>
    <n v="4063947052"/>
    <n v="1580514834"/>
    <n v="0"/>
    <n v="2"/>
    <n v="2"/>
    <n v="8"/>
    <n v="10"/>
    <n v="0"/>
    <n v="0"/>
    <n v="0"/>
    <n v="0"/>
    <n v="10"/>
    <n v="155"/>
  </r>
  <r>
    <x v="19"/>
    <s v="ITA"/>
    <x v="2"/>
    <x v="2"/>
    <n v="4649933453"/>
    <n v="1135662422"/>
    <n v="26"/>
    <n v="7"/>
    <n v="33"/>
    <n v="137"/>
    <n v="170"/>
    <n v="47"/>
    <n v="48"/>
    <n v="0"/>
    <n v="3"/>
    <n v="173"/>
    <n v="1135"/>
  </r>
  <r>
    <x v="19"/>
    <s v="ITA"/>
    <x v="3"/>
    <x v="3"/>
    <n v="3890597598"/>
    <n v="1659440194"/>
    <n v="22"/>
    <n v="4"/>
    <n v="26"/>
    <n v="33"/>
    <n v="59"/>
    <n v="22"/>
    <n v="22"/>
    <n v="1"/>
    <n v="0"/>
    <n v="60"/>
    <n v="711"/>
  </r>
  <r>
    <x v="19"/>
    <s v="ITA"/>
    <x v="4"/>
    <x v="4"/>
    <n v="4083956555"/>
    <n v="1425084984"/>
    <n v="72"/>
    <n v="17"/>
    <n v="89"/>
    <n v="154"/>
    <n v="243"/>
    <n v="30"/>
    <n v="52"/>
    <n v="23"/>
    <n v="6"/>
    <n v="272"/>
    <n v="1936"/>
  </r>
  <r>
    <x v="19"/>
    <s v="ITA"/>
    <x v="5"/>
    <x v="5"/>
    <n v="4449436681"/>
    <n v="113417208"/>
    <n v="1076"/>
    <n v="152"/>
    <n v="1228"/>
    <n v="1121"/>
    <n v="2349"/>
    <n v="338"/>
    <n v="381"/>
    <n v="54"/>
    <n v="241"/>
    <n v="2644"/>
    <n v="10043"/>
  </r>
  <r>
    <x v="19"/>
    <s v="ITA"/>
    <x v="6"/>
    <x v="6"/>
    <n v="456494354"/>
    <n v="1376813649"/>
    <n v="67"/>
    <n v="11"/>
    <n v="78"/>
    <n v="193"/>
    <n v="271"/>
    <n v="35"/>
    <n v="44"/>
    <n v="17"/>
    <n v="13"/>
    <n v="301"/>
    <n v="3376"/>
  </r>
  <r>
    <x v="19"/>
    <s v="ITA"/>
    <x v="7"/>
    <x v="7"/>
    <n v="4189277044"/>
    <n v="1248366722"/>
    <n v="181"/>
    <n v="25"/>
    <n v="206"/>
    <n v="114"/>
    <n v="320"/>
    <n v="78"/>
    <n v="80"/>
    <n v="24"/>
    <n v="13"/>
    <n v="357"/>
    <n v="7335"/>
  </r>
  <r>
    <x v="19"/>
    <s v="ITA"/>
    <x v="8"/>
    <x v="8"/>
    <n v="4441149315"/>
    <n v="89326992"/>
    <n v="213"/>
    <n v="62"/>
    <n v="275"/>
    <n v="109"/>
    <n v="384"/>
    <n v="80"/>
    <n v="118"/>
    <n v="52"/>
    <n v="27"/>
    <n v="463"/>
    <n v="1750"/>
  </r>
  <r>
    <x v="19"/>
    <s v="ITA"/>
    <x v="9"/>
    <x v="9"/>
    <n v="4546679409"/>
    <n v="9190347404"/>
    <n v="4898"/>
    <n v="732"/>
    <n v="5630"/>
    <n v="3429"/>
    <n v="9059"/>
    <n v="1327"/>
    <n v="1865"/>
    <n v="1660"/>
    <n v="966"/>
    <n v="11685"/>
    <n v="37138"/>
  </r>
  <r>
    <x v="19"/>
    <s v="ITA"/>
    <x v="10"/>
    <x v="10"/>
    <n v="4361675973"/>
    <n v="135188753"/>
    <n v="449"/>
    <n v="93"/>
    <n v="542"/>
    <n v="321"/>
    <n v="863"/>
    <n v="165"/>
    <n v="174"/>
    <n v="0"/>
    <n v="36"/>
    <n v="899"/>
    <n v="2561"/>
  </r>
  <r>
    <x v="19"/>
    <s v="ITA"/>
    <x v="11"/>
    <x v="11"/>
    <n v="4155774754"/>
    <n v="1465916051"/>
    <n v="5"/>
    <n v="3"/>
    <n v="8"/>
    <n v="9"/>
    <n v="17"/>
    <n v="0"/>
    <n v="0"/>
    <n v="0"/>
    <n v="0"/>
    <n v="17"/>
    <n v="247"/>
  </r>
  <r>
    <x v="19"/>
    <s v="ITA"/>
    <x v="12"/>
    <x v="12"/>
    <n v="450732745"/>
    <n v="7680687483"/>
    <n v="538"/>
    <n v="150"/>
    <n v="688"/>
    <n v="126"/>
    <n v="814"/>
    <n v="20"/>
    <n v="33"/>
    <n v="0"/>
    <n v="59"/>
    <n v="873"/>
    <n v="3680"/>
  </r>
  <r>
    <x v="19"/>
    <s v="ITA"/>
    <x v="13"/>
    <x v="13"/>
    <n v="4112559576"/>
    <n v="1686736689"/>
    <n v="91"/>
    <n v="6"/>
    <n v="97"/>
    <n v="59"/>
    <n v="156"/>
    <n v="35"/>
    <n v="37"/>
    <n v="2"/>
    <n v="8"/>
    <n v="166"/>
    <n v="1681"/>
  </r>
  <r>
    <x v="19"/>
    <s v="ITA"/>
    <x v="14"/>
    <x v="14"/>
    <n v="3921531192"/>
    <n v="9110616306"/>
    <n v="14"/>
    <n v="0"/>
    <n v="14"/>
    <n v="33"/>
    <n v="47"/>
    <n v="4"/>
    <n v="4"/>
    <n v="0"/>
    <n v="0"/>
    <n v="47"/>
    <n v="530"/>
  </r>
  <r>
    <x v="19"/>
    <s v="ITA"/>
    <x v="15"/>
    <x v="15"/>
    <n v="3811569725"/>
    <n v="133623567"/>
    <n v="42"/>
    <n v="11"/>
    <n v="53"/>
    <n v="97"/>
    <n v="150"/>
    <n v="24"/>
    <n v="26"/>
    <n v="4"/>
    <n v="2"/>
    <n v="156"/>
    <n v="2100"/>
  </r>
  <r>
    <x v="19"/>
    <s v="ITA"/>
    <x v="16"/>
    <x v="16"/>
    <n v="4376923077"/>
    <n v="1125588885"/>
    <n v="160"/>
    <n v="87"/>
    <n v="247"/>
    <n v="367"/>
    <n v="614"/>
    <n v="159"/>
    <n v="160"/>
    <n v="10"/>
    <n v="6"/>
    <n v="630"/>
    <n v="4595"/>
  </r>
  <r>
    <x v="19"/>
    <s v="ITA"/>
    <x v="2"/>
    <x v="17"/>
    <n v="4606893511"/>
    <n v="1112123097"/>
    <n v="68"/>
    <n v="12"/>
    <n v="80"/>
    <n v="119"/>
    <n v="199"/>
    <n v="42"/>
    <n v="43"/>
    <n v="5"/>
    <n v="2"/>
    <n v="206"/>
    <n v="1006"/>
  </r>
  <r>
    <x v="19"/>
    <s v="ITA"/>
    <x v="17"/>
    <x v="18"/>
    <n v="4310675841"/>
    <n v="1238824698"/>
    <n v="21"/>
    <n v="11"/>
    <n v="32"/>
    <n v="71"/>
    <n v="103"/>
    <n v="30"/>
    <n v="31"/>
    <n v="3"/>
    <n v="1"/>
    <n v="107"/>
    <n v="748"/>
  </r>
  <r>
    <x v="19"/>
    <s v="ITA"/>
    <x v="18"/>
    <x v="19"/>
    <n v="4573750286"/>
    <n v="7320149366"/>
    <n v="12"/>
    <n v="0"/>
    <n v="12"/>
    <n v="29"/>
    <n v="41"/>
    <n v="14"/>
    <n v="14"/>
    <n v="0"/>
    <n v="1"/>
    <n v="42"/>
    <n v="231"/>
  </r>
  <r>
    <x v="19"/>
    <s v="ITA"/>
    <x v="19"/>
    <x v="20"/>
    <n v="4543490485"/>
    <n v="1233845213"/>
    <n v="366"/>
    <n v="119"/>
    <n v="485"/>
    <n v="1290"/>
    <n v="1775"/>
    <n v="322"/>
    <n v="342"/>
    <n v="107"/>
    <n v="55"/>
    <n v="1937"/>
    <n v="26980"/>
  </r>
  <r>
    <x v="20"/>
    <s v="ITA"/>
    <x v="0"/>
    <x v="0"/>
    <n v="4235122196"/>
    <n v="1339843823"/>
    <n v="72"/>
    <n v="28"/>
    <n v="100"/>
    <n v="28"/>
    <n v="128"/>
    <n v="22"/>
    <n v="25"/>
    <n v="6"/>
    <n v="3"/>
    <n v="137"/>
    <n v="1419"/>
  </r>
  <r>
    <x v="20"/>
    <s v="ITA"/>
    <x v="1"/>
    <x v="1"/>
    <n v="4063947052"/>
    <n v="1580514834"/>
    <n v="0"/>
    <n v="2"/>
    <n v="2"/>
    <n v="9"/>
    <n v="11"/>
    <n v="1"/>
    <n v="1"/>
    <n v="0"/>
    <n v="0"/>
    <n v="11"/>
    <n v="208"/>
  </r>
  <r>
    <x v="20"/>
    <s v="ITA"/>
    <x v="2"/>
    <x v="2"/>
    <n v="4649933453"/>
    <n v="1135662422"/>
    <n v="50"/>
    <n v="4"/>
    <n v="54"/>
    <n v="145"/>
    <n v="199"/>
    <n v="29"/>
    <n v="31"/>
    <n v="0"/>
    <n v="5"/>
    <n v="204"/>
    <n v="1497"/>
  </r>
  <r>
    <x v="20"/>
    <s v="ITA"/>
    <x v="3"/>
    <x v="3"/>
    <n v="3890597598"/>
    <n v="1659440194"/>
    <n v="32"/>
    <n v="6"/>
    <n v="38"/>
    <n v="28"/>
    <n v="66"/>
    <n v="7"/>
    <n v="8"/>
    <n v="1"/>
    <n v="1"/>
    <n v="68"/>
    <n v="884"/>
  </r>
  <r>
    <x v="20"/>
    <s v="ITA"/>
    <x v="4"/>
    <x v="4"/>
    <n v="4083956555"/>
    <n v="1425084984"/>
    <n v="73"/>
    <n v="22"/>
    <n v="95"/>
    <n v="201"/>
    <n v="296"/>
    <n v="53"/>
    <n v="61"/>
    <n v="28"/>
    <n v="9"/>
    <n v="333"/>
    <n v="2213"/>
  </r>
  <r>
    <x v="20"/>
    <s v="ITA"/>
    <x v="5"/>
    <x v="5"/>
    <n v="4449436681"/>
    <n v="113417208"/>
    <n v="1215"/>
    <n v="169"/>
    <n v="1384"/>
    <n v="1357"/>
    <n v="2741"/>
    <n v="392"/>
    <n v="449"/>
    <n v="68"/>
    <n v="284"/>
    <n v="3093"/>
    <n v="12054"/>
  </r>
  <r>
    <x v="20"/>
    <s v="ITA"/>
    <x v="6"/>
    <x v="6"/>
    <n v="456494354"/>
    <n v="1376813649"/>
    <n v="98"/>
    <n v="12"/>
    <n v="110"/>
    <n v="206"/>
    <n v="316"/>
    <n v="45"/>
    <n v="46"/>
    <n v="17"/>
    <n v="14"/>
    <n v="347"/>
    <n v="3407"/>
  </r>
  <r>
    <x v="20"/>
    <s v="ITA"/>
    <x v="7"/>
    <x v="7"/>
    <n v="4189277044"/>
    <n v="1248366722"/>
    <n v="223"/>
    <n v="31"/>
    <n v="254"/>
    <n v="142"/>
    <n v="396"/>
    <n v="76"/>
    <n v="79"/>
    <n v="24"/>
    <n v="16"/>
    <n v="436"/>
    <n v="8345"/>
  </r>
  <r>
    <x v="20"/>
    <s v="ITA"/>
    <x v="8"/>
    <x v="8"/>
    <n v="4441149315"/>
    <n v="89326992"/>
    <n v="253"/>
    <n v="66"/>
    <n v="319"/>
    <n v="174"/>
    <n v="493"/>
    <n v="109"/>
    <n v="96"/>
    <n v="33"/>
    <n v="33"/>
    <n v="559"/>
    <n v="1973"/>
  </r>
  <r>
    <x v="20"/>
    <s v="ITA"/>
    <x v="9"/>
    <x v="9"/>
    <n v="4546679409"/>
    <n v="9190347404"/>
    <n v="5500"/>
    <n v="767"/>
    <n v="6267"/>
    <n v="3776"/>
    <n v="10043"/>
    <n v="984"/>
    <n v="1587"/>
    <n v="2011"/>
    <n v="1218"/>
    <n v="13272"/>
    <n v="40369"/>
  </r>
  <r>
    <x v="20"/>
    <s v="ITA"/>
    <x v="10"/>
    <x v="10"/>
    <n v="4361675973"/>
    <n v="135188753"/>
    <n v="521"/>
    <n v="98"/>
    <n v="619"/>
    <n v="468"/>
    <n v="1087"/>
    <n v="224"/>
    <n v="234"/>
    <n v="0"/>
    <n v="46"/>
    <n v="1133"/>
    <n v="2946"/>
  </r>
  <r>
    <x v="20"/>
    <s v="ITA"/>
    <x v="11"/>
    <x v="11"/>
    <n v="4155774754"/>
    <n v="1465916051"/>
    <n v="3"/>
    <n v="4"/>
    <n v="7"/>
    <n v="10"/>
    <n v="17"/>
    <n v="0"/>
    <n v="0"/>
    <n v="0"/>
    <n v="0"/>
    <n v="17"/>
    <n v="248"/>
  </r>
  <r>
    <x v="20"/>
    <s v="ITA"/>
    <x v="12"/>
    <x v="12"/>
    <n v="450732745"/>
    <n v="7680687483"/>
    <n v="726"/>
    <n v="171"/>
    <n v="897"/>
    <n v="133"/>
    <n v="1030"/>
    <n v="216"/>
    <n v="238"/>
    <n v="0"/>
    <n v="81"/>
    <n v="1111"/>
    <n v="4375"/>
  </r>
  <r>
    <x v="20"/>
    <s v="ITA"/>
    <x v="13"/>
    <x v="13"/>
    <n v="4112559576"/>
    <n v="1686736689"/>
    <n v="116"/>
    <n v="6"/>
    <n v="122"/>
    <n v="90"/>
    <n v="212"/>
    <n v="56"/>
    <n v="64"/>
    <n v="2"/>
    <n v="16"/>
    <n v="230"/>
    <n v="2017"/>
  </r>
  <r>
    <x v="20"/>
    <s v="ITA"/>
    <x v="14"/>
    <x v="14"/>
    <n v="3921531192"/>
    <n v="9110616306"/>
    <n v="16"/>
    <n v="0"/>
    <n v="16"/>
    <n v="59"/>
    <n v="75"/>
    <n v="28"/>
    <n v="30"/>
    <n v="0"/>
    <n v="2"/>
    <n v="77"/>
    <n v="613"/>
  </r>
  <r>
    <x v="20"/>
    <s v="ITA"/>
    <x v="15"/>
    <x v="15"/>
    <n v="3811569725"/>
    <n v="133623567"/>
    <n v="56"/>
    <n v="15"/>
    <n v="71"/>
    <n v="108"/>
    <n v="179"/>
    <n v="29"/>
    <n v="32"/>
    <n v="7"/>
    <n v="2"/>
    <n v="188"/>
    <n v="2452"/>
  </r>
  <r>
    <x v="20"/>
    <s v="ITA"/>
    <x v="16"/>
    <x v="16"/>
    <n v="4376923077"/>
    <n v="1125588885"/>
    <n v="175"/>
    <n v="107"/>
    <n v="282"/>
    <n v="481"/>
    <n v="763"/>
    <n v="149"/>
    <n v="151"/>
    <n v="10"/>
    <n v="8"/>
    <n v="781"/>
    <n v="5132"/>
  </r>
  <r>
    <x v="20"/>
    <s v="ITA"/>
    <x v="2"/>
    <x v="17"/>
    <n v="4606893511"/>
    <n v="1112123097"/>
    <n v="73"/>
    <n v="19"/>
    <n v="92"/>
    <n v="275"/>
    <n v="367"/>
    <n v="168"/>
    <n v="172"/>
    <n v="5"/>
    <n v="6"/>
    <n v="378"/>
    <n v="1006"/>
  </r>
  <r>
    <x v="20"/>
    <s v="ITA"/>
    <x v="17"/>
    <x v="18"/>
    <n v="4310675841"/>
    <n v="1238824698"/>
    <n v="25"/>
    <n v="13"/>
    <n v="38"/>
    <n v="101"/>
    <n v="139"/>
    <n v="36"/>
    <n v="36"/>
    <n v="3"/>
    <n v="1"/>
    <n v="143"/>
    <n v="965"/>
  </r>
  <r>
    <x v="20"/>
    <s v="ITA"/>
    <x v="18"/>
    <x v="19"/>
    <n v="4573750286"/>
    <n v="7320149366"/>
    <n v="10"/>
    <n v="3"/>
    <n v="13"/>
    <n v="43"/>
    <n v="56"/>
    <n v="15"/>
    <n v="15"/>
    <n v="0"/>
    <n v="1"/>
    <n v="57"/>
    <n v="230"/>
  </r>
  <r>
    <x v="20"/>
    <s v="ITA"/>
    <x v="19"/>
    <x v="20"/>
    <n v="4543490485"/>
    <n v="1233845213"/>
    <n v="426"/>
    <n v="129"/>
    <n v="555"/>
    <n v="1434"/>
    <n v="1989"/>
    <n v="214"/>
    <n v="235"/>
    <n v="120"/>
    <n v="63"/>
    <n v="2172"/>
    <n v="32546"/>
  </r>
  <r>
    <x v="21"/>
    <s v="ITA"/>
    <x v="0"/>
    <x v="0"/>
    <n v="4235122196"/>
    <n v="1339843823"/>
    <n v="71"/>
    <n v="37"/>
    <n v="108"/>
    <n v="57"/>
    <n v="165"/>
    <n v="37"/>
    <n v="39"/>
    <n v="7"/>
    <n v="4"/>
    <n v="176"/>
    <n v="1533"/>
  </r>
  <r>
    <x v="21"/>
    <s v="ITA"/>
    <x v="1"/>
    <x v="1"/>
    <n v="4063947052"/>
    <n v="1580514834"/>
    <n v="1"/>
    <n v="2"/>
    <n v="3"/>
    <n v="9"/>
    <n v="12"/>
    <n v="1"/>
    <n v="1"/>
    <n v="0"/>
    <n v="0"/>
    <n v="12"/>
    <n v="230"/>
  </r>
  <r>
    <x v="21"/>
    <s v="ITA"/>
    <x v="2"/>
    <x v="2"/>
    <n v="4649933453"/>
    <n v="1135662422"/>
    <n v="53"/>
    <n v="11"/>
    <n v="64"/>
    <n v="171"/>
    <n v="235"/>
    <n v="36"/>
    <n v="37"/>
    <n v="0"/>
    <n v="6"/>
    <n v="241"/>
    <n v="1740"/>
  </r>
  <r>
    <x v="21"/>
    <s v="ITA"/>
    <x v="3"/>
    <x v="3"/>
    <n v="3890597598"/>
    <n v="1659440194"/>
    <n v="36"/>
    <n v="7"/>
    <n v="43"/>
    <n v="44"/>
    <n v="87"/>
    <n v="21"/>
    <n v="21"/>
    <n v="1"/>
    <n v="1"/>
    <n v="89"/>
    <n v="1030"/>
  </r>
  <r>
    <x v="21"/>
    <s v="ITA"/>
    <x v="4"/>
    <x v="4"/>
    <n v="4083956555"/>
    <n v="1425084984"/>
    <n v="103"/>
    <n v="22"/>
    <n v="125"/>
    <n v="238"/>
    <n v="363"/>
    <n v="67"/>
    <n v="67"/>
    <n v="28"/>
    <n v="9"/>
    <n v="400"/>
    <n v="2517"/>
  </r>
  <r>
    <x v="21"/>
    <s v="ITA"/>
    <x v="5"/>
    <x v="5"/>
    <n v="4449436681"/>
    <n v="113417208"/>
    <n v="1362"/>
    <n v="197"/>
    <n v="1559"/>
    <n v="1529"/>
    <n v="3088"/>
    <n v="347"/>
    <n v="429"/>
    <n v="88"/>
    <n v="346"/>
    <n v="3522"/>
    <n v="13096"/>
  </r>
  <r>
    <x v="21"/>
    <s v="ITA"/>
    <x v="6"/>
    <x v="6"/>
    <n v="456494354"/>
    <n v="1376813649"/>
    <n v="96"/>
    <n v="19"/>
    <n v="115"/>
    <n v="231"/>
    <n v="346"/>
    <n v="30"/>
    <n v="39"/>
    <n v="18"/>
    <n v="22"/>
    <n v="386"/>
    <n v="4851"/>
  </r>
  <r>
    <x v="21"/>
    <s v="ITA"/>
    <x v="7"/>
    <x v="7"/>
    <n v="4189277044"/>
    <n v="1248366722"/>
    <n v="267"/>
    <n v="31"/>
    <n v="298"/>
    <n v="174"/>
    <n v="472"/>
    <n v="76"/>
    <n v="87"/>
    <n v="32"/>
    <n v="19"/>
    <n v="523"/>
    <n v="9330"/>
  </r>
  <r>
    <x v="21"/>
    <s v="ITA"/>
    <x v="8"/>
    <x v="8"/>
    <n v="4441149315"/>
    <n v="89326992"/>
    <n v="255"/>
    <n v="73"/>
    <n v="328"/>
    <n v="247"/>
    <n v="575"/>
    <n v="82"/>
    <n v="108"/>
    <n v="42"/>
    <n v="50"/>
    <n v="667"/>
    <n v="2189"/>
  </r>
  <r>
    <x v="21"/>
    <s v="ITA"/>
    <x v="9"/>
    <x v="9"/>
    <n v="4546679409"/>
    <n v="9190347404"/>
    <n v="6171"/>
    <n v="823"/>
    <n v="6994"/>
    <n v="3867"/>
    <n v="10861"/>
    <n v="818"/>
    <n v="1377"/>
    <n v="2368"/>
    <n v="1420"/>
    <n v="14649"/>
    <n v="43565"/>
  </r>
  <r>
    <x v="21"/>
    <s v="ITA"/>
    <x v="10"/>
    <x v="10"/>
    <n v="4361675973"/>
    <n v="135188753"/>
    <n v="528"/>
    <n v="110"/>
    <n v="638"/>
    <n v="547"/>
    <n v="1185"/>
    <n v="98"/>
    <n v="109"/>
    <n v="0"/>
    <n v="57"/>
    <n v="1242"/>
    <n v="3225"/>
  </r>
  <r>
    <x v="21"/>
    <s v="ITA"/>
    <x v="11"/>
    <x v="11"/>
    <n v="4155774754"/>
    <n v="1465916051"/>
    <n v="3"/>
    <n v="5"/>
    <n v="8"/>
    <n v="7"/>
    <n v="15"/>
    <n v="-2"/>
    <n v="4"/>
    <n v="5"/>
    <n v="1"/>
    <n v="21"/>
    <n v="253"/>
  </r>
  <r>
    <x v="21"/>
    <s v="ITA"/>
    <x v="12"/>
    <x v="12"/>
    <n v="450732745"/>
    <n v="7680687483"/>
    <n v="1045"/>
    <n v="186"/>
    <n v="1231"/>
    <n v="174"/>
    <n v="1405"/>
    <n v="375"/>
    <n v="405"/>
    <n v="0"/>
    <n v="111"/>
    <n v="1516"/>
    <n v="5588"/>
  </r>
  <r>
    <x v="21"/>
    <s v="ITA"/>
    <x v="13"/>
    <x v="13"/>
    <n v="4112559576"/>
    <n v="1686736689"/>
    <n v="116"/>
    <n v="6"/>
    <n v="122"/>
    <n v="90"/>
    <n v="212"/>
    <n v="0"/>
    <n v="0"/>
    <n v="2"/>
    <n v="16"/>
    <n v="230"/>
    <n v="2017"/>
  </r>
  <r>
    <x v="21"/>
    <s v="ITA"/>
    <x v="14"/>
    <x v="14"/>
    <n v="3921531192"/>
    <n v="9110616306"/>
    <n v="39"/>
    <n v="0"/>
    <n v="39"/>
    <n v="66"/>
    <n v="105"/>
    <n v="30"/>
    <n v="30"/>
    <n v="0"/>
    <n v="2"/>
    <n v="107"/>
    <n v="797"/>
  </r>
  <r>
    <x v="21"/>
    <s v="ITA"/>
    <x v="15"/>
    <x v="15"/>
    <n v="3811569725"/>
    <n v="133623567"/>
    <n v="75"/>
    <n v="20"/>
    <n v="95"/>
    <n v="108"/>
    <n v="203"/>
    <n v="24"/>
    <n v="25"/>
    <n v="8"/>
    <n v="2"/>
    <n v="213"/>
    <n v="2653"/>
  </r>
  <r>
    <x v="21"/>
    <s v="ITA"/>
    <x v="16"/>
    <x v="16"/>
    <n v="4376923077"/>
    <n v="1125588885"/>
    <n v="175"/>
    <n v="107"/>
    <n v="282"/>
    <n v="559"/>
    <n v="841"/>
    <n v="78"/>
    <n v="85"/>
    <n v="11"/>
    <n v="14"/>
    <n v="866"/>
    <n v="5910"/>
  </r>
  <r>
    <x v="21"/>
    <s v="ITA"/>
    <x v="2"/>
    <x v="17"/>
    <n v="4606893511"/>
    <n v="1112123097"/>
    <n v="73"/>
    <n v="19"/>
    <n v="92"/>
    <n v="275"/>
    <n v="367"/>
    <n v="0"/>
    <n v="0"/>
    <n v="5"/>
    <n v="6"/>
    <n v="378"/>
    <n v="1006"/>
  </r>
  <r>
    <x v="21"/>
    <s v="ITA"/>
    <x v="17"/>
    <x v="18"/>
    <n v="4310675841"/>
    <n v="1238824698"/>
    <n v="30"/>
    <n v="15"/>
    <n v="45"/>
    <n v="114"/>
    <n v="159"/>
    <n v="20"/>
    <n v="21"/>
    <n v="4"/>
    <n v="1"/>
    <n v="164"/>
    <n v="1093"/>
  </r>
  <r>
    <x v="21"/>
    <s v="ITA"/>
    <x v="18"/>
    <x v="19"/>
    <n v="4573750286"/>
    <n v="7320149366"/>
    <n v="28"/>
    <n v="5"/>
    <n v="33"/>
    <n v="70"/>
    <n v="103"/>
    <n v="47"/>
    <n v="48"/>
    <n v="0"/>
    <n v="2"/>
    <n v="105"/>
    <n v="287"/>
  </r>
  <r>
    <x v="21"/>
    <s v="ITA"/>
    <x v="19"/>
    <x v="20"/>
    <n v="4543490485"/>
    <n v="1233845213"/>
    <n v="498"/>
    <n v="156"/>
    <n v="654"/>
    <n v="1620"/>
    <n v="2274"/>
    <n v="285"/>
    <n v="301"/>
    <n v="130"/>
    <n v="69"/>
    <n v="2473"/>
    <n v="35052"/>
  </r>
  <r>
    <x v="22"/>
    <s v="ITA"/>
    <x v="0"/>
    <x v="0"/>
    <n v="4235122196"/>
    <n v="1339843823"/>
    <n v="94"/>
    <n v="32"/>
    <n v="126"/>
    <n v="90"/>
    <n v="216"/>
    <n v="51"/>
    <n v="53"/>
    <n v="7"/>
    <n v="6"/>
    <n v="229"/>
    <n v="1688"/>
  </r>
  <r>
    <x v="22"/>
    <s v="ITA"/>
    <x v="1"/>
    <x v="1"/>
    <n v="4063947052"/>
    <n v="1580514834"/>
    <n v="5"/>
    <n v="2"/>
    <n v="7"/>
    <n v="13"/>
    <n v="20"/>
    <n v="8"/>
    <n v="8"/>
    <n v="0"/>
    <n v="0"/>
    <n v="20"/>
    <n v="262"/>
  </r>
  <r>
    <x v="22"/>
    <s v="ITA"/>
    <x v="2"/>
    <x v="2"/>
    <n v="4649933453"/>
    <n v="1135662422"/>
    <n v="71"/>
    <n v="11"/>
    <n v="82"/>
    <n v="200"/>
    <n v="282"/>
    <n v="47"/>
    <n v="50"/>
    <n v="1"/>
    <n v="8"/>
    <n v="291"/>
    <n v="2149"/>
  </r>
  <r>
    <x v="22"/>
    <s v="ITA"/>
    <x v="3"/>
    <x v="3"/>
    <n v="3890597598"/>
    <n v="1659440194"/>
    <n v="45"/>
    <n v="10"/>
    <n v="55"/>
    <n v="57"/>
    <n v="112"/>
    <n v="25"/>
    <n v="25"/>
    <n v="1"/>
    <n v="1"/>
    <n v="114"/>
    <n v="1293"/>
  </r>
  <r>
    <x v="22"/>
    <s v="ITA"/>
    <x v="4"/>
    <x v="4"/>
    <n v="4083956555"/>
    <n v="1425084984"/>
    <n v="127"/>
    <n v="24"/>
    <n v="151"/>
    <n v="272"/>
    <n v="423"/>
    <n v="60"/>
    <n v="60"/>
    <n v="28"/>
    <n v="9"/>
    <n v="460"/>
    <n v="2685"/>
  </r>
  <r>
    <x v="22"/>
    <s v="ITA"/>
    <x v="5"/>
    <x v="5"/>
    <n v="4449436681"/>
    <n v="113417208"/>
    <n v="1566"/>
    <n v="223"/>
    <n v="1789"/>
    <n v="1615"/>
    <n v="3404"/>
    <n v="316"/>
    <n v="409"/>
    <n v="134"/>
    <n v="393"/>
    <n v="3931"/>
    <n v="14510"/>
  </r>
  <r>
    <x v="22"/>
    <s v="ITA"/>
    <x v="6"/>
    <x v="6"/>
    <n v="456494354"/>
    <n v="1376813649"/>
    <n v="104"/>
    <n v="21"/>
    <n v="125"/>
    <n v="222"/>
    <n v="347"/>
    <n v="1"/>
    <n v="8"/>
    <n v="17"/>
    <n v="30"/>
    <n v="394"/>
    <n v="4958"/>
  </r>
  <r>
    <x v="22"/>
    <s v="ITA"/>
    <x v="7"/>
    <x v="7"/>
    <n v="4189277044"/>
    <n v="1248366722"/>
    <n v="314"/>
    <n v="44"/>
    <n v="358"/>
    <n v="192"/>
    <n v="550"/>
    <n v="78"/>
    <n v="84"/>
    <n v="34"/>
    <n v="23"/>
    <n v="607"/>
    <n v="9436"/>
  </r>
  <r>
    <x v="22"/>
    <s v="ITA"/>
    <x v="8"/>
    <x v="8"/>
    <n v="4441149315"/>
    <n v="89326992"/>
    <n v="299"/>
    <n v="85"/>
    <n v="384"/>
    <n v="277"/>
    <n v="661"/>
    <n v="86"/>
    <n v="111"/>
    <n v="57"/>
    <n v="60"/>
    <n v="778"/>
    <n v="2509"/>
  </r>
  <r>
    <x v="22"/>
    <s v="ITA"/>
    <x v="9"/>
    <x v="9"/>
    <n v="4546679409"/>
    <n v="9190347404"/>
    <n v="6953"/>
    <n v="879"/>
    <n v="7832"/>
    <n v="4263"/>
    <n v="12095"/>
    <n v="1234"/>
    <n v="1571"/>
    <n v="2485"/>
    <n v="1640"/>
    <n v="16220"/>
    <n v="46449"/>
  </r>
  <r>
    <x v="22"/>
    <s v="ITA"/>
    <x v="10"/>
    <x v="10"/>
    <n v="4361675973"/>
    <n v="135188753"/>
    <n v="599"/>
    <n v="109"/>
    <n v="708"/>
    <n v="594"/>
    <n v="1302"/>
    <n v="117"/>
    <n v="129"/>
    <n v="0"/>
    <n v="69"/>
    <n v="1371"/>
    <n v="3225"/>
  </r>
  <r>
    <x v="22"/>
    <s v="ITA"/>
    <x v="11"/>
    <x v="11"/>
    <n v="4155774754"/>
    <n v="1465916051"/>
    <n v="7"/>
    <n v="5"/>
    <n v="12"/>
    <n v="7"/>
    <n v="19"/>
    <n v="4"/>
    <n v="4"/>
    <n v="5"/>
    <n v="1"/>
    <n v="25"/>
    <n v="301"/>
  </r>
  <r>
    <x v="22"/>
    <s v="ITA"/>
    <x v="12"/>
    <x v="12"/>
    <n v="450732745"/>
    <n v="7680687483"/>
    <n v="1378"/>
    <n v="206"/>
    <n v="1584"/>
    <n v="180"/>
    <n v="1764"/>
    <n v="359"/>
    <n v="381"/>
    <n v="0"/>
    <n v="133"/>
    <n v="1897"/>
    <n v="6543"/>
  </r>
  <r>
    <x v="22"/>
    <s v="ITA"/>
    <x v="13"/>
    <x v="13"/>
    <n v="4112559576"/>
    <n v="1686736689"/>
    <n v="155"/>
    <n v="14"/>
    <n v="169"/>
    <n v="151"/>
    <n v="320"/>
    <n v="108"/>
    <n v="110"/>
    <n v="2"/>
    <n v="18"/>
    <n v="340"/>
    <n v="3077"/>
  </r>
  <r>
    <x v="22"/>
    <s v="ITA"/>
    <x v="14"/>
    <x v="14"/>
    <n v="3921531192"/>
    <n v="9110616306"/>
    <n v="36"/>
    <n v="4"/>
    <n v="40"/>
    <n v="75"/>
    <n v="115"/>
    <n v="10"/>
    <n v="10"/>
    <n v="0"/>
    <n v="2"/>
    <n v="117"/>
    <n v="1003"/>
  </r>
  <r>
    <x v="22"/>
    <s v="ITA"/>
    <x v="15"/>
    <x v="15"/>
    <n v="3811569725"/>
    <n v="133623567"/>
    <n v="86"/>
    <n v="28"/>
    <n v="114"/>
    <n v="112"/>
    <n v="226"/>
    <n v="23"/>
    <n v="24"/>
    <n v="8"/>
    <n v="3"/>
    <n v="237"/>
    <n v="2916"/>
  </r>
  <r>
    <x v="22"/>
    <s v="ITA"/>
    <x v="16"/>
    <x v="16"/>
    <n v="4376923077"/>
    <n v="1125588885"/>
    <n v="329"/>
    <n v="143"/>
    <n v="472"/>
    <n v="552"/>
    <n v="1024"/>
    <n v="183"/>
    <n v="187"/>
    <n v="12"/>
    <n v="17"/>
    <n v="1053"/>
    <n v="6727"/>
  </r>
  <r>
    <x v="22"/>
    <s v="ITA"/>
    <x v="2"/>
    <x v="17"/>
    <n v="4606893511"/>
    <n v="1112123097"/>
    <n v="107"/>
    <n v="22"/>
    <n v="129"/>
    <n v="239"/>
    <n v="368"/>
    <n v="1"/>
    <n v="7"/>
    <n v="10"/>
    <n v="7"/>
    <n v="385"/>
    <n v="1727"/>
  </r>
  <r>
    <x v="22"/>
    <s v="ITA"/>
    <x v="17"/>
    <x v="18"/>
    <n v="4310675841"/>
    <n v="1238824698"/>
    <n v="36"/>
    <n v="21"/>
    <n v="57"/>
    <n v="135"/>
    <n v="192"/>
    <n v="33"/>
    <n v="33"/>
    <n v="4"/>
    <n v="1"/>
    <n v="197"/>
    <n v="1323"/>
  </r>
  <r>
    <x v="22"/>
    <s v="ITA"/>
    <x v="18"/>
    <x v="19"/>
    <n v="4573750286"/>
    <n v="7320149366"/>
    <n v="35"/>
    <n v="6"/>
    <n v="41"/>
    <n v="93"/>
    <n v="134"/>
    <n v="31"/>
    <n v="31"/>
    <n v="0"/>
    <n v="2"/>
    <n v="136"/>
    <n v="398"/>
  </r>
  <r>
    <x v="22"/>
    <s v="ITA"/>
    <x v="19"/>
    <x v="20"/>
    <n v="4543490485"/>
    <n v="1233845213"/>
    <n v="548"/>
    <n v="171"/>
    <n v="719"/>
    <n v="1769"/>
    <n v="2488"/>
    <n v="214"/>
    <n v="231"/>
    <n v="136"/>
    <n v="80"/>
    <n v="2704"/>
    <n v="35478"/>
  </r>
  <r>
    <x v="23"/>
    <s v="ITA"/>
    <x v="0"/>
    <x v="0"/>
    <n v="4235122196"/>
    <n v="1339843823"/>
    <n v="99"/>
    <n v="41"/>
    <n v="140"/>
    <n v="109"/>
    <n v="249"/>
    <n v="33"/>
    <n v="34"/>
    <n v="7"/>
    <n v="7"/>
    <n v="263"/>
    <n v="2054"/>
  </r>
  <r>
    <x v="23"/>
    <s v="ITA"/>
    <x v="1"/>
    <x v="1"/>
    <n v="4063947052"/>
    <n v="1580514834"/>
    <n v="9"/>
    <n v="2"/>
    <n v="11"/>
    <n v="16"/>
    <n v="27"/>
    <n v="7"/>
    <n v="7"/>
    <n v="0"/>
    <n v="0"/>
    <n v="27"/>
    <n v="262"/>
  </r>
  <r>
    <x v="23"/>
    <s v="ITA"/>
    <x v="2"/>
    <x v="2"/>
    <n v="4649933453"/>
    <n v="1135662422"/>
    <n v="79"/>
    <n v="18"/>
    <n v="97"/>
    <n v="269"/>
    <n v="366"/>
    <n v="84"/>
    <n v="85"/>
    <n v="1"/>
    <n v="9"/>
    <n v="376"/>
    <n v="2844"/>
  </r>
  <r>
    <x v="23"/>
    <s v="ITA"/>
    <x v="3"/>
    <x v="3"/>
    <n v="3890597598"/>
    <n v="1659440194"/>
    <n v="45"/>
    <n v="11"/>
    <n v="56"/>
    <n v="70"/>
    <n v="126"/>
    <n v="14"/>
    <n v="15"/>
    <n v="2"/>
    <n v="1"/>
    <n v="129"/>
    <n v="1668"/>
  </r>
  <r>
    <x v="23"/>
    <s v="ITA"/>
    <x v="4"/>
    <x v="4"/>
    <n v="4083956555"/>
    <n v="1425084984"/>
    <n v="127"/>
    <n v="24"/>
    <n v="151"/>
    <n v="272"/>
    <n v="423"/>
    <n v="0"/>
    <n v="0"/>
    <n v="28"/>
    <n v="9"/>
    <n v="460"/>
    <n v="2685"/>
  </r>
  <r>
    <x v="23"/>
    <s v="ITA"/>
    <x v="5"/>
    <x v="5"/>
    <n v="4449436681"/>
    <n v="113417208"/>
    <n v="1784"/>
    <n v="247"/>
    <n v="2031"/>
    <n v="1884"/>
    <n v="3915"/>
    <n v="511"/>
    <n v="594"/>
    <n v="152"/>
    <n v="458"/>
    <n v="4525"/>
    <n v="15461"/>
  </r>
  <r>
    <x v="23"/>
    <s v="ITA"/>
    <x v="6"/>
    <x v="6"/>
    <n v="456494354"/>
    <n v="1376813649"/>
    <n v="128"/>
    <n v="27"/>
    <n v="155"/>
    <n v="261"/>
    <n v="416"/>
    <n v="69"/>
    <n v="68"/>
    <n v="15"/>
    <n v="31"/>
    <n v="462"/>
    <n v="4958"/>
  </r>
  <r>
    <x v="23"/>
    <s v="ITA"/>
    <x v="7"/>
    <x v="7"/>
    <n v="4189277044"/>
    <n v="1248366722"/>
    <n v="374"/>
    <n v="44"/>
    <n v="418"/>
    <n v="232"/>
    <n v="650"/>
    <n v="100"/>
    <n v="117"/>
    <n v="42"/>
    <n v="32"/>
    <n v="724"/>
    <n v="11145"/>
  </r>
  <r>
    <x v="23"/>
    <s v="ITA"/>
    <x v="8"/>
    <x v="8"/>
    <n v="4441149315"/>
    <n v="89326992"/>
    <n v="401"/>
    <n v="100"/>
    <n v="501"/>
    <n v="243"/>
    <n v="744"/>
    <n v="83"/>
    <n v="109"/>
    <n v="70"/>
    <n v="73"/>
    <n v="887"/>
    <n v="2912"/>
  </r>
  <r>
    <x v="23"/>
    <s v="ITA"/>
    <x v="9"/>
    <x v="9"/>
    <n v="4546679409"/>
    <n v="9190347404"/>
    <n v="7285"/>
    <n v="924"/>
    <n v="8209"/>
    <n v="4057"/>
    <n v="12266"/>
    <n v="171"/>
    <n v="1493"/>
    <n v="3488"/>
    <n v="1959"/>
    <n v="17713"/>
    <n v="48983"/>
  </r>
  <r>
    <x v="23"/>
    <s v="ITA"/>
    <x v="10"/>
    <x v="10"/>
    <n v="4361675973"/>
    <n v="135188753"/>
    <n v="638"/>
    <n v="119"/>
    <n v="757"/>
    <n v="719"/>
    <n v="1476"/>
    <n v="174"/>
    <n v="197"/>
    <n v="0"/>
    <n v="92"/>
    <n v="1568"/>
    <n v="4109"/>
  </r>
  <r>
    <x v="23"/>
    <s v="ITA"/>
    <x v="11"/>
    <x v="11"/>
    <n v="4155774754"/>
    <n v="1465916051"/>
    <n v="7"/>
    <n v="6"/>
    <n v="13"/>
    <n v="8"/>
    <n v="21"/>
    <n v="2"/>
    <n v="3"/>
    <n v="6"/>
    <n v="1"/>
    <n v="28"/>
    <n v="361"/>
  </r>
  <r>
    <x v="23"/>
    <s v="ITA"/>
    <x v="12"/>
    <x v="12"/>
    <n v="450732745"/>
    <n v="7680687483"/>
    <n v="1780"/>
    <n v="227"/>
    <n v="2007"/>
    <n v="180"/>
    <n v="2187"/>
    <n v="423"/>
    <n v="444"/>
    <n v="0"/>
    <n v="154"/>
    <n v="2341"/>
    <n v="7516"/>
  </r>
  <r>
    <x v="23"/>
    <s v="ITA"/>
    <x v="13"/>
    <x v="13"/>
    <n v="4112559576"/>
    <n v="1686736689"/>
    <n v="156"/>
    <n v="30"/>
    <n v="186"/>
    <n v="176"/>
    <n v="362"/>
    <n v="42"/>
    <n v="43"/>
    <n v="2"/>
    <n v="19"/>
    <n v="383"/>
    <n v="3433"/>
  </r>
  <r>
    <x v="23"/>
    <s v="ITA"/>
    <x v="14"/>
    <x v="14"/>
    <n v="3921531192"/>
    <n v="9110616306"/>
    <n v="42"/>
    <n v="7"/>
    <n v="49"/>
    <n v="83"/>
    <n v="132"/>
    <n v="17"/>
    <n v="17"/>
    <n v="0"/>
    <n v="2"/>
    <n v="134"/>
    <n v="1135"/>
  </r>
  <r>
    <x v="23"/>
    <s v="ITA"/>
    <x v="15"/>
    <x v="15"/>
    <n v="3811569725"/>
    <n v="133623567"/>
    <n v="100"/>
    <n v="29"/>
    <n v="129"/>
    <n v="138"/>
    <n v="267"/>
    <n v="41"/>
    <n v="45"/>
    <n v="12"/>
    <n v="3"/>
    <n v="282"/>
    <n v="3294"/>
  </r>
  <r>
    <x v="23"/>
    <s v="ITA"/>
    <x v="16"/>
    <x v="16"/>
    <n v="4376923077"/>
    <n v="1125588885"/>
    <n v="427"/>
    <n v="160"/>
    <n v="587"/>
    <n v="704"/>
    <n v="1291"/>
    <n v="267"/>
    <n v="277"/>
    <n v="17"/>
    <n v="22"/>
    <n v="1330"/>
    <n v="7606"/>
  </r>
  <r>
    <x v="23"/>
    <s v="ITA"/>
    <x v="2"/>
    <x v="17"/>
    <n v="4606893511"/>
    <n v="1112123097"/>
    <n v="141"/>
    <n v="22"/>
    <n v="163"/>
    <n v="273"/>
    <n v="436"/>
    <n v="68"/>
    <n v="70"/>
    <n v="12"/>
    <n v="7"/>
    <n v="455"/>
    <n v="2187"/>
  </r>
  <r>
    <x v="23"/>
    <s v="ITA"/>
    <x v="17"/>
    <x v="18"/>
    <n v="4310675841"/>
    <n v="1238824698"/>
    <n v="54"/>
    <n v="21"/>
    <n v="75"/>
    <n v="166"/>
    <n v="241"/>
    <n v="49"/>
    <n v="50"/>
    <n v="4"/>
    <n v="2"/>
    <n v="247"/>
    <n v="1601"/>
  </r>
  <r>
    <x v="23"/>
    <s v="ITA"/>
    <x v="18"/>
    <x v="19"/>
    <n v="4573750286"/>
    <n v="7320149366"/>
    <n v="41"/>
    <n v="3"/>
    <n v="44"/>
    <n v="118"/>
    <n v="162"/>
    <n v="28"/>
    <n v="29"/>
    <n v="0"/>
    <n v="3"/>
    <n v="165"/>
    <n v="486"/>
  </r>
  <r>
    <x v="23"/>
    <s v="ITA"/>
    <x v="19"/>
    <x v="20"/>
    <n v="4543490485"/>
    <n v="1233845213"/>
    <n v="646"/>
    <n v="195"/>
    <n v="841"/>
    <n v="2112"/>
    <n v="2953"/>
    <n v="465"/>
    <n v="510"/>
    <n v="167"/>
    <n v="94"/>
    <n v="3214"/>
    <n v="40841"/>
  </r>
  <r>
    <x v="24"/>
    <s v="ITA"/>
    <x v="0"/>
    <x v="0"/>
    <n v="4235122196"/>
    <n v="1339843823"/>
    <n v="181"/>
    <n v="47"/>
    <n v="228"/>
    <n v="138"/>
    <n v="366"/>
    <n v="117"/>
    <n v="122"/>
    <n v="8"/>
    <n v="11"/>
    <n v="385"/>
    <n v="2409"/>
  </r>
  <r>
    <x v="24"/>
    <s v="ITA"/>
    <x v="1"/>
    <x v="1"/>
    <n v="4063947052"/>
    <n v="1580514834"/>
    <n v="8"/>
    <n v="5"/>
    <n v="13"/>
    <n v="24"/>
    <n v="37"/>
    <n v="10"/>
    <n v="10"/>
    <n v="0"/>
    <n v="0"/>
    <n v="37"/>
    <n v="353"/>
  </r>
  <r>
    <x v="24"/>
    <s v="ITA"/>
    <x v="2"/>
    <x v="2"/>
    <n v="4649933453"/>
    <n v="1135662422"/>
    <n v="87"/>
    <n v="18"/>
    <n v="105"/>
    <n v="316"/>
    <n v="421"/>
    <n v="55"/>
    <n v="60"/>
    <n v="1"/>
    <n v="14"/>
    <n v="436"/>
    <n v="3568"/>
  </r>
  <r>
    <x v="24"/>
    <s v="ITA"/>
    <x v="3"/>
    <x v="3"/>
    <n v="3890597598"/>
    <n v="1659440194"/>
    <n v="60"/>
    <n v="13"/>
    <n v="73"/>
    <n v="91"/>
    <n v="164"/>
    <n v="38"/>
    <n v="40"/>
    <n v="2"/>
    <n v="3"/>
    <n v="169"/>
    <n v="2342"/>
  </r>
  <r>
    <x v="24"/>
    <s v="ITA"/>
    <x v="4"/>
    <x v="4"/>
    <n v="4083956555"/>
    <n v="1425084984"/>
    <n v="213"/>
    <n v="36"/>
    <n v="249"/>
    <n v="356"/>
    <n v="605"/>
    <n v="182"/>
    <n v="192"/>
    <n v="30"/>
    <n v="17"/>
    <n v="652"/>
    <n v="3544"/>
  </r>
  <r>
    <x v="24"/>
    <s v="ITA"/>
    <x v="5"/>
    <x v="5"/>
    <n v="4449436681"/>
    <n v="113417208"/>
    <n v="1900"/>
    <n v="260"/>
    <n v="2160"/>
    <n v="2346"/>
    <n v="4506"/>
    <n v="591"/>
    <n v="689"/>
    <n v="177"/>
    <n v="531"/>
    <n v="5214"/>
    <n v="18344"/>
  </r>
  <r>
    <x v="24"/>
    <s v="ITA"/>
    <x v="6"/>
    <x v="6"/>
    <n v="456494354"/>
    <n v="1376813649"/>
    <n v="134"/>
    <n v="29"/>
    <n v="163"/>
    <n v="359"/>
    <n v="522"/>
    <n v="106"/>
    <n v="137"/>
    <n v="41"/>
    <n v="36"/>
    <n v="599"/>
    <n v="4052"/>
  </r>
  <r>
    <x v="24"/>
    <s v="ITA"/>
    <x v="7"/>
    <x v="7"/>
    <n v="4189277044"/>
    <n v="1248366722"/>
    <n v="426"/>
    <n v="45"/>
    <n v="471"/>
    <n v="270"/>
    <n v="741"/>
    <n v="91"/>
    <n v="99"/>
    <n v="44"/>
    <n v="38"/>
    <n v="823"/>
    <n v="11145"/>
  </r>
  <r>
    <x v="24"/>
    <s v="ITA"/>
    <x v="8"/>
    <x v="8"/>
    <n v="4441149315"/>
    <n v="89326992"/>
    <n v="491"/>
    <n v="112"/>
    <n v="603"/>
    <n v="280"/>
    <n v="883"/>
    <n v="139"/>
    <n v="172"/>
    <n v="85"/>
    <n v="91"/>
    <n v="1059"/>
    <n v="3348"/>
  </r>
  <r>
    <x v="24"/>
    <s v="ITA"/>
    <x v="9"/>
    <x v="9"/>
    <n v="4546679409"/>
    <n v="9190347404"/>
    <n v="7387"/>
    <n v="1006"/>
    <n v="8393"/>
    <n v="5545"/>
    <n v="13938"/>
    <n v="1672"/>
    <n v="2171"/>
    <n v="3778"/>
    <n v="2168"/>
    <n v="19884"/>
    <n v="52244"/>
  </r>
  <r>
    <x v="24"/>
    <s v="ITA"/>
    <x v="10"/>
    <x v="10"/>
    <n v="4361675973"/>
    <n v="135188753"/>
    <n v="656"/>
    <n v="141"/>
    <n v="797"/>
    <n v="825"/>
    <n v="1622"/>
    <n v="146"/>
    <n v="169"/>
    <n v="0"/>
    <n v="115"/>
    <n v="1737"/>
    <n v="4512"/>
  </r>
  <r>
    <x v="24"/>
    <s v="ITA"/>
    <x v="11"/>
    <x v="11"/>
    <n v="4155774754"/>
    <n v="1465916051"/>
    <n v="19"/>
    <n v="6"/>
    <n v="25"/>
    <n v="13"/>
    <n v="38"/>
    <n v="17"/>
    <n v="18"/>
    <n v="6"/>
    <n v="2"/>
    <n v="46"/>
    <n v="426"/>
  </r>
  <r>
    <x v="24"/>
    <s v="ITA"/>
    <x v="12"/>
    <x v="12"/>
    <n v="450732745"/>
    <n v="7680687483"/>
    <n v="2279"/>
    <n v="257"/>
    <n v="2536"/>
    <n v="218"/>
    <n v="2754"/>
    <n v="567"/>
    <n v="591"/>
    <n v="3"/>
    <n v="175"/>
    <n v="2932"/>
    <n v="8853"/>
  </r>
  <r>
    <x v="24"/>
    <s v="ITA"/>
    <x v="13"/>
    <x v="13"/>
    <n v="4112559576"/>
    <n v="1686736689"/>
    <n v="173"/>
    <n v="31"/>
    <n v="204"/>
    <n v="245"/>
    <n v="449"/>
    <n v="87"/>
    <n v="95"/>
    <n v="4"/>
    <n v="25"/>
    <n v="478"/>
    <n v="4046"/>
  </r>
  <r>
    <x v="24"/>
    <s v="ITA"/>
    <x v="14"/>
    <x v="14"/>
    <n v="3921531192"/>
    <n v="9110616306"/>
    <n v="43"/>
    <n v="9"/>
    <n v="52"/>
    <n v="152"/>
    <n v="204"/>
    <n v="72"/>
    <n v="72"/>
    <n v="0"/>
    <n v="2"/>
    <n v="206"/>
    <n v="1334"/>
  </r>
  <r>
    <x v="24"/>
    <s v="ITA"/>
    <x v="15"/>
    <x v="15"/>
    <n v="3811569725"/>
    <n v="133623567"/>
    <n v="143"/>
    <n v="36"/>
    <n v="179"/>
    <n v="142"/>
    <n v="321"/>
    <n v="54"/>
    <n v="58"/>
    <n v="15"/>
    <n v="4"/>
    <n v="340"/>
    <n v="3961"/>
  </r>
  <r>
    <x v="24"/>
    <s v="ITA"/>
    <x v="16"/>
    <x v="16"/>
    <n v="4376923077"/>
    <n v="1125588885"/>
    <n v="501"/>
    <n v="178"/>
    <n v="679"/>
    <n v="743"/>
    <n v="1422"/>
    <n v="131"/>
    <n v="152"/>
    <n v="22"/>
    <n v="38"/>
    <n v="1482"/>
    <n v="8873"/>
  </r>
  <r>
    <x v="24"/>
    <s v="ITA"/>
    <x v="2"/>
    <x v="17"/>
    <n v="4606893511"/>
    <n v="1112123097"/>
    <n v="169"/>
    <n v="30"/>
    <n v="199"/>
    <n v="292"/>
    <n v="491"/>
    <n v="55"/>
    <n v="68"/>
    <n v="20"/>
    <n v="12"/>
    <n v="523"/>
    <n v="2203"/>
  </r>
  <r>
    <x v="24"/>
    <s v="ITA"/>
    <x v="17"/>
    <x v="18"/>
    <n v="4310675841"/>
    <n v="1238824698"/>
    <n v="69"/>
    <n v="21"/>
    <n v="90"/>
    <n v="238"/>
    <n v="328"/>
    <n v="87"/>
    <n v="87"/>
    <n v="4"/>
    <n v="2"/>
    <n v="334"/>
    <n v="1954"/>
  </r>
  <r>
    <x v="24"/>
    <s v="ITA"/>
    <x v="18"/>
    <x v="19"/>
    <n v="4573750286"/>
    <n v="7320149366"/>
    <n v="47"/>
    <n v="9"/>
    <n v="56"/>
    <n v="153"/>
    <n v="209"/>
    <n v="47"/>
    <n v="50"/>
    <n v="0"/>
    <n v="6"/>
    <n v="215"/>
    <n v="608"/>
  </r>
  <r>
    <x v="24"/>
    <s v="ITA"/>
    <x v="19"/>
    <x v="20"/>
    <n v="4543490485"/>
    <n v="1233845213"/>
    <n v="771"/>
    <n v="209"/>
    <n v="980"/>
    <n v="2189"/>
    <n v="3169"/>
    <n v="216"/>
    <n v="270"/>
    <n v="200"/>
    <n v="115"/>
    <n v="3484"/>
    <n v="44658"/>
  </r>
  <r>
    <x v="25"/>
    <s v="ITA"/>
    <x v="0"/>
    <x v="0"/>
    <n v="4235122196"/>
    <n v="1339843823"/>
    <n v="190"/>
    <n v="48"/>
    <n v="238"/>
    <n v="184"/>
    <n v="422"/>
    <n v="56"/>
    <n v="64"/>
    <n v="10"/>
    <n v="17"/>
    <n v="449"/>
    <n v="2695"/>
  </r>
  <r>
    <x v="25"/>
    <s v="ITA"/>
    <x v="1"/>
    <x v="1"/>
    <n v="4063947052"/>
    <n v="1580514834"/>
    <n v="8"/>
    <n v="5"/>
    <n v="13"/>
    <n v="39"/>
    <n v="52"/>
    <n v="15"/>
    <n v="15"/>
    <n v="0"/>
    <n v="0"/>
    <n v="52"/>
    <n v="443"/>
  </r>
  <r>
    <x v="25"/>
    <s v="ITA"/>
    <x v="2"/>
    <x v="2"/>
    <n v="4649933453"/>
    <n v="1135662422"/>
    <n v="99"/>
    <n v="24"/>
    <n v="123"/>
    <n v="407"/>
    <n v="530"/>
    <n v="109"/>
    <n v="112"/>
    <n v="1"/>
    <n v="17"/>
    <n v="548"/>
    <n v="4433"/>
  </r>
  <r>
    <x v="25"/>
    <s v="ITA"/>
    <x v="3"/>
    <x v="3"/>
    <n v="3890597598"/>
    <n v="1659440194"/>
    <n v="71"/>
    <n v="16"/>
    <n v="87"/>
    <n v="114"/>
    <n v="201"/>
    <n v="37"/>
    <n v="38"/>
    <n v="2"/>
    <n v="4"/>
    <n v="207"/>
    <n v="2690"/>
  </r>
  <r>
    <x v="25"/>
    <s v="ITA"/>
    <x v="4"/>
    <x v="4"/>
    <n v="4083956555"/>
    <n v="1425084984"/>
    <n v="130"/>
    <n v="41"/>
    <n v="171"/>
    <n v="531"/>
    <n v="702"/>
    <n v="97"/>
    <n v="97"/>
    <n v="30"/>
    <n v="17"/>
    <n v="749"/>
    <n v="3845"/>
  </r>
  <r>
    <x v="25"/>
    <s v="ITA"/>
    <x v="5"/>
    <x v="5"/>
    <n v="4449436681"/>
    <n v="113417208"/>
    <n v="2083"/>
    <n v="267"/>
    <n v="2350"/>
    <n v="2739"/>
    <n v="5089"/>
    <n v="583"/>
    <n v="754"/>
    <n v="239"/>
    <n v="640"/>
    <n v="5968"/>
    <n v="20753"/>
  </r>
  <r>
    <x v="25"/>
    <s v="ITA"/>
    <x v="6"/>
    <x v="6"/>
    <n v="456494354"/>
    <n v="1376813649"/>
    <n v="143"/>
    <n v="32"/>
    <n v="175"/>
    <n v="380"/>
    <n v="555"/>
    <n v="33"/>
    <n v="57"/>
    <n v="63"/>
    <n v="38"/>
    <n v="656"/>
    <n v="4964"/>
  </r>
  <r>
    <x v="25"/>
    <s v="ITA"/>
    <x v="7"/>
    <x v="7"/>
    <n v="4189277044"/>
    <n v="1248366722"/>
    <n v="537"/>
    <n v="47"/>
    <n v="584"/>
    <n v="328"/>
    <n v="912"/>
    <n v="171"/>
    <n v="185"/>
    <n v="53"/>
    <n v="43"/>
    <n v="1008"/>
    <n v="13889"/>
  </r>
  <r>
    <x v="25"/>
    <s v="ITA"/>
    <x v="8"/>
    <x v="8"/>
    <n v="4441149315"/>
    <n v="89326992"/>
    <n v="573"/>
    <n v="121"/>
    <n v="694"/>
    <n v="307"/>
    <n v="1001"/>
    <n v="118"/>
    <n v="162"/>
    <n v="101"/>
    <n v="119"/>
    <n v="1221"/>
    <n v="3794"/>
  </r>
  <r>
    <x v="25"/>
    <s v="ITA"/>
    <x v="9"/>
    <x v="9"/>
    <n v="4546679409"/>
    <n v="9190347404"/>
    <n v="7735"/>
    <n v="1050"/>
    <n v="8785"/>
    <n v="6635"/>
    <n v="15420"/>
    <n v="1482"/>
    <n v="2380"/>
    <n v="4295"/>
    <n v="2549"/>
    <n v="22264"/>
    <n v="57174"/>
  </r>
  <r>
    <x v="25"/>
    <s v="ITA"/>
    <x v="10"/>
    <x v="10"/>
    <n v="4361675973"/>
    <n v="135188753"/>
    <n v="704"/>
    <n v="138"/>
    <n v="842"/>
    <n v="1002"/>
    <n v="1844"/>
    <n v="222"/>
    <n v="244"/>
    <n v="0"/>
    <n v="137"/>
    <n v="1981"/>
    <n v="5170"/>
  </r>
  <r>
    <x v="25"/>
    <s v="ITA"/>
    <x v="11"/>
    <x v="11"/>
    <n v="4155774754"/>
    <n v="1465916051"/>
    <n v="20"/>
    <n v="6"/>
    <n v="26"/>
    <n v="13"/>
    <n v="39"/>
    <n v="1"/>
    <n v="4"/>
    <n v="6"/>
    <n v="5"/>
    <n v="50"/>
    <n v="426"/>
  </r>
  <r>
    <x v="25"/>
    <s v="ITA"/>
    <x v="12"/>
    <x v="12"/>
    <n v="450732745"/>
    <n v="7680687483"/>
    <n v="1541"/>
    <n v="280"/>
    <n v="1821"/>
    <n v="1423"/>
    <n v="3244"/>
    <n v="490"/>
    <n v="529"/>
    <n v="8"/>
    <n v="209"/>
    <n v="3461"/>
    <n v="9975"/>
  </r>
  <r>
    <x v="25"/>
    <s v="ITA"/>
    <x v="13"/>
    <x v="13"/>
    <n v="4112559576"/>
    <n v="1686736689"/>
    <n v="191"/>
    <n v="31"/>
    <n v="222"/>
    <n v="329"/>
    <n v="551"/>
    <n v="102"/>
    <n v="103"/>
    <n v="4"/>
    <n v="26"/>
    <n v="581"/>
    <n v="4789"/>
  </r>
  <r>
    <x v="25"/>
    <s v="ITA"/>
    <x v="14"/>
    <x v="14"/>
    <n v="3921531192"/>
    <n v="9110616306"/>
    <n v="56"/>
    <n v="15"/>
    <n v="71"/>
    <n v="217"/>
    <n v="288"/>
    <n v="84"/>
    <n v="87"/>
    <n v="3"/>
    <n v="2"/>
    <n v="293"/>
    <n v="1912"/>
  </r>
  <r>
    <x v="25"/>
    <s v="ITA"/>
    <x v="15"/>
    <x v="15"/>
    <n v="3811569725"/>
    <n v="133623567"/>
    <n v="168"/>
    <n v="42"/>
    <n v="210"/>
    <n v="169"/>
    <n v="379"/>
    <n v="58"/>
    <n v="68"/>
    <n v="25"/>
    <n v="4"/>
    <n v="408"/>
    <n v="4468"/>
  </r>
  <r>
    <x v="25"/>
    <s v="ITA"/>
    <x v="16"/>
    <x v="16"/>
    <n v="4376923077"/>
    <n v="1125588885"/>
    <n v="601"/>
    <n v="189"/>
    <n v="790"/>
    <n v="923"/>
    <n v="1713"/>
    <n v="291"/>
    <n v="311"/>
    <n v="33"/>
    <n v="47"/>
    <n v="1793"/>
    <n v="10405"/>
  </r>
  <r>
    <x v="25"/>
    <s v="ITA"/>
    <x v="2"/>
    <x v="17"/>
    <n v="4606893511"/>
    <n v="1112123097"/>
    <n v="198"/>
    <n v="34"/>
    <n v="232"/>
    <n v="368"/>
    <n v="600"/>
    <n v="109"/>
    <n v="119"/>
    <n v="29"/>
    <n v="13"/>
    <n v="642"/>
    <n v="2656"/>
  </r>
  <r>
    <x v="25"/>
    <s v="ITA"/>
    <x v="17"/>
    <x v="18"/>
    <n v="4310675841"/>
    <n v="1238824698"/>
    <n v="75"/>
    <n v="24"/>
    <n v="99"/>
    <n v="285"/>
    <n v="384"/>
    <n v="56"/>
    <n v="61"/>
    <n v="4"/>
    <n v="7"/>
    <n v="395"/>
    <n v="2303"/>
  </r>
  <r>
    <x v="25"/>
    <s v="ITA"/>
    <x v="18"/>
    <x v="19"/>
    <n v="4573750286"/>
    <n v="7320149366"/>
    <n v="54"/>
    <n v="9"/>
    <n v="63"/>
    <n v="194"/>
    <n v="257"/>
    <n v="48"/>
    <n v="49"/>
    <n v="0"/>
    <n v="7"/>
    <n v="264"/>
    <n v="814"/>
  </r>
  <r>
    <x v="25"/>
    <s v="ITA"/>
    <x v="19"/>
    <x v="20"/>
    <n v="4543490485"/>
    <n v="1233845213"/>
    <n v="843"/>
    <n v="236"/>
    <n v="1079"/>
    <n v="2598"/>
    <n v="3677"/>
    <n v="508"/>
    <n v="547"/>
    <n v="223"/>
    <n v="131"/>
    <n v="4031"/>
    <n v="49288"/>
  </r>
  <r>
    <x v="26"/>
    <s v="ITA"/>
    <x v="0"/>
    <x v="0"/>
    <n v="4235122196"/>
    <n v="1339843823"/>
    <n v="185"/>
    <n v="44"/>
    <n v="229"/>
    <n v="265"/>
    <n v="494"/>
    <n v="72"/>
    <n v="80"/>
    <n v="13"/>
    <n v="22"/>
    <n v="529"/>
    <n v="3035"/>
  </r>
  <r>
    <x v="26"/>
    <s v="ITA"/>
    <x v="1"/>
    <x v="1"/>
    <n v="4063947052"/>
    <n v="1580514834"/>
    <n v="12"/>
    <n v="7"/>
    <n v="19"/>
    <n v="47"/>
    <n v="66"/>
    <n v="14"/>
    <n v="14"/>
    <n v="0"/>
    <n v="0"/>
    <n v="66"/>
    <n v="522"/>
  </r>
  <r>
    <x v="26"/>
    <s v="ITA"/>
    <x v="2"/>
    <x v="2"/>
    <n v="4649933453"/>
    <n v="1135662422"/>
    <n v="127"/>
    <n v="30"/>
    <n v="157"/>
    <n v="443"/>
    <n v="600"/>
    <n v="70"/>
    <n v="73"/>
    <n v="1"/>
    <n v="20"/>
    <n v="621"/>
    <n v="5179"/>
  </r>
  <r>
    <x v="26"/>
    <s v="ITA"/>
    <x v="3"/>
    <x v="3"/>
    <n v="3890597598"/>
    <n v="1659440194"/>
    <n v="73"/>
    <n v="16"/>
    <n v="89"/>
    <n v="136"/>
    <n v="225"/>
    <n v="24"/>
    <n v="28"/>
    <n v="5"/>
    <n v="5"/>
    <n v="235"/>
    <n v="3050"/>
  </r>
  <r>
    <x v="26"/>
    <s v="ITA"/>
    <x v="4"/>
    <x v="4"/>
    <n v="4083956555"/>
    <n v="1425084984"/>
    <n v="233"/>
    <n v="87"/>
    <n v="320"/>
    <n v="473"/>
    <n v="793"/>
    <n v="91"/>
    <n v="95"/>
    <n v="29"/>
    <n v="22"/>
    <n v="844"/>
    <n v="4448"/>
  </r>
  <r>
    <x v="26"/>
    <s v="ITA"/>
    <x v="5"/>
    <x v="5"/>
    <n v="4449436681"/>
    <n v="113417208"/>
    <n v="2267"/>
    <n v="265"/>
    <n v="2532"/>
    <n v="3129"/>
    <n v="5661"/>
    <n v="572"/>
    <n v="737"/>
    <n v="329"/>
    <n v="715"/>
    <n v="6705"/>
    <n v="24620"/>
  </r>
  <r>
    <x v="26"/>
    <s v="ITA"/>
    <x v="6"/>
    <x v="6"/>
    <n v="456494354"/>
    <n v="1376813649"/>
    <n v="152"/>
    <n v="37"/>
    <n v="189"/>
    <n v="477"/>
    <n v="666"/>
    <n v="111"/>
    <n v="134"/>
    <n v="82"/>
    <n v="42"/>
    <n v="790"/>
    <n v="5955"/>
  </r>
  <r>
    <x v="26"/>
    <s v="ITA"/>
    <x v="7"/>
    <x v="7"/>
    <n v="4189277044"/>
    <n v="1248366722"/>
    <n v="591"/>
    <n v="70"/>
    <n v="661"/>
    <n v="425"/>
    <n v="1086"/>
    <n v="174"/>
    <n v="182"/>
    <n v="54"/>
    <n v="50"/>
    <n v="1190"/>
    <n v="13889"/>
  </r>
  <r>
    <x v="26"/>
    <s v="ITA"/>
    <x v="8"/>
    <x v="8"/>
    <n v="4441149315"/>
    <n v="89326992"/>
    <n v="598"/>
    <n v="129"/>
    <n v="727"/>
    <n v="432"/>
    <n v="1159"/>
    <n v="158"/>
    <n v="215"/>
    <n v="125"/>
    <n v="152"/>
    <n v="1436"/>
    <n v="4304"/>
  </r>
  <r>
    <x v="26"/>
    <s v="ITA"/>
    <x v="9"/>
    <x v="9"/>
    <n v="4546679409"/>
    <n v="9190347404"/>
    <n v="8258"/>
    <n v="1093"/>
    <n v="9351"/>
    <n v="8019"/>
    <n v="17370"/>
    <n v="1950"/>
    <n v="3251"/>
    <n v="5050"/>
    <n v="3095"/>
    <n v="25515"/>
    <n v="66730"/>
  </r>
  <r>
    <x v="26"/>
    <s v="ITA"/>
    <x v="10"/>
    <x v="10"/>
    <n v="4361675973"/>
    <n v="135188753"/>
    <n v="742"/>
    <n v="141"/>
    <n v="883"/>
    <n v="1114"/>
    <n v="1997"/>
    <n v="153"/>
    <n v="172"/>
    <n v="2"/>
    <n v="154"/>
    <n v="2153"/>
    <n v="5740"/>
  </r>
  <r>
    <x v="26"/>
    <s v="ITA"/>
    <x v="11"/>
    <x v="11"/>
    <n v="4155774754"/>
    <n v="1465916051"/>
    <n v="21"/>
    <n v="6"/>
    <n v="27"/>
    <n v="20"/>
    <n v="47"/>
    <n v="8"/>
    <n v="11"/>
    <n v="7"/>
    <n v="7"/>
    <n v="61"/>
    <n v="449"/>
  </r>
  <r>
    <x v="26"/>
    <s v="ITA"/>
    <x v="12"/>
    <x v="12"/>
    <n v="450732745"/>
    <n v="7680687483"/>
    <n v="1976"/>
    <n v="301"/>
    <n v="2277"/>
    <n v="1229"/>
    <n v="3506"/>
    <n v="262"/>
    <n v="291"/>
    <n v="8"/>
    <n v="238"/>
    <n v="3752"/>
    <n v="10701"/>
  </r>
  <r>
    <x v="26"/>
    <s v="ITA"/>
    <x v="13"/>
    <x v="13"/>
    <n v="4112559576"/>
    <n v="1686736689"/>
    <n v="209"/>
    <n v="33"/>
    <n v="242"/>
    <n v="400"/>
    <n v="642"/>
    <n v="91"/>
    <n v="94"/>
    <n v="4"/>
    <n v="29"/>
    <n v="675"/>
    <n v="5617"/>
  </r>
  <r>
    <x v="26"/>
    <s v="ITA"/>
    <x v="14"/>
    <x v="14"/>
    <n v="3921531192"/>
    <n v="9110616306"/>
    <n v="65"/>
    <n v="16"/>
    <n v="81"/>
    <n v="240"/>
    <n v="321"/>
    <n v="33"/>
    <n v="37"/>
    <n v="5"/>
    <n v="4"/>
    <n v="330"/>
    <n v="2297"/>
  </r>
  <r>
    <x v="26"/>
    <s v="ITA"/>
    <x v="15"/>
    <x v="15"/>
    <n v="3811569725"/>
    <n v="133623567"/>
    <n v="206"/>
    <n v="48"/>
    <n v="254"/>
    <n v="204"/>
    <n v="458"/>
    <n v="79"/>
    <n v="82"/>
    <n v="26"/>
    <n v="6"/>
    <n v="490"/>
    <n v="4883"/>
  </r>
  <r>
    <x v="26"/>
    <s v="ITA"/>
    <x v="16"/>
    <x v="16"/>
    <n v="4376923077"/>
    <n v="1125588885"/>
    <n v="664"/>
    <n v="202"/>
    <n v="866"/>
    <n v="1039"/>
    <n v="1905"/>
    <n v="192"/>
    <n v="219"/>
    <n v="35"/>
    <n v="72"/>
    <n v="2012"/>
    <n v="11909"/>
  </r>
  <r>
    <x v="26"/>
    <s v="ITA"/>
    <x v="2"/>
    <x v="17"/>
    <n v="4606893511"/>
    <n v="1112123097"/>
    <n v="233"/>
    <n v="39"/>
    <n v="272"/>
    <n v="448"/>
    <n v="720"/>
    <n v="120"/>
    <n v="140"/>
    <n v="34"/>
    <n v="28"/>
    <n v="782"/>
    <n v="2656"/>
  </r>
  <r>
    <x v="26"/>
    <s v="ITA"/>
    <x v="17"/>
    <x v="18"/>
    <n v="4310675841"/>
    <n v="1238824698"/>
    <n v="92"/>
    <n v="29"/>
    <n v="121"/>
    <n v="326"/>
    <n v="447"/>
    <n v="63"/>
    <n v="67"/>
    <n v="5"/>
    <n v="10"/>
    <n v="462"/>
    <n v="2712"/>
  </r>
  <r>
    <x v="26"/>
    <s v="ITA"/>
    <x v="18"/>
    <x v="19"/>
    <n v="4573750286"/>
    <n v="7320149366"/>
    <n v="62"/>
    <n v="15"/>
    <n v="77"/>
    <n v="227"/>
    <n v="304"/>
    <n v="47"/>
    <n v="49"/>
    <n v="1"/>
    <n v="8"/>
    <n v="313"/>
    <n v="884"/>
  </r>
  <r>
    <x v="26"/>
    <s v="ITA"/>
    <x v="19"/>
    <x v="20"/>
    <n v="4543490485"/>
    <n v="1233845213"/>
    <n v="942"/>
    <n v="249"/>
    <n v="1191"/>
    <n v="3023"/>
    <n v="4214"/>
    <n v="537"/>
    <n v="586"/>
    <n v="257"/>
    <n v="146"/>
    <n v="4617"/>
    <n v="53642"/>
  </r>
  <r>
    <x v="27"/>
    <s v="ITA"/>
    <x v="0"/>
    <x v="0"/>
    <n v="4235122196"/>
    <n v="1339843823"/>
    <n v="218"/>
    <n v="49"/>
    <n v="267"/>
    <n v="272"/>
    <n v="539"/>
    <n v="45"/>
    <n v="58"/>
    <n v="15"/>
    <n v="33"/>
    <n v="587"/>
    <n v="3375"/>
  </r>
  <r>
    <x v="27"/>
    <s v="ITA"/>
    <x v="1"/>
    <x v="1"/>
    <n v="4063947052"/>
    <n v="1580514834"/>
    <n v="13"/>
    <n v="10"/>
    <n v="23"/>
    <n v="58"/>
    <n v="81"/>
    <n v="15"/>
    <n v="15"/>
    <n v="0"/>
    <n v="0"/>
    <n v="81"/>
    <n v="643"/>
  </r>
  <r>
    <x v="27"/>
    <s v="ITA"/>
    <x v="2"/>
    <x v="2"/>
    <n v="4649933453"/>
    <n v="1135662422"/>
    <n v="146"/>
    <n v="32"/>
    <n v="178"/>
    <n v="470"/>
    <n v="648"/>
    <n v="48"/>
    <n v="57"/>
    <n v="7"/>
    <n v="23"/>
    <n v="678"/>
    <n v="5718"/>
  </r>
  <r>
    <x v="27"/>
    <s v="ITA"/>
    <x v="3"/>
    <x v="3"/>
    <n v="3890597598"/>
    <n v="1659440194"/>
    <n v="77"/>
    <n v="17"/>
    <n v="94"/>
    <n v="166"/>
    <n v="260"/>
    <n v="35"/>
    <n v="38"/>
    <n v="5"/>
    <n v="8"/>
    <n v="273"/>
    <n v="3666"/>
  </r>
  <r>
    <x v="27"/>
    <s v="ITA"/>
    <x v="4"/>
    <x v="4"/>
    <n v="4083956555"/>
    <n v="1425084984"/>
    <n v="243"/>
    <n v="99"/>
    <n v="342"/>
    <n v="524"/>
    <n v="866"/>
    <n v="73"/>
    <n v="92"/>
    <n v="41"/>
    <n v="29"/>
    <n v="936"/>
    <n v="4943"/>
  </r>
  <r>
    <x v="27"/>
    <s v="ITA"/>
    <x v="5"/>
    <x v="5"/>
    <n v="4449436681"/>
    <n v="113417208"/>
    <n v="2429"/>
    <n v="269"/>
    <n v="2698"/>
    <n v="3692"/>
    <n v="6390"/>
    <n v="729"/>
    <n v="850"/>
    <n v="349"/>
    <n v="816"/>
    <n v="7555"/>
    <n v="28022"/>
  </r>
  <r>
    <x v="27"/>
    <s v="ITA"/>
    <x v="6"/>
    <x v="6"/>
    <n v="456494354"/>
    <n v="1376813649"/>
    <n v="163"/>
    <n v="47"/>
    <n v="210"/>
    <n v="528"/>
    <n v="738"/>
    <n v="72"/>
    <n v="84"/>
    <n v="89"/>
    <n v="47"/>
    <n v="874"/>
    <n v="6761"/>
  </r>
  <r>
    <x v="27"/>
    <s v="ITA"/>
    <x v="7"/>
    <x v="7"/>
    <n v="4189277044"/>
    <n v="1248366722"/>
    <n v="671"/>
    <n v="79"/>
    <n v="750"/>
    <n v="522"/>
    <n v="1272"/>
    <n v="186"/>
    <n v="193"/>
    <n v="58"/>
    <n v="53"/>
    <n v="1383"/>
    <n v="17845"/>
  </r>
  <r>
    <x v="27"/>
    <s v="ITA"/>
    <x v="8"/>
    <x v="8"/>
    <n v="4441149315"/>
    <n v="89326992"/>
    <n v="736"/>
    <n v="132"/>
    <n v="868"/>
    <n v="483"/>
    <n v="1351"/>
    <n v="192"/>
    <n v="229"/>
    <n v="143"/>
    <n v="171"/>
    <n v="1665"/>
    <n v="4995"/>
  </r>
  <r>
    <x v="27"/>
    <s v="ITA"/>
    <x v="9"/>
    <x v="9"/>
    <n v="4546679409"/>
    <n v="9190347404"/>
    <n v="9439"/>
    <n v="1142"/>
    <n v="10581"/>
    <n v="7304"/>
    <n v="17885"/>
    <n v="515"/>
    <n v="1691"/>
    <n v="5865"/>
    <n v="3456"/>
    <n v="27206"/>
    <n v="70598"/>
  </r>
  <r>
    <x v="27"/>
    <s v="ITA"/>
    <x v="10"/>
    <x v="10"/>
    <n v="4361675973"/>
    <n v="135188753"/>
    <n v="816"/>
    <n v="138"/>
    <n v="954"/>
    <n v="1277"/>
    <n v="2231"/>
    <n v="234"/>
    <n v="268"/>
    <n v="6"/>
    <n v="184"/>
    <n v="2421"/>
    <n v="6391"/>
  </r>
  <r>
    <x v="27"/>
    <s v="ITA"/>
    <x v="11"/>
    <x v="11"/>
    <n v="4155774754"/>
    <n v="1465916051"/>
    <n v="24"/>
    <n v="7"/>
    <n v="31"/>
    <n v="21"/>
    <n v="52"/>
    <n v="5"/>
    <n v="5"/>
    <n v="7"/>
    <n v="7"/>
    <n v="66"/>
    <n v="532"/>
  </r>
  <r>
    <x v="27"/>
    <s v="ITA"/>
    <x v="12"/>
    <x v="12"/>
    <n v="450732745"/>
    <n v="7680687483"/>
    <n v="2118"/>
    <n v="308"/>
    <n v="2426"/>
    <n v="1701"/>
    <n v="4127"/>
    <n v="621"/>
    <n v="668"/>
    <n v="10"/>
    <n v="283"/>
    <n v="4420"/>
    <n v="12701"/>
  </r>
  <r>
    <x v="27"/>
    <s v="ITA"/>
    <x v="13"/>
    <x v="13"/>
    <n v="4112559576"/>
    <n v="1686736689"/>
    <n v="252"/>
    <n v="37"/>
    <n v="289"/>
    <n v="459"/>
    <n v="748"/>
    <n v="106"/>
    <n v="111"/>
    <n v="7"/>
    <n v="31"/>
    <n v="786"/>
    <n v="6160"/>
  </r>
  <r>
    <x v="27"/>
    <s v="ITA"/>
    <x v="14"/>
    <x v="14"/>
    <n v="3921531192"/>
    <n v="9110616306"/>
    <n v="67"/>
    <n v="16"/>
    <n v="83"/>
    <n v="244"/>
    <n v="327"/>
    <n v="6"/>
    <n v="9"/>
    <n v="5"/>
    <n v="7"/>
    <n v="339"/>
    <n v="2402"/>
  </r>
  <r>
    <x v="27"/>
    <s v="ITA"/>
    <x v="15"/>
    <x v="15"/>
    <n v="3811569725"/>
    <n v="133623567"/>
    <n v="220"/>
    <n v="55"/>
    <n v="275"/>
    <n v="321"/>
    <n v="596"/>
    <n v="138"/>
    <n v="140"/>
    <n v="26"/>
    <n v="8"/>
    <n v="630"/>
    <n v="5580"/>
  </r>
  <r>
    <x v="27"/>
    <s v="ITA"/>
    <x v="16"/>
    <x v="16"/>
    <n v="4376923077"/>
    <n v="1125588885"/>
    <n v="706"/>
    <n v="215"/>
    <n v="921"/>
    <n v="1223"/>
    <n v="2144"/>
    <n v="239"/>
    <n v="265"/>
    <n v="42"/>
    <n v="91"/>
    <n v="2277"/>
    <n v="13264"/>
  </r>
  <r>
    <x v="27"/>
    <s v="ITA"/>
    <x v="2"/>
    <x v="17"/>
    <n v="4606893511"/>
    <n v="1112123097"/>
    <n v="235"/>
    <n v="46"/>
    <n v="281"/>
    <n v="604"/>
    <n v="885"/>
    <n v="165"/>
    <n v="172"/>
    <n v="34"/>
    <n v="35"/>
    <n v="954"/>
    <n v="3050"/>
  </r>
  <r>
    <x v="27"/>
    <s v="ITA"/>
    <x v="17"/>
    <x v="18"/>
    <n v="4310675841"/>
    <n v="1238824698"/>
    <n v="97"/>
    <n v="35"/>
    <n v="132"/>
    <n v="368"/>
    <n v="500"/>
    <n v="53"/>
    <n v="59"/>
    <n v="5"/>
    <n v="16"/>
    <n v="521"/>
    <n v="3135"/>
  </r>
  <r>
    <x v="27"/>
    <s v="ITA"/>
    <x v="18"/>
    <x v="19"/>
    <n v="4573750286"/>
    <n v="7320149366"/>
    <n v="63"/>
    <n v="21"/>
    <n v="84"/>
    <n v="270"/>
    <n v="354"/>
    <n v="50"/>
    <n v="51"/>
    <n v="1"/>
    <n v="9"/>
    <n v="364"/>
    <n v="950"/>
  </r>
  <r>
    <x v="27"/>
    <s v="ITA"/>
    <x v="19"/>
    <x v="20"/>
    <n v="4543490485"/>
    <n v="1233845213"/>
    <n v="1113"/>
    <n v="255"/>
    <n v="1368"/>
    <n v="3276"/>
    <n v="4644"/>
    <n v="430"/>
    <n v="505"/>
    <n v="309"/>
    <n v="169"/>
    <n v="5122"/>
    <n v="57671"/>
  </r>
  <r>
    <x v="28"/>
    <s v="ITA"/>
    <x v="0"/>
    <x v="0"/>
    <n v="4235122196"/>
    <n v="1339843823"/>
    <n v="228"/>
    <n v="52"/>
    <n v="280"/>
    <n v="325"/>
    <n v="605"/>
    <n v="66"/>
    <n v="76"/>
    <n v="20"/>
    <n v="38"/>
    <n v="663"/>
    <n v="3674"/>
  </r>
  <r>
    <x v="28"/>
    <s v="ITA"/>
    <x v="1"/>
    <x v="1"/>
    <n v="4063947052"/>
    <n v="1580514834"/>
    <n v="15"/>
    <n v="12"/>
    <n v="27"/>
    <n v="62"/>
    <n v="89"/>
    <n v="8"/>
    <n v="9"/>
    <n v="0"/>
    <n v="1"/>
    <n v="90"/>
    <n v="696"/>
  </r>
  <r>
    <x v="28"/>
    <s v="ITA"/>
    <x v="2"/>
    <x v="2"/>
    <n v="4649933453"/>
    <n v="1135662422"/>
    <n v="145"/>
    <n v="33"/>
    <n v="178"/>
    <n v="510"/>
    <n v="688"/>
    <n v="40"/>
    <n v="46"/>
    <n v="7"/>
    <n v="29"/>
    <n v="724"/>
    <n v="6084"/>
  </r>
  <r>
    <x v="28"/>
    <s v="ITA"/>
    <x v="3"/>
    <x v="3"/>
    <n v="3890597598"/>
    <n v="1659440194"/>
    <n v="82"/>
    <n v="20"/>
    <n v="102"/>
    <n v="178"/>
    <n v="280"/>
    <n v="20"/>
    <n v="19"/>
    <n v="5"/>
    <n v="7"/>
    <n v="292"/>
    <n v="4073"/>
  </r>
  <r>
    <x v="28"/>
    <s v="ITA"/>
    <x v="4"/>
    <x v="4"/>
    <n v="4083956555"/>
    <n v="1425084984"/>
    <n v="266"/>
    <n v="110"/>
    <n v="376"/>
    <n v="553"/>
    <n v="929"/>
    <n v="63"/>
    <n v="90"/>
    <n v="48"/>
    <n v="49"/>
    <n v="1026"/>
    <n v="5813"/>
  </r>
  <r>
    <x v="28"/>
    <s v="ITA"/>
    <x v="5"/>
    <x v="5"/>
    <n v="4449436681"/>
    <n v="113417208"/>
    <n v="2846"/>
    <n v="276"/>
    <n v="3122"/>
    <n v="4098"/>
    <n v="7220"/>
    <n v="830"/>
    <n v="980"/>
    <n v="423"/>
    <n v="892"/>
    <n v="8535"/>
    <n v="31200"/>
  </r>
  <r>
    <x v="28"/>
    <s v="ITA"/>
    <x v="6"/>
    <x v="6"/>
    <n v="456494354"/>
    <n v="1376813649"/>
    <n v="185"/>
    <n v="41"/>
    <n v="226"/>
    <n v="545"/>
    <n v="771"/>
    <n v="33"/>
    <n v="56"/>
    <n v="105"/>
    <n v="54"/>
    <n v="930"/>
    <n v="7424"/>
  </r>
  <r>
    <x v="28"/>
    <s v="ITA"/>
    <x v="7"/>
    <x v="7"/>
    <n v="4189277044"/>
    <n v="1248366722"/>
    <n v="718"/>
    <n v="96"/>
    <n v="814"/>
    <n v="600"/>
    <n v="1414"/>
    <n v="142"/>
    <n v="157"/>
    <n v="63"/>
    <n v="63"/>
    <n v="1540"/>
    <n v="18371"/>
  </r>
  <r>
    <x v="28"/>
    <s v="ITA"/>
    <x v="8"/>
    <x v="8"/>
    <n v="4441149315"/>
    <n v="89326992"/>
    <n v="761"/>
    <n v="133"/>
    <n v="894"/>
    <n v="659"/>
    <n v="1553"/>
    <n v="202"/>
    <n v="259"/>
    <n v="159"/>
    <n v="212"/>
    <n v="1924"/>
    <n v="5538"/>
  </r>
  <r>
    <x v="28"/>
    <s v="ITA"/>
    <x v="9"/>
    <x v="9"/>
    <n v="4546679409"/>
    <n v="9190347404"/>
    <n v="9266"/>
    <n v="1183"/>
    <n v="10449"/>
    <n v="8461"/>
    <n v="18910"/>
    <n v="1025"/>
    <n v="1555"/>
    <n v="6075"/>
    <n v="3776"/>
    <n v="28761"/>
    <n v="73242"/>
  </r>
  <r>
    <x v="28"/>
    <s v="ITA"/>
    <x v="10"/>
    <x v="10"/>
    <n v="4361675973"/>
    <n v="135188753"/>
    <n v="882"/>
    <n v="148"/>
    <n v="1030"/>
    <n v="1328"/>
    <n v="2358"/>
    <n v="127"/>
    <n v="148"/>
    <n v="8"/>
    <n v="203"/>
    <n v="2569"/>
    <n v="6782"/>
  </r>
  <r>
    <x v="28"/>
    <s v="ITA"/>
    <x v="11"/>
    <x v="11"/>
    <n v="4155774754"/>
    <n v="1465916051"/>
    <n v="25"/>
    <n v="7"/>
    <n v="32"/>
    <n v="18"/>
    <n v="50"/>
    <n v="-2"/>
    <n v="1"/>
    <n v="10"/>
    <n v="7"/>
    <n v="67"/>
    <n v="532"/>
  </r>
  <r>
    <x v="28"/>
    <s v="ITA"/>
    <x v="12"/>
    <x v="12"/>
    <n v="450732745"/>
    <n v="7680687483"/>
    <n v="2194"/>
    <n v="343"/>
    <n v="2537"/>
    <n v="1992"/>
    <n v="4529"/>
    <n v="402"/>
    <n v="441"/>
    <n v="17"/>
    <n v="315"/>
    <n v="4861"/>
    <n v="13560"/>
  </r>
  <r>
    <x v="28"/>
    <s v="ITA"/>
    <x v="13"/>
    <x v="13"/>
    <n v="4112559576"/>
    <n v="1686736689"/>
    <n v="285"/>
    <n v="45"/>
    <n v="330"/>
    <n v="532"/>
    <n v="862"/>
    <n v="114"/>
    <n v="120"/>
    <n v="7"/>
    <n v="37"/>
    <n v="906"/>
    <n v="6761"/>
  </r>
  <r>
    <x v="28"/>
    <s v="ITA"/>
    <x v="14"/>
    <x v="14"/>
    <n v="3921531192"/>
    <n v="9110616306"/>
    <n v="76"/>
    <n v="18"/>
    <n v="94"/>
    <n v="249"/>
    <n v="343"/>
    <n v="16"/>
    <n v="20"/>
    <n v="5"/>
    <n v="11"/>
    <n v="359"/>
    <n v="2568"/>
  </r>
  <r>
    <x v="28"/>
    <s v="ITA"/>
    <x v="15"/>
    <x v="15"/>
    <n v="3811569725"/>
    <n v="133623567"/>
    <n v="250"/>
    <n v="60"/>
    <n v="310"/>
    <n v="371"/>
    <n v="681"/>
    <n v="85"/>
    <n v="91"/>
    <n v="27"/>
    <n v="13"/>
    <n v="721"/>
    <n v="6375"/>
  </r>
  <r>
    <x v="28"/>
    <s v="ITA"/>
    <x v="16"/>
    <x v="16"/>
    <n v="4376923077"/>
    <n v="1125588885"/>
    <n v="838"/>
    <n v="238"/>
    <n v="1076"/>
    <n v="1225"/>
    <n v="2301"/>
    <n v="157"/>
    <n v="184"/>
    <n v="51"/>
    <n v="109"/>
    <n v="2461"/>
    <n v="13851"/>
  </r>
  <r>
    <x v="28"/>
    <s v="ITA"/>
    <x v="2"/>
    <x v="17"/>
    <n v="4606893511"/>
    <n v="1112123097"/>
    <n v="249"/>
    <n v="46"/>
    <n v="295"/>
    <n v="619"/>
    <n v="914"/>
    <n v="29"/>
    <n v="69"/>
    <n v="68"/>
    <n v="41"/>
    <n v="1023"/>
    <n v="3150"/>
  </r>
  <r>
    <x v="28"/>
    <s v="ITA"/>
    <x v="17"/>
    <x v="18"/>
    <n v="4310675841"/>
    <n v="1238824698"/>
    <n v="106"/>
    <n v="42"/>
    <n v="148"/>
    <n v="408"/>
    <n v="556"/>
    <n v="56"/>
    <n v="56"/>
    <n v="5"/>
    <n v="16"/>
    <n v="577"/>
    <n v="3561"/>
  </r>
  <r>
    <x v="28"/>
    <s v="ITA"/>
    <x v="18"/>
    <x v="19"/>
    <n v="4573750286"/>
    <n v="7320149366"/>
    <n v="69"/>
    <n v="20"/>
    <n v="89"/>
    <n v="290"/>
    <n v="379"/>
    <n v="25"/>
    <n v="29"/>
    <n v="2"/>
    <n v="12"/>
    <n v="393"/>
    <n v="1098"/>
  </r>
  <r>
    <x v="28"/>
    <s v="ITA"/>
    <x v="19"/>
    <x v="20"/>
    <n v="4543490485"/>
    <n v="1233845213"/>
    <n v="1206"/>
    <n v="281"/>
    <n v="1487"/>
    <n v="3499"/>
    <n v="4986"/>
    <n v="342"/>
    <n v="383"/>
    <n v="327"/>
    <n v="192"/>
    <n v="5505"/>
    <n v="61115"/>
  </r>
  <r>
    <x v="29"/>
    <s v="ITA"/>
    <x v="0"/>
    <x v="0"/>
    <n v="4235122196"/>
    <n v="1339843823"/>
    <n v="234"/>
    <n v="57"/>
    <n v="291"/>
    <n v="331"/>
    <n v="622"/>
    <n v="17"/>
    <n v="26"/>
    <n v="21"/>
    <n v="46"/>
    <n v="689"/>
    <n v="4294"/>
  </r>
  <r>
    <x v="29"/>
    <s v="ITA"/>
    <x v="1"/>
    <x v="1"/>
    <n v="4063947052"/>
    <n v="1580514834"/>
    <n v="14"/>
    <n v="12"/>
    <n v="26"/>
    <n v="65"/>
    <n v="91"/>
    <n v="2"/>
    <n v="2"/>
    <n v="0"/>
    <n v="1"/>
    <n v="92"/>
    <n v="744"/>
  </r>
  <r>
    <x v="29"/>
    <s v="ITA"/>
    <x v="2"/>
    <x v="2"/>
    <n v="4649933453"/>
    <n v="1135662422"/>
    <n v="166"/>
    <n v="38"/>
    <n v="204"/>
    <n v="495"/>
    <n v="699"/>
    <n v="11"/>
    <n v="57"/>
    <n v="44"/>
    <n v="38"/>
    <n v="781"/>
    <n v="6509"/>
  </r>
  <r>
    <x v="29"/>
    <s v="ITA"/>
    <x v="3"/>
    <x v="3"/>
    <n v="3890597598"/>
    <n v="1659440194"/>
    <n v="88"/>
    <n v="21"/>
    <n v="109"/>
    <n v="195"/>
    <n v="304"/>
    <n v="24"/>
    <n v="27"/>
    <n v="5"/>
    <n v="10"/>
    <n v="319"/>
    <n v="4486"/>
  </r>
  <r>
    <x v="29"/>
    <s v="ITA"/>
    <x v="4"/>
    <x v="4"/>
    <n v="4083956555"/>
    <n v="1425084984"/>
    <n v="345"/>
    <n v="181"/>
    <n v="526"/>
    <n v="466"/>
    <n v="992"/>
    <n v="63"/>
    <n v="75"/>
    <n v="53"/>
    <n v="56"/>
    <n v="1101"/>
    <n v="6297"/>
  </r>
  <r>
    <x v="29"/>
    <s v="ITA"/>
    <x v="5"/>
    <x v="5"/>
    <n v="4449436681"/>
    <n v="113417208"/>
    <n v="2974"/>
    <n v="291"/>
    <n v="3265"/>
    <n v="4446"/>
    <n v="7711"/>
    <n v="491"/>
    <n v="719"/>
    <n v="558"/>
    <n v="985"/>
    <n v="9254"/>
    <n v="33527"/>
  </r>
  <r>
    <x v="29"/>
    <s v="ITA"/>
    <x v="6"/>
    <x v="6"/>
    <n v="456494354"/>
    <n v="1376813649"/>
    <n v="195"/>
    <n v="49"/>
    <n v="244"/>
    <n v="604"/>
    <n v="848"/>
    <n v="77"/>
    <n v="62"/>
    <n v="80"/>
    <n v="64"/>
    <n v="992"/>
    <n v="8526"/>
  </r>
  <r>
    <x v="29"/>
    <s v="ITA"/>
    <x v="7"/>
    <x v="7"/>
    <n v="4189277044"/>
    <n v="1248366722"/>
    <n v="747"/>
    <n v="94"/>
    <n v="841"/>
    <n v="704"/>
    <n v="1545"/>
    <n v="131"/>
    <n v="188"/>
    <n v="103"/>
    <n v="80"/>
    <n v="1728"/>
    <n v="18371"/>
  </r>
  <r>
    <x v="29"/>
    <s v="ITA"/>
    <x v="8"/>
    <x v="8"/>
    <n v="4441149315"/>
    <n v="89326992"/>
    <n v="803"/>
    <n v="147"/>
    <n v="950"/>
    <n v="742"/>
    <n v="1692"/>
    <n v="139"/>
    <n v="192"/>
    <n v="193"/>
    <n v="231"/>
    <n v="2116"/>
    <n v="5992"/>
  </r>
  <r>
    <x v="29"/>
    <s v="ITA"/>
    <x v="9"/>
    <x v="9"/>
    <n v="4546679409"/>
    <n v="9190347404"/>
    <n v="9711"/>
    <n v="1194"/>
    <n v="10905"/>
    <n v="8963"/>
    <n v="19868"/>
    <n v="958"/>
    <n v="1942"/>
    <n v="6657"/>
    <n v="4178"/>
    <n v="30703"/>
    <n v="76695"/>
  </r>
  <r>
    <x v="29"/>
    <s v="ITA"/>
    <x v="10"/>
    <x v="10"/>
    <n v="4361675973"/>
    <n v="135188753"/>
    <n v="862"/>
    <n v="149"/>
    <n v="1011"/>
    <n v="1486"/>
    <n v="2497"/>
    <n v="139"/>
    <n v="167"/>
    <n v="8"/>
    <n v="231"/>
    <n v="2736"/>
    <n v="7229"/>
  </r>
  <r>
    <x v="29"/>
    <s v="ITA"/>
    <x v="11"/>
    <x v="11"/>
    <n v="4155774754"/>
    <n v="1465916051"/>
    <n v="27"/>
    <n v="7"/>
    <n v="34"/>
    <n v="21"/>
    <n v="55"/>
    <n v="5"/>
    <n v="6"/>
    <n v="10"/>
    <n v="8"/>
    <n v="73"/>
    <n v="572"/>
  </r>
  <r>
    <x v="29"/>
    <s v="ITA"/>
    <x v="12"/>
    <x v="12"/>
    <n v="450732745"/>
    <n v="7680687483"/>
    <n v="2404"/>
    <n v="360"/>
    <n v="2764"/>
    <n v="2360"/>
    <n v="5124"/>
    <n v="595"/>
    <n v="654"/>
    <n v="17"/>
    <n v="374"/>
    <n v="5515"/>
    <n v="15469"/>
  </r>
  <r>
    <x v="29"/>
    <s v="ITA"/>
    <x v="13"/>
    <x v="13"/>
    <n v="4112559576"/>
    <n v="1686736689"/>
    <n v="317"/>
    <n v="57"/>
    <n v="374"/>
    <n v="566"/>
    <n v="940"/>
    <n v="78"/>
    <n v="99"/>
    <n v="21"/>
    <n v="44"/>
    <n v="1005"/>
    <n v="7345"/>
  </r>
  <r>
    <x v="29"/>
    <s v="ITA"/>
    <x v="14"/>
    <x v="14"/>
    <n v="3921531192"/>
    <n v="9110616306"/>
    <n v="80"/>
    <n v="19"/>
    <n v="99"/>
    <n v="296"/>
    <n v="395"/>
    <n v="52"/>
    <n v="62"/>
    <n v="11"/>
    <n v="15"/>
    <n v="421"/>
    <n v="2859"/>
  </r>
  <r>
    <x v="29"/>
    <s v="ITA"/>
    <x v="15"/>
    <x v="15"/>
    <n v="3811569725"/>
    <n v="133623567"/>
    <n v="250"/>
    <n v="60"/>
    <n v="310"/>
    <n v="489"/>
    <n v="799"/>
    <n v="118"/>
    <n v="125"/>
    <n v="27"/>
    <n v="20"/>
    <n v="846"/>
    <n v="7170"/>
  </r>
  <r>
    <x v="29"/>
    <s v="ITA"/>
    <x v="16"/>
    <x v="16"/>
    <n v="4376923077"/>
    <n v="1125588885"/>
    <n v="918"/>
    <n v="244"/>
    <n v="1162"/>
    <n v="1357"/>
    <n v="2519"/>
    <n v="218"/>
    <n v="238"/>
    <n v="51"/>
    <n v="129"/>
    <n v="2699"/>
    <n v="15701"/>
  </r>
  <r>
    <x v="29"/>
    <s v="ITA"/>
    <x v="2"/>
    <x v="17"/>
    <n v="4606893511"/>
    <n v="1112123097"/>
    <n v="308"/>
    <n v="49"/>
    <n v="357"/>
    <n v="618"/>
    <n v="975"/>
    <n v="61"/>
    <n v="87"/>
    <n v="79"/>
    <n v="56"/>
    <n v="1110"/>
    <n v="3712"/>
  </r>
  <r>
    <x v="29"/>
    <s v="ITA"/>
    <x v="17"/>
    <x v="18"/>
    <n v="4310675841"/>
    <n v="1238824698"/>
    <n v="105"/>
    <n v="43"/>
    <n v="148"/>
    <n v="476"/>
    <n v="624"/>
    <n v="68"/>
    <n v="71"/>
    <n v="5"/>
    <n v="19"/>
    <n v="648"/>
    <n v="4108"/>
  </r>
  <r>
    <x v="29"/>
    <s v="ITA"/>
    <x v="18"/>
    <x v="19"/>
    <n v="4573750286"/>
    <n v="7320149366"/>
    <n v="71"/>
    <n v="20"/>
    <n v="91"/>
    <n v="288"/>
    <n v="379"/>
    <n v="0"/>
    <n v="7"/>
    <n v="2"/>
    <n v="19"/>
    <n v="400"/>
    <n v="1180"/>
  </r>
  <r>
    <x v="29"/>
    <s v="ITA"/>
    <x v="19"/>
    <x v="20"/>
    <n v="4543490485"/>
    <n v="1233845213"/>
    <n v="1318"/>
    <n v="304"/>
    <n v="1622"/>
    <n v="3729"/>
    <n v="5351"/>
    <n v="365"/>
    <n v="443"/>
    <n v="381"/>
    <n v="216"/>
    <n v="5948"/>
    <n v="66178"/>
  </r>
  <r>
    <x v="30"/>
    <s v="ITA"/>
    <x v="0"/>
    <x v="0"/>
    <n v="4235122196"/>
    <n v="1339843823"/>
    <n v="248"/>
    <n v="59"/>
    <n v="307"/>
    <n v="431"/>
    <n v="738"/>
    <n v="116"/>
    <n v="124"/>
    <n v="23"/>
    <n v="52"/>
    <n v="813"/>
    <n v="4982"/>
  </r>
  <r>
    <x v="30"/>
    <s v="ITA"/>
    <x v="1"/>
    <x v="1"/>
    <n v="4063947052"/>
    <n v="1580514834"/>
    <n v="20"/>
    <n v="14"/>
    <n v="34"/>
    <n v="78"/>
    <n v="112"/>
    <n v="21"/>
    <n v="21"/>
    <n v="0"/>
    <n v="1"/>
    <n v="113"/>
    <n v="857"/>
  </r>
  <r>
    <x v="30"/>
    <s v="ITA"/>
    <x v="2"/>
    <x v="2"/>
    <n v="4649933453"/>
    <n v="1135662422"/>
    <n v="190"/>
    <n v="40"/>
    <n v="230"/>
    <n v="518"/>
    <n v="748"/>
    <n v="49"/>
    <n v="77"/>
    <n v="67"/>
    <n v="43"/>
    <n v="858"/>
    <n v="6649"/>
  </r>
  <r>
    <x v="30"/>
    <s v="ITA"/>
    <x v="3"/>
    <x v="3"/>
    <n v="3890597598"/>
    <n v="1659440194"/>
    <n v="93"/>
    <n v="23"/>
    <n v="116"/>
    <n v="217"/>
    <n v="333"/>
    <n v="29"/>
    <n v="32"/>
    <n v="7"/>
    <n v="11"/>
    <n v="351"/>
    <n v="5058"/>
  </r>
  <r>
    <x v="30"/>
    <s v="ITA"/>
    <x v="4"/>
    <x v="4"/>
    <n v="4083956555"/>
    <n v="1425084984"/>
    <n v="318"/>
    <n v="123"/>
    <n v="441"/>
    <n v="631"/>
    <n v="1072"/>
    <n v="80"/>
    <n v="98"/>
    <n v="53"/>
    <n v="74"/>
    <n v="1199"/>
    <n v="6972"/>
  </r>
  <r>
    <x v="30"/>
    <s v="ITA"/>
    <x v="5"/>
    <x v="5"/>
    <n v="4449436681"/>
    <n v="113417208"/>
    <n v="3180"/>
    <n v="294"/>
    <n v="3474"/>
    <n v="4782"/>
    <n v="8256"/>
    <n v="545"/>
    <n v="800"/>
    <n v="721"/>
    <n v="1077"/>
    <n v="10054"/>
    <n v="38045"/>
  </r>
  <r>
    <x v="30"/>
    <s v="ITA"/>
    <x v="6"/>
    <x v="6"/>
    <n v="456494354"/>
    <n v="1376813649"/>
    <n v="200"/>
    <n v="52"/>
    <n v="252"/>
    <n v="659"/>
    <n v="911"/>
    <n v="63"/>
    <n v="147"/>
    <n v="158"/>
    <n v="70"/>
    <n v="1139"/>
    <n v="9494"/>
  </r>
  <r>
    <x v="30"/>
    <s v="ITA"/>
    <x v="7"/>
    <x v="7"/>
    <n v="4189277044"/>
    <n v="1248366722"/>
    <n v="805"/>
    <n v="101"/>
    <n v="906"/>
    <n v="769"/>
    <n v="1675"/>
    <n v="130"/>
    <n v="173"/>
    <n v="131"/>
    <n v="95"/>
    <n v="1901"/>
    <n v="20669"/>
  </r>
  <r>
    <x v="30"/>
    <s v="ITA"/>
    <x v="8"/>
    <x v="8"/>
    <n v="4441149315"/>
    <n v="89326992"/>
    <n v="927"/>
    <n v="147"/>
    <n v="1074"/>
    <n v="752"/>
    <n v="1826"/>
    <n v="134"/>
    <n v="189"/>
    <n v="225"/>
    <n v="254"/>
    <n v="2305"/>
    <n v="6602"/>
  </r>
  <r>
    <x v="30"/>
    <s v="ITA"/>
    <x v="9"/>
    <x v="9"/>
    <n v="4546679409"/>
    <n v="9190347404"/>
    <n v="10026"/>
    <n v="1236"/>
    <n v="11262"/>
    <n v="9329"/>
    <n v="20591"/>
    <n v="723"/>
    <n v="1643"/>
    <n v="7281"/>
    <n v="4474"/>
    <n v="32346"/>
    <n v="81666"/>
  </r>
  <r>
    <x v="30"/>
    <s v="ITA"/>
    <x v="10"/>
    <x v="10"/>
    <n v="4361675973"/>
    <n v="135188753"/>
    <n v="938"/>
    <n v="148"/>
    <n v="1086"/>
    <n v="1553"/>
    <n v="2639"/>
    <n v="142"/>
    <n v="198"/>
    <n v="8"/>
    <n v="287"/>
    <n v="2934"/>
    <n v="7896"/>
  </r>
  <r>
    <x v="30"/>
    <s v="ITA"/>
    <x v="11"/>
    <x v="11"/>
    <n v="4155774754"/>
    <n v="1465916051"/>
    <n v="26"/>
    <n v="7"/>
    <n v="33"/>
    <n v="20"/>
    <n v="53"/>
    <n v="-2"/>
    <n v="0"/>
    <n v="12"/>
    <n v="8"/>
    <n v="73"/>
    <n v="580"/>
  </r>
  <r>
    <x v="30"/>
    <s v="ITA"/>
    <x v="12"/>
    <x v="12"/>
    <n v="450732745"/>
    <n v="7680687483"/>
    <n v="2544"/>
    <n v="381"/>
    <n v="2925"/>
    <n v="2631"/>
    <n v="5556"/>
    <n v="432"/>
    <n v="509"/>
    <n v="19"/>
    <n v="449"/>
    <n v="6024"/>
    <n v="16655"/>
  </r>
  <r>
    <x v="30"/>
    <s v="ITA"/>
    <x v="13"/>
    <x v="13"/>
    <n v="4112559576"/>
    <n v="1686736689"/>
    <n v="349"/>
    <n v="64"/>
    <n v="413"/>
    <n v="610"/>
    <n v="1023"/>
    <n v="83"/>
    <n v="88"/>
    <n v="22"/>
    <n v="48"/>
    <n v="1093"/>
    <n v="8223"/>
  </r>
  <r>
    <x v="30"/>
    <s v="ITA"/>
    <x v="14"/>
    <x v="14"/>
    <n v="3921531192"/>
    <n v="9110616306"/>
    <n v="82"/>
    <n v="19"/>
    <n v="101"/>
    <n v="311"/>
    <n v="412"/>
    <n v="17"/>
    <n v="21"/>
    <n v="12"/>
    <n v="18"/>
    <n v="442"/>
    <n v="3019"/>
  </r>
  <r>
    <x v="30"/>
    <s v="ITA"/>
    <x v="15"/>
    <x v="15"/>
    <n v="3811569725"/>
    <n v="133623567"/>
    <n v="259"/>
    <n v="80"/>
    <n v="339"/>
    <n v="597"/>
    <n v="936"/>
    <n v="137"/>
    <n v="148"/>
    <n v="33"/>
    <n v="25"/>
    <n v="994"/>
    <n v="8312"/>
  </r>
  <r>
    <x v="30"/>
    <s v="ITA"/>
    <x v="16"/>
    <x v="16"/>
    <n v="4376923077"/>
    <n v="1125588885"/>
    <n v="999"/>
    <n v="251"/>
    <n v="1250"/>
    <n v="1526"/>
    <n v="2776"/>
    <n v="257"/>
    <n v="273"/>
    <n v="54"/>
    <n v="142"/>
    <n v="2972"/>
    <n v="17868"/>
  </r>
  <r>
    <x v="30"/>
    <s v="ITA"/>
    <x v="2"/>
    <x v="17"/>
    <n v="4606893511"/>
    <n v="1112123097"/>
    <n v="308"/>
    <n v="65"/>
    <n v="373"/>
    <n v="685"/>
    <n v="1058"/>
    <n v="83"/>
    <n v="112"/>
    <n v="90"/>
    <n v="74"/>
    <n v="1222"/>
    <n v="4114"/>
  </r>
  <r>
    <x v="30"/>
    <s v="ITA"/>
    <x v="17"/>
    <x v="18"/>
    <n v="4310675841"/>
    <n v="1238824698"/>
    <n v="123"/>
    <n v="44"/>
    <n v="167"/>
    <n v="519"/>
    <n v="686"/>
    <n v="62"/>
    <n v="62"/>
    <n v="5"/>
    <n v="19"/>
    <n v="710"/>
    <n v="4707"/>
  </r>
  <r>
    <x v="30"/>
    <s v="ITA"/>
    <x v="18"/>
    <x v="19"/>
    <n v="4573750286"/>
    <n v="7320149366"/>
    <n v="70"/>
    <n v="25"/>
    <n v="95"/>
    <n v="280"/>
    <n v="375"/>
    <n v="-4"/>
    <n v="1"/>
    <n v="2"/>
    <n v="24"/>
    <n v="401"/>
    <n v="1200"/>
  </r>
  <r>
    <x v="30"/>
    <s v="ITA"/>
    <x v="19"/>
    <x v="20"/>
    <n v="4543490485"/>
    <n v="1233845213"/>
    <n v="1407"/>
    <n v="316"/>
    <n v="1723"/>
    <n v="4022"/>
    <n v="5745"/>
    <n v="394"/>
    <n v="494"/>
    <n v="439"/>
    <n v="258"/>
    <n v="6442"/>
    <n v="70877"/>
  </r>
  <r>
    <x v="31"/>
    <s v="ITA"/>
    <x v="0"/>
    <x v="0"/>
    <n v="4235122196"/>
    <n v="1339843823"/>
    <n v="280"/>
    <n v="64"/>
    <n v="344"/>
    <n v="516"/>
    <n v="860"/>
    <n v="122"/>
    <n v="133"/>
    <n v="23"/>
    <n v="63"/>
    <n v="946"/>
    <n v="5488"/>
  </r>
  <r>
    <x v="31"/>
    <s v="ITA"/>
    <x v="1"/>
    <x v="1"/>
    <n v="4063947052"/>
    <n v="1580514834"/>
    <n v="22"/>
    <n v="16"/>
    <n v="38"/>
    <n v="95"/>
    <n v="133"/>
    <n v="21"/>
    <n v="21"/>
    <n v="0"/>
    <n v="1"/>
    <n v="134"/>
    <n v="1046"/>
  </r>
  <r>
    <x v="31"/>
    <s v="ITA"/>
    <x v="2"/>
    <x v="2"/>
    <n v="4649933453"/>
    <n v="1135662422"/>
    <n v="223"/>
    <n v="43"/>
    <n v="266"/>
    <n v="525"/>
    <n v="791"/>
    <n v="43"/>
    <n v="48"/>
    <n v="67"/>
    <n v="48"/>
    <n v="906"/>
    <n v="7744"/>
  </r>
  <r>
    <x v="31"/>
    <s v="ITA"/>
    <x v="3"/>
    <x v="3"/>
    <n v="3890597598"/>
    <n v="1659440194"/>
    <n v="101"/>
    <n v="23"/>
    <n v="124"/>
    <n v="248"/>
    <n v="372"/>
    <n v="39"/>
    <n v="42"/>
    <n v="7"/>
    <n v="14"/>
    <n v="393"/>
    <n v="5933"/>
  </r>
  <r>
    <x v="31"/>
    <s v="ITA"/>
    <x v="4"/>
    <x v="4"/>
    <n v="4083956555"/>
    <n v="1425084984"/>
    <n v="448"/>
    <n v="114"/>
    <n v="562"/>
    <n v="607"/>
    <n v="1169"/>
    <n v="97"/>
    <n v="111"/>
    <n v="58"/>
    <n v="83"/>
    <n v="1310"/>
    <n v="8346"/>
  </r>
  <r>
    <x v="31"/>
    <s v="ITA"/>
    <x v="5"/>
    <x v="5"/>
    <n v="4449436681"/>
    <n v="113417208"/>
    <n v="3354"/>
    <n v="301"/>
    <n v="3655"/>
    <n v="5195"/>
    <n v="8850"/>
    <n v="594"/>
    <n v="762"/>
    <n v="792"/>
    <n v="1174"/>
    <n v="10816"/>
    <n v="42395"/>
  </r>
  <r>
    <x v="31"/>
    <s v="ITA"/>
    <x v="6"/>
    <x v="6"/>
    <n v="456494354"/>
    <n v="1376813649"/>
    <n v="212"/>
    <n v="54"/>
    <n v="266"/>
    <n v="688"/>
    <n v="954"/>
    <n v="43"/>
    <n v="84"/>
    <n v="197"/>
    <n v="72"/>
    <n v="1223"/>
    <n v="10721"/>
  </r>
  <r>
    <x v="31"/>
    <s v="ITA"/>
    <x v="7"/>
    <x v="7"/>
    <n v="4189277044"/>
    <n v="1248366722"/>
    <n v="878"/>
    <n v="113"/>
    <n v="991"/>
    <n v="844"/>
    <n v="1835"/>
    <n v="160"/>
    <n v="195"/>
    <n v="155"/>
    <n v="106"/>
    <n v="2096"/>
    <n v="22771"/>
  </r>
  <r>
    <x v="31"/>
    <s v="ITA"/>
    <x v="8"/>
    <x v="8"/>
    <n v="4441149315"/>
    <n v="89326992"/>
    <n v="998"/>
    <n v="154"/>
    <n v="1152"/>
    <n v="875"/>
    <n v="2027"/>
    <n v="201"/>
    <n v="262"/>
    <n v="260"/>
    <n v="280"/>
    <n v="2567"/>
    <n v="7304"/>
  </r>
  <r>
    <x v="31"/>
    <s v="ITA"/>
    <x v="9"/>
    <x v="9"/>
    <n v="4546679409"/>
    <n v="9190347404"/>
    <n v="10681"/>
    <n v="1263"/>
    <n v="11944"/>
    <n v="10245"/>
    <n v="22189"/>
    <n v="1598"/>
    <n v="2543"/>
    <n v="7839"/>
    <n v="4861"/>
    <n v="34889"/>
    <n v="87713"/>
  </r>
  <r>
    <x v="31"/>
    <s v="ITA"/>
    <x v="10"/>
    <x v="10"/>
    <n v="4361675973"/>
    <n v="135188753"/>
    <n v="977"/>
    <n v="166"/>
    <n v="1143"/>
    <n v="1652"/>
    <n v="2795"/>
    <n v="156"/>
    <n v="180"/>
    <n v="9"/>
    <n v="310"/>
    <n v="3114"/>
    <n v="8623"/>
  </r>
  <r>
    <x v="31"/>
    <s v="ITA"/>
    <x v="11"/>
    <x v="11"/>
    <n v="4155774754"/>
    <n v="1465916051"/>
    <n v="27"/>
    <n v="8"/>
    <n v="35"/>
    <n v="46"/>
    <n v="81"/>
    <n v="28"/>
    <n v="30"/>
    <n v="14"/>
    <n v="8"/>
    <n v="103"/>
    <n v="670"/>
  </r>
  <r>
    <x v="31"/>
    <s v="ITA"/>
    <x v="12"/>
    <x v="12"/>
    <n v="450732745"/>
    <n v="7680687483"/>
    <n v="2633"/>
    <n v="408"/>
    <n v="3041"/>
    <n v="2909"/>
    <n v="5950"/>
    <n v="394"/>
    <n v="510"/>
    <n v="135"/>
    <n v="449"/>
    <n v="6534"/>
    <n v="18054"/>
  </r>
  <r>
    <x v="31"/>
    <s v="ITA"/>
    <x v="13"/>
    <x v="13"/>
    <n v="4112559576"/>
    <n v="1686736689"/>
    <n v="480"/>
    <n v="76"/>
    <n v="556"/>
    <n v="539"/>
    <n v="1095"/>
    <n v="72"/>
    <n v="89"/>
    <n v="22"/>
    <n v="65"/>
    <n v="1182"/>
    <n v="9191"/>
  </r>
  <r>
    <x v="31"/>
    <s v="ITA"/>
    <x v="14"/>
    <x v="14"/>
    <n v="3921531192"/>
    <n v="9110616306"/>
    <n v="92"/>
    <n v="20"/>
    <n v="112"/>
    <n v="350"/>
    <n v="462"/>
    <n v="50"/>
    <n v="52"/>
    <n v="13"/>
    <n v="19"/>
    <n v="494"/>
    <n v="3461"/>
  </r>
  <r>
    <x v="31"/>
    <s v="ITA"/>
    <x v="15"/>
    <x v="15"/>
    <n v="3811569725"/>
    <n v="133623567"/>
    <n v="346"/>
    <n v="68"/>
    <n v="414"/>
    <n v="681"/>
    <n v="1095"/>
    <n v="159"/>
    <n v="170"/>
    <n v="36"/>
    <n v="33"/>
    <n v="1164"/>
    <n v="9658"/>
  </r>
  <r>
    <x v="31"/>
    <s v="ITA"/>
    <x v="16"/>
    <x v="16"/>
    <n v="4376923077"/>
    <n v="1125588885"/>
    <n v="1037"/>
    <n v="259"/>
    <n v="1296"/>
    <n v="1677"/>
    <n v="2973"/>
    <n v="197"/>
    <n v="254"/>
    <n v="95"/>
    <n v="158"/>
    <n v="3226"/>
    <n v="20952"/>
  </r>
  <r>
    <x v="31"/>
    <s v="ITA"/>
    <x v="2"/>
    <x v="17"/>
    <n v="4606893511"/>
    <n v="1112123097"/>
    <n v="300"/>
    <n v="66"/>
    <n v="366"/>
    <n v="728"/>
    <n v="1094"/>
    <n v="36"/>
    <n v="75"/>
    <n v="117"/>
    <n v="86"/>
    <n v="1297"/>
    <n v="4600"/>
  </r>
  <r>
    <x v="31"/>
    <s v="ITA"/>
    <x v="17"/>
    <x v="18"/>
    <n v="4310675841"/>
    <n v="1238824698"/>
    <n v="144"/>
    <n v="46"/>
    <n v="190"/>
    <n v="580"/>
    <n v="770"/>
    <n v="84"/>
    <n v="92"/>
    <n v="12"/>
    <n v="20"/>
    <n v="802"/>
    <n v="5428"/>
  </r>
  <r>
    <x v="31"/>
    <s v="ITA"/>
    <x v="18"/>
    <x v="19"/>
    <n v="4573750286"/>
    <n v="7320149366"/>
    <n v="73"/>
    <n v="24"/>
    <n v="97"/>
    <n v="281"/>
    <n v="378"/>
    <n v="3"/>
    <n v="7"/>
    <n v="2"/>
    <n v="28"/>
    <n v="408"/>
    <n v="1203"/>
  </r>
  <r>
    <x v="31"/>
    <s v="ITA"/>
    <x v="19"/>
    <x v="20"/>
    <n v="4543490485"/>
    <n v="1233845213"/>
    <n v="1447"/>
    <n v="326"/>
    <n v="1773"/>
    <n v="4367"/>
    <n v="6140"/>
    <n v="395"/>
    <n v="493"/>
    <n v="508"/>
    <n v="287"/>
    <n v="6935"/>
    <n v="79759"/>
  </r>
  <r>
    <x v="32"/>
    <s v="ITA"/>
    <x v="0"/>
    <x v="0"/>
    <n v="4235122196"/>
    <n v="1339843823"/>
    <n v="289"/>
    <n v="71"/>
    <n v="360"/>
    <n v="565"/>
    <n v="925"/>
    <n v="65"/>
    <n v="71"/>
    <n v="24"/>
    <n v="68"/>
    <n v="1017"/>
    <n v="6109"/>
  </r>
  <r>
    <x v="32"/>
    <s v="ITA"/>
    <x v="1"/>
    <x v="1"/>
    <n v="4063947052"/>
    <n v="1580514834"/>
    <n v="22"/>
    <n v="15"/>
    <n v="37"/>
    <n v="110"/>
    <n v="147"/>
    <n v="14"/>
    <n v="17"/>
    <n v="1"/>
    <n v="3"/>
    <n v="151"/>
    <n v="1254"/>
  </r>
  <r>
    <x v="32"/>
    <s v="ITA"/>
    <x v="2"/>
    <x v="2"/>
    <n v="4649933453"/>
    <n v="1135662422"/>
    <n v="249"/>
    <n v="45"/>
    <n v="294"/>
    <n v="539"/>
    <n v="833"/>
    <n v="42"/>
    <n v="97"/>
    <n v="110"/>
    <n v="60"/>
    <n v="1003"/>
    <n v="8520"/>
  </r>
  <r>
    <x v="32"/>
    <s v="ITA"/>
    <x v="3"/>
    <x v="3"/>
    <n v="3890597598"/>
    <n v="1659440194"/>
    <n v="103"/>
    <n v="22"/>
    <n v="125"/>
    <n v="344"/>
    <n v="469"/>
    <n v="97"/>
    <n v="101"/>
    <n v="7"/>
    <n v="18"/>
    <n v="494"/>
    <n v="6901"/>
  </r>
  <r>
    <x v="32"/>
    <s v="ITA"/>
    <x v="4"/>
    <x v="4"/>
    <n v="4083956555"/>
    <n v="1425084984"/>
    <n v="456"/>
    <n v="113"/>
    <n v="569"/>
    <n v="723"/>
    <n v="1292"/>
    <n v="123"/>
    <n v="144"/>
    <n v="64"/>
    <n v="98"/>
    <n v="1454"/>
    <n v="9613"/>
  </r>
  <r>
    <x v="32"/>
    <s v="ITA"/>
    <x v="5"/>
    <x v="5"/>
    <n v="4449436681"/>
    <n v="113417208"/>
    <n v="3461"/>
    <n v="308"/>
    <n v="3769"/>
    <n v="5592"/>
    <n v="9361"/>
    <n v="511"/>
    <n v="772"/>
    <n v="960"/>
    <n v="1267"/>
    <n v="11588"/>
    <n v="47798"/>
  </r>
  <r>
    <x v="32"/>
    <s v="ITA"/>
    <x v="6"/>
    <x v="6"/>
    <n v="456494354"/>
    <n v="1376813649"/>
    <n v="222"/>
    <n v="57"/>
    <n v="279"/>
    <n v="748"/>
    <n v="1027"/>
    <n v="73"/>
    <n v="94"/>
    <n v="214"/>
    <n v="76"/>
    <n v="1317"/>
    <n v="11841"/>
  </r>
  <r>
    <x v="32"/>
    <s v="ITA"/>
    <x v="7"/>
    <x v="7"/>
    <n v="4189277044"/>
    <n v="1248366722"/>
    <n v="992"/>
    <n v="126"/>
    <n v="1118"/>
    <n v="895"/>
    <n v="2013"/>
    <n v="178"/>
    <n v="199"/>
    <n v="164"/>
    <n v="118"/>
    <n v="2295"/>
    <n v="24106"/>
  </r>
  <r>
    <x v="32"/>
    <s v="ITA"/>
    <x v="8"/>
    <x v="8"/>
    <n v="4441149315"/>
    <n v="89326992"/>
    <n v="1023"/>
    <n v="157"/>
    <n v="1180"/>
    <n v="880"/>
    <n v="2060"/>
    <n v="33"/>
    <n v="129"/>
    <n v="305"/>
    <n v="331"/>
    <n v="2696"/>
    <n v="7804"/>
  </r>
  <r>
    <x v="32"/>
    <s v="ITA"/>
    <x v="9"/>
    <x v="9"/>
    <n v="4546679409"/>
    <n v="9190347404"/>
    <n v="11137"/>
    <n v="1292"/>
    <n v="12429"/>
    <n v="11466"/>
    <n v="23895"/>
    <n v="1706"/>
    <n v="2409"/>
    <n v="8001"/>
    <n v="5402"/>
    <n v="37298"/>
    <n v="95860"/>
  </r>
  <r>
    <x v="32"/>
    <s v="ITA"/>
    <x v="10"/>
    <x v="10"/>
    <n v="4361675973"/>
    <n v="135188753"/>
    <n v="979"/>
    <n v="162"/>
    <n v="1141"/>
    <n v="1709"/>
    <n v="2850"/>
    <n v="55"/>
    <n v="82"/>
    <n v="10"/>
    <n v="336"/>
    <n v="3196"/>
    <n v="9060"/>
  </r>
  <r>
    <x v="32"/>
    <s v="ITA"/>
    <x v="11"/>
    <x v="11"/>
    <n v="4155774754"/>
    <n v="1465916051"/>
    <n v="26"/>
    <n v="9"/>
    <n v="35"/>
    <n v="51"/>
    <n v="86"/>
    <n v="5"/>
    <n v="6"/>
    <n v="14"/>
    <n v="9"/>
    <n v="109"/>
    <n v="710"/>
  </r>
  <r>
    <x v="32"/>
    <s v="ITA"/>
    <x v="12"/>
    <x v="12"/>
    <n v="450732745"/>
    <n v="7680687483"/>
    <n v="2852"/>
    <n v="431"/>
    <n v="3283"/>
    <n v="3064"/>
    <n v="6347"/>
    <n v="397"/>
    <n v="558"/>
    <n v="176"/>
    <n v="569"/>
    <n v="7092"/>
    <n v="19705"/>
  </r>
  <r>
    <x v="32"/>
    <s v="ITA"/>
    <x v="13"/>
    <x v="13"/>
    <n v="4112559576"/>
    <n v="1686736689"/>
    <n v="530"/>
    <n v="82"/>
    <n v="612"/>
    <n v="624"/>
    <n v="1236"/>
    <n v="141"/>
    <n v="152"/>
    <n v="29"/>
    <n v="69"/>
    <n v="1334"/>
    <n v="10233"/>
  </r>
  <r>
    <x v="32"/>
    <s v="ITA"/>
    <x v="14"/>
    <x v="14"/>
    <n v="3921531192"/>
    <n v="9110616306"/>
    <n v="93"/>
    <n v="19"/>
    <n v="112"/>
    <n v="384"/>
    <n v="496"/>
    <n v="34"/>
    <n v="36"/>
    <n v="13"/>
    <n v="21"/>
    <n v="530"/>
    <n v="3801"/>
  </r>
  <r>
    <x v="32"/>
    <s v="ITA"/>
    <x v="15"/>
    <x v="15"/>
    <n v="3811569725"/>
    <n v="133623567"/>
    <n v="425"/>
    <n v="75"/>
    <n v="500"/>
    <n v="658"/>
    <n v="1158"/>
    <n v="63"/>
    <n v="86"/>
    <n v="53"/>
    <n v="39"/>
    <n v="1250"/>
    <n v="11079"/>
  </r>
  <r>
    <x v="32"/>
    <s v="ITA"/>
    <x v="16"/>
    <x v="16"/>
    <n v="4376923077"/>
    <n v="1125588885"/>
    <n v="1053"/>
    <n v="274"/>
    <n v="1327"/>
    <n v="1843"/>
    <n v="3170"/>
    <n v="197"/>
    <n v="224"/>
    <n v="103"/>
    <n v="177"/>
    <n v="3450"/>
    <n v="23746"/>
  </r>
  <r>
    <x v="32"/>
    <s v="ITA"/>
    <x v="2"/>
    <x v="17"/>
    <n v="4606893511"/>
    <n v="1112123097"/>
    <n v="341"/>
    <n v="66"/>
    <n v="407"/>
    <n v="757"/>
    <n v="1164"/>
    <n v="70"/>
    <n v="94"/>
    <n v="125"/>
    <n v="102"/>
    <n v="1391"/>
    <n v="4923"/>
  </r>
  <r>
    <x v="32"/>
    <s v="ITA"/>
    <x v="17"/>
    <x v="18"/>
    <n v="4310675841"/>
    <n v="1238824698"/>
    <n v="149"/>
    <n v="46"/>
    <n v="195"/>
    <n v="629"/>
    <n v="824"/>
    <n v="54"/>
    <n v="82"/>
    <n v="39"/>
    <n v="21"/>
    <n v="884"/>
    <n v="6137"/>
  </r>
  <r>
    <x v="32"/>
    <s v="ITA"/>
    <x v="18"/>
    <x v="19"/>
    <n v="4573750286"/>
    <n v="7320149366"/>
    <n v="91"/>
    <n v="24"/>
    <n v="115"/>
    <n v="298"/>
    <n v="413"/>
    <n v="35"/>
    <n v="44"/>
    <n v="2"/>
    <n v="37"/>
    <n v="452"/>
    <n v="1252"/>
  </r>
  <r>
    <x v="32"/>
    <s v="ITA"/>
    <x v="19"/>
    <x v="20"/>
    <n v="4543490485"/>
    <n v="1233845213"/>
    <n v="1536"/>
    <n v="338"/>
    <n v="1874"/>
    <n v="4774"/>
    <n v="6648"/>
    <n v="508"/>
    <n v="562"/>
    <n v="536"/>
    <n v="313"/>
    <n v="7497"/>
    <n v="83627"/>
  </r>
  <r>
    <x v="33"/>
    <s v="ITA"/>
    <x v="0"/>
    <x v="0"/>
    <n v="4235122196"/>
    <n v="1339843823"/>
    <n v="311"/>
    <n v="70"/>
    <n v="381"/>
    <n v="646"/>
    <n v="1027"/>
    <n v="102"/>
    <n v="116"/>
    <n v="30"/>
    <n v="76"/>
    <n v="1133"/>
    <n v="7003"/>
  </r>
  <r>
    <x v="33"/>
    <s v="ITA"/>
    <x v="1"/>
    <x v="1"/>
    <n v="4063947052"/>
    <n v="1580514834"/>
    <n v="26"/>
    <n v="19"/>
    <n v="45"/>
    <n v="133"/>
    <n v="178"/>
    <n v="31"/>
    <n v="31"/>
    <n v="1"/>
    <n v="3"/>
    <n v="182"/>
    <n v="1421"/>
  </r>
  <r>
    <x v="33"/>
    <s v="ITA"/>
    <x v="2"/>
    <x v="2"/>
    <n v="4649933453"/>
    <n v="1135662422"/>
    <n v="225"/>
    <n v="51"/>
    <n v="276"/>
    <n v="653"/>
    <n v="929"/>
    <n v="96"/>
    <n v="106"/>
    <n v="116"/>
    <n v="64"/>
    <n v="1109"/>
    <n v="9168"/>
  </r>
  <r>
    <x v="33"/>
    <s v="ITA"/>
    <x v="3"/>
    <x v="3"/>
    <n v="3890597598"/>
    <n v="1659440194"/>
    <n v="107"/>
    <n v="22"/>
    <n v="129"/>
    <n v="394"/>
    <n v="523"/>
    <n v="54"/>
    <n v="61"/>
    <n v="11"/>
    <n v="21"/>
    <n v="555"/>
    <n v="7760"/>
  </r>
  <r>
    <x v="33"/>
    <s v="ITA"/>
    <x v="4"/>
    <x v="4"/>
    <n v="4083956555"/>
    <n v="1425084984"/>
    <n v="463"/>
    <n v="132"/>
    <n v="595"/>
    <n v="812"/>
    <n v="1407"/>
    <n v="115"/>
    <n v="138"/>
    <n v="76"/>
    <n v="109"/>
    <n v="1592"/>
    <n v="10616"/>
  </r>
  <r>
    <x v="33"/>
    <s v="ITA"/>
    <x v="5"/>
    <x v="5"/>
    <n v="4449436681"/>
    <n v="113417208"/>
    <n v="3695"/>
    <n v="316"/>
    <n v="4011"/>
    <n v="5953"/>
    <n v="9964"/>
    <n v="603"/>
    <n v="795"/>
    <n v="1075"/>
    <n v="1344"/>
    <n v="12383"/>
    <n v="52991"/>
  </r>
  <r>
    <x v="33"/>
    <s v="ITA"/>
    <x v="6"/>
    <x v="6"/>
    <n v="456494354"/>
    <n v="1376813649"/>
    <n v="223"/>
    <n v="59"/>
    <n v="282"/>
    <n v="838"/>
    <n v="1120"/>
    <n v="93"/>
    <n v="119"/>
    <n v="229"/>
    <n v="87"/>
    <n v="1436"/>
    <n v="12723"/>
  </r>
  <r>
    <x v="33"/>
    <s v="ITA"/>
    <x v="7"/>
    <x v="7"/>
    <n v="4189277044"/>
    <n v="1248366722"/>
    <n v="985"/>
    <n v="133"/>
    <n v="1118"/>
    <n v="1063"/>
    <n v="2181"/>
    <n v="168"/>
    <n v="210"/>
    <n v="200"/>
    <n v="124"/>
    <n v="2505"/>
    <n v="27179"/>
  </r>
  <r>
    <x v="33"/>
    <s v="ITA"/>
    <x v="8"/>
    <x v="8"/>
    <n v="4441149315"/>
    <n v="89326992"/>
    <n v="1031"/>
    <n v="167"/>
    <n v="1198"/>
    <n v="888"/>
    <n v="2086"/>
    <n v="26"/>
    <n v="126"/>
    <n v="378"/>
    <n v="358"/>
    <n v="2822"/>
    <n v="8177"/>
  </r>
  <r>
    <x v="33"/>
    <s v="ITA"/>
    <x v="9"/>
    <x v="9"/>
    <n v="4546679409"/>
    <n v="9190347404"/>
    <n v="11152"/>
    <n v="1319"/>
    <n v="12471"/>
    <n v="12038"/>
    <n v="24509"/>
    <n v="614"/>
    <n v="2117"/>
    <n v="8962"/>
    <n v="5944"/>
    <n v="39415"/>
    <n v="102503"/>
  </r>
  <r>
    <x v="33"/>
    <s v="ITA"/>
    <x v="10"/>
    <x v="10"/>
    <n v="4361675973"/>
    <n v="135188753"/>
    <n v="987"/>
    <n v="166"/>
    <n v="1153"/>
    <n v="1846"/>
    <n v="2999"/>
    <n v="149"/>
    <n v="177"/>
    <n v="10"/>
    <n v="364"/>
    <n v="3373"/>
    <n v="9884"/>
  </r>
  <r>
    <x v="33"/>
    <s v="ITA"/>
    <x v="11"/>
    <x v="11"/>
    <n v="4155774754"/>
    <n v="1465916051"/>
    <n v="26"/>
    <n v="9"/>
    <n v="35"/>
    <n v="63"/>
    <n v="98"/>
    <n v="12"/>
    <n v="14"/>
    <n v="16"/>
    <n v="9"/>
    <n v="123"/>
    <n v="807"/>
  </r>
  <r>
    <x v="33"/>
    <s v="ITA"/>
    <x v="12"/>
    <x v="12"/>
    <n v="450732745"/>
    <n v="7680687483"/>
    <n v="3094"/>
    <n v="439"/>
    <n v="3533"/>
    <n v="3318"/>
    <n v="6851"/>
    <n v="504"/>
    <n v="579"/>
    <n v="203"/>
    <n v="617"/>
    <n v="7671"/>
    <n v="21511"/>
  </r>
  <r>
    <x v="33"/>
    <s v="ITA"/>
    <x v="13"/>
    <x v="13"/>
    <n v="4112559576"/>
    <n v="1686736689"/>
    <n v="563"/>
    <n v="98"/>
    <n v="661"/>
    <n v="697"/>
    <n v="1358"/>
    <n v="122"/>
    <n v="124"/>
    <n v="29"/>
    <n v="71"/>
    <n v="1458"/>
    <n v="11500"/>
  </r>
  <r>
    <x v="33"/>
    <s v="ITA"/>
    <x v="14"/>
    <x v="14"/>
    <n v="3921531192"/>
    <n v="9110616306"/>
    <n v="95"/>
    <n v="22"/>
    <n v="117"/>
    <n v="452"/>
    <n v="569"/>
    <n v="73"/>
    <n v="94"/>
    <n v="29"/>
    <n v="26"/>
    <n v="624"/>
    <n v="4225"/>
  </r>
  <r>
    <x v="33"/>
    <s v="ITA"/>
    <x v="15"/>
    <x v="15"/>
    <n v="3811569725"/>
    <n v="133623567"/>
    <n v="441"/>
    <n v="71"/>
    <n v="512"/>
    <n v="730"/>
    <n v="1242"/>
    <n v="84"/>
    <n v="109"/>
    <n v="60"/>
    <n v="57"/>
    <n v="1359"/>
    <n v="13096"/>
  </r>
  <r>
    <x v="33"/>
    <s v="ITA"/>
    <x v="16"/>
    <x v="16"/>
    <n v="4376923077"/>
    <n v="1125588885"/>
    <n v="1093"/>
    <n v="277"/>
    <n v="1370"/>
    <n v="2141"/>
    <n v="3511"/>
    <n v="341"/>
    <n v="367"/>
    <n v="108"/>
    <n v="198"/>
    <n v="3817"/>
    <n v="25613"/>
  </r>
  <r>
    <x v="33"/>
    <s v="ITA"/>
    <x v="2"/>
    <x v="17"/>
    <n v="4606893511"/>
    <n v="1112123097"/>
    <n v="351"/>
    <n v="72"/>
    <n v="423"/>
    <n v="811"/>
    <n v="1234"/>
    <n v="70"/>
    <n v="114"/>
    <n v="151"/>
    <n v="120"/>
    <n v="1505"/>
    <n v="5561"/>
  </r>
  <r>
    <x v="33"/>
    <s v="ITA"/>
    <x v="17"/>
    <x v="18"/>
    <n v="4310675841"/>
    <n v="1238824698"/>
    <n v="159"/>
    <n v="44"/>
    <n v="203"/>
    <n v="695"/>
    <n v="898"/>
    <n v="74"/>
    <n v="85"/>
    <n v="43"/>
    <n v="28"/>
    <n v="969"/>
    <n v="7028"/>
  </r>
  <r>
    <x v="33"/>
    <s v="ITA"/>
    <x v="18"/>
    <x v="19"/>
    <n v="4573750286"/>
    <n v="7320149366"/>
    <n v="90"/>
    <n v="26"/>
    <n v="116"/>
    <n v="352"/>
    <n v="468"/>
    <n v="55"/>
    <n v="59"/>
    <n v="2"/>
    <n v="41"/>
    <n v="511"/>
    <n v="1380"/>
  </r>
  <r>
    <x v="33"/>
    <s v="ITA"/>
    <x v="19"/>
    <x v="20"/>
    <n v="4543490485"/>
    <n v="1233845213"/>
    <n v="1559"/>
    <n v="344"/>
    <n v="1903"/>
    <n v="5010"/>
    <n v="6913"/>
    <n v="265"/>
    <n v="433"/>
    <n v="655"/>
    <n v="362"/>
    <n v="7930"/>
    <n v="89380"/>
  </r>
  <r>
    <x v="34"/>
    <s v="ITA"/>
    <x v="0"/>
    <x v="0"/>
    <n v="4235122196"/>
    <n v="1339843823"/>
    <n v="329"/>
    <n v="68"/>
    <n v="397"/>
    <n v="772"/>
    <n v="1169"/>
    <n v="142"/>
    <n v="160"/>
    <n v="36"/>
    <n v="88"/>
    <n v="1293"/>
    <n v="7730"/>
  </r>
  <r>
    <x v="34"/>
    <s v="ITA"/>
    <x v="1"/>
    <x v="1"/>
    <n v="4063947052"/>
    <n v="1580514834"/>
    <n v="32"/>
    <n v="18"/>
    <n v="50"/>
    <n v="147"/>
    <n v="197"/>
    <n v="19"/>
    <n v="20"/>
    <n v="1"/>
    <n v="4"/>
    <n v="202"/>
    <n v="1585"/>
  </r>
  <r>
    <x v="34"/>
    <s v="ITA"/>
    <x v="2"/>
    <x v="2"/>
    <n v="4649933453"/>
    <n v="1135662422"/>
    <n v="234"/>
    <n v="56"/>
    <n v="290"/>
    <n v="744"/>
    <n v="1034"/>
    <n v="105"/>
    <n v="105"/>
    <n v="116"/>
    <n v="64"/>
    <n v="1214"/>
    <n v="10137"/>
  </r>
  <r>
    <x v="34"/>
    <s v="ITA"/>
    <x v="3"/>
    <x v="3"/>
    <n v="3890597598"/>
    <n v="1659440194"/>
    <n v="124"/>
    <n v="19"/>
    <n v="143"/>
    <n v="434"/>
    <n v="577"/>
    <n v="54"/>
    <n v="59"/>
    <n v="12"/>
    <n v="25"/>
    <n v="614"/>
    <n v="8485"/>
  </r>
  <r>
    <x v="34"/>
    <s v="ITA"/>
    <x v="4"/>
    <x v="4"/>
    <n v="4083956555"/>
    <n v="1425084984"/>
    <n v="476"/>
    <n v="135"/>
    <n v="611"/>
    <n v="945"/>
    <n v="1556"/>
    <n v="149"/>
    <n v="167"/>
    <n v="86"/>
    <n v="117"/>
    <n v="1759"/>
    <n v="11805"/>
  </r>
  <r>
    <x v="34"/>
    <s v="ITA"/>
    <x v="5"/>
    <x v="5"/>
    <n v="4449436681"/>
    <n v="113417208"/>
    <n v="3769"/>
    <n v="333"/>
    <n v="4102"/>
    <n v="6433"/>
    <n v="10535"/>
    <n v="571"/>
    <n v="736"/>
    <n v="1141"/>
    <n v="1443"/>
    <n v="13119"/>
    <n v="52991"/>
  </r>
  <r>
    <x v="34"/>
    <s v="ITA"/>
    <x v="6"/>
    <x v="6"/>
    <n v="456494354"/>
    <n v="1376813649"/>
    <n v="236"/>
    <n v="60"/>
    <n v="296"/>
    <n v="845"/>
    <n v="1141"/>
    <n v="21"/>
    <n v="44"/>
    <n v="241"/>
    <n v="98"/>
    <n v="1480"/>
    <n v="13397"/>
  </r>
  <r>
    <x v="34"/>
    <s v="ITA"/>
    <x v="7"/>
    <x v="7"/>
    <n v="4189277044"/>
    <n v="1248366722"/>
    <n v="1062"/>
    <n v="133"/>
    <n v="1195"/>
    <n v="1167"/>
    <n v="2362"/>
    <n v="181"/>
    <n v="201"/>
    <n v="208"/>
    <n v="136"/>
    <n v="2706"/>
    <n v="27744"/>
  </r>
  <r>
    <x v="34"/>
    <s v="ITA"/>
    <x v="8"/>
    <x v="8"/>
    <n v="4441149315"/>
    <n v="89326992"/>
    <n v="1077"/>
    <n v="166"/>
    <n v="1243"/>
    <n v="1036"/>
    <n v="2279"/>
    <n v="193"/>
    <n v="254"/>
    <n v="420"/>
    <n v="377"/>
    <n v="3076"/>
    <n v="9100"/>
  </r>
  <r>
    <x v="34"/>
    <s v="ITA"/>
    <x v="9"/>
    <x v="9"/>
    <n v="4546679409"/>
    <n v="9190347404"/>
    <n v="11613"/>
    <n v="1328"/>
    <n v="12941"/>
    <n v="12451"/>
    <n v="25392"/>
    <n v="883"/>
    <n v="1592"/>
    <n v="9255"/>
    <n v="6360"/>
    <n v="41007"/>
    <n v="107398"/>
  </r>
  <r>
    <x v="34"/>
    <s v="ITA"/>
    <x v="10"/>
    <x v="10"/>
    <n v="4361675973"/>
    <n v="135188753"/>
    <n v="1000"/>
    <n v="168"/>
    <n v="1168"/>
    <n v="1992"/>
    <n v="3160"/>
    <n v="161"/>
    <n v="185"/>
    <n v="12"/>
    <n v="386"/>
    <n v="3558"/>
    <n v="10431"/>
  </r>
  <r>
    <x v="34"/>
    <s v="ITA"/>
    <x v="11"/>
    <x v="11"/>
    <n v="4155774754"/>
    <n v="1465916051"/>
    <n v="25"/>
    <n v="9"/>
    <n v="34"/>
    <n v="66"/>
    <n v="100"/>
    <n v="2"/>
    <n v="4"/>
    <n v="18"/>
    <n v="9"/>
    <n v="127"/>
    <n v="918"/>
  </r>
  <r>
    <x v="34"/>
    <s v="ITA"/>
    <x v="12"/>
    <x v="12"/>
    <n v="450732745"/>
    <n v="7680687483"/>
    <n v="2985"/>
    <n v="443"/>
    <n v="3428"/>
    <n v="3840"/>
    <n v="7268"/>
    <n v="417"/>
    <n v="535"/>
    <n v="254"/>
    <n v="684"/>
    <n v="8206"/>
    <n v="24058"/>
  </r>
  <r>
    <x v="34"/>
    <s v="ITA"/>
    <x v="13"/>
    <x v="13"/>
    <n v="4112559576"/>
    <n v="1686736689"/>
    <n v="559"/>
    <n v="99"/>
    <n v="658"/>
    <n v="774"/>
    <n v="1432"/>
    <n v="74"/>
    <n v="91"/>
    <n v="31"/>
    <n v="86"/>
    <n v="1549"/>
    <n v="12361"/>
  </r>
  <r>
    <x v="34"/>
    <s v="ITA"/>
    <x v="14"/>
    <x v="14"/>
    <n v="3921531192"/>
    <n v="9110616306"/>
    <n v="105"/>
    <n v="23"/>
    <n v="128"/>
    <n v="454"/>
    <n v="582"/>
    <n v="13"/>
    <n v="14"/>
    <n v="29"/>
    <n v="27"/>
    <n v="638"/>
    <n v="4598"/>
  </r>
  <r>
    <x v="34"/>
    <s v="ITA"/>
    <x v="15"/>
    <x v="15"/>
    <n v="3811569725"/>
    <n v="133623567"/>
    <n v="451"/>
    <n v="71"/>
    <n v="522"/>
    <n v="808"/>
    <n v="1330"/>
    <n v="88"/>
    <n v="101"/>
    <n v="65"/>
    <n v="65"/>
    <n v="1460"/>
    <n v="13814"/>
  </r>
  <r>
    <x v="34"/>
    <s v="ITA"/>
    <x v="16"/>
    <x v="16"/>
    <n v="4376923077"/>
    <n v="1125588885"/>
    <n v="1111"/>
    <n v="275"/>
    <n v="1386"/>
    <n v="2400"/>
    <n v="3786"/>
    <n v="275"/>
    <n v="305"/>
    <n v="121"/>
    <n v="215"/>
    <n v="4122"/>
    <n v="27579"/>
  </r>
  <r>
    <x v="34"/>
    <s v="ITA"/>
    <x v="2"/>
    <x v="17"/>
    <n v="4606893511"/>
    <n v="1112123097"/>
    <n v="356"/>
    <n v="75"/>
    <n v="431"/>
    <n v="862"/>
    <n v="1293"/>
    <n v="59"/>
    <n v="89"/>
    <n v="172"/>
    <n v="129"/>
    <n v="1594"/>
    <n v="5950"/>
  </r>
  <r>
    <x v="34"/>
    <s v="ITA"/>
    <x v="17"/>
    <x v="18"/>
    <n v="4310675841"/>
    <n v="1238824698"/>
    <n v="166"/>
    <n v="46"/>
    <n v="212"/>
    <n v="685"/>
    <n v="897"/>
    <n v="-1"/>
    <n v="54"/>
    <n v="95"/>
    <n v="31"/>
    <n v="1023"/>
    <n v="7685"/>
  </r>
  <r>
    <x v="34"/>
    <s v="ITA"/>
    <x v="18"/>
    <x v="19"/>
    <n v="4573750286"/>
    <n v="7320149366"/>
    <n v="90"/>
    <n v="26"/>
    <n v="116"/>
    <n v="423"/>
    <n v="539"/>
    <n v="71"/>
    <n v="73"/>
    <n v="2"/>
    <n v="43"/>
    <n v="584"/>
    <n v="1480"/>
  </r>
  <r>
    <x v="34"/>
    <s v="ITA"/>
    <x v="19"/>
    <x v="20"/>
    <n v="4543490485"/>
    <n v="1233845213"/>
    <n v="1586"/>
    <n v="355"/>
    <n v="1941"/>
    <n v="5310"/>
    <n v="7251"/>
    <n v="338"/>
    <n v="428"/>
    <n v="715"/>
    <n v="392"/>
    <n v="8358"/>
    <n v="94784"/>
  </r>
  <r>
    <x v="35"/>
    <s v="ITA"/>
    <x v="0"/>
    <x v="0"/>
    <n v="4235122196"/>
    <n v="1339843823"/>
    <n v="322"/>
    <n v="69"/>
    <n v="391"/>
    <n v="778"/>
    <n v="1169"/>
    <n v="0"/>
    <n v="52"/>
    <n v="74"/>
    <n v="102"/>
    <n v="1345"/>
    <n v="7948"/>
  </r>
  <r>
    <x v="35"/>
    <s v="ITA"/>
    <x v="1"/>
    <x v="1"/>
    <n v="4063947052"/>
    <n v="1580514834"/>
    <n v="36"/>
    <n v="18"/>
    <n v="54"/>
    <n v="154"/>
    <n v="208"/>
    <n v="11"/>
    <n v="12"/>
    <n v="1"/>
    <n v="5"/>
    <n v="214"/>
    <n v="1833"/>
  </r>
  <r>
    <x v="35"/>
    <s v="ITA"/>
    <x v="2"/>
    <x v="2"/>
    <n v="4649933453"/>
    <n v="1135662422"/>
    <n v="231"/>
    <n v="62"/>
    <n v="293"/>
    <n v="805"/>
    <n v="1098"/>
    <n v="64"/>
    <n v="111"/>
    <n v="153"/>
    <n v="74"/>
    <n v="1325"/>
    <n v="10640"/>
  </r>
  <r>
    <x v="35"/>
    <s v="ITA"/>
    <x v="3"/>
    <x v="3"/>
    <n v="3890597598"/>
    <n v="1659440194"/>
    <n v="130"/>
    <n v="18"/>
    <n v="148"/>
    <n v="454"/>
    <n v="602"/>
    <n v="25"/>
    <n v="33"/>
    <n v="14"/>
    <n v="31"/>
    <n v="647"/>
    <n v="9013"/>
  </r>
  <r>
    <x v="35"/>
    <s v="ITA"/>
    <x v="4"/>
    <x v="4"/>
    <n v="4083956555"/>
    <n v="1425084984"/>
    <n v="468"/>
    <n v="126"/>
    <n v="594"/>
    <n v="1145"/>
    <n v="1739"/>
    <n v="183"/>
    <n v="193"/>
    <n v="88"/>
    <n v="125"/>
    <n v="1952"/>
    <n v="12969"/>
  </r>
  <r>
    <x v="35"/>
    <s v="ITA"/>
    <x v="5"/>
    <x v="5"/>
    <n v="4449436681"/>
    <n v="113417208"/>
    <n v="3779"/>
    <n v="351"/>
    <n v="4130"/>
    <n v="6636"/>
    <n v="10766"/>
    <n v="231"/>
    <n v="412"/>
    <n v="1227"/>
    <n v="1538"/>
    <n v="13531"/>
    <n v="50990"/>
  </r>
  <r>
    <x v="35"/>
    <s v="ITA"/>
    <x v="6"/>
    <x v="6"/>
    <n v="456494354"/>
    <n v="1376813649"/>
    <n v="229"/>
    <n v="60"/>
    <n v="289"/>
    <n v="820"/>
    <n v="1109"/>
    <n v="-32"/>
    <n v="21"/>
    <n v="285"/>
    <n v="107"/>
    <n v="1501"/>
    <n v="14003"/>
  </r>
  <r>
    <x v="35"/>
    <s v="ITA"/>
    <x v="7"/>
    <x v="7"/>
    <n v="4189277044"/>
    <n v="1248366722"/>
    <n v="1079"/>
    <n v="154"/>
    <n v="1233"/>
    <n v="1264"/>
    <n v="2497"/>
    <n v="135"/>
    <n v="208"/>
    <n v="267"/>
    <n v="150"/>
    <n v="2914"/>
    <n v="32846"/>
  </r>
  <r>
    <x v="35"/>
    <s v="ITA"/>
    <x v="8"/>
    <x v="8"/>
    <n v="4441149315"/>
    <n v="89326992"/>
    <n v="1142"/>
    <n v="175"/>
    <n v="1317"/>
    <n v="1066"/>
    <n v="2383"/>
    <n v="104"/>
    <n v="141"/>
    <n v="437"/>
    <n v="397"/>
    <n v="3217"/>
    <n v="9677"/>
  </r>
  <r>
    <x v="35"/>
    <s v="ITA"/>
    <x v="9"/>
    <x v="9"/>
    <n v="4546679409"/>
    <n v="9190347404"/>
    <n v="11815"/>
    <n v="1330"/>
    <n v="13145"/>
    <n v="11861"/>
    <n v="25006"/>
    <n v="-386"/>
    <n v="1154"/>
    <n v="10337"/>
    <n v="6818"/>
    <n v="42161"/>
    <n v="111057"/>
  </r>
  <r>
    <x v="35"/>
    <s v="ITA"/>
    <x v="10"/>
    <x v="10"/>
    <n v="4361675973"/>
    <n v="135188753"/>
    <n v="998"/>
    <n v="167"/>
    <n v="1165"/>
    <n v="2086"/>
    <n v="3251"/>
    <n v="91"/>
    <n v="126"/>
    <n v="16"/>
    <n v="417"/>
    <n v="3684"/>
    <n v="10979"/>
  </r>
  <r>
    <x v="35"/>
    <s v="ITA"/>
    <x v="11"/>
    <x v="11"/>
    <n v="4155774754"/>
    <n v="1465916051"/>
    <n v="27"/>
    <n v="8"/>
    <n v="35"/>
    <n v="72"/>
    <n v="107"/>
    <n v="7"/>
    <n v="7"/>
    <n v="18"/>
    <n v="9"/>
    <n v="134"/>
    <n v="955"/>
  </r>
  <r>
    <x v="35"/>
    <s v="ITA"/>
    <x v="12"/>
    <x v="12"/>
    <n v="450732745"/>
    <n v="7680687483"/>
    <n v="2985"/>
    <n v="452"/>
    <n v="3437"/>
    <n v="4218"/>
    <n v="7655"/>
    <n v="387"/>
    <n v="506"/>
    <n v="308"/>
    <n v="749"/>
    <n v="8712"/>
    <n v="25478"/>
  </r>
  <r>
    <x v="35"/>
    <s v="ITA"/>
    <x v="13"/>
    <x v="13"/>
    <n v="4112559576"/>
    <n v="1686736689"/>
    <n v="590"/>
    <n v="106"/>
    <n v="696"/>
    <n v="889"/>
    <n v="1585"/>
    <n v="153"/>
    <n v="163"/>
    <n v="36"/>
    <n v="91"/>
    <n v="1712"/>
    <n v="13117"/>
  </r>
  <r>
    <x v="35"/>
    <s v="ITA"/>
    <x v="14"/>
    <x v="14"/>
    <n v="3921531192"/>
    <n v="9110616306"/>
    <n v="113"/>
    <n v="24"/>
    <n v="137"/>
    <n v="485"/>
    <n v="622"/>
    <n v="40"/>
    <n v="44"/>
    <n v="32"/>
    <n v="28"/>
    <n v="682"/>
    <n v="4993"/>
  </r>
  <r>
    <x v="35"/>
    <s v="ITA"/>
    <x v="15"/>
    <x v="15"/>
    <n v="3811569725"/>
    <n v="133623567"/>
    <n v="484"/>
    <n v="75"/>
    <n v="559"/>
    <n v="849"/>
    <n v="1408"/>
    <n v="78"/>
    <n v="95"/>
    <n v="71"/>
    <n v="76"/>
    <n v="1555"/>
    <n v="14758"/>
  </r>
  <r>
    <x v="35"/>
    <s v="ITA"/>
    <x v="16"/>
    <x v="16"/>
    <n v="4376923077"/>
    <n v="1125588885"/>
    <n v="1116"/>
    <n v="279"/>
    <n v="1395"/>
    <n v="2655"/>
    <n v="4050"/>
    <n v="264"/>
    <n v="290"/>
    <n v="131"/>
    <n v="231"/>
    <n v="4412"/>
    <n v="30099"/>
  </r>
  <r>
    <x v="35"/>
    <s v="ITA"/>
    <x v="2"/>
    <x v="17"/>
    <n v="4606893511"/>
    <n v="1112123097"/>
    <n v="353"/>
    <n v="78"/>
    <n v="431"/>
    <n v="926"/>
    <n v="1357"/>
    <n v="64"/>
    <n v="88"/>
    <n v="178"/>
    <n v="147"/>
    <n v="1682"/>
    <n v="6377"/>
  </r>
  <r>
    <x v="35"/>
    <s v="ITA"/>
    <x v="17"/>
    <x v="18"/>
    <n v="4310675841"/>
    <n v="1238824698"/>
    <n v="173"/>
    <n v="47"/>
    <n v="220"/>
    <n v="614"/>
    <n v="834"/>
    <n v="-63"/>
    <n v="28"/>
    <n v="184"/>
    <n v="33"/>
    <n v="1051"/>
    <n v="8150"/>
  </r>
  <r>
    <x v="35"/>
    <s v="ITA"/>
    <x v="18"/>
    <x v="19"/>
    <n v="4573750286"/>
    <n v="7320149366"/>
    <n v="92"/>
    <n v="26"/>
    <n v="118"/>
    <n v="400"/>
    <n v="518"/>
    <n v="-21"/>
    <n v="0"/>
    <n v="16"/>
    <n v="50"/>
    <n v="584"/>
    <n v="1536"/>
  </r>
  <r>
    <x v="35"/>
    <s v="ITA"/>
    <x v="19"/>
    <x v="20"/>
    <n v="4543490485"/>
    <n v="1233845213"/>
    <n v="1633"/>
    <n v="356"/>
    <n v="1989"/>
    <n v="5575"/>
    <n v="7564"/>
    <n v="313"/>
    <n v="366"/>
    <n v="747"/>
    <n v="413"/>
    <n v="8724"/>
    <n v="99941"/>
  </r>
  <r>
    <x v="36"/>
    <s v="ITA"/>
    <x v="0"/>
    <x v="0"/>
    <n v="4235122196"/>
    <n v="1339843823"/>
    <n v="335"/>
    <n v="73"/>
    <n v="408"/>
    <n v="783"/>
    <n v="1191"/>
    <n v="22"/>
    <n v="56"/>
    <n v="95"/>
    <n v="115"/>
    <n v="1401"/>
    <n v="8758"/>
  </r>
  <r>
    <x v="36"/>
    <s v="ITA"/>
    <x v="1"/>
    <x v="1"/>
    <n v="4063947052"/>
    <n v="1580514834"/>
    <n v="37"/>
    <n v="17"/>
    <n v="54"/>
    <n v="162"/>
    <n v="216"/>
    <n v="8"/>
    <n v="12"/>
    <n v="3"/>
    <n v="7"/>
    <n v="226"/>
    <n v="2043"/>
  </r>
  <r>
    <x v="36"/>
    <s v="ITA"/>
    <x v="2"/>
    <x v="2"/>
    <n v="4649933453"/>
    <n v="1135662422"/>
    <n v="249"/>
    <n v="62"/>
    <n v="311"/>
    <n v="831"/>
    <n v="1142"/>
    <n v="44"/>
    <n v="46"/>
    <n v="153"/>
    <n v="76"/>
    <n v="1371"/>
    <n v="11275"/>
  </r>
  <r>
    <x v="36"/>
    <s v="ITA"/>
    <x v="3"/>
    <x v="3"/>
    <n v="3890597598"/>
    <n v="1659440194"/>
    <n v="132"/>
    <n v="17"/>
    <n v="149"/>
    <n v="457"/>
    <n v="606"/>
    <n v="4"/>
    <n v="12"/>
    <n v="17"/>
    <n v="36"/>
    <n v="659"/>
    <n v="9327"/>
  </r>
  <r>
    <x v="36"/>
    <s v="ITA"/>
    <x v="4"/>
    <x v="4"/>
    <n v="4083956555"/>
    <n v="1425084984"/>
    <n v="501"/>
    <n v="133"/>
    <n v="634"/>
    <n v="1237"/>
    <n v="1871"/>
    <n v="132"/>
    <n v="140"/>
    <n v="88"/>
    <n v="133"/>
    <n v="2092"/>
    <n v="14403"/>
  </r>
  <r>
    <x v="36"/>
    <s v="ITA"/>
    <x v="5"/>
    <x v="5"/>
    <n v="4449436681"/>
    <n v="113417208"/>
    <n v="3765"/>
    <n v="353"/>
    <n v="4118"/>
    <n v="6835"/>
    <n v="10953"/>
    <n v="187"/>
    <n v="543"/>
    <n v="1477"/>
    <n v="1644"/>
    <n v="14074"/>
    <n v="54532"/>
  </r>
  <r>
    <x v="36"/>
    <s v="ITA"/>
    <x v="6"/>
    <x v="6"/>
    <n v="456494354"/>
    <n v="1376813649"/>
    <n v="215"/>
    <n v="60"/>
    <n v="275"/>
    <n v="885"/>
    <n v="1160"/>
    <n v="51"/>
    <n v="92"/>
    <n v="320"/>
    <n v="113"/>
    <n v="1593"/>
    <n v="14899"/>
  </r>
  <r>
    <x v="36"/>
    <s v="ITA"/>
    <x v="7"/>
    <x v="7"/>
    <n v="4189277044"/>
    <n v="1248366722"/>
    <n v="1127"/>
    <n v="173"/>
    <n v="1300"/>
    <n v="1342"/>
    <n v="2642"/>
    <n v="145"/>
    <n v="181"/>
    <n v="291"/>
    <n v="162"/>
    <n v="3095"/>
    <n v="34677"/>
  </r>
  <r>
    <x v="36"/>
    <s v="ITA"/>
    <x v="8"/>
    <x v="8"/>
    <n v="4441149315"/>
    <n v="89326992"/>
    <n v="1153"/>
    <n v="179"/>
    <n v="1332"/>
    <n v="1176"/>
    <n v="2508"/>
    <n v="125"/>
    <n v="199"/>
    <n v="480"/>
    <n v="428"/>
    <n v="3416"/>
    <n v="10376"/>
  </r>
  <r>
    <x v="36"/>
    <s v="ITA"/>
    <x v="9"/>
    <x v="9"/>
    <n v="4546679409"/>
    <n v="9190347404"/>
    <n v="11883"/>
    <n v="1324"/>
    <n v="13207"/>
    <n v="11917"/>
    <n v="25124"/>
    <n v="118"/>
    <n v="1047"/>
    <n v="10885"/>
    <n v="7199"/>
    <n v="43208"/>
    <n v="114640"/>
  </r>
  <r>
    <x v="36"/>
    <s v="ITA"/>
    <x v="10"/>
    <x v="10"/>
    <n v="4361675973"/>
    <n v="135188753"/>
    <n v="946"/>
    <n v="169"/>
    <n v="1115"/>
    <n v="2237"/>
    <n v="3352"/>
    <n v="101"/>
    <n v="141"/>
    <n v="21"/>
    <n v="452"/>
    <n v="3825"/>
    <n v="11724"/>
  </r>
  <r>
    <x v="36"/>
    <s v="ITA"/>
    <x v="11"/>
    <x v="11"/>
    <n v="4155774754"/>
    <n v="1465916051"/>
    <n v="29"/>
    <n v="8"/>
    <n v="37"/>
    <n v="80"/>
    <n v="117"/>
    <n v="10"/>
    <n v="10"/>
    <n v="18"/>
    <n v="9"/>
    <n v="144"/>
    <n v="1049"/>
  </r>
  <r>
    <x v="36"/>
    <s v="ITA"/>
    <x v="12"/>
    <x v="12"/>
    <n v="450732745"/>
    <n v="7680687483"/>
    <n v="3174"/>
    <n v="452"/>
    <n v="3626"/>
    <n v="4456"/>
    <n v="8082"/>
    <n v="427"/>
    <n v="589"/>
    <n v="365"/>
    <n v="854"/>
    <n v="9301"/>
    <n v="27658"/>
  </r>
  <r>
    <x v="36"/>
    <s v="ITA"/>
    <x v="13"/>
    <x v="13"/>
    <n v="4112559576"/>
    <n v="1686736689"/>
    <n v="609"/>
    <n v="105"/>
    <n v="714"/>
    <n v="940"/>
    <n v="1654"/>
    <n v="69"/>
    <n v="91"/>
    <n v="39"/>
    <n v="110"/>
    <n v="1803"/>
    <n v="14073"/>
  </r>
  <r>
    <x v="36"/>
    <s v="ITA"/>
    <x v="14"/>
    <x v="14"/>
    <n v="3921531192"/>
    <n v="9110616306"/>
    <n v="113"/>
    <n v="28"/>
    <n v="141"/>
    <n v="516"/>
    <n v="657"/>
    <n v="35"/>
    <n v="40"/>
    <n v="34"/>
    <n v="31"/>
    <n v="722"/>
    <n v="5257"/>
  </r>
  <r>
    <x v="36"/>
    <s v="ITA"/>
    <x v="15"/>
    <x v="15"/>
    <n v="3811569725"/>
    <n v="133623567"/>
    <n v="503"/>
    <n v="72"/>
    <n v="575"/>
    <n v="917"/>
    <n v="1492"/>
    <n v="84"/>
    <n v="92"/>
    <n v="74"/>
    <n v="81"/>
    <n v="1647"/>
    <n v="15634"/>
  </r>
  <r>
    <x v="36"/>
    <s v="ITA"/>
    <x v="16"/>
    <x v="16"/>
    <n v="4376923077"/>
    <n v="1125588885"/>
    <n v="1120"/>
    <n v="293"/>
    <n v="1413"/>
    <n v="2813"/>
    <n v="4226"/>
    <n v="176"/>
    <n v="196"/>
    <n v="138"/>
    <n v="244"/>
    <n v="4608"/>
    <n v="33165"/>
  </r>
  <r>
    <x v="36"/>
    <s v="ITA"/>
    <x v="2"/>
    <x v="17"/>
    <n v="4606893511"/>
    <n v="1112123097"/>
    <n v="354"/>
    <n v="80"/>
    <n v="434"/>
    <n v="955"/>
    <n v="1389"/>
    <n v="32"/>
    <n v="64"/>
    <n v="193"/>
    <n v="164"/>
    <n v="1746"/>
    <n v="6973"/>
  </r>
  <r>
    <x v="36"/>
    <s v="ITA"/>
    <x v="17"/>
    <x v="18"/>
    <n v="4310675841"/>
    <n v="1238824698"/>
    <n v="176"/>
    <n v="43"/>
    <n v="219"/>
    <n v="632"/>
    <n v="851"/>
    <n v="17"/>
    <n v="27"/>
    <n v="190"/>
    <n v="37"/>
    <n v="1078"/>
    <n v="8685"/>
  </r>
  <r>
    <x v="36"/>
    <s v="ITA"/>
    <x v="18"/>
    <x v="19"/>
    <n v="4573750286"/>
    <n v="7320149366"/>
    <n v="91"/>
    <n v="26"/>
    <n v="117"/>
    <n v="435"/>
    <n v="552"/>
    <n v="34"/>
    <n v="44"/>
    <n v="20"/>
    <n v="56"/>
    <n v="628"/>
    <n v="1582"/>
  </r>
  <r>
    <x v="36"/>
    <s v="ITA"/>
    <x v="19"/>
    <x v="20"/>
    <n v="4543490485"/>
    <n v="1233845213"/>
    <n v="1680"/>
    <n v="356"/>
    <n v="2036"/>
    <n v="5814"/>
    <n v="7850"/>
    <n v="286"/>
    <n v="431"/>
    <n v="828"/>
    <n v="477"/>
    <n v="9155"/>
    <n v="106238"/>
  </r>
  <r>
    <x v="37"/>
    <s v="ITA"/>
    <x v="0"/>
    <x v="0"/>
    <n v="4235122196"/>
    <n v="1339843823"/>
    <n v="342"/>
    <n v="71"/>
    <n v="413"/>
    <n v="798"/>
    <n v="1211"/>
    <n v="20"/>
    <n v="35"/>
    <n v="102"/>
    <n v="123"/>
    <n v="1436"/>
    <n v="9610"/>
  </r>
  <r>
    <x v="37"/>
    <s v="ITA"/>
    <x v="1"/>
    <x v="1"/>
    <n v="4063947052"/>
    <n v="1580514834"/>
    <n v="39"/>
    <n v="15"/>
    <n v="54"/>
    <n v="171"/>
    <n v="225"/>
    <n v="9"/>
    <n v="11"/>
    <n v="3"/>
    <n v="9"/>
    <n v="237"/>
    <n v="2262"/>
  </r>
  <r>
    <x v="37"/>
    <s v="ITA"/>
    <x v="2"/>
    <x v="2"/>
    <n v="4649933453"/>
    <n v="1135662422"/>
    <n v="269"/>
    <n v="57"/>
    <n v="326"/>
    <n v="786"/>
    <n v="1112"/>
    <n v="-30"/>
    <n v="47"/>
    <n v="190"/>
    <n v="116"/>
    <n v="1418"/>
    <n v="11951"/>
  </r>
  <r>
    <x v="37"/>
    <s v="ITA"/>
    <x v="3"/>
    <x v="3"/>
    <n v="3890597598"/>
    <n v="1659440194"/>
    <n v="144"/>
    <n v="16"/>
    <n v="160"/>
    <n v="450"/>
    <n v="610"/>
    <n v="4"/>
    <n v="10"/>
    <n v="21"/>
    <n v="38"/>
    <n v="669"/>
    <n v="9983"/>
  </r>
  <r>
    <x v="37"/>
    <s v="ITA"/>
    <x v="4"/>
    <x v="4"/>
    <n v="4083956555"/>
    <n v="1425084984"/>
    <n v="478"/>
    <n v="129"/>
    <n v="607"/>
    <n v="1369"/>
    <n v="1976"/>
    <n v="105"/>
    <n v="139"/>
    <n v="107"/>
    <n v="148"/>
    <n v="2231"/>
    <n v="15728"/>
  </r>
  <r>
    <x v="37"/>
    <s v="ITA"/>
    <x v="5"/>
    <x v="5"/>
    <n v="4449436681"/>
    <n v="113417208"/>
    <n v="3898"/>
    <n v="359"/>
    <n v="4257"/>
    <n v="7232"/>
    <n v="11489"/>
    <n v="536"/>
    <n v="713"/>
    <n v="1566"/>
    <n v="1732"/>
    <n v="14787"/>
    <n v="58457"/>
  </r>
  <r>
    <x v="37"/>
    <s v="ITA"/>
    <x v="6"/>
    <x v="6"/>
    <n v="456494354"/>
    <n v="1376813649"/>
    <n v="206"/>
    <n v="60"/>
    <n v="266"/>
    <n v="940"/>
    <n v="1206"/>
    <n v="46"/>
    <n v="92"/>
    <n v="357"/>
    <n v="122"/>
    <n v="1685"/>
    <n v="15987"/>
  </r>
  <r>
    <x v="37"/>
    <s v="ITA"/>
    <x v="7"/>
    <x v="7"/>
    <n v="4189277044"/>
    <n v="1248366722"/>
    <n v="1131"/>
    <n v="177"/>
    <n v="1308"/>
    <n v="1450"/>
    <n v="2758"/>
    <n v="116"/>
    <n v="169"/>
    <n v="337"/>
    <n v="169"/>
    <n v="3264"/>
    <n v="35810"/>
  </r>
  <r>
    <x v="37"/>
    <s v="ITA"/>
    <x v="8"/>
    <x v="8"/>
    <n v="4441149315"/>
    <n v="89326992"/>
    <n v="1114"/>
    <n v="179"/>
    <n v="1293"/>
    <n v="1352"/>
    <n v="2645"/>
    <n v="137"/>
    <n v="244"/>
    <n v="555"/>
    <n v="460"/>
    <n v="3660"/>
    <n v="11334"/>
  </r>
  <r>
    <x v="37"/>
    <s v="ITA"/>
    <x v="9"/>
    <x v="9"/>
    <n v="4546679409"/>
    <n v="9190347404"/>
    <n v="11927"/>
    <n v="1342"/>
    <n v="13269"/>
    <n v="12496"/>
    <n v="25765"/>
    <n v="641"/>
    <n v="1565"/>
    <n v="11415"/>
    <n v="7593"/>
    <n v="44773"/>
    <n v="121449"/>
  </r>
  <r>
    <x v="37"/>
    <s v="ITA"/>
    <x v="10"/>
    <x v="10"/>
    <n v="4361675973"/>
    <n v="135188753"/>
    <n v="984"/>
    <n v="168"/>
    <n v="1152"/>
    <n v="2304"/>
    <n v="3456"/>
    <n v="104"/>
    <n v="137"/>
    <n v="29"/>
    <n v="477"/>
    <n v="3962"/>
    <n v="12296"/>
  </r>
  <r>
    <x v="37"/>
    <s v="ITA"/>
    <x v="11"/>
    <x v="11"/>
    <n v="4155774754"/>
    <n v="1465916051"/>
    <n v="32"/>
    <n v="8"/>
    <n v="40"/>
    <n v="91"/>
    <n v="131"/>
    <n v="14"/>
    <n v="16"/>
    <n v="19"/>
    <n v="10"/>
    <n v="160"/>
    <n v="1157"/>
  </r>
  <r>
    <x v="37"/>
    <s v="ITA"/>
    <x v="12"/>
    <x v="12"/>
    <n v="450732745"/>
    <n v="7680687483"/>
    <n v="3146"/>
    <n v="453"/>
    <n v="3599"/>
    <n v="4871"/>
    <n v="8470"/>
    <n v="388"/>
    <n v="494"/>
    <n v="439"/>
    <n v="886"/>
    <n v="9795"/>
    <n v="30060"/>
  </r>
  <r>
    <x v="37"/>
    <s v="ITA"/>
    <x v="13"/>
    <x v="13"/>
    <n v="4112559576"/>
    <n v="1686736689"/>
    <n v="637"/>
    <n v="107"/>
    <n v="744"/>
    <n v="1012"/>
    <n v="1756"/>
    <n v="102"/>
    <n v="143"/>
    <n v="61"/>
    <n v="129"/>
    <n v="1946"/>
    <n v="15209"/>
  </r>
  <r>
    <x v="37"/>
    <s v="ITA"/>
    <x v="14"/>
    <x v="14"/>
    <n v="3921531192"/>
    <n v="9110616306"/>
    <n v="119"/>
    <n v="27"/>
    <n v="146"/>
    <n v="529"/>
    <n v="675"/>
    <n v="18"/>
    <n v="23"/>
    <n v="36"/>
    <n v="34"/>
    <n v="745"/>
    <n v="5501"/>
  </r>
  <r>
    <x v="37"/>
    <s v="ITA"/>
    <x v="15"/>
    <x v="15"/>
    <n v="3811569725"/>
    <n v="133623567"/>
    <n v="496"/>
    <n v="72"/>
    <n v="568"/>
    <n v="976"/>
    <n v="1544"/>
    <n v="52"/>
    <n v="71"/>
    <n v="86"/>
    <n v="88"/>
    <n v="1718"/>
    <n v="16836"/>
  </r>
  <r>
    <x v="37"/>
    <s v="ITA"/>
    <x v="16"/>
    <x v="16"/>
    <n v="4376923077"/>
    <n v="1125588885"/>
    <n v="1120"/>
    <n v="297"/>
    <n v="1417"/>
    <n v="3015"/>
    <n v="4432"/>
    <n v="206"/>
    <n v="259"/>
    <n v="182"/>
    <n v="253"/>
    <n v="4867"/>
    <n v="36575"/>
  </r>
  <r>
    <x v="37"/>
    <s v="ITA"/>
    <x v="2"/>
    <x v="17"/>
    <n v="4606893511"/>
    <n v="1112123097"/>
    <n v="345"/>
    <n v="76"/>
    <n v="421"/>
    <n v="1062"/>
    <n v="1483"/>
    <n v="94"/>
    <n v="124"/>
    <n v="214"/>
    <n v="173"/>
    <n v="1870"/>
    <n v="7675"/>
  </r>
  <r>
    <x v="37"/>
    <s v="ITA"/>
    <x v="17"/>
    <x v="18"/>
    <n v="4310675841"/>
    <n v="1238824698"/>
    <n v="173"/>
    <n v="45"/>
    <n v="218"/>
    <n v="646"/>
    <n v="864"/>
    <n v="13"/>
    <n v="17"/>
    <n v="194"/>
    <n v="37"/>
    <n v="1095"/>
    <n v="9080"/>
  </r>
  <r>
    <x v="37"/>
    <s v="ITA"/>
    <x v="18"/>
    <x v="19"/>
    <n v="4573750286"/>
    <n v="7320149366"/>
    <n v="85"/>
    <n v="27"/>
    <n v="112"/>
    <n v="428"/>
    <n v="540"/>
    <n v="-12"/>
    <n v="3"/>
    <n v="32"/>
    <n v="59"/>
    <n v="631"/>
    <n v="1717"/>
  </r>
  <r>
    <x v="37"/>
    <s v="ITA"/>
    <x v="19"/>
    <x v="20"/>
    <n v="4543490485"/>
    <n v="1233845213"/>
    <n v="1718"/>
    <n v="350"/>
    <n v="2068"/>
    <n v="6156"/>
    <n v="8224"/>
    <n v="374"/>
    <n v="470"/>
    <n v="902"/>
    <n v="499"/>
    <n v="9625"/>
    <n v="112746"/>
  </r>
  <r>
    <x v="38"/>
    <s v="ITA"/>
    <x v="0"/>
    <x v="0"/>
    <n v="4235122196"/>
    <n v="1339843823"/>
    <n v="341"/>
    <n v="75"/>
    <n v="416"/>
    <n v="835"/>
    <n v="1251"/>
    <n v="40"/>
    <n v="61"/>
    <n v="113"/>
    <n v="133"/>
    <n v="1497"/>
    <n v="10647"/>
  </r>
  <r>
    <x v="38"/>
    <s v="ITA"/>
    <x v="1"/>
    <x v="1"/>
    <n v="4063947052"/>
    <n v="1580514834"/>
    <n v="38"/>
    <n v="19"/>
    <n v="57"/>
    <n v="176"/>
    <n v="233"/>
    <n v="8"/>
    <n v="9"/>
    <n v="3"/>
    <n v="10"/>
    <n v="246"/>
    <n v="2427"/>
  </r>
  <r>
    <x v="38"/>
    <s v="ITA"/>
    <x v="2"/>
    <x v="2"/>
    <n v="4649933453"/>
    <n v="1135662422"/>
    <n v="279"/>
    <n v="60"/>
    <n v="339"/>
    <n v="821"/>
    <n v="1160"/>
    <n v="48"/>
    <n v="61"/>
    <n v="190"/>
    <n v="129"/>
    <n v="1479"/>
    <n v="12677"/>
  </r>
  <r>
    <x v="38"/>
    <s v="ITA"/>
    <x v="3"/>
    <x v="3"/>
    <n v="3890597598"/>
    <n v="1659440194"/>
    <n v="163"/>
    <n v="19"/>
    <n v="182"/>
    <n v="445"/>
    <n v="627"/>
    <n v="17"/>
    <n v="22"/>
    <n v="23"/>
    <n v="41"/>
    <n v="691"/>
    <n v="10679"/>
  </r>
  <r>
    <x v="38"/>
    <s v="ITA"/>
    <x v="4"/>
    <x v="4"/>
    <n v="4083956555"/>
    <n v="1425084984"/>
    <n v="503"/>
    <n v="120"/>
    <n v="623"/>
    <n v="1517"/>
    <n v="2140"/>
    <n v="164"/>
    <n v="225"/>
    <n v="149"/>
    <n v="167"/>
    <n v="2456"/>
    <n v="17404"/>
  </r>
  <r>
    <x v="38"/>
    <s v="ITA"/>
    <x v="5"/>
    <x v="5"/>
    <n v="4449436681"/>
    <n v="113417208"/>
    <n v="3944"/>
    <n v="366"/>
    <n v="4310"/>
    <n v="7549"/>
    <n v="11859"/>
    <n v="370"/>
    <n v="546"/>
    <n v="1663"/>
    <n v="1811"/>
    <n v="15333"/>
    <n v="60507"/>
  </r>
  <r>
    <x v="38"/>
    <s v="ITA"/>
    <x v="6"/>
    <x v="6"/>
    <n v="456494354"/>
    <n v="1376813649"/>
    <n v="199"/>
    <n v="60"/>
    <n v="259"/>
    <n v="1035"/>
    <n v="1294"/>
    <n v="88"/>
    <n v="114"/>
    <n v="376"/>
    <n v="129"/>
    <n v="1799"/>
    <n v="17121"/>
  </r>
  <r>
    <x v="38"/>
    <s v="ITA"/>
    <x v="7"/>
    <x v="7"/>
    <n v="4189277044"/>
    <n v="1248366722"/>
    <n v="1169"/>
    <n v="181"/>
    <n v="1350"/>
    <n v="1529"/>
    <n v="2879"/>
    <n v="121"/>
    <n v="169"/>
    <n v="369"/>
    <n v="185"/>
    <n v="3433"/>
    <n v="41575"/>
  </r>
  <r>
    <x v="38"/>
    <s v="ITA"/>
    <x v="8"/>
    <x v="8"/>
    <n v="4441149315"/>
    <n v="89326992"/>
    <n v="1120"/>
    <n v="172"/>
    <n v="1292"/>
    <n v="1368"/>
    <n v="2660"/>
    <n v="15"/>
    <n v="122"/>
    <n v="634"/>
    <n v="488"/>
    <n v="3782"/>
    <n v="12069"/>
  </r>
  <r>
    <x v="38"/>
    <s v="ITA"/>
    <x v="9"/>
    <x v="9"/>
    <n v="4546679409"/>
    <n v="9190347404"/>
    <n v="11762"/>
    <n v="1351"/>
    <n v="13113"/>
    <n v="12763"/>
    <n v="25876"/>
    <n v="111"/>
    <n v="1292"/>
    <n v="12229"/>
    <n v="7960"/>
    <n v="46065"/>
    <n v="128286"/>
  </r>
  <r>
    <x v="38"/>
    <s v="ITA"/>
    <x v="10"/>
    <x v="10"/>
    <n v="4361675973"/>
    <n v="135188753"/>
    <n v="986"/>
    <n v="164"/>
    <n v="1150"/>
    <n v="2405"/>
    <n v="3555"/>
    <n v="99"/>
    <n v="136"/>
    <n v="40"/>
    <n v="503"/>
    <n v="4098"/>
    <n v="12943"/>
  </r>
  <r>
    <x v="38"/>
    <s v="ITA"/>
    <x v="11"/>
    <x v="11"/>
    <n v="4155774754"/>
    <n v="1465916051"/>
    <n v="30"/>
    <n v="8"/>
    <n v="38"/>
    <n v="95"/>
    <n v="133"/>
    <n v="2"/>
    <n v="5"/>
    <n v="21"/>
    <n v="11"/>
    <n v="165"/>
    <n v="1229"/>
  </r>
  <r>
    <x v="38"/>
    <s v="ITA"/>
    <x v="12"/>
    <x v="12"/>
    <n v="450732745"/>
    <n v="7680687483"/>
    <n v="3341"/>
    <n v="453"/>
    <n v="3794"/>
    <n v="5005"/>
    <n v="8799"/>
    <n v="329"/>
    <n v="558"/>
    <n v="571"/>
    <n v="983"/>
    <n v="10353"/>
    <n v="32100"/>
  </r>
  <r>
    <x v="38"/>
    <s v="ITA"/>
    <x v="13"/>
    <x v="13"/>
    <n v="4112559576"/>
    <n v="1686736689"/>
    <n v="645"/>
    <n v="118"/>
    <n v="763"/>
    <n v="1101"/>
    <n v="1864"/>
    <n v="108"/>
    <n v="131"/>
    <n v="69"/>
    <n v="144"/>
    <n v="2077"/>
    <n v="16554"/>
  </r>
  <r>
    <x v="38"/>
    <s v="ITA"/>
    <x v="14"/>
    <x v="14"/>
    <n v="3921531192"/>
    <n v="9110616306"/>
    <n v="117"/>
    <n v="24"/>
    <n v="141"/>
    <n v="577"/>
    <n v="718"/>
    <n v="43"/>
    <n v="49"/>
    <n v="36"/>
    <n v="40"/>
    <n v="794"/>
    <n v="5970"/>
  </r>
  <r>
    <x v="38"/>
    <s v="ITA"/>
    <x v="15"/>
    <x v="15"/>
    <n v="3811569725"/>
    <n v="133623567"/>
    <n v="503"/>
    <n v="73"/>
    <n v="576"/>
    <n v="1030"/>
    <n v="1606"/>
    <n v="62"/>
    <n v="73"/>
    <n v="92"/>
    <n v="93"/>
    <n v="1791"/>
    <n v="17833"/>
  </r>
  <r>
    <x v="38"/>
    <s v="ITA"/>
    <x v="16"/>
    <x v="16"/>
    <n v="4376923077"/>
    <n v="1125588885"/>
    <n v="1135"/>
    <n v="295"/>
    <n v="1430"/>
    <n v="3359"/>
    <n v="4789"/>
    <n v="357"/>
    <n v="406"/>
    <n v="216"/>
    <n v="268"/>
    <n v="5273"/>
    <n v="40724"/>
  </r>
  <r>
    <x v="38"/>
    <s v="ITA"/>
    <x v="2"/>
    <x v="17"/>
    <n v="4606893511"/>
    <n v="1112123097"/>
    <n v="339"/>
    <n v="78"/>
    <n v="417"/>
    <n v="1170"/>
    <n v="1587"/>
    <n v="104"/>
    <n v="133"/>
    <n v="229"/>
    <n v="187"/>
    <n v="2003"/>
    <n v="8496"/>
  </r>
  <r>
    <x v="38"/>
    <s v="ITA"/>
    <x v="17"/>
    <x v="18"/>
    <n v="4310675841"/>
    <n v="1238824698"/>
    <n v="171"/>
    <n v="47"/>
    <n v="218"/>
    <n v="667"/>
    <n v="885"/>
    <n v="21"/>
    <n v="33"/>
    <n v="205"/>
    <n v="38"/>
    <n v="1128"/>
    <n v="9737"/>
  </r>
  <r>
    <x v="38"/>
    <s v="ITA"/>
    <x v="18"/>
    <x v="19"/>
    <n v="4573750286"/>
    <n v="7320149366"/>
    <n v="85"/>
    <n v="25"/>
    <n v="110"/>
    <n v="446"/>
    <n v="556"/>
    <n v="16"/>
    <n v="37"/>
    <n v="49"/>
    <n v="63"/>
    <n v="668"/>
    <n v="1934"/>
  </r>
  <r>
    <x v="38"/>
    <s v="ITA"/>
    <x v="19"/>
    <x v="20"/>
    <n v="4543490485"/>
    <n v="1233845213"/>
    <n v="1670"/>
    <n v="345"/>
    <n v="2015"/>
    <n v="6563"/>
    <n v="8578"/>
    <n v="354"/>
    <n v="486"/>
    <n v="1001"/>
    <n v="532"/>
    <n v="10111"/>
    <n v="120320"/>
  </r>
  <r>
    <x v="39"/>
    <s v="ITA"/>
    <x v="0"/>
    <x v="0"/>
    <n v="4235122196"/>
    <n v="1339843823"/>
    <n v="361"/>
    <n v="76"/>
    <n v="437"/>
    <n v="864"/>
    <n v="1301"/>
    <n v="50"/>
    <n v="66"/>
    <n v="116"/>
    <n v="146"/>
    <n v="1563"/>
    <n v="11890"/>
  </r>
  <r>
    <x v="39"/>
    <s v="ITA"/>
    <x v="1"/>
    <x v="1"/>
    <n v="4063947052"/>
    <n v="1580514834"/>
    <n v="41"/>
    <n v="19"/>
    <n v="60"/>
    <n v="187"/>
    <n v="247"/>
    <n v="14"/>
    <n v="15"/>
    <n v="3"/>
    <n v="11"/>
    <n v="261"/>
    <n v="2622"/>
  </r>
  <r>
    <x v="39"/>
    <s v="ITA"/>
    <x v="2"/>
    <x v="2"/>
    <n v="4649933453"/>
    <n v="1135662422"/>
    <n v="291"/>
    <n v="60"/>
    <n v="351"/>
    <n v="858"/>
    <n v="1209"/>
    <n v="49"/>
    <n v="80"/>
    <n v="211"/>
    <n v="139"/>
    <n v="1559"/>
    <n v="13976"/>
  </r>
  <r>
    <x v="39"/>
    <s v="ITA"/>
    <x v="3"/>
    <x v="3"/>
    <n v="3890597598"/>
    <n v="1659440194"/>
    <n v="183"/>
    <n v="17"/>
    <n v="200"/>
    <n v="462"/>
    <n v="662"/>
    <n v="35"/>
    <n v="42"/>
    <n v="26"/>
    <n v="45"/>
    <n v="733"/>
    <n v="11608"/>
  </r>
  <r>
    <x v="39"/>
    <s v="ITA"/>
    <x v="4"/>
    <x v="4"/>
    <n v="4083956555"/>
    <n v="1425084984"/>
    <n v="532"/>
    <n v="115"/>
    <n v="647"/>
    <n v="1705"/>
    <n v="2352"/>
    <n v="212"/>
    <n v="221"/>
    <n v="144"/>
    <n v="181"/>
    <n v="2677"/>
    <n v="19237"/>
  </r>
  <r>
    <x v="39"/>
    <s v="ITA"/>
    <x v="5"/>
    <x v="5"/>
    <n v="4449436681"/>
    <n v="113417208"/>
    <n v="3915"/>
    <n v="364"/>
    <n v="4279"/>
    <n v="7899"/>
    <n v="12178"/>
    <n v="319"/>
    <n v="599"/>
    <n v="1852"/>
    <n v="1902"/>
    <n v="15932"/>
    <n v="63682"/>
  </r>
  <r>
    <x v="39"/>
    <s v="ITA"/>
    <x v="6"/>
    <x v="6"/>
    <n v="456494354"/>
    <n v="1376813649"/>
    <n v="201"/>
    <n v="61"/>
    <n v="262"/>
    <n v="1062"/>
    <n v="1324"/>
    <n v="30"/>
    <n v="80"/>
    <n v="419"/>
    <n v="136"/>
    <n v="1879"/>
    <n v="19985"/>
  </r>
  <r>
    <x v="39"/>
    <s v="ITA"/>
    <x v="7"/>
    <x v="7"/>
    <n v="4189277044"/>
    <n v="1248366722"/>
    <n v="1194"/>
    <n v="188"/>
    <n v="1382"/>
    <n v="1627"/>
    <n v="3009"/>
    <n v="130"/>
    <n v="167"/>
    <n v="392"/>
    <n v="199"/>
    <n v="3600"/>
    <n v="43776"/>
  </r>
  <r>
    <x v="39"/>
    <s v="ITA"/>
    <x v="8"/>
    <x v="8"/>
    <n v="4441149315"/>
    <n v="89326992"/>
    <n v="1147"/>
    <n v="173"/>
    <n v="1320"/>
    <n v="1426"/>
    <n v="2746"/>
    <n v="86"/>
    <n v="183"/>
    <n v="700"/>
    <n v="519"/>
    <n v="3965"/>
    <n v="12934"/>
  </r>
  <r>
    <x v="39"/>
    <s v="ITA"/>
    <x v="9"/>
    <x v="9"/>
    <n v="4546679409"/>
    <n v="9190347404"/>
    <n v="11802"/>
    <n v="1381"/>
    <n v="13183"/>
    <n v="13006"/>
    <n v="26189"/>
    <n v="313"/>
    <n v="1455"/>
    <n v="13020"/>
    <n v="8311"/>
    <n v="47520"/>
    <n v="135051"/>
  </r>
  <r>
    <x v="39"/>
    <s v="ITA"/>
    <x v="10"/>
    <x v="10"/>
    <n v="4361675973"/>
    <n v="135188753"/>
    <n v="982"/>
    <n v="158"/>
    <n v="1140"/>
    <n v="2491"/>
    <n v="3631"/>
    <n v="76"/>
    <n v="132"/>
    <n v="42"/>
    <n v="557"/>
    <n v="4230"/>
    <n v="13678"/>
  </r>
  <r>
    <x v="39"/>
    <s v="ITA"/>
    <x v="11"/>
    <x v="11"/>
    <n v="4155774754"/>
    <n v="1465916051"/>
    <n v="31"/>
    <n v="8"/>
    <n v="39"/>
    <n v="105"/>
    <n v="144"/>
    <n v="11"/>
    <n v="11"/>
    <n v="21"/>
    <n v="11"/>
    <n v="176"/>
    <n v="1378"/>
  </r>
  <r>
    <x v="39"/>
    <s v="ITA"/>
    <x v="12"/>
    <x v="12"/>
    <n v="450732745"/>
    <n v="7680687483"/>
    <n v="3300"/>
    <n v="452"/>
    <n v="3752"/>
    <n v="5378"/>
    <n v="9130"/>
    <n v="331"/>
    <n v="543"/>
    <n v="723"/>
    <n v="1043"/>
    <n v="10896"/>
    <n v="34281"/>
  </r>
  <r>
    <x v="39"/>
    <s v="ITA"/>
    <x v="13"/>
    <x v="13"/>
    <n v="4112559576"/>
    <n v="1686736689"/>
    <n v="648"/>
    <n v="123"/>
    <n v="771"/>
    <n v="1178"/>
    <n v="1949"/>
    <n v="85"/>
    <n v="105"/>
    <n v="69"/>
    <n v="164"/>
    <n v="2182"/>
    <n v="17924"/>
  </r>
  <r>
    <x v="39"/>
    <s v="ITA"/>
    <x v="14"/>
    <x v="14"/>
    <n v="3921531192"/>
    <n v="9110616306"/>
    <n v="122"/>
    <n v="24"/>
    <n v="146"/>
    <n v="598"/>
    <n v="744"/>
    <n v="26"/>
    <n v="31"/>
    <n v="40"/>
    <n v="41"/>
    <n v="825"/>
    <n v="6478"/>
  </r>
  <r>
    <x v="39"/>
    <s v="ITA"/>
    <x v="15"/>
    <x v="15"/>
    <n v="3811569725"/>
    <n v="133623567"/>
    <n v="535"/>
    <n v="73"/>
    <n v="608"/>
    <n v="1056"/>
    <n v="1664"/>
    <n v="58"/>
    <n v="68"/>
    <n v="94"/>
    <n v="101"/>
    <n v="1859"/>
    <n v="18686"/>
  </r>
  <r>
    <x v="39"/>
    <s v="ITA"/>
    <x v="16"/>
    <x v="16"/>
    <n v="4376923077"/>
    <n v="1125588885"/>
    <n v="1149"/>
    <n v="288"/>
    <n v="1437"/>
    <n v="3472"/>
    <n v="4909"/>
    <n v="120"/>
    <n v="226"/>
    <n v="300"/>
    <n v="290"/>
    <n v="5499"/>
    <n v="44460"/>
  </r>
  <r>
    <x v="39"/>
    <s v="ITA"/>
    <x v="2"/>
    <x v="17"/>
    <n v="4606893511"/>
    <n v="1112123097"/>
    <n v="343"/>
    <n v="80"/>
    <n v="423"/>
    <n v="1236"/>
    <n v="1659"/>
    <n v="72"/>
    <n v="106"/>
    <n v="246"/>
    <n v="204"/>
    <n v="2109"/>
    <n v="8993"/>
  </r>
  <r>
    <x v="39"/>
    <s v="ITA"/>
    <x v="17"/>
    <x v="18"/>
    <n v="4310675841"/>
    <n v="1238824698"/>
    <n v="165"/>
    <n v="48"/>
    <n v="213"/>
    <n v="707"/>
    <n v="920"/>
    <n v="35"/>
    <n v="51"/>
    <n v="220"/>
    <n v="39"/>
    <n v="1179"/>
    <n v="10614"/>
  </r>
  <r>
    <x v="39"/>
    <s v="ITA"/>
    <x v="18"/>
    <x v="19"/>
    <n v="4573750286"/>
    <n v="7320149366"/>
    <n v="85"/>
    <n v="25"/>
    <n v="110"/>
    <n v="450"/>
    <n v="560"/>
    <n v="4"/>
    <n v="51"/>
    <n v="89"/>
    <n v="70"/>
    <n v="719"/>
    <n v="2106"/>
  </r>
  <r>
    <x v="39"/>
    <s v="ITA"/>
    <x v="19"/>
    <x v="20"/>
    <n v="4543490485"/>
    <n v="1233845213"/>
    <n v="1714"/>
    <n v="335"/>
    <n v="2049"/>
    <n v="6812"/>
    <n v="8861"/>
    <n v="283"/>
    <n v="353"/>
    <n v="1031"/>
    <n v="572"/>
    <n v="10464"/>
    <n v="126490"/>
  </r>
  <r>
    <x v="40"/>
    <s v="ITA"/>
    <x v="0"/>
    <x v="0"/>
    <n v="4235122196"/>
    <n v="1339843823"/>
    <n v="354"/>
    <n v="71"/>
    <n v="425"/>
    <n v="931"/>
    <n v="1356"/>
    <n v="55"/>
    <n v="65"/>
    <n v="119"/>
    <n v="153"/>
    <n v="1628"/>
    <n v="12837"/>
  </r>
  <r>
    <x v="40"/>
    <s v="ITA"/>
    <x v="1"/>
    <x v="1"/>
    <n v="4063947052"/>
    <n v="1580514834"/>
    <n v="44"/>
    <n v="19"/>
    <n v="63"/>
    <n v="181"/>
    <n v="244"/>
    <n v="-3"/>
    <n v="3"/>
    <n v="9"/>
    <n v="11"/>
    <n v="264"/>
    <n v="2765"/>
  </r>
  <r>
    <x v="40"/>
    <s v="ITA"/>
    <x v="2"/>
    <x v="2"/>
    <n v="4649933453"/>
    <n v="1135662422"/>
    <n v="291"/>
    <n v="61"/>
    <n v="352"/>
    <n v="849"/>
    <n v="1201"/>
    <n v="-8"/>
    <n v="33"/>
    <n v="245"/>
    <n v="146"/>
    <n v="1592"/>
    <n v="15045"/>
  </r>
  <r>
    <x v="40"/>
    <s v="ITA"/>
    <x v="3"/>
    <x v="3"/>
    <n v="3890597598"/>
    <n v="1659440194"/>
    <n v="178"/>
    <n v="15"/>
    <n v="193"/>
    <n v="469"/>
    <n v="662"/>
    <n v="0"/>
    <n v="8"/>
    <n v="30"/>
    <n v="49"/>
    <n v="741"/>
    <n v="12314"/>
  </r>
  <r>
    <x v="40"/>
    <s v="ITA"/>
    <x v="4"/>
    <x v="4"/>
    <n v="4083956555"/>
    <n v="1425084984"/>
    <n v="567"/>
    <n v="114"/>
    <n v="681"/>
    <n v="1815"/>
    <n v="2496"/>
    <n v="144"/>
    <n v="151"/>
    <n v="146"/>
    <n v="186"/>
    <n v="2828"/>
    <n v="21534"/>
  </r>
  <r>
    <x v="40"/>
    <s v="ITA"/>
    <x v="5"/>
    <x v="5"/>
    <n v="4449436681"/>
    <n v="113417208"/>
    <n v="3859"/>
    <n v="358"/>
    <n v="4217"/>
    <n v="8306"/>
    <n v="12523"/>
    <n v="345"/>
    <n v="608"/>
    <n v="2040"/>
    <n v="1977"/>
    <n v="16540"/>
    <n v="67075"/>
  </r>
  <r>
    <x v="40"/>
    <s v="ITA"/>
    <x v="6"/>
    <x v="6"/>
    <n v="456494354"/>
    <n v="1376813649"/>
    <n v="183"/>
    <n v="50"/>
    <n v="233"/>
    <n v="1103"/>
    <n v="1336"/>
    <n v="12"/>
    <n v="107"/>
    <n v="505"/>
    <n v="145"/>
    <n v="1986"/>
    <n v="21126"/>
  </r>
  <r>
    <x v="40"/>
    <s v="ITA"/>
    <x v="7"/>
    <x v="7"/>
    <n v="4189277044"/>
    <n v="1248366722"/>
    <n v="1236"/>
    <n v="193"/>
    <n v="1429"/>
    <n v="1677"/>
    <n v="3106"/>
    <n v="97"/>
    <n v="157"/>
    <n v="439"/>
    <n v="212"/>
    <n v="3757"/>
    <n v="44624"/>
  </r>
  <r>
    <x v="40"/>
    <s v="ITA"/>
    <x v="8"/>
    <x v="8"/>
    <n v="4441149315"/>
    <n v="89326992"/>
    <n v="1121"/>
    <n v="169"/>
    <n v="1290"/>
    <n v="1604"/>
    <n v="2894"/>
    <n v="148"/>
    <n v="238"/>
    <n v="767"/>
    <n v="542"/>
    <n v="4203"/>
    <n v="14087"/>
  </r>
  <r>
    <x v="40"/>
    <s v="ITA"/>
    <x v="9"/>
    <x v="9"/>
    <n v="4546679409"/>
    <n v="9190347404"/>
    <n v="12002"/>
    <n v="1326"/>
    <n v="13328"/>
    <n v="13892"/>
    <n v="27220"/>
    <n v="1031"/>
    <n v="1598"/>
    <n v="13242"/>
    <n v="8656"/>
    <n v="49118"/>
    <n v="141877"/>
  </r>
  <r>
    <x v="40"/>
    <s v="ITA"/>
    <x v="10"/>
    <x v="10"/>
    <n v="4361675973"/>
    <n v="135188753"/>
    <n v="997"/>
    <n v="153"/>
    <n v="1150"/>
    <n v="2347"/>
    <n v="3497"/>
    <n v="-134"/>
    <n v="111"/>
    <n v="270"/>
    <n v="574"/>
    <n v="4341"/>
    <n v="14472"/>
  </r>
  <r>
    <x v="40"/>
    <s v="ITA"/>
    <x v="11"/>
    <x v="11"/>
    <n v="4155774754"/>
    <n v="1465916051"/>
    <n v="31"/>
    <n v="6"/>
    <n v="37"/>
    <n v="134"/>
    <n v="171"/>
    <n v="27"/>
    <n v="30"/>
    <n v="24"/>
    <n v="11"/>
    <n v="206"/>
    <n v="1504"/>
  </r>
  <r>
    <x v="40"/>
    <s v="ITA"/>
    <x v="12"/>
    <x v="12"/>
    <n v="450732745"/>
    <n v="7680687483"/>
    <n v="3441"/>
    <n v="450"/>
    <n v="3891"/>
    <n v="5802"/>
    <n v="9693"/>
    <n v="563"/>
    <n v="813"/>
    <n v="888"/>
    <n v="1128"/>
    <n v="11709"/>
    <n v="37181"/>
  </r>
  <r>
    <x v="40"/>
    <s v="ITA"/>
    <x v="13"/>
    <x v="13"/>
    <n v="4112559576"/>
    <n v="1686736689"/>
    <n v="627"/>
    <n v="153"/>
    <n v="780"/>
    <n v="1193"/>
    <n v="1973"/>
    <n v="24"/>
    <n v="58"/>
    <n v="94"/>
    <n v="173"/>
    <n v="2240"/>
    <n v="18977"/>
  </r>
  <r>
    <x v="40"/>
    <s v="ITA"/>
    <x v="14"/>
    <x v="14"/>
    <n v="3921531192"/>
    <n v="9110616306"/>
    <n v="123"/>
    <n v="24"/>
    <n v="147"/>
    <n v="642"/>
    <n v="789"/>
    <n v="45"/>
    <n v="49"/>
    <n v="44"/>
    <n v="41"/>
    <n v="874"/>
    <n v="6789"/>
  </r>
  <r>
    <x v="40"/>
    <s v="ITA"/>
    <x v="15"/>
    <x v="15"/>
    <n v="3811569725"/>
    <n v="133623567"/>
    <n v="553"/>
    <n v="74"/>
    <n v="627"/>
    <n v="1099"/>
    <n v="1726"/>
    <n v="62"/>
    <n v="73"/>
    <n v="95"/>
    <n v="111"/>
    <n v="1932"/>
    <n v="19896"/>
  </r>
  <r>
    <x v="40"/>
    <s v="ITA"/>
    <x v="16"/>
    <x v="16"/>
    <n v="4376923077"/>
    <n v="1125588885"/>
    <n v="1129"/>
    <n v="286"/>
    <n v="1415"/>
    <n v="3639"/>
    <n v="5054"/>
    <n v="145"/>
    <n v="172"/>
    <n v="310"/>
    <n v="307"/>
    <n v="5671"/>
    <n v="47886"/>
  </r>
  <r>
    <x v="40"/>
    <s v="ITA"/>
    <x v="2"/>
    <x v="17"/>
    <n v="4606893511"/>
    <n v="1112123097"/>
    <n v="353"/>
    <n v="81"/>
    <n v="434"/>
    <n v="1319"/>
    <n v="1753"/>
    <n v="94"/>
    <n v="111"/>
    <n v="257"/>
    <n v="210"/>
    <n v="2220"/>
    <n v="9863"/>
  </r>
  <r>
    <x v="40"/>
    <s v="ITA"/>
    <x v="17"/>
    <x v="18"/>
    <n v="4310675841"/>
    <n v="1238824698"/>
    <n v="167"/>
    <n v="44"/>
    <n v="211"/>
    <n v="716"/>
    <n v="927"/>
    <n v="7"/>
    <n v="31"/>
    <n v="242"/>
    <n v="41"/>
    <n v="1210"/>
    <n v="11809"/>
  </r>
  <r>
    <x v="40"/>
    <s v="ITA"/>
    <x v="18"/>
    <x v="19"/>
    <n v="4573750286"/>
    <n v="7320149366"/>
    <n v="63"/>
    <n v="23"/>
    <n v="86"/>
    <n v="474"/>
    <n v="560"/>
    <n v="0"/>
    <n v="29"/>
    <n v="106"/>
    <n v="82"/>
    <n v="748"/>
    <n v="2274"/>
  </r>
  <r>
    <x v="40"/>
    <s v="ITA"/>
    <x v="19"/>
    <x v="20"/>
    <n v="4543490485"/>
    <n v="1233845213"/>
    <n v="1691"/>
    <n v="324"/>
    <n v="2015"/>
    <n v="7078"/>
    <n v="9093"/>
    <n v="232"/>
    <n v="360"/>
    <n v="1124"/>
    <n v="607"/>
    <n v="10824"/>
    <n v="133289"/>
  </r>
  <r>
    <x v="41"/>
    <s v="ITA"/>
    <x v="0"/>
    <x v="0"/>
    <n v="4235122196"/>
    <n v="1339843823"/>
    <n v="347"/>
    <n v="67"/>
    <n v="414"/>
    <n v="1006"/>
    <n v="1420"/>
    <n v="64"/>
    <n v="75"/>
    <n v="125"/>
    <n v="158"/>
    <n v="1703"/>
    <n v="13598"/>
  </r>
  <r>
    <x v="41"/>
    <s v="ITA"/>
    <x v="1"/>
    <x v="1"/>
    <n v="4063947052"/>
    <n v="1580514834"/>
    <n v="46"/>
    <n v="18"/>
    <n v="64"/>
    <n v="190"/>
    <n v="254"/>
    <n v="10"/>
    <n v="14"/>
    <n v="11"/>
    <n v="13"/>
    <n v="278"/>
    <n v="2931"/>
  </r>
  <r>
    <x v="41"/>
    <s v="ITA"/>
    <x v="2"/>
    <x v="2"/>
    <n v="4649933453"/>
    <n v="1135662422"/>
    <n v="239"/>
    <n v="53"/>
    <n v="292"/>
    <n v="934"/>
    <n v="1226"/>
    <n v="25"/>
    <n v="52"/>
    <n v="260"/>
    <n v="158"/>
    <n v="1644"/>
    <n v="15723"/>
  </r>
  <r>
    <x v="41"/>
    <s v="ITA"/>
    <x v="3"/>
    <x v="3"/>
    <n v="3890597598"/>
    <n v="1659440194"/>
    <n v="174"/>
    <n v="13"/>
    <n v="187"/>
    <n v="519"/>
    <n v="706"/>
    <n v="44"/>
    <n v="54"/>
    <n v="33"/>
    <n v="56"/>
    <n v="795"/>
    <n v="13077"/>
  </r>
  <r>
    <x v="41"/>
    <s v="ITA"/>
    <x v="4"/>
    <x v="4"/>
    <n v="4083956555"/>
    <n v="1425084984"/>
    <n v="609"/>
    <n v="108"/>
    <n v="717"/>
    <n v="1904"/>
    <n v="2621"/>
    <n v="125"/>
    <n v="132"/>
    <n v="150"/>
    <n v="189"/>
    <n v="2960"/>
    <n v="23139"/>
  </r>
  <r>
    <x v="41"/>
    <s v="ITA"/>
    <x v="5"/>
    <x v="5"/>
    <n v="4449436681"/>
    <n v="113417208"/>
    <n v="3839"/>
    <n v="375"/>
    <n v="4214"/>
    <n v="8623"/>
    <n v="12837"/>
    <n v="314"/>
    <n v="549"/>
    <n v="2201"/>
    <n v="2051"/>
    <n v="17089"/>
    <n v="69986"/>
  </r>
  <r>
    <x v="41"/>
    <s v="ITA"/>
    <x v="6"/>
    <x v="6"/>
    <n v="456494354"/>
    <n v="1376813649"/>
    <n v="185"/>
    <n v="50"/>
    <n v="235"/>
    <n v="1128"/>
    <n v="1363"/>
    <n v="27"/>
    <n v="62"/>
    <n v="531"/>
    <n v="154"/>
    <n v="2048"/>
    <n v="21652"/>
  </r>
  <r>
    <x v="41"/>
    <s v="ITA"/>
    <x v="7"/>
    <x v="7"/>
    <n v="4189277044"/>
    <n v="1248366722"/>
    <n v="1235"/>
    <n v="197"/>
    <n v="1432"/>
    <n v="1754"/>
    <n v="3186"/>
    <n v="80"/>
    <n v="123"/>
    <n v="475"/>
    <n v="219"/>
    <n v="3880"/>
    <n v="44658"/>
  </r>
  <r>
    <x v="41"/>
    <s v="ITA"/>
    <x v="8"/>
    <x v="8"/>
    <n v="4441149315"/>
    <n v="89326992"/>
    <n v="1126"/>
    <n v="165"/>
    <n v="1291"/>
    <n v="1802"/>
    <n v="3093"/>
    <n v="199"/>
    <n v="246"/>
    <n v="800"/>
    <n v="556"/>
    <n v="4449"/>
    <n v="15047"/>
  </r>
  <r>
    <x v="41"/>
    <s v="ITA"/>
    <x v="9"/>
    <x v="9"/>
    <n v="4546679409"/>
    <n v="9190347404"/>
    <n v="12009"/>
    <n v="1317"/>
    <n v="13326"/>
    <n v="14798"/>
    <n v="28124"/>
    <n v="904"/>
    <n v="1337"/>
    <n v="13426"/>
    <n v="8905"/>
    <n v="50455"/>
    <n v="149984"/>
  </r>
  <r>
    <x v="41"/>
    <s v="ITA"/>
    <x v="10"/>
    <x v="10"/>
    <n v="4361675973"/>
    <n v="135188753"/>
    <n v="987"/>
    <n v="151"/>
    <n v="1138"/>
    <n v="2440"/>
    <n v="3578"/>
    <n v="81"/>
    <n v="123"/>
    <n v="287"/>
    <n v="599"/>
    <n v="4464"/>
    <n v="15252"/>
  </r>
  <r>
    <x v="41"/>
    <s v="ITA"/>
    <x v="11"/>
    <x v="11"/>
    <n v="4155774754"/>
    <n v="1465916051"/>
    <n v="33"/>
    <n v="6"/>
    <n v="39"/>
    <n v="148"/>
    <n v="187"/>
    <n v="16"/>
    <n v="18"/>
    <n v="24"/>
    <n v="13"/>
    <n v="224"/>
    <n v="1504"/>
  </r>
  <r>
    <x v="41"/>
    <s v="ITA"/>
    <x v="12"/>
    <x v="12"/>
    <n v="450732745"/>
    <n v="7680687483"/>
    <n v="3472"/>
    <n v="444"/>
    <n v="3916"/>
    <n v="6261"/>
    <n v="10177"/>
    <n v="484"/>
    <n v="653"/>
    <n v="1017"/>
    <n v="1168"/>
    <n v="12362"/>
    <n v="38539"/>
  </r>
  <r>
    <x v="41"/>
    <s v="ITA"/>
    <x v="13"/>
    <x v="13"/>
    <n v="4112559576"/>
    <n v="1686736689"/>
    <n v="574"/>
    <n v="159"/>
    <n v="733"/>
    <n v="1289"/>
    <n v="2022"/>
    <n v="49"/>
    <n v="77"/>
    <n v="113"/>
    <n v="182"/>
    <n v="2317"/>
    <n v="20080"/>
  </r>
  <r>
    <x v="41"/>
    <s v="ITA"/>
    <x v="14"/>
    <x v="14"/>
    <n v="3921531192"/>
    <n v="9110616306"/>
    <n v="126"/>
    <n v="25"/>
    <n v="151"/>
    <n v="664"/>
    <n v="815"/>
    <n v="26"/>
    <n v="33"/>
    <n v="49"/>
    <n v="43"/>
    <n v="907"/>
    <n v="7157"/>
  </r>
  <r>
    <x v="41"/>
    <s v="ITA"/>
    <x v="15"/>
    <x v="15"/>
    <n v="3811569725"/>
    <n v="133623567"/>
    <n v="556"/>
    <n v="76"/>
    <n v="632"/>
    <n v="1142"/>
    <n v="1774"/>
    <n v="48"/>
    <n v="62"/>
    <n v="104"/>
    <n v="116"/>
    <n v="1994"/>
    <n v="21904"/>
  </r>
  <r>
    <x v="41"/>
    <s v="ITA"/>
    <x v="16"/>
    <x v="16"/>
    <n v="4376923077"/>
    <n v="1125588885"/>
    <n v="1111"/>
    <n v="276"/>
    <n v="1387"/>
    <n v="3798"/>
    <n v="5185"/>
    <n v="131"/>
    <n v="176"/>
    <n v="337"/>
    <n v="325"/>
    <n v="5847"/>
    <n v="51006"/>
  </r>
  <r>
    <x v="41"/>
    <s v="ITA"/>
    <x v="2"/>
    <x v="17"/>
    <n v="4606893511"/>
    <n v="1112123097"/>
    <n v="352"/>
    <n v="80"/>
    <n v="432"/>
    <n v="1363"/>
    <n v="1795"/>
    <n v="42"/>
    <n v="65"/>
    <n v="273"/>
    <n v="217"/>
    <n v="2285"/>
    <n v="10476"/>
  </r>
  <r>
    <x v="41"/>
    <s v="ITA"/>
    <x v="17"/>
    <x v="18"/>
    <n v="4310675841"/>
    <n v="1238824698"/>
    <n v="159"/>
    <n v="45"/>
    <n v="204"/>
    <n v="694"/>
    <n v="898"/>
    <n v="-29"/>
    <n v="29"/>
    <n v="298"/>
    <n v="43"/>
    <n v="1239"/>
    <n v="12448"/>
  </r>
  <r>
    <x v="41"/>
    <s v="ITA"/>
    <x v="18"/>
    <x v="19"/>
    <n v="4573750286"/>
    <n v="7320149366"/>
    <n v="96"/>
    <n v="23"/>
    <n v="119"/>
    <n v="457"/>
    <n v="576"/>
    <n v="16"/>
    <n v="34"/>
    <n v="115"/>
    <n v="91"/>
    <n v="782"/>
    <n v="2390"/>
  </r>
  <r>
    <x v="41"/>
    <s v="ITA"/>
    <x v="19"/>
    <x v="20"/>
    <n v="4543490485"/>
    <n v="1233845213"/>
    <n v="1674"/>
    <n v="329"/>
    <n v="2003"/>
    <n v="7406"/>
    <n v="9409"/>
    <n v="316"/>
    <n v="402"/>
    <n v="1186"/>
    <n v="631"/>
    <n v="11226"/>
    <n v="140910"/>
  </r>
  <r>
    <x v="42"/>
    <s v="ITA"/>
    <x v="0"/>
    <x v="0"/>
    <n v="4235122196"/>
    <n v="1339843823"/>
    <n v="340"/>
    <n v="66"/>
    <n v="406"/>
    <n v="1019"/>
    <n v="1425"/>
    <n v="5"/>
    <n v="18"/>
    <n v="127"/>
    <n v="169"/>
    <n v="1721"/>
    <n v="14198"/>
  </r>
  <r>
    <x v="42"/>
    <s v="ITA"/>
    <x v="1"/>
    <x v="1"/>
    <n v="4063947052"/>
    <n v="1580514834"/>
    <n v="46"/>
    <n v="18"/>
    <n v="64"/>
    <n v="198"/>
    <n v="262"/>
    <n v="8"/>
    <n v="9"/>
    <n v="12"/>
    <n v="13"/>
    <n v="287"/>
    <n v="3061"/>
  </r>
  <r>
    <x v="42"/>
    <s v="ITA"/>
    <x v="2"/>
    <x v="2"/>
    <n v="4649933453"/>
    <n v="1135662422"/>
    <n v="245"/>
    <n v="52"/>
    <n v="297"/>
    <n v="963"/>
    <n v="1260"/>
    <n v="34"/>
    <n v="78"/>
    <n v="298"/>
    <n v="164"/>
    <n v="1722"/>
    <n v="16825"/>
  </r>
  <r>
    <x v="42"/>
    <s v="ITA"/>
    <x v="3"/>
    <x v="3"/>
    <n v="3890597598"/>
    <n v="1659440194"/>
    <n v="170"/>
    <n v="14"/>
    <n v="184"/>
    <n v="538"/>
    <n v="722"/>
    <n v="16"/>
    <n v="22"/>
    <n v="37"/>
    <n v="58"/>
    <n v="817"/>
    <n v="13633"/>
  </r>
  <r>
    <x v="42"/>
    <s v="ITA"/>
    <x v="4"/>
    <x v="4"/>
    <n v="4083956555"/>
    <n v="1425084984"/>
    <n v="610"/>
    <n v="101"/>
    <n v="711"/>
    <n v="1987"/>
    <n v="2698"/>
    <n v="77"/>
    <n v="98"/>
    <n v="156"/>
    <n v="204"/>
    <n v="3058"/>
    <n v="24526"/>
  </r>
  <r>
    <x v="42"/>
    <s v="ITA"/>
    <x v="5"/>
    <x v="5"/>
    <n v="4449436681"/>
    <n v="113417208"/>
    <n v="3804"/>
    <n v="372"/>
    <n v="4176"/>
    <n v="8875"/>
    <n v="13051"/>
    <n v="214"/>
    <n v="467"/>
    <n v="2397"/>
    <n v="2108"/>
    <n v="17556"/>
    <n v="72163"/>
  </r>
  <r>
    <x v="42"/>
    <s v="ITA"/>
    <x v="6"/>
    <x v="6"/>
    <n v="456494354"/>
    <n v="1376813649"/>
    <n v="189"/>
    <n v="46"/>
    <n v="235"/>
    <n v="1161"/>
    <n v="1396"/>
    <n v="33"/>
    <n v="55"/>
    <n v="549"/>
    <n v="158"/>
    <n v="2103"/>
    <n v="22272"/>
  </r>
  <r>
    <x v="42"/>
    <s v="ITA"/>
    <x v="7"/>
    <x v="7"/>
    <n v="4189277044"/>
    <n v="1248366722"/>
    <n v="1235"/>
    <n v="197"/>
    <n v="1432"/>
    <n v="1868"/>
    <n v="3300"/>
    <n v="114"/>
    <n v="151"/>
    <n v="502"/>
    <n v="229"/>
    <n v="4031"/>
    <n v="47470"/>
  </r>
  <r>
    <x v="42"/>
    <s v="ITA"/>
    <x v="8"/>
    <x v="8"/>
    <n v="4441149315"/>
    <n v="89326992"/>
    <n v="1141"/>
    <n v="162"/>
    <n v="1303"/>
    <n v="1814"/>
    <n v="3117"/>
    <n v="24"/>
    <n v="100"/>
    <n v="837"/>
    <n v="595"/>
    <n v="4549"/>
    <n v="15533"/>
  </r>
  <r>
    <x v="42"/>
    <s v="ITA"/>
    <x v="9"/>
    <x v="9"/>
    <n v="4546679409"/>
    <n v="9190347404"/>
    <n v="11914"/>
    <n v="1343"/>
    <n v="13257"/>
    <n v="15212"/>
    <n v="28469"/>
    <n v="345"/>
    <n v="1079"/>
    <n v="13863"/>
    <n v="9202"/>
    <n v="51534"/>
    <n v="154989"/>
  </r>
  <r>
    <x v="42"/>
    <s v="ITA"/>
    <x v="10"/>
    <x v="10"/>
    <n v="4361675973"/>
    <n v="135188753"/>
    <n v="1001"/>
    <n v="140"/>
    <n v="1141"/>
    <n v="2565"/>
    <n v="3706"/>
    <n v="128"/>
    <n v="150"/>
    <n v="296"/>
    <n v="612"/>
    <n v="4614"/>
    <n v="15919"/>
  </r>
  <r>
    <x v="42"/>
    <s v="ITA"/>
    <x v="11"/>
    <x v="11"/>
    <n v="4155774754"/>
    <n v="1465916051"/>
    <n v="34"/>
    <n v="5"/>
    <n v="39"/>
    <n v="148"/>
    <n v="187"/>
    <n v="0"/>
    <n v="0"/>
    <n v="24"/>
    <n v="13"/>
    <n v="224"/>
    <n v="1546"/>
  </r>
  <r>
    <x v="42"/>
    <s v="ITA"/>
    <x v="12"/>
    <x v="12"/>
    <n v="450732745"/>
    <n v="7680687483"/>
    <n v="3484"/>
    <n v="438"/>
    <n v="3922"/>
    <n v="6623"/>
    <n v="10545"/>
    <n v="368"/>
    <n v="562"/>
    <n v="1128"/>
    <n v="1251"/>
    <n v="12924"/>
    <n v="41123"/>
  </r>
  <r>
    <x v="42"/>
    <s v="ITA"/>
    <x v="13"/>
    <x v="13"/>
    <n v="4112559576"/>
    <n v="1686736689"/>
    <n v="625"/>
    <n v="97"/>
    <n v="722"/>
    <n v="1393"/>
    <n v="2115"/>
    <n v="93"/>
    <n v="127"/>
    <n v="134"/>
    <n v="195"/>
    <n v="2444"/>
    <n v="22059"/>
  </r>
  <r>
    <x v="42"/>
    <s v="ITA"/>
    <x v="14"/>
    <x v="14"/>
    <n v="3921531192"/>
    <n v="9110616306"/>
    <n v="123"/>
    <n v="26"/>
    <n v="149"/>
    <n v="670"/>
    <n v="819"/>
    <n v="4"/>
    <n v="15"/>
    <n v="56"/>
    <n v="47"/>
    <n v="922"/>
    <n v="7521"/>
  </r>
  <r>
    <x v="42"/>
    <s v="ITA"/>
    <x v="15"/>
    <x v="15"/>
    <n v="3811569725"/>
    <n v="133623567"/>
    <n v="563"/>
    <n v="74"/>
    <n v="637"/>
    <n v="1178"/>
    <n v="1815"/>
    <n v="41"/>
    <n v="52"/>
    <n v="108"/>
    <n v="123"/>
    <n v="2046"/>
    <n v="23464"/>
  </r>
  <r>
    <x v="42"/>
    <s v="ITA"/>
    <x v="16"/>
    <x v="16"/>
    <n v="4376923077"/>
    <n v="1125588885"/>
    <n v="1116"/>
    <n v="279"/>
    <n v="1395"/>
    <n v="3906"/>
    <n v="5301"/>
    <n v="116"/>
    <n v="154"/>
    <n v="350"/>
    <n v="350"/>
    <n v="6001"/>
    <n v="52849"/>
  </r>
  <r>
    <x v="42"/>
    <s v="ITA"/>
    <x v="2"/>
    <x v="17"/>
    <n v="4606893511"/>
    <n v="1112123097"/>
    <n v="354"/>
    <n v="79"/>
    <n v="433"/>
    <n v="1405"/>
    <n v="1838"/>
    <n v="43"/>
    <n v="63"/>
    <n v="280"/>
    <n v="230"/>
    <n v="2348"/>
    <n v="11130"/>
  </r>
  <r>
    <x v="42"/>
    <s v="ITA"/>
    <x v="17"/>
    <x v="18"/>
    <n v="4310675841"/>
    <n v="1238824698"/>
    <n v="159"/>
    <n v="46"/>
    <n v="205"/>
    <n v="667"/>
    <n v="872"/>
    <n v="-26"/>
    <n v="14"/>
    <n v="337"/>
    <n v="44"/>
    <n v="1253"/>
    <n v="12573"/>
  </r>
  <r>
    <x v="42"/>
    <s v="ITA"/>
    <x v="18"/>
    <x v="19"/>
    <n v="4573750286"/>
    <n v="7320149366"/>
    <n v="109"/>
    <n v="21"/>
    <n v="130"/>
    <n v="437"/>
    <n v="567"/>
    <n v="-9"/>
    <n v="23"/>
    <n v="142"/>
    <n v="96"/>
    <n v="805"/>
    <n v="2590"/>
  </r>
  <r>
    <x v="42"/>
    <s v="ITA"/>
    <x v="19"/>
    <x v="20"/>
    <n v="4543490485"/>
    <n v="1233845213"/>
    <n v="1714"/>
    <n v="322"/>
    <n v="2036"/>
    <n v="7686"/>
    <n v="9722"/>
    <n v="313"/>
    <n v="362"/>
    <n v="1204"/>
    <n v="662"/>
    <n v="11588"/>
    <n v="146288"/>
  </r>
  <r>
    <x v="43"/>
    <s v="ITA"/>
    <x v="0"/>
    <x v="0"/>
    <n v="4235122196"/>
    <n v="1339843823"/>
    <n v="337"/>
    <n v="67"/>
    <n v="404"/>
    <n v="1087"/>
    <n v="1491"/>
    <n v="66"/>
    <n v="78"/>
    <n v="136"/>
    <n v="172"/>
    <n v="1799"/>
    <n v="14904"/>
  </r>
  <r>
    <x v="43"/>
    <s v="ITA"/>
    <x v="1"/>
    <x v="1"/>
    <n v="4063947052"/>
    <n v="1580514834"/>
    <n v="47"/>
    <n v="17"/>
    <n v="64"/>
    <n v="201"/>
    <n v="265"/>
    <n v="3"/>
    <n v="4"/>
    <n v="12"/>
    <n v="14"/>
    <n v="291"/>
    <n v="3160"/>
  </r>
  <r>
    <x v="43"/>
    <s v="ITA"/>
    <x v="2"/>
    <x v="2"/>
    <n v="4649933453"/>
    <n v="1135662422"/>
    <n v="325"/>
    <n v="64"/>
    <n v="389"/>
    <n v="912"/>
    <n v="1301"/>
    <n v="41"/>
    <n v="89"/>
    <n v="336"/>
    <n v="174"/>
    <n v="1811"/>
    <n v="17761"/>
  </r>
  <r>
    <x v="43"/>
    <s v="ITA"/>
    <x v="3"/>
    <x v="3"/>
    <n v="3890597598"/>
    <n v="1659440194"/>
    <n v="169"/>
    <n v="14"/>
    <n v="183"/>
    <n v="550"/>
    <n v="733"/>
    <n v="11"/>
    <n v="16"/>
    <n v="40"/>
    <n v="60"/>
    <n v="833"/>
    <n v="14072"/>
  </r>
  <r>
    <x v="43"/>
    <s v="ITA"/>
    <x v="4"/>
    <x v="4"/>
    <n v="4083956555"/>
    <n v="1425084984"/>
    <n v="603"/>
    <n v="103"/>
    <n v="706"/>
    <n v="2059"/>
    <n v="2765"/>
    <n v="67"/>
    <n v="90"/>
    <n v="167"/>
    <n v="216"/>
    <n v="3148"/>
    <n v="25779"/>
  </r>
  <r>
    <x v="43"/>
    <s v="ITA"/>
    <x v="5"/>
    <x v="5"/>
    <n v="4449436681"/>
    <n v="113417208"/>
    <n v="3750"/>
    <n v="366"/>
    <n v="4116"/>
    <n v="8932"/>
    <n v="13048"/>
    <n v="-3"/>
    <n v="269"/>
    <n v="2597"/>
    <n v="2180"/>
    <n v="17825"/>
    <n v="75191"/>
  </r>
  <r>
    <x v="43"/>
    <s v="ITA"/>
    <x v="6"/>
    <x v="6"/>
    <n v="456494354"/>
    <n v="1376813649"/>
    <n v="185"/>
    <n v="44"/>
    <n v="229"/>
    <n v="1150"/>
    <n v="1379"/>
    <n v="-17"/>
    <n v="50"/>
    <n v="610"/>
    <n v="164"/>
    <n v="2153"/>
    <n v="23536"/>
  </r>
  <r>
    <x v="43"/>
    <s v="ITA"/>
    <x v="7"/>
    <x v="7"/>
    <n v="4189277044"/>
    <n v="1248366722"/>
    <n v="1229"/>
    <n v="192"/>
    <n v="1421"/>
    <n v="1944"/>
    <n v="3365"/>
    <n v="65"/>
    <n v="118"/>
    <n v="546"/>
    <n v="238"/>
    <n v="4149"/>
    <n v="48874"/>
  </r>
  <r>
    <x v="43"/>
    <s v="ITA"/>
    <x v="8"/>
    <x v="8"/>
    <n v="4441149315"/>
    <n v="89326992"/>
    <n v="1090"/>
    <n v="156"/>
    <n v="1246"/>
    <n v="1966"/>
    <n v="3212"/>
    <n v="95"/>
    <n v="208"/>
    <n v="925"/>
    <n v="620"/>
    <n v="4757"/>
    <n v="16579"/>
  </r>
  <r>
    <x v="43"/>
    <s v="ITA"/>
    <x v="9"/>
    <x v="9"/>
    <n v="4546679409"/>
    <n v="9190347404"/>
    <n v="11833"/>
    <n v="1305"/>
    <n v="13138"/>
    <n v="15205"/>
    <n v="28343"/>
    <n v="-126"/>
    <n v="791"/>
    <n v="14498"/>
    <n v="9484"/>
    <n v="52325"/>
    <n v="159331"/>
  </r>
  <r>
    <x v="43"/>
    <s v="ITA"/>
    <x v="10"/>
    <x v="10"/>
    <n v="4361675973"/>
    <n v="135188753"/>
    <n v="962"/>
    <n v="139"/>
    <n v="1101"/>
    <n v="2637"/>
    <n v="3738"/>
    <n v="32"/>
    <n v="96"/>
    <n v="342"/>
    <n v="630"/>
    <n v="4710"/>
    <n v="16619"/>
  </r>
  <r>
    <x v="43"/>
    <s v="ITA"/>
    <x v="11"/>
    <x v="11"/>
    <n v="4155774754"/>
    <n v="1465916051"/>
    <n v="35"/>
    <n v="5"/>
    <n v="40"/>
    <n v="145"/>
    <n v="185"/>
    <n v="-2"/>
    <n v="0"/>
    <n v="26"/>
    <n v="13"/>
    <n v="224"/>
    <n v="1581"/>
  </r>
  <r>
    <x v="43"/>
    <s v="ITA"/>
    <x v="12"/>
    <x v="12"/>
    <n v="450732745"/>
    <n v="7680687483"/>
    <n v="3553"/>
    <n v="432"/>
    <n v="3985"/>
    <n v="6719"/>
    <n v="10704"/>
    <n v="159"/>
    <n v="419"/>
    <n v="1320"/>
    <n v="1319"/>
    <n v="13343"/>
    <n v="44121"/>
  </r>
  <r>
    <x v="43"/>
    <s v="ITA"/>
    <x v="13"/>
    <x v="13"/>
    <n v="4112559576"/>
    <n v="1686736689"/>
    <n v="615"/>
    <n v="93"/>
    <n v="708"/>
    <n v="1429"/>
    <n v="2137"/>
    <n v="22"/>
    <n v="70"/>
    <n v="168"/>
    <n v="209"/>
    <n v="2514"/>
    <n v="23149"/>
  </r>
  <r>
    <x v="43"/>
    <s v="ITA"/>
    <x v="14"/>
    <x v="14"/>
    <n v="3921531192"/>
    <n v="9110616306"/>
    <n v="122"/>
    <n v="26"/>
    <n v="148"/>
    <n v="673"/>
    <n v="821"/>
    <n v="2"/>
    <n v="13"/>
    <n v="62"/>
    <n v="52"/>
    <n v="935"/>
    <n v="7680"/>
  </r>
  <r>
    <x v="43"/>
    <s v="ITA"/>
    <x v="15"/>
    <x v="15"/>
    <n v="3811569725"/>
    <n v="133623567"/>
    <n v="562"/>
    <n v="73"/>
    <n v="635"/>
    <n v="1224"/>
    <n v="1859"/>
    <n v="44"/>
    <n v="51"/>
    <n v="113"/>
    <n v="125"/>
    <n v="2097"/>
    <n v="24857"/>
  </r>
  <r>
    <x v="43"/>
    <s v="ITA"/>
    <x v="16"/>
    <x v="16"/>
    <n v="4376923077"/>
    <n v="1125588885"/>
    <n v="1087"/>
    <n v="263"/>
    <n v="1350"/>
    <n v="4077"/>
    <n v="5427"/>
    <n v="126"/>
    <n v="172"/>
    <n v="377"/>
    <n v="369"/>
    <n v="6173"/>
    <n v="56651"/>
  </r>
  <r>
    <x v="43"/>
    <s v="ITA"/>
    <x v="2"/>
    <x v="17"/>
    <n v="4606893511"/>
    <n v="1112123097"/>
    <n v="360"/>
    <n v="78"/>
    <n v="438"/>
    <n v="1452"/>
    <n v="1890"/>
    <n v="52"/>
    <n v="128"/>
    <n v="342"/>
    <n v="244"/>
    <n v="2476"/>
    <n v="12030"/>
  </r>
  <r>
    <x v="43"/>
    <s v="ITA"/>
    <x v="17"/>
    <x v="18"/>
    <n v="4310675841"/>
    <n v="1238824698"/>
    <n v="157"/>
    <n v="41"/>
    <n v="198"/>
    <n v="648"/>
    <n v="846"/>
    <n v="-26"/>
    <n v="10"/>
    <n v="368"/>
    <n v="49"/>
    <n v="1263"/>
    <n v="13274"/>
  </r>
  <r>
    <x v="43"/>
    <s v="ITA"/>
    <x v="18"/>
    <x v="19"/>
    <n v="4573750286"/>
    <n v="7320149366"/>
    <n v="118"/>
    <n v="17"/>
    <n v="135"/>
    <n v="458"/>
    <n v="593"/>
    <n v="26"/>
    <n v="30"/>
    <n v="142"/>
    <n v="100"/>
    <n v="835"/>
    <n v="2754"/>
  </r>
  <r>
    <x v="43"/>
    <s v="ITA"/>
    <x v="19"/>
    <x v="20"/>
    <n v="4543490485"/>
    <n v="1233845213"/>
    <n v="1579"/>
    <n v="297"/>
    <n v="1876"/>
    <n v="8089"/>
    <n v="9965"/>
    <n v="243"/>
    <n v="337"/>
    <n v="1265"/>
    <n v="695"/>
    <n v="11925"/>
    <n v="153542"/>
  </r>
  <r>
    <x v="44"/>
    <s v="ITA"/>
    <x v="0"/>
    <x v="0"/>
    <n v="4235122196"/>
    <n v="1339843823"/>
    <n v="331"/>
    <n v="62"/>
    <n v="393"/>
    <n v="1141"/>
    <n v="1534"/>
    <n v="43"/>
    <n v="60"/>
    <n v="146"/>
    <n v="179"/>
    <n v="1859"/>
    <n v="15846"/>
  </r>
  <r>
    <x v="44"/>
    <s v="ITA"/>
    <x v="1"/>
    <x v="1"/>
    <n v="4063947052"/>
    <n v="1580514834"/>
    <n v="48"/>
    <n v="17"/>
    <n v="65"/>
    <n v="205"/>
    <n v="270"/>
    <n v="5"/>
    <n v="6"/>
    <n v="13"/>
    <n v="14"/>
    <n v="297"/>
    <n v="3296"/>
  </r>
  <r>
    <x v="44"/>
    <s v="ITA"/>
    <x v="2"/>
    <x v="2"/>
    <n v="4649933453"/>
    <n v="1135662422"/>
    <n v="268"/>
    <n v="65"/>
    <n v="333"/>
    <n v="948"/>
    <n v="1281"/>
    <n v="-20"/>
    <n v="24"/>
    <n v="371"/>
    <n v="183"/>
    <n v="1835"/>
    <n v="18865"/>
  </r>
  <r>
    <x v="44"/>
    <s v="ITA"/>
    <x v="3"/>
    <x v="3"/>
    <n v="3890597598"/>
    <n v="1659440194"/>
    <n v="170"/>
    <n v="15"/>
    <n v="185"/>
    <n v="570"/>
    <n v="755"/>
    <n v="22"/>
    <n v="26"/>
    <n v="44"/>
    <n v="60"/>
    <n v="859"/>
    <n v="14977"/>
  </r>
  <r>
    <x v="44"/>
    <s v="ITA"/>
    <x v="4"/>
    <x v="4"/>
    <n v="4083956555"/>
    <n v="1425084984"/>
    <n v="608"/>
    <n v="97"/>
    <n v="705"/>
    <n v="2154"/>
    <n v="2859"/>
    <n v="94"/>
    <n v="120"/>
    <n v="188"/>
    <n v="221"/>
    <n v="3268"/>
    <n v="27784"/>
  </r>
  <r>
    <x v="44"/>
    <s v="ITA"/>
    <x v="5"/>
    <x v="5"/>
    <n v="4449436681"/>
    <n v="113417208"/>
    <n v="3769"/>
    <n v="361"/>
    <n v="4130"/>
    <n v="8980"/>
    <n v="13110"/>
    <n v="62"/>
    <n v="409"/>
    <n v="2890"/>
    <n v="2234"/>
    <n v="18234"/>
    <n v="78367"/>
  </r>
  <r>
    <x v="44"/>
    <s v="ITA"/>
    <x v="6"/>
    <x v="6"/>
    <n v="456494354"/>
    <n v="1376813649"/>
    <n v="162"/>
    <n v="41"/>
    <n v="203"/>
    <n v="1212"/>
    <n v="1415"/>
    <n v="36"/>
    <n v="65"/>
    <n v="634"/>
    <n v="169"/>
    <n v="2218"/>
    <n v="24798"/>
  </r>
  <r>
    <x v="44"/>
    <s v="ITA"/>
    <x v="7"/>
    <x v="7"/>
    <n v="4189277044"/>
    <n v="1248366722"/>
    <n v="1241"/>
    <n v="196"/>
    <n v="1437"/>
    <n v="2011"/>
    <n v="3448"/>
    <n v="83"/>
    <n v="117"/>
    <n v="574"/>
    <n v="244"/>
    <n v="4266"/>
    <n v="55113"/>
  </r>
  <r>
    <x v="44"/>
    <s v="ITA"/>
    <x v="8"/>
    <x v="8"/>
    <n v="4441149315"/>
    <n v="89326992"/>
    <n v="1109"/>
    <n v="153"/>
    <n v="1262"/>
    <n v="1983"/>
    <n v="3245"/>
    <n v="33"/>
    <n v="149"/>
    <n v="1007"/>
    <n v="654"/>
    <n v="4906"/>
    <n v="17521"/>
  </r>
  <r>
    <x v="44"/>
    <s v="ITA"/>
    <x v="9"/>
    <x v="9"/>
    <n v="4546679409"/>
    <n v="9190347404"/>
    <n v="11719"/>
    <n v="1257"/>
    <n v="12976"/>
    <n v="15569"/>
    <n v="28545"/>
    <n v="202"/>
    <n v="1089"/>
    <n v="15147"/>
    <n v="9722"/>
    <n v="53414"/>
    <n v="167557"/>
  </r>
  <r>
    <x v="44"/>
    <s v="ITA"/>
    <x v="10"/>
    <x v="10"/>
    <n v="4361675973"/>
    <n v="135188753"/>
    <n v="974"/>
    <n v="133"/>
    <n v="1107"/>
    <n v="2455"/>
    <n v="3562"/>
    <n v="-176"/>
    <n v="149"/>
    <n v="645"/>
    <n v="652"/>
    <n v="4859"/>
    <n v="17532"/>
  </r>
  <r>
    <x v="44"/>
    <s v="ITA"/>
    <x v="11"/>
    <x v="11"/>
    <n v="4155774754"/>
    <n v="1465916051"/>
    <n v="30"/>
    <n v="4"/>
    <n v="34"/>
    <n v="147"/>
    <n v="181"/>
    <n v="-4"/>
    <n v="2"/>
    <n v="32"/>
    <n v="13"/>
    <n v="226"/>
    <n v="2002"/>
  </r>
  <r>
    <x v="44"/>
    <s v="ITA"/>
    <x v="12"/>
    <x v="12"/>
    <n v="450732745"/>
    <n v="7680687483"/>
    <n v="3493"/>
    <n v="423"/>
    <n v="3916"/>
    <n v="7073"/>
    <n v="10989"/>
    <n v="285"/>
    <n v="540"/>
    <n v="1516"/>
    <n v="1378"/>
    <n v="13883"/>
    <n v="48495"/>
  </r>
  <r>
    <x v="44"/>
    <s v="ITA"/>
    <x v="13"/>
    <x v="13"/>
    <n v="4112559576"/>
    <n v="1686736689"/>
    <n v="639"/>
    <n v="90"/>
    <n v="729"/>
    <n v="1509"/>
    <n v="2238"/>
    <n v="101"/>
    <n v="120"/>
    <n v="177"/>
    <n v="219"/>
    <n v="2634"/>
    <n v="24493"/>
  </r>
  <r>
    <x v="44"/>
    <s v="ITA"/>
    <x v="14"/>
    <x v="14"/>
    <n v="3921531192"/>
    <n v="9110616306"/>
    <n v="112"/>
    <n v="31"/>
    <n v="143"/>
    <n v="697"/>
    <n v="840"/>
    <n v="19"/>
    <n v="40"/>
    <n v="76"/>
    <n v="59"/>
    <n v="975"/>
    <n v="8493"/>
  </r>
  <r>
    <x v="44"/>
    <s v="ITA"/>
    <x v="15"/>
    <x v="15"/>
    <n v="3811569725"/>
    <n v="133623567"/>
    <n v="563"/>
    <n v="65"/>
    <n v="628"/>
    <n v="1265"/>
    <n v="1893"/>
    <n v="34"/>
    <n v="62"/>
    <n v="133"/>
    <n v="133"/>
    <n v="2159"/>
    <n v="27438"/>
  </r>
  <r>
    <x v="44"/>
    <s v="ITA"/>
    <x v="16"/>
    <x v="16"/>
    <n v="4376923077"/>
    <n v="1125588885"/>
    <n v="1066"/>
    <n v="260"/>
    <n v="1326"/>
    <n v="4231"/>
    <n v="5557"/>
    <n v="130"/>
    <n v="206"/>
    <n v="430"/>
    <n v="392"/>
    <n v="6379"/>
    <n v="60985"/>
  </r>
  <r>
    <x v="44"/>
    <s v="ITA"/>
    <x v="2"/>
    <x v="17"/>
    <n v="4606893511"/>
    <n v="1112123097"/>
    <n v="354"/>
    <n v="77"/>
    <n v="431"/>
    <n v="1509"/>
    <n v="1940"/>
    <n v="50"/>
    <n v="126"/>
    <n v="407"/>
    <n v="255"/>
    <n v="2602"/>
    <n v="13258"/>
  </r>
  <r>
    <x v="44"/>
    <s v="ITA"/>
    <x v="17"/>
    <x v="18"/>
    <n v="4310675841"/>
    <n v="1238824698"/>
    <n v="155"/>
    <n v="41"/>
    <n v="196"/>
    <n v="627"/>
    <n v="823"/>
    <n v="-23"/>
    <n v="26"/>
    <n v="416"/>
    <n v="50"/>
    <n v="1289"/>
    <n v="14105"/>
  </r>
  <r>
    <x v="44"/>
    <s v="ITA"/>
    <x v="18"/>
    <x v="19"/>
    <n v="4573750286"/>
    <n v="7320149366"/>
    <n v="120"/>
    <n v="20"/>
    <n v="140"/>
    <n v="466"/>
    <n v="606"/>
    <n v="13"/>
    <n v="15"/>
    <n v="142"/>
    <n v="102"/>
    <n v="850"/>
    <n v="2953"/>
  </r>
  <r>
    <x v="44"/>
    <s v="ITA"/>
    <x v="19"/>
    <x v="20"/>
    <n v="4543490485"/>
    <n v="1233845213"/>
    <n v="1554"/>
    <n v="285"/>
    <n v="1839"/>
    <n v="8332"/>
    <n v="10171"/>
    <n v="206"/>
    <n v="485"/>
    <n v="1503"/>
    <n v="736"/>
    <n v="12410"/>
    <n v="163247"/>
  </r>
  <r>
    <x v="45"/>
    <s v="ITA"/>
    <x v="0"/>
    <x v="0"/>
    <n v="4235122196"/>
    <n v="1339843823"/>
    <n v="306"/>
    <n v="57"/>
    <n v="363"/>
    <n v="1203"/>
    <n v="1566"/>
    <n v="32"/>
    <n v="72"/>
    <n v="171"/>
    <n v="194"/>
    <n v="1931"/>
    <n v="16847"/>
  </r>
  <r>
    <x v="45"/>
    <s v="ITA"/>
    <x v="1"/>
    <x v="1"/>
    <n v="4063947052"/>
    <n v="1580514834"/>
    <n v="50"/>
    <n v="17"/>
    <n v="67"/>
    <n v="208"/>
    <n v="275"/>
    <n v="5"/>
    <n v="6"/>
    <n v="13"/>
    <n v="15"/>
    <n v="303"/>
    <n v="3474"/>
  </r>
  <r>
    <x v="45"/>
    <s v="ITA"/>
    <x v="2"/>
    <x v="2"/>
    <n v="4649933453"/>
    <n v="1135662422"/>
    <n v="263"/>
    <n v="64"/>
    <n v="327"/>
    <n v="988"/>
    <n v="1315"/>
    <n v="34"/>
    <n v="68"/>
    <n v="401"/>
    <n v="187"/>
    <n v="1903"/>
    <n v="19875"/>
  </r>
  <r>
    <x v="45"/>
    <s v="ITA"/>
    <x v="3"/>
    <x v="3"/>
    <n v="3890597598"/>
    <n v="1659440194"/>
    <n v="168"/>
    <n v="15"/>
    <n v="183"/>
    <n v="582"/>
    <n v="765"/>
    <n v="10"/>
    <n v="15"/>
    <n v="48"/>
    <n v="61"/>
    <n v="874"/>
    <n v="15698"/>
  </r>
  <r>
    <x v="45"/>
    <s v="ITA"/>
    <x v="4"/>
    <x v="4"/>
    <n v="4083956555"/>
    <n v="1425084984"/>
    <n v="604"/>
    <n v="94"/>
    <n v="698"/>
    <n v="2175"/>
    <n v="2873"/>
    <n v="14"/>
    <n v="76"/>
    <n v="244"/>
    <n v="227"/>
    <n v="3344"/>
    <n v="29664"/>
  </r>
  <r>
    <x v="45"/>
    <s v="ITA"/>
    <x v="5"/>
    <x v="5"/>
    <n v="4449436681"/>
    <n v="113417208"/>
    <n v="3722"/>
    <n v="355"/>
    <n v="4077"/>
    <n v="9181"/>
    <n v="13258"/>
    <n v="148"/>
    <n v="443"/>
    <n v="3103"/>
    <n v="2316"/>
    <n v="18677"/>
    <n v="81715"/>
  </r>
  <r>
    <x v="45"/>
    <s v="ITA"/>
    <x v="6"/>
    <x v="6"/>
    <n v="456494354"/>
    <n v="1376813649"/>
    <n v="167"/>
    <n v="37"/>
    <n v="204"/>
    <n v="1186"/>
    <n v="1390"/>
    <n v="-25"/>
    <n v="81"/>
    <n v="738"/>
    <n v="171"/>
    <n v="2299"/>
    <n v="26205"/>
  </r>
  <r>
    <x v="45"/>
    <s v="ITA"/>
    <x v="7"/>
    <x v="7"/>
    <n v="4189277044"/>
    <n v="1248366722"/>
    <n v="1244"/>
    <n v="198"/>
    <n v="1442"/>
    <n v="2090"/>
    <n v="3532"/>
    <n v="84"/>
    <n v="163"/>
    <n v="644"/>
    <n v="253"/>
    <n v="4429"/>
    <n v="58107"/>
  </r>
  <r>
    <x v="45"/>
    <s v="ITA"/>
    <x v="8"/>
    <x v="8"/>
    <n v="4441149315"/>
    <n v="89326992"/>
    <n v="1103"/>
    <n v="154"/>
    <n v="1257"/>
    <n v="1996"/>
    <n v="3253"/>
    <n v="8"/>
    <n v="114"/>
    <n v="1085"/>
    <n v="682"/>
    <n v="5020"/>
    <n v="18446"/>
  </r>
  <r>
    <x v="45"/>
    <s v="ITA"/>
    <x v="9"/>
    <x v="9"/>
    <n v="4546679409"/>
    <n v="9190347404"/>
    <n v="11796"/>
    <n v="1236"/>
    <n v="13032"/>
    <n v="16042"/>
    <n v="29074"/>
    <n v="529"/>
    <n v="1388"/>
    <n v="15706"/>
    <n v="10022"/>
    <n v="54802"/>
    <n v="176953"/>
  </r>
  <r>
    <x v="45"/>
    <s v="ITA"/>
    <x v="10"/>
    <x v="10"/>
    <n v="4361675973"/>
    <n v="135188753"/>
    <n v="945"/>
    <n v="133"/>
    <n v="1078"/>
    <n v="2323"/>
    <n v="3401"/>
    <n v="-161"/>
    <n v="96"/>
    <n v="885"/>
    <n v="669"/>
    <n v="4955"/>
    <n v="18194"/>
  </r>
  <r>
    <x v="45"/>
    <s v="ITA"/>
    <x v="11"/>
    <x v="11"/>
    <n v="4155774754"/>
    <n v="1465916051"/>
    <n v="30"/>
    <n v="4"/>
    <n v="34"/>
    <n v="155"/>
    <n v="189"/>
    <n v="8"/>
    <n v="8"/>
    <n v="32"/>
    <n v="13"/>
    <n v="234"/>
    <n v="2069"/>
  </r>
  <r>
    <x v="45"/>
    <s v="ITA"/>
    <x v="12"/>
    <x v="12"/>
    <n v="450732745"/>
    <n v="7680687483"/>
    <n v="3514"/>
    <n v="412"/>
    <n v="3926"/>
    <n v="7410"/>
    <n v="11336"/>
    <n v="347"/>
    <n v="639"/>
    <n v="1732"/>
    <n v="1454"/>
    <n v="14522"/>
    <n v="52807"/>
  </r>
  <r>
    <x v="45"/>
    <s v="ITA"/>
    <x v="13"/>
    <x v="13"/>
    <n v="4112559576"/>
    <n v="1686736689"/>
    <n v="630"/>
    <n v="86"/>
    <n v="716"/>
    <n v="1585"/>
    <n v="2301"/>
    <n v="63"/>
    <n v="82"/>
    <n v="190"/>
    <n v="225"/>
    <n v="2716"/>
    <n v="26088"/>
  </r>
  <r>
    <x v="45"/>
    <s v="ITA"/>
    <x v="14"/>
    <x v="14"/>
    <n v="3921531192"/>
    <n v="9110616306"/>
    <n v="106"/>
    <n v="25"/>
    <n v="131"/>
    <n v="745"/>
    <n v="876"/>
    <n v="36"/>
    <n v="51"/>
    <n v="86"/>
    <n v="64"/>
    <n v="1026"/>
    <n v="8918"/>
  </r>
  <r>
    <x v="45"/>
    <s v="ITA"/>
    <x v="15"/>
    <x v="15"/>
    <n v="3811569725"/>
    <n v="133623567"/>
    <n v="566"/>
    <n v="63"/>
    <n v="629"/>
    <n v="1313"/>
    <n v="1942"/>
    <n v="49"/>
    <n v="73"/>
    <n v="152"/>
    <n v="138"/>
    <n v="2232"/>
    <n v="28742"/>
  </r>
  <r>
    <x v="45"/>
    <s v="ITA"/>
    <x v="16"/>
    <x v="16"/>
    <n v="4376923077"/>
    <n v="1125588885"/>
    <n v="1038"/>
    <n v="256"/>
    <n v="1294"/>
    <n v="4409"/>
    <n v="5703"/>
    <n v="146"/>
    <n v="173"/>
    <n v="441"/>
    <n v="408"/>
    <n v="6552"/>
    <n v="65461"/>
  </r>
  <r>
    <x v="45"/>
    <s v="ITA"/>
    <x v="2"/>
    <x v="17"/>
    <n v="4606893511"/>
    <n v="1112123097"/>
    <n v="345"/>
    <n v="69"/>
    <n v="414"/>
    <n v="1564"/>
    <n v="1978"/>
    <n v="38"/>
    <n v="106"/>
    <n v="462"/>
    <n v="268"/>
    <n v="2708"/>
    <n v="14338"/>
  </r>
  <r>
    <x v="45"/>
    <s v="ITA"/>
    <x v="17"/>
    <x v="18"/>
    <n v="4310675841"/>
    <n v="1238824698"/>
    <n v="154"/>
    <n v="38"/>
    <n v="192"/>
    <n v="600"/>
    <n v="792"/>
    <n v="-31"/>
    <n v="9"/>
    <n v="455"/>
    <n v="51"/>
    <n v="1298"/>
    <n v="15170"/>
  </r>
  <r>
    <x v="45"/>
    <s v="ITA"/>
    <x v="18"/>
    <x v="19"/>
    <n v="4573750286"/>
    <n v="7320149366"/>
    <n v="118"/>
    <n v="18"/>
    <n v="136"/>
    <n v="473"/>
    <n v="609"/>
    <n v="3"/>
    <n v="18"/>
    <n v="154"/>
    <n v="105"/>
    <n v="868"/>
    <n v="3142"/>
  </r>
  <r>
    <x v="45"/>
    <s v="ITA"/>
    <x v="19"/>
    <x v="20"/>
    <n v="4543490485"/>
    <n v="1233845213"/>
    <n v="1530"/>
    <n v="274"/>
    <n v="1804"/>
    <n v="8645"/>
    <n v="10449"/>
    <n v="278"/>
    <n v="523"/>
    <n v="1728"/>
    <n v="756"/>
    <n v="12933"/>
    <n v="171456"/>
  </r>
  <r>
    <x v="46"/>
    <s v="ITA"/>
    <x v="0"/>
    <x v="0"/>
    <n v="4235122196"/>
    <n v="1339843823"/>
    <n v="305"/>
    <n v="53"/>
    <n v="358"/>
    <n v="1277"/>
    <n v="1635"/>
    <n v="69"/>
    <n v="83"/>
    <n v="181"/>
    <n v="198"/>
    <n v="2014"/>
    <n v="18088"/>
  </r>
  <r>
    <x v="46"/>
    <s v="ITA"/>
    <x v="1"/>
    <x v="1"/>
    <n v="4063947052"/>
    <n v="1580514834"/>
    <n v="59"/>
    <n v="15"/>
    <n v="74"/>
    <n v="205"/>
    <n v="279"/>
    <n v="4"/>
    <n v="5"/>
    <n v="14"/>
    <n v="15"/>
    <n v="308"/>
    <n v="3696"/>
  </r>
  <r>
    <x v="46"/>
    <s v="ITA"/>
    <x v="2"/>
    <x v="2"/>
    <n v="4649933453"/>
    <n v="1135662422"/>
    <n v="258"/>
    <n v="58"/>
    <n v="316"/>
    <n v="1001"/>
    <n v="1317"/>
    <n v="2"/>
    <n v="52"/>
    <n v="447"/>
    <n v="191"/>
    <n v="1955"/>
    <n v="20866"/>
  </r>
  <r>
    <x v="46"/>
    <s v="ITA"/>
    <x v="3"/>
    <x v="3"/>
    <n v="3890597598"/>
    <n v="1659440194"/>
    <n v="168"/>
    <n v="14"/>
    <n v="182"/>
    <n v="604"/>
    <n v="786"/>
    <n v="21"/>
    <n v="27"/>
    <n v="50"/>
    <n v="65"/>
    <n v="901"/>
    <n v="16637"/>
  </r>
  <r>
    <x v="46"/>
    <s v="ITA"/>
    <x v="4"/>
    <x v="4"/>
    <n v="4083956555"/>
    <n v="1425084984"/>
    <n v="600"/>
    <n v="90"/>
    <n v="690"/>
    <n v="2273"/>
    <n v="2963"/>
    <n v="90"/>
    <n v="98"/>
    <n v="248"/>
    <n v="231"/>
    <n v="3442"/>
    <n v="31745"/>
  </r>
  <r>
    <x v="46"/>
    <s v="ITA"/>
    <x v="5"/>
    <x v="5"/>
    <n v="4449436681"/>
    <n v="113417208"/>
    <n v="3596"/>
    <n v="349"/>
    <n v="3945"/>
    <n v="9405"/>
    <n v="13350"/>
    <n v="92"/>
    <n v="451"/>
    <n v="3381"/>
    <n v="2397"/>
    <n v="19128"/>
    <n v="85884"/>
  </r>
  <r>
    <x v="46"/>
    <s v="ITA"/>
    <x v="6"/>
    <x v="6"/>
    <n v="456494354"/>
    <n v="1376813649"/>
    <n v="167"/>
    <n v="33"/>
    <n v="200"/>
    <n v="1198"/>
    <n v="1398"/>
    <n v="8"/>
    <n v="50"/>
    <n v="772"/>
    <n v="179"/>
    <n v="2349"/>
    <n v="28097"/>
  </r>
  <r>
    <x v="46"/>
    <s v="ITA"/>
    <x v="7"/>
    <x v="7"/>
    <n v="4189277044"/>
    <n v="1248366722"/>
    <n v="1236"/>
    <n v="201"/>
    <n v="1437"/>
    <n v="2196"/>
    <n v="3633"/>
    <n v="101"/>
    <n v="154"/>
    <n v="687"/>
    <n v="263"/>
    <n v="4583"/>
    <n v="61769"/>
  </r>
  <r>
    <x v="46"/>
    <s v="ITA"/>
    <x v="8"/>
    <x v="8"/>
    <n v="4441149315"/>
    <n v="89326992"/>
    <n v="1076"/>
    <n v="151"/>
    <n v="1227"/>
    <n v="2074"/>
    <n v="3301"/>
    <n v="48"/>
    <n v="171"/>
    <n v="1181"/>
    <n v="709"/>
    <n v="5191"/>
    <n v="19514"/>
  </r>
  <r>
    <x v="46"/>
    <s v="ITA"/>
    <x v="9"/>
    <x v="9"/>
    <n v="4546679409"/>
    <n v="9190347404"/>
    <n v="11877"/>
    <n v="1202"/>
    <n v="13079"/>
    <n v="16451"/>
    <n v="29530"/>
    <n v="456"/>
    <n v="1246"/>
    <n v="16280"/>
    <n v="10238"/>
    <n v="56048"/>
    <n v="186325"/>
  </r>
  <r>
    <x v="46"/>
    <s v="ITA"/>
    <x v="10"/>
    <x v="10"/>
    <n v="4361675973"/>
    <n v="135188753"/>
    <n v="925"/>
    <n v="127"/>
    <n v="1052"/>
    <n v="2264"/>
    <n v="3316"/>
    <n v="-85"/>
    <n v="129"/>
    <n v="1086"/>
    <n v="682"/>
    <n v="5084"/>
    <n v="18970"/>
  </r>
  <r>
    <x v="46"/>
    <s v="ITA"/>
    <x v="11"/>
    <x v="11"/>
    <n v="4155774754"/>
    <n v="1465916051"/>
    <n v="28"/>
    <n v="4"/>
    <n v="32"/>
    <n v="161"/>
    <n v="193"/>
    <n v="4"/>
    <n v="9"/>
    <n v="37"/>
    <n v="13"/>
    <n v="243"/>
    <n v="2069"/>
  </r>
  <r>
    <x v="46"/>
    <s v="ITA"/>
    <x v="12"/>
    <x v="12"/>
    <n v="450732745"/>
    <n v="7680687483"/>
    <n v="3497"/>
    <n v="394"/>
    <n v="3891"/>
    <n v="7685"/>
    <n v="11576"/>
    <n v="240"/>
    <n v="490"/>
    <n v="1904"/>
    <n v="1532"/>
    <n v="15012"/>
    <n v="57457"/>
  </r>
  <r>
    <x v="46"/>
    <s v="ITA"/>
    <x v="13"/>
    <x v="13"/>
    <n v="4112559576"/>
    <n v="1686736689"/>
    <n v="631"/>
    <n v="80"/>
    <n v="711"/>
    <n v="1625"/>
    <n v="2336"/>
    <n v="35"/>
    <n v="93"/>
    <n v="235"/>
    <n v="238"/>
    <n v="2809"/>
    <n v="27812"/>
  </r>
  <r>
    <x v="46"/>
    <s v="ITA"/>
    <x v="14"/>
    <x v="14"/>
    <n v="3921531192"/>
    <n v="9110616306"/>
    <n v="107"/>
    <n v="26"/>
    <n v="133"/>
    <n v="743"/>
    <n v="876"/>
    <n v="0"/>
    <n v="37"/>
    <n v="118"/>
    <n v="69"/>
    <n v="1063"/>
    <n v="9444"/>
  </r>
  <r>
    <x v="46"/>
    <s v="ITA"/>
    <x v="15"/>
    <x v="15"/>
    <n v="3811569725"/>
    <n v="133623567"/>
    <n v="568"/>
    <n v="62"/>
    <n v="630"/>
    <n v="1337"/>
    <n v="1967"/>
    <n v="25"/>
    <n v="70"/>
    <n v="187"/>
    <n v="148"/>
    <n v="2302"/>
    <n v="31156"/>
  </r>
  <r>
    <x v="46"/>
    <s v="ITA"/>
    <x v="16"/>
    <x v="16"/>
    <n v="4376923077"/>
    <n v="1125588885"/>
    <n v="1011"/>
    <n v="256"/>
    <n v="1267"/>
    <n v="4555"/>
    <n v="5822"/>
    <n v="119"/>
    <n v="175"/>
    <n v="451"/>
    <n v="454"/>
    <n v="6727"/>
    <n v="72001"/>
  </r>
  <r>
    <x v="46"/>
    <s v="ITA"/>
    <x v="2"/>
    <x v="17"/>
    <n v="4606893511"/>
    <n v="1112123097"/>
    <n v="335"/>
    <n v="70"/>
    <n v="405"/>
    <n v="1589"/>
    <n v="1994"/>
    <n v="16"/>
    <n v="108"/>
    <n v="547"/>
    <n v="275"/>
    <n v="2816"/>
    <n v="14981"/>
  </r>
  <r>
    <x v="46"/>
    <s v="ITA"/>
    <x v="17"/>
    <x v="18"/>
    <n v="4310675841"/>
    <n v="1238824698"/>
    <n v="146"/>
    <n v="39"/>
    <n v="185"/>
    <n v="567"/>
    <n v="752"/>
    <n v="-40"/>
    <n v="4"/>
    <n v="498"/>
    <n v="52"/>
    <n v="1302"/>
    <n v="16325"/>
  </r>
  <r>
    <x v="46"/>
    <s v="ITA"/>
    <x v="18"/>
    <x v="19"/>
    <n v="4573750286"/>
    <n v="7320149366"/>
    <n v="131"/>
    <n v="16"/>
    <n v="147"/>
    <n v="455"/>
    <n v="602"/>
    <n v="-7"/>
    <n v="11"/>
    <n v="170"/>
    <n v="107"/>
    <n v="879"/>
    <n v="3328"/>
  </r>
  <r>
    <x v="46"/>
    <s v="ITA"/>
    <x v="19"/>
    <x v="20"/>
    <n v="4543490485"/>
    <n v="1233845213"/>
    <n v="1521"/>
    <n v="257"/>
    <n v="1778"/>
    <n v="8869"/>
    <n v="10647"/>
    <n v="198"/>
    <n v="488"/>
    <n v="1981"/>
    <n v="793"/>
    <n v="13421"/>
    <n v="180700"/>
  </r>
  <r>
    <x v="47"/>
    <s v="ITA"/>
    <x v="0"/>
    <x v="0"/>
    <n v="4235122196"/>
    <n v="1339843823"/>
    <n v="315"/>
    <n v="54"/>
    <n v="369"/>
    <n v="1355"/>
    <n v="1724"/>
    <n v="89"/>
    <n v="106"/>
    <n v="190"/>
    <n v="206"/>
    <n v="2120"/>
    <n v="19441"/>
  </r>
  <r>
    <x v="47"/>
    <s v="ITA"/>
    <x v="1"/>
    <x v="1"/>
    <n v="4063947052"/>
    <n v="1580514834"/>
    <n v="60"/>
    <n v="12"/>
    <n v="72"/>
    <n v="209"/>
    <n v="281"/>
    <n v="2"/>
    <n v="4"/>
    <n v="14"/>
    <n v="17"/>
    <n v="312"/>
    <n v="4050"/>
  </r>
  <r>
    <x v="47"/>
    <s v="ITA"/>
    <x v="2"/>
    <x v="2"/>
    <n v="4649933453"/>
    <n v="1135662422"/>
    <n v="246"/>
    <n v="56"/>
    <n v="302"/>
    <n v="967"/>
    <n v="1269"/>
    <n v="-48"/>
    <n v="2"/>
    <n v="488"/>
    <n v="200"/>
    <n v="1957"/>
    <n v="22186"/>
  </r>
  <r>
    <x v="47"/>
    <s v="ITA"/>
    <x v="3"/>
    <x v="3"/>
    <n v="3890597598"/>
    <n v="1659440194"/>
    <n v="169"/>
    <n v="15"/>
    <n v="184"/>
    <n v="608"/>
    <n v="792"/>
    <n v="6"/>
    <n v="14"/>
    <n v="57"/>
    <n v="66"/>
    <n v="915"/>
    <n v="17493"/>
  </r>
  <r>
    <x v="47"/>
    <s v="ITA"/>
    <x v="4"/>
    <x v="4"/>
    <n v="4083956555"/>
    <n v="1425084984"/>
    <n v="582"/>
    <n v="85"/>
    <n v="667"/>
    <n v="2335"/>
    <n v="3002"/>
    <n v="39"/>
    <n v="75"/>
    <n v="277"/>
    <n v="238"/>
    <n v="3517"/>
    <n v="33781"/>
  </r>
  <r>
    <x v="47"/>
    <s v="ITA"/>
    <x v="5"/>
    <x v="5"/>
    <n v="4449436681"/>
    <n v="113417208"/>
    <n v="3530"/>
    <n v="341"/>
    <n v="3871"/>
    <n v="9624"/>
    <n v="13495"/>
    <n v="145"/>
    <n v="507"/>
    <n v="3659"/>
    <n v="2481"/>
    <n v="19635"/>
    <n v="91759"/>
  </r>
  <r>
    <x v="47"/>
    <s v="ITA"/>
    <x v="6"/>
    <x v="6"/>
    <n v="456494354"/>
    <n v="1376813649"/>
    <n v="172"/>
    <n v="28"/>
    <n v="200"/>
    <n v="1182"/>
    <n v="1382"/>
    <n v="-16"/>
    <n v="44"/>
    <n v="826"/>
    <n v="185"/>
    <n v="2393"/>
    <n v="29685"/>
  </r>
  <r>
    <x v="47"/>
    <s v="ITA"/>
    <x v="7"/>
    <x v="7"/>
    <n v="4189277044"/>
    <n v="1248366722"/>
    <n v="1264"/>
    <n v="203"/>
    <n v="1467"/>
    <n v="2263"/>
    <n v="3730"/>
    <n v="97"/>
    <n v="140"/>
    <n v="720"/>
    <n v="273"/>
    <n v="4723"/>
    <n v="65241"/>
  </r>
  <r>
    <x v="47"/>
    <s v="ITA"/>
    <x v="8"/>
    <x v="8"/>
    <n v="4441149315"/>
    <n v="89326992"/>
    <n v="1003"/>
    <n v="146"/>
    <n v="1149"/>
    <n v="2184"/>
    <n v="3333"/>
    <n v="32"/>
    <n v="185"/>
    <n v="1309"/>
    <n v="734"/>
    <n v="5376"/>
    <n v="20888"/>
  </r>
  <r>
    <x v="47"/>
    <s v="ITA"/>
    <x v="9"/>
    <x v="9"/>
    <n v="4546679409"/>
    <n v="9190347404"/>
    <n v="12026"/>
    <n v="1174"/>
    <n v="13200"/>
    <n v="17058"/>
    <n v="30258"/>
    <n v="728"/>
    <n v="1544"/>
    <n v="16823"/>
    <n v="10511"/>
    <n v="57592"/>
    <n v="196302"/>
  </r>
  <r>
    <x v="47"/>
    <s v="ITA"/>
    <x v="10"/>
    <x v="10"/>
    <n v="4361675973"/>
    <n v="135188753"/>
    <n v="960"/>
    <n v="118"/>
    <n v="1078"/>
    <n v="2153"/>
    <n v="3231"/>
    <n v="-85"/>
    <n v="127"/>
    <n v="1291"/>
    <n v="689"/>
    <n v="5211"/>
    <n v="20060"/>
  </r>
  <r>
    <x v="47"/>
    <s v="ITA"/>
    <x v="11"/>
    <x v="11"/>
    <n v="4155774754"/>
    <n v="1465916051"/>
    <n v="28"/>
    <n v="4"/>
    <n v="32"/>
    <n v="161"/>
    <n v="193"/>
    <n v="0"/>
    <n v="3"/>
    <n v="39"/>
    <n v="14"/>
    <n v="246"/>
    <n v="2201"/>
  </r>
  <r>
    <x v="47"/>
    <s v="ITA"/>
    <x v="12"/>
    <x v="12"/>
    <n v="450732745"/>
    <n v="7680687483"/>
    <n v="3435"/>
    <n v="384"/>
    <n v="3819"/>
    <n v="8351"/>
    <n v="12170"/>
    <n v="594"/>
    <n v="996"/>
    <n v="2205"/>
    <n v="1633"/>
    <n v="16008"/>
    <n v="62577"/>
  </r>
  <r>
    <x v="47"/>
    <s v="ITA"/>
    <x v="13"/>
    <x v="13"/>
    <n v="4112559576"/>
    <n v="1686736689"/>
    <n v="627"/>
    <n v="73"/>
    <n v="700"/>
    <n v="1702"/>
    <n v="2402"/>
    <n v="66"/>
    <n v="95"/>
    <n v="249"/>
    <n v="253"/>
    <n v="2904"/>
    <n v="29463"/>
  </r>
  <r>
    <x v="47"/>
    <s v="ITA"/>
    <x v="14"/>
    <x v="14"/>
    <n v="3921531192"/>
    <n v="9110616306"/>
    <n v="113"/>
    <n v="24"/>
    <n v="137"/>
    <n v="751"/>
    <n v="888"/>
    <n v="12"/>
    <n v="28"/>
    <n v="130"/>
    <n v="73"/>
    <n v="1091"/>
    <n v="10120"/>
  </r>
  <r>
    <x v="47"/>
    <s v="ITA"/>
    <x v="15"/>
    <x v="15"/>
    <n v="3811569725"/>
    <n v="133623567"/>
    <n v="562"/>
    <n v="58"/>
    <n v="620"/>
    <n v="1381"/>
    <n v="2001"/>
    <n v="34"/>
    <n v="62"/>
    <n v="209"/>
    <n v="154"/>
    <n v="2364"/>
    <n v="33787"/>
  </r>
  <r>
    <x v="47"/>
    <s v="ITA"/>
    <x v="16"/>
    <x v="16"/>
    <n v="4376923077"/>
    <n v="1125588885"/>
    <n v="997"/>
    <n v="237"/>
    <n v="1234"/>
    <n v="4758"/>
    <n v="5992"/>
    <n v="170"/>
    <n v="231"/>
    <n v="499"/>
    <n v="467"/>
    <n v="6958"/>
    <n v="75756"/>
  </r>
  <r>
    <x v="47"/>
    <s v="ITA"/>
    <x v="2"/>
    <x v="17"/>
    <n v="4606893511"/>
    <n v="1112123097"/>
    <n v="335"/>
    <n v="62"/>
    <n v="397"/>
    <n v="1667"/>
    <n v="2064"/>
    <n v="70"/>
    <n v="154"/>
    <n v="622"/>
    <n v="284"/>
    <n v="2970"/>
    <n v="16646"/>
  </r>
  <r>
    <x v="47"/>
    <s v="ITA"/>
    <x v="17"/>
    <x v="18"/>
    <n v="4310675841"/>
    <n v="1238824698"/>
    <n v="137"/>
    <n v="39"/>
    <n v="176"/>
    <n v="547"/>
    <n v="723"/>
    <n v="-29"/>
    <n v="7"/>
    <n v="534"/>
    <n v="52"/>
    <n v="1309"/>
    <n v="17661"/>
  </r>
  <r>
    <x v="47"/>
    <s v="ITA"/>
    <x v="18"/>
    <x v="19"/>
    <n v="4573750286"/>
    <n v="7320149366"/>
    <n v="118"/>
    <n v="17"/>
    <n v="135"/>
    <n v="455"/>
    <n v="590"/>
    <n v="-12"/>
    <n v="23"/>
    <n v="205"/>
    <n v="107"/>
    <n v="902"/>
    <n v="3464"/>
  </r>
  <r>
    <x v="47"/>
    <s v="ITA"/>
    <x v="19"/>
    <x v="20"/>
    <n v="4543490485"/>
    <n v="1233845213"/>
    <n v="1465"/>
    <n v="251"/>
    <n v="1716"/>
    <n v="9033"/>
    <n v="10749"/>
    <n v="102"/>
    <n v="347"/>
    <n v="2188"/>
    <n v="831"/>
    <n v="13768"/>
    <n v="190912"/>
  </r>
  <r>
    <x v="48"/>
    <s v="ITA"/>
    <x v="0"/>
    <x v="0"/>
    <n v="4235122196"/>
    <n v="1339843823"/>
    <n v="346"/>
    <n v="54"/>
    <n v="400"/>
    <n v="1342"/>
    <n v="1742"/>
    <n v="18"/>
    <n v="40"/>
    <n v="206"/>
    <n v="212"/>
    <n v="2160"/>
    <n v="20594"/>
  </r>
  <r>
    <x v="48"/>
    <s v="ITA"/>
    <x v="1"/>
    <x v="1"/>
    <n v="4063947052"/>
    <n v="1580514834"/>
    <n v="61"/>
    <n v="12"/>
    <n v="73"/>
    <n v="204"/>
    <n v="277"/>
    <n v="-4"/>
    <n v="3"/>
    <n v="20"/>
    <n v="18"/>
    <n v="315"/>
    <n v="4355"/>
  </r>
  <r>
    <x v="48"/>
    <s v="ITA"/>
    <x v="2"/>
    <x v="2"/>
    <n v="4649933453"/>
    <n v="1135662422"/>
    <n v="183"/>
    <n v="45"/>
    <n v="228"/>
    <n v="1287"/>
    <n v="1515"/>
    <n v="246"/>
    <n v="141"/>
    <n v="378"/>
    <n v="205"/>
    <n v="2098"/>
    <n v="23246"/>
  </r>
  <r>
    <x v="48"/>
    <s v="ITA"/>
    <x v="3"/>
    <x v="3"/>
    <n v="3890597598"/>
    <n v="1659440194"/>
    <n v="165"/>
    <n v="14"/>
    <n v="179"/>
    <n v="616"/>
    <n v="795"/>
    <n v="3"/>
    <n v="8"/>
    <n v="62"/>
    <n v="66"/>
    <n v="923"/>
    <n v="18211"/>
  </r>
  <r>
    <x v="48"/>
    <s v="ITA"/>
    <x v="4"/>
    <x v="4"/>
    <n v="4083956555"/>
    <n v="1425084984"/>
    <n v="526"/>
    <n v="82"/>
    <n v="608"/>
    <n v="2449"/>
    <n v="3057"/>
    <n v="55"/>
    <n v="87"/>
    <n v="305"/>
    <n v="242"/>
    <n v="3604"/>
    <n v="35448"/>
  </r>
  <r>
    <x v="48"/>
    <s v="ITA"/>
    <x v="5"/>
    <x v="5"/>
    <n v="4449436681"/>
    <n v="113417208"/>
    <n v="3491"/>
    <n v="335"/>
    <n v="3826"/>
    <n v="9846"/>
    <n v="13672"/>
    <n v="177"/>
    <n v="463"/>
    <n v="3862"/>
    <n v="2564"/>
    <n v="20098"/>
    <n v="96704"/>
  </r>
  <r>
    <x v="48"/>
    <s v="ITA"/>
    <x v="6"/>
    <x v="6"/>
    <n v="456494354"/>
    <n v="1376813649"/>
    <n v="160"/>
    <n v="28"/>
    <n v="188"/>
    <n v="1138"/>
    <n v="1326"/>
    <n v="-56"/>
    <n v="38"/>
    <n v="910"/>
    <n v="195"/>
    <n v="2431"/>
    <n v="29988"/>
  </r>
  <r>
    <x v="48"/>
    <s v="ITA"/>
    <x v="7"/>
    <x v="7"/>
    <n v="4189277044"/>
    <n v="1248366722"/>
    <n v="1268"/>
    <n v="201"/>
    <n v="1469"/>
    <n v="2348"/>
    <n v="3817"/>
    <n v="87"/>
    <n v="122"/>
    <n v="749"/>
    <n v="279"/>
    <n v="4845"/>
    <n v="68954"/>
  </r>
  <r>
    <x v="48"/>
    <s v="ITA"/>
    <x v="8"/>
    <x v="8"/>
    <n v="4441149315"/>
    <n v="89326992"/>
    <n v="1032"/>
    <n v="144"/>
    <n v="1176"/>
    <n v="2157"/>
    <n v="3333"/>
    <n v="0"/>
    <n v="118"/>
    <n v="1412"/>
    <n v="749"/>
    <n v="5494"/>
    <n v="21983"/>
  </r>
  <r>
    <x v="48"/>
    <s v="ITA"/>
    <x v="9"/>
    <x v="9"/>
    <n v="4546679409"/>
    <n v="9190347404"/>
    <n v="11969"/>
    <n v="1176"/>
    <n v="13145"/>
    <n v="18120"/>
    <n v="31265"/>
    <n v="1007"/>
    <n v="1460"/>
    <n v="17166"/>
    <n v="10621"/>
    <n v="59052"/>
    <n v="205832"/>
  </r>
  <r>
    <x v="48"/>
    <s v="ITA"/>
    <x v="10"/>
    <x v="10"/>
    <n v="4361675973"/>
    <n v="135188753"/>
    <n v="949"/>
    <n v="114"/>
    <n v="1063"/>
    <n v="2051"/>
    <n v="3114"/>
    <n v="-117"/>
    <n v="92"/>
    <n v="1489"/>
    <n v="700"/>
    <n v="5303"/>
    <n v="21057"/>
  </r>
  <r>
    <x v="48"/>
    <s v="ITA"/>
    <x v="11"/>
    <x v="11"/>
    <n v="4155774754"/>
    <n v="1465916051"/>
    <n v="27"/>
    <n v="4"/>
    <n v="31"/>
    <n v="171"/>
    <n v="202"/>
    <n v="9"/>
    <n v="11"/>
    <n v="40"/>
    <n v="15"/>
    <n v="257"/>
    <n v="2471"/>
  </r>
  <r>
    <x v="48"/>
    <s v="ITA"/>
    <x v="12"/>
    <x v="12"/>
    <n v="450732745"/>
    <n v="7680687483"/>
    <n v="3429"/>
    <n v="381"/>
    <n v="3810"/>
    <n v="8695"/>
    <n v="12505"/>
    <n v="335"/>
    <n v="652"/>
    <n v="2426"/>
    <n v="1729"/>
    <n v="16660"/>
    <n v="66555"/>
  </r>
  <r>
    <x v="48"/>
    <s v="ITA"/>
    <x v="13"/>
    <x v="13"/>
    <n v="4112559576"/>
    <n v="1686736689"/>
    <n v="609"/>
    <n v="71"/>
    <n v="680"/>
    <n v="1772"/>
    <n v="2452"/>
    <n v="50"/>
    <n v="85"/>
    <n v="277"/>
    <n v="260"/>
    <n v="2989"/>
    <n v="30973"/>
  </r>
  <r>
    <x v="48"/>
    <s v="ITA"/>
    <x v="14"/>
    <x v="14"/>
    <n v="3921531192"/>
    <n v="9110616306"/>
    <n v="109"/>
    <n v="26"/>
    <n v="135"/>
    <n v="768"/>
    <n v="903"/>
    <n v="15"/>
    <n v="22"/>
    <n v="137"/>
    <n v="73"/>
    <n v="1113"/>
    <n v="10663"/>
  </r>
  <r>
    <x v="48"/>
    <s v="ITA"/>
    <x v="15"/>
    <x v="15"/>
    <n v="3811569725"/>
    <n v="133623567"/>
    <n v="552"/>
    <n v="53"/>
    <n v="605"/>
    <n v="1425"/>
    <n v="2030"/>
    <n v="29"/>
    <n v="52"/>
    <n v="223"/>
    <n v="163"/>
    <n v="2416"/>
    <n v="36098"/>
  </r>
  <r>
    <x v="48"/>
    <s v="ITA"/>
    <x v="16"/>
    <x v="16"/>
    <n v="4376923077"/>
    <n v="1125588885"/>
    <n v="983"/>
    <n v="238"/>
    <n v="1221"/>
    <n v="4941"/>
    <n v="6162"/>
    <n v="170"/>
    <n v="277"/>
    <n v="578"/>
    <n v="495"/>
    <n v="7235"/>
    <n v="78640"/>
  </r>
  <r>
    <x v="48"/>
    <s v="ITA"/>
    <x v="2"/>
    <x v="17"/>
    <n v="4606893511"/>
    <n v="1112123097"/>
    <n v="322"/>
    <n v="61"/>
    <n v="383"/>
    <n v="1699"/>
    <n v="2082"/>
    <n v="18"/>
    <n v="83"/>
    <n v="678"/>
    <n v="293"/>
    <n v="3053"/>
    <n v="17797"/>
  </r>
  <r>
    <x v="48"/>
    <s v="ITA"/>
    <x v="17"/>
    <x v="18"/>
    <n v="4310675841"/>
    <n v="1238824698"/>
    <n v="129"/>
    <n v="39"/>
    <n v="168"/>
    <n v="519"/>
    <n v="687"/>
    <n v="-36"/>
    <n v="10"/>
    <n v="580"/>
    <n v="52"/>
    <n v="1319"/>
    <n v="18672"/>
  </r>
  <r>
    <x v="48"/>
    <s v="ITA"/>
    <x v="18"/>
    <x v="19"/>
    <n v="4573750286"/>
    <n v="7320149366"/>
    <n v="109"/>
    <n v="16"/>
    <n v="125"/>
    <n v="463"/>
    <n v="588"/>
    <n v="-2"/>
    <n v="19"/>
    <n v="221"/>
    <n v="112"/>
    <n v="921"/>
    <n v="3510"/>
  </r>
  <r>
    <x v="48"/>
    <s v="ITA"/>
    <x v="19"/>
    <x v="20"/>
    <n v="4543490485"/>
    <n v="1233845213"/>
    <n v="1428"/>
    <n v="249"/>
    <n v="1677"/>
    <n v="9052"/>
    <n v="10729"/>
    <n v="-20"/>
    <n v="309"/>
    <n v="2492"/>
    <n v="856"/>
    <n v="14077"/>
    <n v="198442"/>
  </r>
  <r>
    <x v="49"/>
    <s v="ITA"/>
    <x v="0"/>
    <x v="0"/>
    <n v="4235122196"/>
    <n v="1339843823"/>
    <n v="351"/>
    <n v="54"/>
    <n v="405"/>
    <n v="1373"/>
    <n v="1778"/>
    <n v="36"/>
    <n v="53"/>
    <n v="211"/>
    <n v="224"/>
    <n v="2213"/>
    <n v="20667"/>
  </r>
  <r>
    <x v="49"/>
    <s v="ITA"/>
    <x v="1"/>
    <x v="1"/>
    <n v="4063947052"/>
    <n v="1580514834"/>
    <n v="64"/>
    <n v="12"/>
    <n v="76"/>
    <n v="194"/>
    <n v="270"/>
    <n v="-7"/>
    <n v="4"/>
    <n v="31"/>
    <n v="18"/>
    <n v="319"/>
    <n v="4545"/>
  </r>
  <r>
    <x v="49"/>
    <s v="ITA"/>
    <x v="2"/>
    <x v="2"/>
    <n v="4649933453"/>
    <n v="1135662422"/>
    <n v="190"/>
    <n v="41"/>
    <n v="231"/>
    <n v="1306"/>
    <n v="1537"/>
    <n v="22"/>
    <n v="51"/>
    <n v="400"/>
    <n v="212"/>
    <n v="2149"/>
    <n v="24157"/>
  </r>
  <r>
    <x v="49"/>
    <s v="ITA"/>
    <x v="3"/>
    <x v="3"/>
    <n v="3890597598"/>
    <n v="1659440194"/>
    <n v="160"/>
    <n v="12"/>
    <n v="172"/>
    <n v="619"/>
    <n v="791"/>
    <n v="-4"/>
    <n v="5"/>
    <n v="70"/>
    <n v="67"/>
    <n v="928"/>
    <n v="18596"/>
  </r>
  <r>
    <x v="49"/>
    <s v="ITA"/>
    <x v="4"/>
    <x v="4"/>
    <n v="4083956555"/>
    <n v="1425084984"/>
    <n v="606"/>
    <n v="80"/>
    <n v="686"/>
    <n v="2376"/>
    <n v="3062"/>
    <n v="5"/>
    <n v="66"/>
    <n v="360"/>
    <n v="248"/>
    <n v="3670"/>
    <n v="36770"/>
  </r>
  <r>
    <x v="49"/>
    <s v="ITA"/>
    <x v="5"/>
    <x v="5"/>
    <n v="4449436681"/>
    <n v="113417208"/>
    <n v="3490"/>
    <n v="331"/>
    <n v="3821"/>
    <n v="9997"/>
    <n v="13818"/>
    <n v="146"/>
    <n v="342"/>
    <n v="4007"/>
    <n v="2615"/>
    <n v="20440"/>
    <n v="99047"/>
  </r>
  <r>
    <x v="49"/>
    <s v="ITA"/>
    <x v="6"/>
    <x v="6"/>
    <n v="456494354"/>
    <n v="1376813649"/>
    <n v="159"/>
    <n v="30"/>
    <n v="189"/>
    <n v="1118"/>
    <n v="1307"/>
    <n v="-19"/>
    <n v="51"/>
    <n v="973"/>
    <n v="202"/>
    <n v="2482"/>
    <n v="30941"/>
  </r>
  <r>
    <x v="49"/>
    <s v="ITA"/>
    <x v="7"/>
    <x v="7"/>
    <n v="4189277044"/>
    <n v="1248366722"/>
    <n v="1314"/>
    <n v="200"/>
    <n v="1514"/>
    <n v="2406"/>
    <n v="3920"/>
    <n v="103"/>
    <n v="123"/>
    <n v="764"/>
    <n v="284"/>
    <n v="4968"/>
    <n v="72746"/>
  </r>
  <r>
    <x v="49"/>
    <s v="ITA"/>
    <x v="8"/>
    <x v="8"/>
    <n v="4441149315"/>
    <n v="89326992"/>
    <n v="1088"/>
    <n v="138"/>
    <n v="1226"/>
    <n v="2139"/>
    <n v="3365"/>
    <n v="32"/>
    <n v="102"/>
    <n v="1471"/>
    <n v="760"/>
    <n v="5596"/>
    <n v="23129"/>
  </r>
  <r>
    <x v="49"/>
    <s v="ITA"/>
    <x v="9"/>
    <x v="9"/>
    <n v="4546679409"/>
    <n v="9190347404"/>
    <n v="12028"/>
    <n v="1143"/>
    <n v="13171"/>
    <n v="18764"/>
    <n v="31935"/>
    <n v="670"/>
    <n v="1262"/>
    <n v="17478"/>
    <n v="10901"/>
    <n v="60314"/>
    <n v="211092"/>
  </r>
  <r>
    <x v="49"/>
    <s v="ITA"/>
    <x v="10"/>
    <x v="10"/>
    <n v="4361675973"/>
    <n v="135188753"/>
    <n v="959"/>
    <n v="108"/>
    <n v="1067"/>
    <n v="2013"/>
    <n v="3080"/>
    <n v="-34"/>
    <n v="78"/>
    <n v="1588"/>
    <n v="713"/>
    <n v="5381"/>
    <n v="28379"/>
  </r>
  <r>
    <x v="49"/>
    <s v="ITA"/>
    <x v="11"/>
    <x v="11"/>
    <n v="4155774754"/>
    <n v="1465916051"/>
    <n v="28"/>
    <n v="4"/>
    <n v="32"/>
    <n v="170"/>
    <n v="202"/>
    <n v="0"/>
    <n v="0"/>
    <n v="40"/>
    <n v="15"/>
    <n v="257"/>
    <n v="2522"/>
  </r>
  <r>
    <x v="49"/>
    <s v="ITA"/>
    <x v="12"/>
    <x v="12"/>
    <n v="450732745"/>
    <n v="7680687483"/>
    <n v="3344"/>
    <n v="379"/>
    <n v="3723"/>
    <n v="9042"/>
    <n v="12765"/>
    <n v="260"/>
    <n v="474"/>
    <n v="2543"/>
    <n v="1826"/>
    <n v="17134"/>
    <n v="69170"/>
  </r>
  <r>
    <x v="49"/>
    <s v="ITA"/>
    <x v="13"/>
    <x v="13"/>
    <n v="4112559576"/>
    <n v="1686736689"/>
    <n v="600"/>
    <n v="71"/>
    <n v="671"/>
    <n v="1841"/>
    <n v="2512"/>
    <n v="60"/>
    <n v="76"/>
    <n v="286"/>
    <n v="267"/>
    <n v="3065"/>
    <n v="31922"/>
  </r>
  <r>
    <x v="49"/>
    <s v="ITA"/>
    <x v="14"/>
    <x v="14"/>
    <n v="3921531192"/>
    <n v="9110616306"/>
    <n v="107"/>
    <n v="27"/>
    <n v="134"/>
    <n v="780"/>
    <n v="914"/>
    <n v="11"/>
    <n v="15"/>
    <n v="139"/>
    <n v="75"/>
    <n v="1128"/>
    <n v="11010"/>
  </r>
  <r>
    <x v="49"/>
    <s v="ITA"/>
    <x v="15"/>
    <x v="15"/>
    <n v="3811569725"/>
    <n v="133623567"/>
    <n v="554"/>
    <n v="51"/>
    <n v="605"/>
    <n v="1445"/>
    <n v="2050"/>
    <n v="20"/>
    <n v="42"/>
    <n v="237"/>
    <n v="171"/>
    <n v="2458"/>
    <n v="37311"/>
  </r>
  <r>
    <x v="49"/>
    <s v="ITA"/>
    <x v="16"/>
    <x v="16"/>
    <n v="4376923077"/>
    <n v="1125588885"/>
    <n v="992"/>
    <n v="225"/>
    <n v="1217"/>
    <n v="5040"/>
    <n v="6257"/>
    <n v="95"/>
    <n v="155"/>
    <n v="615"/>
    <n v="518"/>
    <n v="7390"/>
    <n v="80889"/>
  </r>
  <r>
    <x v="49"/>
    <s v="ITA"/>
    <x v="2"/>
    <x v="17"/>
    <n v="4606893511"/>
    <n v="1112123097"/>
    <n v="326"/>
    <n v="56"/>
    <n v="382"/>
    <n v="1698"/>
    <n v="2080"/>
    <n v="-2"/>
    <n v="73"/>
    <n v="746"/>
    <n v="300"/>
    <n v="3126"/>
    <n v="18586"/>
  </r>
  <r>
    <x v="49"/>
    <s v="ITA"/>
    <x v="17"/>
    <x v="18"/>
    <n v="4310675841"/>
    <n v="1238824698"/>
    <n v="127"/>
    <n v="38"/>
    <n v="165"/>
    <n v="460"/>
    <n v="625"/>
    <n v="-62"/>
    <n v="1"/>
    <n v="643"/>
    <n v="52"/>
    <n v="1320"/>
    <n v="18740"/>
  </r>
  <r>
    <x v="49"/>
    <s v="ITA"/>
    <x v="18"/>
    <x v="19"/>
    <n v="4573750286"/>
    <n v="7320149366"/>
    <n v="109"/>
    <n v="15"/>
    <n v="124"/>
    <n v="458"/>
    <n v="582"/>
    <n v="-6"/>
    <n v="6"/>
    <n v="230"/>
    <n v="115"/>
    <n v="927"/>
    <n v="3614"/>
  </r>
  <r>
    <x v="49"/>
    <s v="ITA"/>
    <x v="19"/>
    <x v="20"/>
    <n v="4543490485"/>
    <n v="1233845213"/>
    <n v="1427"/>
    <n v="245"/>
    <n v="1672"/>
    <n v="9094"/>
    <n v="10766"/>
    <n v="37"/>
    <n v="174"/>
    <n v="2603"/>
    <n v="882"/>
    <n v="14251"/>
    <n v="203077"/>
  </r>
  <r>
    <x v="50"/>
    <s v="ITA"/>
    <x v="0"/>
    <x v="0"/>
    <n v="4235122196"/>
    <n v="1339843823"/>
    <n v="345"/>
    <n v="52"/>
    <n v="397"/>
    <n v="1403"/>
    <n v="1800"/>
    <n v="22"/>
    <n v="32"/>
    <n v="213"/>
    <n v="232"/>
    <n v="2245"/>
    <n v="20935"/>
  </r>
  <r>
    <x v="50"/>
    <s v="ITA"/>
    <x v="1"/>
    <x v="1"/>
    <n v="4063947052"/>
    <n v="1580514834"/>
    <n v="62"/>
    <n v="12"/>
    <n v="74"/>
    <n v="191"/>
    <n v="265"/>
    <n v="-5"/>
    <n v="0"/>
    <n v="35"/>
    <n v="19"/>
    <n v="319"/>
    <n v="4759"/>
  </r>
  <r>
    <x v="50"/>
    <s v="ITA"/>
    <x v="2"/>
    <x v="2"/>
    <n v="4649933453"/>
    <n v="1135662422"/>
    <n v="177"/>
    <n v="39"/>
    <n v="216"/>
    <n v="1348"/>
    <n v="1564"/>
    <n v="27"/>
    <n v="35"/>
    <n v="406"/>
    <n v="214"/>
    <n v="2184"/>
    <n v="24457"/>
  </r>
  <r>
    <x v="50"/>
    <s v="ITA"/>
    <x v="3"/>
    <x v="3"/>
    <n v="3890597598"/>
    <n v="1659440194"/>
    <n v="161"/>
    <n v="12"/>
    <n v="173"/>
    <n v="643"/>
    <n v="816"/>
    <n v="25"/>
    <n v="28"/>
    <n v="72"/>
    <n v="68"/>
    <n v="956"/>
    <n v="19014"/>
  </r>
  <r>
    <x v="50"/>
    <s v="ITA"/>
    <x v="4"/>
    <x v="4"/>
    <n v="4083956555"/>
    <n v="1425084984"/>
    <n v="618"/>
    <n v="82"/>
    <n v="700"/>
    <n v="2394"/>
    <n v="3094"/>
    <n v="32"/>
    <n v="99"/>
    <n v="415"/>
    <n v="260"/>
    <n v="3769"/>
    <n v="38094"/>
  </r>
  <r>
    <x v="50"/>
    <s v="ITA"/>
    <x v="5"/>
    <x v="5"/>
    <n v="4449436681"/>
    <n v="113417208"/>
    <n v="3473"/>
    <n v="328"/>
    <n v="3801"/>
    <n v="9977"/>
    <n v="13778"/>
    <n v="-40"/>
    <n v="312"/>
    <n v="4269"/>
    <n v="2705"/>
    <n v="20752"/>
    <n v="101896"/>
  </r>
  <r>
    <x v="50"/>
    <s v="ITA"/>
    <x v="6"/>
    <x v="6"/>
    <n v="456494354"/>
    <n v="1376813649"/>
    <n v="166"/>
    <n v="28"/>
    <n v="194"/>
    <n v="705"/>
    <n v="899"/>
    <n v="-408"/>
    <n v="38"/>
    <n v="1415"/>
    <n v="206"/>
    <n v="2520"/>
    <n v="31764"/>
  </r>
  <r>
    <x v="50"/>
    <s v="ITA"/>
    <x v="7"/>
    <x v="7"/>
    <n v="4189277044"/>
    <n v="1248366722"/>
    <n v="1344"/>
    <n v="199"/>
    <n v="1543"/>
    <n v="2479"/>
    <n v="4022"/>
    <n v="102"/>
    <n v="143"/>
    <n v="789"/>
    <n v="300"/>
    <n v="5111"/>
    <n v="74650"/>
  </r>
  <r>
    <x v="50"/>
    <s v="ITA"/>
    <x v="8"/>
    <x v="8"/>
    <n v="4441149315"/>
    <n v="89326992"/>
    <n v="967"/>
    <n v="133"/>
    <n v="1100"/>
    <n v="2366"/>
    <n v="3466"/>
    <n v="101"/>
    <n v="212"/>
    <n v="1549"/>
    <n v="793"/>
    <n v="5808"/>
    <n v="24446"/>
  </r>
  <r>
    <x v="50"/>
    <s v="ITA"/>
    <x v="9"/>
    <x v="9"/>
    <n v="4546679409"/>
    <n v="9190347404"/>
    <n v="12077"/>
    <n v="1122"/>
    <n v="13199"/>
    <n v="19164"/>
    <n v="32363"/>
    <n v="428"/>
    <n v="1012"/>
    <n v="17821"/>
    <n v="11142"/>
    <n v="61326"/>
    <n v="214870"/>
  </r>
  <r>
    <x v="50"/>
    <s v="ITA"/>
    <x v="10"/>
    <x v="10"/>
    <n v="4361675973"/>
    <n v="135188753"/>
    <n v="937"/>
    <n v="106"/>
    <n v="1043"/>
    <n v="2052"/>
    <n v="3095"/>
    <n v="15"/>
    <n v="45"/>
    <n v="1603"/>
    <n v="728"/>
    <n v="5426"/>
    <n v="29160"/>
  </r>
  <r>
    <x v="50"/>
    <s v="ITA"/>
    <x v="11"/>
    <x v="11"/>
    <n v="4155774754"/>
    <n v="1465916051"/>
    <n v="26"/>
    <n v="4"/>
    <n v="30"/>
    <n v="170"/>
    <n v="200"/>
    <n v="-2"/>
    <n v="0"/>
    <n v="42"/>
    <n v="15"/>
    <n v="257"/>
    <n v="2522"/>
  </r>
  <r>
    <x v="50"/>
    <s v="ITA"/>
    <x v="12"/>
    <x v="12"/>
    <n v="450732745"/>
    <n v="7680687483"/>
    <n v="3395"/>
    <n v="367"/>
    <n v="3762"/>
    <n v="9293"/>
    <n v="13055"/>
    <n v="290"/>
    <n v="556"/>
    <n v="2708"/>
    <n v="1927"/>
    <n v="17690"/>
    <n v="71678"/>
  </r>
  <r>
    <x v="50"/>
    <s v="ITA"/>
    <x v="13"/>
    <x v="13"/>
    <n v="4112559576"/>
    <n v="1686736689"/>
    <n v="611"/>
    <n v="62"/>
    <n v="673"/>
    <n v="1879"/>
    <n v="2552"/>
    <n v="40"/>
    <n v="53"/>
    <n v="288"/>
    <n v="278"/>
    <n v="3118"/>
    <n v="33071"/>
  </r>
  <r>
    <x v="50"/>
    <s v="ITA"/>
    <x v="14"/>
    <x v="14"/>
    <n v="3921531192"/>
    <n v="9110616306"/>
    <n v="107"/>
    <n v="24"/>
    <n v="131"/>
    <n v="769"/>
    <n v="900"/>
    <n v="-14"/>
    <n v="10"/>
    <n v="158"/>
    <n v="80"/>
    <n v="1138"/>
    <n v="11893"/>
  </r>
  <r>
    <x v="50"/>
    <s v="ITA"/>
    <x v="15"/>
    <x v="15"/>
    <n v="3811569725"/>
    <n v="133623567"/>
    <n v="552"/>
    <n v="53"/>
    <n v="605"/>
    <n v="1466"/>
    <n v="2071"/>
    <n v="21"/>
    <n v="43"/>
    <n v="255"/>
    <n v="175"/>
    <n v="2501"/>
    <n v="37877"/>
  </r>
  <r>
    <x v="50"/>
    <s v="ITA"/>
    <x v="16"/>
    <x v="16"/>
    <n v="4376923077"/>
    <n v="1125588885"/>
    <n v="1002"/>
    <n v="225"/>
    <n v="1227"/>
    <n v="5125"/>
    <n v="6352"/>
    <n v="95"/>
    <n v="137"/>
    <n v="637"/>
    <n v="538"/>
    <n v="7527"/>
    <n v="82269"/>
  </r>
  <r>
    <x v="50"/>
    <s v="ITA"/>
    <x v="2"/>
    <x v="17"/>
    <n v="4606893511"/>
    <n v="1112123097"/>
    <n v="325"/>
    <n v="54"/>
    <n v="379"/>
    <n v="1703"/>
    <n v="2082"/>
    <n v="2"/>
    <n v="15"/>
    <n v="749"/>
    <n v="310"/>
    <n v="3141"/>
    <n v="18774"/>
  </r>
  <r>
    <x v="50"/>
    <s v="ITA"/>
    <x v="17"/>
    <x v="18"/>
    <n v="4310675841"/>
    <n v="1238824698"/>
    <n v="127"/>
    <n v="37"/>
    <n v="164"/>
    <n v="458"/>
    <n v="622"/>
    <n v="-3"/>
    <n v="1"/>
    <n v="646"/>
    <n v="53"/>
    <n v="1321"/>
    <n v="18956"/>
  </r>
  <r>
    <x v="50"/>
    <s v="ITA"/>
    <x v="18"/>
    <x v="19"/>
    <n v="4573750286"/>
    <n v="7320149366"/>
    <n v="112"/>
    <n v="14"/>
    <n v="126"/>
    <n v="433"/>
    <n v="559"/>
    <n v="-23"/>
    <n v="20"/>
    <n v="270"/>
    <n v="118"/>
    <n v="947"/>
    <n v="3726"/>
  </r>
  <r>
    <x v="50"/>
    <s v="ITA"/>
    <x v="19"/>
    <x v="20"/>
    <n v="4543490485"/>
    <n v="1233845213"/>
    <n v="1427"/>
    <n v="233"/>
    <n v="1660"/>
    <n v="9076"/>
    <n v="10736"/>
    <n v="-30"/>
    <n v="181"/>
    <n v="2790"/>
    <n v="906"/>
    <n v="14432"/>
    <n v="208878"/>
  </r>
  <r>
    <x v="51"/>
    <s v="ITA"/>
    <x v="0"/>
    <x v="0"/>
    <n v="4235122196"/>
    <n v="1339843823"/>
    <n v="341"/>
    <n v="44"/>
    <n v="385"/>
    <n v="1425"/>
    <n v="1810"/>
    <n v="10"/>
    <n v="29"/>
    <n v="224"/>
    <n v="240"/>
    <n v="2274"/>
    <n v="22500"/>
  </r>
  <r>
    <x v="51"/>
    <s v="ITA"/>
    <x v="1"/>
    <x v="1"/>
    <n v="4063947052"/>
    <n v="1580514834"/>
    <n v="60"/>
    <n v="12"/>
    <n v="72"/>
    <n v="189"/>
    <n v="261"/>
    <n v="-4"/>
    <n v="1"/>
    <n v="38"/>
    <n v="21"/>
    <n v="320"/>
    <n v="5037"/>
  </r>
  <r>
    <x v="51"/>
    <s v="ITA"/>
    <x v="2"/>
    <x v="2"/>
    <n v="4649933453"/>
    <n v="1135662422"/>
    <n v="166"/>
    <n v="32"/>
    <n v="198"/>
    <n v="1378"/>
    <n v="1576"/>
    <n v="12"/>
    <n v="40"/>
    <n v="425"/>
    <n v="223"/>
    <n v="2224"/>
    <n v="25370"/>
  </r>
  <r>
    <x v="51"/>
    <s v="ITA"/>
    <x v="3"/>
    <x v="3"/>
    <n v="3890597598"/>
    <n v="1659440194"/>
    <n v="156"/>
    <n v="11"/>
    <n v="167"/>
    <n v="652"/>
    <n v="819"/>
    <n v="3"/>
    <n v="15"/>
    <n v="81"/>
    <n v="71"/>
    <n v="971"/>
    <n v="19662"/>
  </r>
  <r>
    <x v="51"/>
    <s v="ITA"/>
    <x v="4"/>
    <x v="4"/>
    <n v="4083956555"/>
    <n v="1425084984"/>
    <n v="607"/>
    <n v="86"/>
    <n v="693"/>
    <n v="2394"/>
    <n v="3087"/>
    <n v="-7"/>
    <n v="38"/>
    <n v="442"/>
    <n v="278"/>
    <n v="3807"/>
    <n v="39534"/>
  </r>
  <r>
    <x v="51"/>
    <s v="ITA"/>
    <x v="5"/>
    <x v="5"/>
    <n v="4449436681"/>
    <n v="113417208"/>
    <n v="3388"/>
    <n v="325"/>
    <n v="3713"/>
    <n v="9864"/>
    <n v="13577"/>
    <n v="-201"/>
    <n v="277"/>
    <n v="4664"/>
    <n v="2788"/>
    <n v="21029"/>
    <n v="106149"/>
  </r>
  <r>
    <x v="51"/>
    <s v="ITA"/>
    <x v="6"/>
    <x v="6"/>
    <n v="456494354"/>
    <n v="1376813649"/>
    <n v="163"/>
    <n v="24"/>
    <n v="187"/>
    <n v="1207"/>
    <n v="1394"/>
    <n v="495"/>
    <n v="24"/>
    <n v="938"/>
    <n v="212"/>
    <n v="2544"/>
    <n v="33800"/>
  </r>
  <r>
    <x v="51"/>
    <s v="ITA"/>
    <x v="7"/>
    <x v="7"/>
    <n v="4189277044"/>
    <n v="1248366722"/>
    <n v="1342"/>
    <n v="196"/>
    <n v="1538"/>
    <n v="2509"/>
    <n v="4047"/>
    <n v="25"/>
    <n v="121"/>
    <n v="874"/>
    <n v="311"/>
    <n v="5232"/>
    <n v="75584"/>
  </r>
  <r>
    <x v="51"/>
    <s v="ITA"/>
    <x v="8"/>
    <x v="8"/>
    <n v="4441149315"/>
    <n v="89326992"/>
    <n v="959"/>
    <n v="120"/>
    <n v="1079"/>
    <n v="2385"/>
    <n v="3464"/>
    <n v="-2"/>
    <n v="128"/>
    <n v="1665"/>
    <n v="807"/>
    <n v="5936"/>
    <n v="25793"/>
  </r>
  <r>
    <x v="51"/>
    <s v="ITA"/>
    <x v="9"/>
    <x v="9"/>
    <n v="4546679409"/>
    <n v="9190347404"/>
    <n v="12043"/>
    <n v="1074"/>
    <n v="13117"/>
    <n v="19804"/>
    <n v="32921"/>
    <n v="558"/>
    <n v="827"/>
    <n v="17855"/>
    <n v="11377"/>
    <n v="62153"/>
    <n v="221968"/>
  </r>
  <r>
    <x v="51"/>
    <s v="ITA"/>
    <x v="10"/>
    <x v="10"/>
    <n v="4361675973"/>
    <n v="135188753"/>
    <n v="888"/>
    <n v="106"/>
    <n v="994"/>
    <n v="2103"/>
    <n v="3097"/>
    <n v="2"/>
    <n v="77"/>
    <n v="1660"/>
    <n v="746"/>
    <n v="5503"/>
    <n v="30329"/>
  </r>
  <r>
    <x v="51"/>
    <s v="ITA"/>
    <x v="11"/>
    <x v="11"/>
    <n v="4155774754"/>
    <n v="1465916051"/>
    <n v="27"/>
    <n v="4"/>
    <n v="31"/>
    <n v="175"/>
    <n v="206"/>
    <n v="6"/>
    <n v="6"/>
    <n v="42"/>
    <n v="15"/>
    <n v="263"/>
    <n v="2855"/>
  </r>
  <r>
    <x v="51"/>
    <s v="ITA"/>
    <x v="12"/>
    <x v="12"/>
    <n v="450732745"/>
    <n v="7680687483"/>
    <n v="3338"/>
    <n v="366"/>
    <n v="3704"/>
    <n v="9491"/>
    <n v="13195"/>
    <n v="140"/>
    <n v="539"/>
    <n v="3019"/>
    <n v="2015"/>
    <n v="18229"/>
    <n v="75664"/>
  </r>
  <r>
    <x v="51"/>
    <s v="ITA"/>
    <x v="13"/>
    <x v="13"/>
    <n v="4112559576"/>
    <n v="1686736689"/>
    <n v="592"/>
    <n v="73"/>
    <n v="665"/>
    <n v="1908"/>
    <n v="2573"/>
    <n v="21"/>
    <n v="66"/>
    <n v="323"/>
    <n v="288"/>
    <n v="3184"/>
    <n v="34518"/>
  </r>
  <r>
    <x v="51"/>
    <s v="ITA"/>
    <x v="14"/>
    <x v="14"/>
    <n v="3921531192"/>
    <n v="9110616306"/>
    <n v="107"/>
    <n v="26"/>
    <n v="133"/>
    <n v="737"/>
    <n v="870"/>
    <n v="-30"/>
    <n v="23"/>
    <n v="208"/>
    <n v="83"/>
    <n v="1161"/>
    <n v="12395"/>
  </r>
  <r>
    <x v="51"/>
    <s v="ITA"/>
    <x v="15"/>
    <x v="15"/>
    <n v="3811569725"/>
    <n v="133623567"/>
    <n v="541"/>
    <n v="49"/>
    <n v="590"/>
    <n v="1491"/>
    <n v="2081"/>
    <n v="10"/>
    <n v="34"/>
    <n v="273"/>
    <n v="181"/>
    <n v="2535"/>
    <n v="39867"/>
  </r>
  <r>
    <x v="51"/>
    <s v="ITA"/>
    <x v="16"/>
    <x v="16"/>
    <n v="4376923077"/>
    <n v="1125588885"/>
    <n v="977"/>
    <n v="216"/>
    <n v="1193"/>
    <n v="5224"/>
    <n v="6417"/>
    <n v="65"/>
    <n v="139"/>
    <n v="693"/>
    <n v="556"/>
    <n v="7666"/>
    <n v="86348"/>
  </r>
  <r>
    <x v="51"/>
    <s v="ITA"/>
    <x v="2"/>
    <x v="17"/>
    <n v="4606893511"/>
    <n v="1112123097"/>
    <n v="312"/>
    <n v="48"/>
    <n v="360"/>
    <n v="1744"/>
    <n v="2104"/>
    <n v="22"/>
    <n v="79"/>
    <n v="798"/>
    <n v="318"/>
    <n v="3220"/>
    <n v="19535"/>
  </r>
  <r>
    <x v="51"/>
    <s v="ITA"/>
    <x v="17"/>
    <x v="18"/>
    <n v="4310675841"/>
    <n v="1238824698"/>
    <n v="122"/>
    <n v="37"/>
    <n v="159"/>
    <n v="423"/>
    <n v="582"/>
    <n v="-40"/>
    <n v="1"/>
    <n v="686"/>
    <n v="54"/>
    <n v="1322"/>
    <n v="20258"/>
  </r>
  <r>
    <x v="51"/>
    <s v="ITA"/>
    <x v="18"/>
    <x v="19"/>
    <n v="4573750286"/>
    <n v="7320149366"/>
    <n v="112"/>
    <n v="11"/>
    <n v="123"/>
    <n v="425"/>
    <n v="548"/>
    <n v="-11"/>
    <n v="11"/>
    <n v="289"/>
    <n v="121"/>
    <n v="958"/>
    <n v="3894"/>
  </r>
  <r>
    <x v="51"/>
    <s v="ITA"/>
    <x v="19"/>
    <x v="20"/>
    <n v="4543490485"/>
    <n v="1233845213"/>
    <n v="1402"/>
    <n v="219"/>
    <n v="1621"/>
    <n v="9168"/>
    <n v="10789"/>
    <n v="53"/>
    <n v="192"/>
    <n v="2895"/>
    <n v="940"/>
    <n v="14624"/>
    <n v="216344"/>
  </r>
  <r>
    <x v="52"/>
    <s v="ITA"/>
    <x v="0"/>
    <x v="0"/>
    <n v="4235122196"/>
    <n v="1339843823"/>
    <n v="324"/>
    <n v="42"/>
    <n v="366"/>
    <n v="1484"/>
    <n v="1850"/>
    <n v="40"/>
    <n v="72"/>
    <n v="253"/>
    <n v="243"/>
    <n v="2346"/>
    <n v="23786"/>
  </r>
  <r>
    <x v="52"/>
    <s v="ITA"/>
    <x v="1"/>
    <x v="1"/>
    <n v="4063947052"/>
    <n v="1580514834"/>
    <n v="60"/>
    <n v="9"/>
    <n v="69"/>
    <n v="204"/>
    <n v="273"/>
    <n v="12"/>
    <n v="16"/>
    <n v="41"/>
    <n v="22"/>
    <n v="336"/>
    <n v="5349"/>
  </r>
  <r>
    <x v="52"/>
    <s v="ITA"/>
    <x v="2"/>
    <x v="2"/>
    <n v="4649933453"/>
    <n v="1135662422"/>
    <n v="180"/>
    <n v="34"/>
    <n v="214"/>
    <n v="1379"/>
    <n v="1593"/>
    <n v="17"/>
    <n v="43"/>
    <n v="449"/>
    <n v="225"/>
    <n v="2267"/>
    <n v="26416"/>
  </r>
  <r>
    <x v="52"/>
    <s v="ITA"/>
    <x v="3"/>
    <x v="3"/>
    <n v="3890597598"/>
    <n v="1659440194"/>
    <n v="157"/>
    <n v="9"/>
    <n v="166"/>
    <n v="681"/>
    <n v="847"/>
    <n v="28"/>
    <n v="38"/>
    <n v="90"/>
    <n v="72"/>
    <n v="1009"/>
    <n v="20642"/>
  </r>
  <r>
    <x v="52"/>
    <s v="ITA"/>
    <x v="4"/>
    <x v="4"/>
    <n v="4083956555"/>
    <n v="1425084984"/>
    <n v="618"/>
    <n v="76"/>
    <n v="694"/>
    <n v="2424"/>
    <n v="3118"/>
    <n v="31"/>
    <n v="80"/>
    <n v="483"/>
    <n v="286"/>
    <n v="3887"/>
    <n v="41296"/>
  </r>
  <r>
    <x v="52"/>
    <s v="ITA"/>
    <x v="5"/>
    <x v="5"/>
    <n v="4449436681"/>
    <n v="113417208"/>
    <n v="3360"/>
    <n v="316"/>
    <n v="3676"/>
    <n v="9987"/>
    <n v="13663"/>
    <n v="86"/>
    <n v="457"/>
    <n v="4980"/>
    <n v="2843"/>
    <n v="21486"/>
    <n v="112105"/>
  </r>
  <r>
    <x v="52"/>
    <s v="ITA"/>
    <x v="6"/>
    <x v="6"/>
    <n v="456494354"/>
    <n v="1376813649"/>
    <n v="159"/>
    <n v="26"/>
    <n v="185"/>
    <n v="1145"/>
    <n v="1330"/>
    <n v="-64"/>
    <n v="72"/>
    <n v="1069"/>
    <n v="217"/>
    <n v="2616"/>
    <n v="35766"/>
  </r>
  <r>
    <x v="52"/>
    <s v="ITA"/>
    <x v="7"/>
    <x v="7"/>
    <n v="4189277044"/>
    <n v="1248366722"/>
    <n v="1347"/>
    <n v="197"/>
    <n v="1544"/>
    <n v="2600"/>
    <n v="4144"/>
    <n v="97"/>
    <n v="148"/>
    <n v="920"/>
    <n v="316"/>
    <n v="5380"/>
    <n v="81993"/>
  </r>
  <r>
    <x v="52"/>
    <s v="ITA"/>
    <x v="8"/>
    <x v="8"/>
    <n v="4441149315"/>
    <n v="89326992"/>
    <n v="957"/>
    <n v="103"/>
    <n v="1060"/>
    <n v="2377"/>
    <n v="3437"/>
    <n v="-27"/>
    <n v="103"/>
    <n v="1774"/>
    <n v="828"/>
    <n v="6039"/>
    <n v="26945"/>
  </r>
  <r>
    <x v="52"/>
    <s v="ITA"/>
    <x v="9"/>
    <x v="9"/>
    <n v="4546679409"/>
    <n v="9190347404"/>
    <n v="11356"/>
    <n v="1032"/>
    <n v="12388"/>
    <n v="20702"/>
    <n v="33090"/>
    <n v="169"/>
    <n v="941"/>
    <n v="18396"/>
    <n v="11608"/>
    <n v="63094"/>
    <n v="232674"/>
  </r>
  <r>
    <x v="52"/>
    <s v="ITA"/>
    <x v="10"/>
    <x v="10"/>
    <n v="4361675973"/>
    <n v="135188753"/>
    <n v="850"/>
    <n v="102"/>
    <n v="952"/>
    <n v="2172"/>
    <n v="3124"/>
    <n v="27"/>
    <n v="79"/>
    <n v="1694"/>
    <n v="764"/>
    <n v="5582"/>
    <n v="33778"/>
  </r>
  <r>
    <x v="52"/>
    <s v="ITA"/>
    <x v="11"/>
    <x v="11"/>
    <n v="4155774754"/>
    <n v="1465916051"/>
    <n v="25"/>
    <n v="4"/>
    <n v="29"/>
    <n v="174"/>
    <n v="203"/>
    <n v="-3"/>
    <n v="0"/>
    <n v="44"/>
    <n v="16"/>
    <n v="263"/>
    <n v="2967"/>
  </r>
  <r>
    <x v="52"/>
    <s v="ITA"/>
    <x v="12"/>
    <x v="12"/>
    <n v="450732745"/>
    <n v="7680687483"/>
    <n v="3418"/>
    <n v="346"/>
    <n v="3764"/>
    <n v="10019"/>
    <n v="13783"/>
    <n v="588"/>
    <n v="879"/>
    <n v="3231"/>
    <n v="2094"/>
    <n v="19108"/>
    <n v="80708"/>
  </r>
  <r>
    <x v="52"/>
    <s v="ITA"/>
    <x v="13"/>
    <x v="13"/>
    <n v="4112559576"/>
    <n v="1686736689"/>
    <n v="603"/>
    <n v="58"/>
    <n v="661"/>
    <n v="1964"/>
    <n v="2625"/>
    <n v="52"/>
    <n v="74"/>
    <n v="334"/>
    <n v="299"/>
    <n v="3258"/>
    <n v="36158"/>
  </r>
  <r>
    <x v="52"/>
    <s v="ITA"/>
    <x v="14"/>
    <x v="14"/>
    <n v="3921531192"/>
    <n v="9110616306"/>
    <n v="109"/>
    <n v="24"/>
    <n v="133"/>
    <n v="732"/>
    <n v="865"/>
    <n v="-5"/>
    <n v="3"/>
    <n v="214"/>
    <n v="85"/>
    <n v="1164"/>
    <n v="12796"/>
  </r>
  <r>
    <x v="52"/>
    <s v="ITA"/>
    <x v="15"/>
    <x v="15"/>
    <n v="3811569725"/>
    <n v="133623567"/>
    <n v="525"/>
    <n v="48"/>
    <n v="573"/>
    <n v="1535"/>
    <n v="2108"/>
    <n v="27"/>
    <n v="44"/>
    <n v="284"/>
    <n v="187"/>
    <n v="2579"/>
    <n v="42405"/>
  </r>
  <r>
    <x v="52"/>
    <s v="ITA"/>
    <x v="16"/>
    <x v="16"/>
    <n v="4376923077"/>
    <n v="1125588885"/>
    <n v="940"/>
    <n v="213"/>
    <n v="1153"/>
    <n v="5460"/>
    <n v="6613"/>
    <n v="196"/>
    <n v="277"/>
    <n v="745"/>
    <n v="585"/>
    <n v="7943"/>
    <n v="91651"/>
  </r>
  <r>
    <x v="52"/>
    <s v="ITA"/>
    <x v="2"/>
    <x v="17"/>
    <n v="4606893511"/>
    <n v="1112123097"/>
    <n v="296"/>
    <n v="43"/>
    <n v="339"/>
    <n v="1748"/>
    <n v="2087"/>
    <n v="-17"/>
    <n v="74"/>
    <n v="885"/>
    <n v="322"/>
    <n v="3294"/>
    <n v="20773"/>
  </r>
  <r>
    <x v="52"/>
    <s v="ITA"/>
    <x v="17"/>
    <x v="18"/>
    <n v="4310675841"/>
    <n v="1238824698"/>
    <n v="116"/>
    <n v="33"/>
    <n v="149"/>
    <n v="387"/>
    <n v="536"/>
    <n v="-46"/>
    <n v="7"/>
    <n v="738"/>
    <n v="55"/>
    <n v="1329"/>
    <n v="21487"/>
  </r>
  <r>
    <x v="52"/>
    <s v="ITA"/>
    <x v="18"/>
    <x v="19"/>
    <n v="4573750286"/>
    <n v="7320149366"/>
    <n v="105"/>
    <n v="12"/>
    <n v="117"/>
    <n v="401"/>
    <n v="518"/>
    <n v="-30"/>
    <n v="13"/>
    <n v="331"/>
    <n v="122"/>
    <n v="971"/>
    <n v="4159"/>
  </r>
  <r>
    <x v="52"/>
    <s v="ITA"/>
    <x v="19"/>
    <x v="20"/>
    <n v="4543490485"/>
    <n v="1233845213"/>
    <n v="1388"/>
    <n v="209"/>
    <n v="1597"/>
    <n v="9203"/>
    <n v="10800"/>
    <n v="11"/>
    <n v="366"/>
    <n v="3209"/>
    <n v="981"/>
    <n v="14990"/>
    <n v="224549"/>
  </r>
  <r>
    <x v="53"/>
    <s v="ITA"/>
    <x v="0"/>
    <x v="0"/>
    <n v="4235122196"/>
    <n v="1339843823"/>
    <n v="319"/>
    <n v="43"/>
    <n v="362"/>
    <n v="1580"/>
    <n v="1942"/>
    <n v="92"/>
    <n v="97"/>
    <n v="255"/>
    <n v="246"/>
    <n v="2443"/>
    <n v="25436"/>
  </r>
  <r>
    <x v="53"/>
    <s v="ITA"/>
    <x v="1"/>
    <x v="1"/>
    <n v="4063947052"/>
    <n v="1580514834"/>
    <n v="59"/>
    <n v="9"/>
    <n v="68"/>
    <n v="198"/>
    <n v="266"/>
    <n v="-7"/>
    <n v="1"/>
    <n v="49"/>
    <n v="22"/>
    <n v="337"/>
    <n v="5710"/>
  </r>
  <r>
    <x v="53"/>
    <s v="ITA"/>
    <x v="2"/>
    <x v="2"/>
    <n v="4649933453"/>
    <n v="1135662422"/>
    <n v="181"/>
    <n v="32"/>
    <n v="213"/>
    <n v="1369"/>
    <n v="1582"/>
    <n v="-11"/>
    <n v="29"/>
    <n v="480"/>
    <n v="234"/>
    <n v="2296"/>
    <n v="27698"/>
  </r>
  <r>
    <x v="53"/>
    <s v="ITA"/>
    <x v="3"/>
    <x v="3"/>
    <n v="3890597598"/>
    <n v="1659440194"/>
    <n v="154"/>
    <n v="7"/>
    <n v="161"/>
    <n v="658"/>
    <n v="819"/>
    <n v="-28"/>
    <n v="-18"/>
    <n v="99"/>
    <n v="73"/>
    <n v="991"/>
    <n v="21657"/>
  </r>
  <r>
    <x v="53"/>
    <s v="ITA"/>
    <x v="4"/>
    <x v="4"/>
    <n v="4083956555"/>
    <n v="1425084984"/>
    <n v="622"/>
    <n v="76"/>
    <n v="698"/>
    <n v="2329"/>
    <n v="3027"/>
    <n v="-91"/>
    <n v="64"/>
    <n v="631"/>
    <n v="293"/>
    <n v="3951"/>
    <n v="43697"/>
  </r>
  <r>
    <x v="53"/>
    <s v="ITA"/>
    <x v="5"/>
    <x v="5"/>
    <n v="4449436681"/>
    <n v="113417208"/>
    <n v="3330"/>
    <n v="309"/>
    <n v="3639"/>
    <n v="9946"/>
    <n v="13585"/>
    <n v="-78"/>
    <n v="348"/>
    <n v="5346"/>
    <n v="2903"/>
    <n v="21834"/>
    <n v="116826"/>
  </r>
  <r>
    <x v="53"/>
    <s v="ITA"/>
    <x v="6"/>
    <x v="6"/>
    <n v="456494354"/>
    <n v="1376813649"/>
    <n v="148"/>
    <n v="23"/>
    <n v="171"/>
    <n v="1257"/>
    <n v="1428"/>
    <n v="98"/>
    <n v="59"/>
    <n v="1027"/>
    <n v="220"/>
    <n v="2675"/>
    <n v="40030"/>
  </r>
  <r>
    <x v="53"/>
    <s v="ITA"/>
    <x v="7"/>
    <x v="7"/>
    <n v="4189277044"/>
    <n v="1248366722"/>
    <n v="1332"/>
    <n v="187"/>
    <n v="1519"/>
    <n v="2695"/>
    <n v="4214"/>
    <n v="70"/>
    <n v="144"/>
    <n v="978"/>
    <n v="332"/>
    <n v="5524"/>
    <n v="84755"/>
  </r>
  <r>
    <x v="53"/>
    <s v="ITA"/>
    <x v="8"/>
    <x v="8"/>
    <n v="4441149315"/>
    <n v="89326992"/>
    <n v="897"/>
    <n v="105"/>
    <n v="1002"/>
    <n v="2457"/>
    <n v="3459"/>
    <n v="22"/>
    <n v="149"/>
    <n v="1863"/>
    <n v="866"/>
    <n v="6188"/>
    <n v="28181"/>
  </r>
  <r>
    <x v="53"/>
    <s v="ITA"/>
    <x v="9"/>
    <x v="9"/>
    <n v="4546679409"/>
    <n v="9190347404"/>
    <n v="10627"/>
    <n v="971"/>
    <n v="11598"/>
    <n v="21836"/>
    <n v="33434"/>
    <n v="344"/>
    <n v="1041"/>
    <n v="18850"/>
    <n v="11851"/>
    <n v="64135"/>
    <n v="243513"/>
  </r>
  <r>
    <x v="53"/>
    <s v="ITA"/>
    <x v="10"/>
    <x v="10"/>
    <n v="4361675973"/>
    <n v="135188753"/>
    <n v="839"/>
    <n v="94"/>
    <n v="933"/>
    <n v="2224"/>
    <n v="3157"/>
    <n v="33"/>
    <n v="86"/>
    <n v="1726"/>
    <n v="785"/>
    <n v="5668"/>
    <n v="37997"/>
  </r>
  <r>
    <x v="53"/>
    <s v="ITA"/>
    <x v="11"/>
    <x v="11"/>
    <n v="4155774754"/>
    <n v="1465916051"/>
    <n v="26"/>
    <n v="4"/>
    <n v="30"/>
    <n v="178"/>
    <n v="208"/>
    <n v="5"/>
    <n v="6"/>
    <n v="45"/>
    <n v="16"/>
    <n v="269"/>
    <n v="3082"/>
  </r>
  <r>
    <x v="53"/>
    <s v="ITA"/>
    <x v="12"/>
    <x v="12"/>
    <n v="450732745"/>
    <n v="7680687483"/>
    <n v="3266"/>
    <n v="333"/>
    <n v="3599"/>
    <n v="10399"/>
    <n v="13998"/>
    <n v="215"/>
    <n v="695"/>
    <n v="3634"/>
    <n v="2171"/>
    <n v="19803"/>
    <n v="86714"/>
  </r>
  <r>
    <x v="53"/>
    <s v="ITA"/>
    <x v="13"/>
    <x v="13"/>
    <n v="4112559576"/>
    <n v="1686736689"/>
    <n v="590"/>
    <n v="62"/>
    <n v="652"/>
    <n v="2004"/>
    <n v="2656"/>
    <n v="31"/>
    <n v="69"/>
    <n v="364"/>
    <n v="307"/>
    <n v="3327"/>
    <n v="38278"/>
  </r>
  <r>
    <x v="53"/>
    <s v="ITA"/>
    <x v="14"/>
    <x v="14"/>
    <n v="3921531192"/>
    <n v="9110616306"/>
    <n v="113"/>
    <n v="23"/>
    <n v="136"/>
    <n v="736"/>
    <n v="872"/>
    <n v="7"/>
    <n v="14"/>
    <n v="220"/>
    <n v="86"/>
    <n v="1178"/>
    <n v="13304"/>
  </r>
  <r>
    <x v="53"/>
    <s v="ITA"/>
    <x v="15"/>
    <x v="15"/>
    <n v="3811569725"/>
    <n v="133623567"/>
    <n v="521"/>
    <n v="46"/>
    <n v="567"/>
    <n v="1572"/>
    <n v="2139"/>
    <n v="31"/>
    <n v="46"/>
    <n v="296"/>
    <n v="190"/>
    <n v="2625"/>
    <n v="45172"/>
  </r>
  <r>
    <x v="53"/>
    <s v="ITA"/>
    <x v="16"/>
    <x v="16"/>
    <n v="4376923077"/>
    <n v="1125588885"/>
    <n v="898"/>
    <n v="207"/>
    <n v="1105"/>
    <n v="5478"/>
    <n v="6583"/>
    <n v="-30"/>
    <n v="167"/>
    <n v="925"/>
    <n v="602"/>
    <n v="8110"/>
    <n v="96231"/>
  </r>
  <r>
    <x v="53"/>
    <s v="ITA"/>
    <x v="2"/>
    <x v="17"/>
    <n v="4606893511"/>
    <n v="1112123097"/>
    <n v="286"/>
    <n v="44"/>
    <n v="330"/>
    <n v="1660"/>
    <n v="1990"/>
    <n v="-97"/>
    <n v="82"/>
    <n v="1044"/>
    <n v="342"/>
    <n v="3376"/>
    <n v="21921"/>
  </r>
  <r>
    <x v="53"/>
    <s v="ITA"/>
    <x v="17"/>
    <x v="18"/>
    <n v="4310675841"/>
    <n v="1238824698"/>
    <n v="111"/>
    <n v="31"/>
    <n v="142"/>
    <n v="352"/>
    <n v="494"/>
    <n v="-42"/>
    <n v="8"/>
    <n v="786"/>
    <n v="57"/>
    <n v="1337"/>
    <n v="22818"/>
  </r>
  <r>
    <x v="53"/>
    <s v="ITA"/>
    <x v="18"/>
    <x v="19"/>
    <n v="4573750286"/>
    <n v="7320149366"/>
    <n v="108"/>
    <n v="9"/>
    <n v="117"/>
    <n v="374"/>
    <n v="491"/>
    <n v="-27"/>
    <n v="22"/>
    <n v="379"/>
    <n v="123"/>
    <n v="993"/>
    <n v="4366"/>
  </r>
  <r>
    <x v="53"/>
    <s v="ITA"/>
    <x v="19"/>
    <x v="20"/>
    <n v="4543490485"/>
    <n v="1233845213"/>
    <n v="1359"/>
    <n v="197"/>
    <n v="1556"/>
    <n v="9062"/>
    <n v="10618"/>
    <n v="-182"/>
    <n v="384"/>
    <n v="3730"/>
    <n v="1026"/>
    <n v="15374"/>
    <n v="236722"/>
  </r>
  <r>
    <x v="54"/>
    <s v="ITA"/>
    <x v="0"/>
    <x v="0"/>
    <n v="4235122196"/>
    <n v="1339843823"/>
    <n v="321"/>
    <n v="41"/>
    <n v="362"/>
    <n v="1609"/>
    <n v="1971"/>
    <n v="29"/>
    <n v="44"/>
    <n v="263"/>
    <n v="253"/>
    <n v="2487"/>
    <n v="27016"/>
  </r>
  <r>
    <x v="54"/>
    <s v="ITA"/>
    <x v="1"/>
    <x v="1"/>
    <n v="4063947052"/>
    <n v="1580514834"/>
    <n v="60"/>
    <n v="8"/>
    <n v="68"/>
    <n v="194"/>
    <n v="262"/>
    <n v="-4"/>
    <n v="2"/>
    <n v="54"/>
    <n v="23"/>
    <n v="339"/>
    <n v="6056"/>
  </r>
  <r>
    <x v="54"/>
    <s v="ITA"/>
    <x v="2"/>
    <x v="2"/>
    <n v="4649933453"/>
    <n v="1135662422"/>
    <n v="179"/>
    <n v="28"/>
    <n v="207"/>
    <n v="1349"/>
    <n v="1556"/>
    <n v="-26"/>
    <n v="29"/>
    <n v="530"/>
    <n v="239"/>
    <n v="2325"/>
    <n v="28888"/>
  </r>
  <r>
    <x v="54"/>
    <s v="ITA"/>
    <x v="3"/>
    <x v="3"/>
    <n v="3890597598"/>
    <n v="1659440194"/>
    <n v="152"/>
    <n v="7"/>
    <n v="159"/>
    <n v="673"/>
    <n v="832"/>
    <n v="13"/>
    <n v="20"/>
    <n v="106"/>
    <n v="73"/>
    <n v="1011"/>
    <n v="22794"/>
  </r>
  <r>
    <x v="54"/>
    <s v="ITA"/>
    <x v="4"/>
    <x v="4"/>
    <n v="4083956555"/>
    <n v="1425084984"/>
    <n v="605"/>
    <n v="76"/>
    <n v="681"/>
    <n v="2364"/>
    <n v="3045"/>
    <n v="18"/>
    <n v="37"/>
    <n v="643"/>
    <n v="300"/>
    <n v="3988"/>
    <n v="46294"/>
  </r>
  <r>
    <x v="54"/>
    <s v="ITA"/>
    <x v="5"/>
    <x v="5"/>
    <n v="4449436681"/>
    <n v="113417208"/>
    <n v="3234"/>
    <n v="296"/>
    <n v="3530"/>
    <n v="10054"/>
    <n v="13584"/>
    <n v="-1"/>
    <n v="350"/>
    <n v="5635"/>
    <n v="2965"/>
    <n v="22184"/>
    <n v="121220"/>
  </r>
  <r>
    <x v="54"/>
    <s v="ITA"/>
    <x v="6"/>
    <x v="6"/>
    <n v="456494354"/>
    <n v="1376813649"/>
    <n v="141"/>
    <n v="27"/>
    <n v="168"/>
    <n v="1235"/>
    <n v="1403"/>
    <n v="-25"/>
    <n v="56"/>
    <n v="1106"/>
    <n v="222"/>
    <n v="2731"/>
    <n v="43293"/>
  </r>
  <r>
    <x v="54"/>
    <s v="ITA"/>
    <x v="7"/>
    <x v="7"/>
    <n v="4189277044"/>
    <n v="1248366722"/>
    <n v="1376"/>
    <n v="186"/>
    <n v="1562"/>
    <n v="2720"/>
    <n v="4282"/>
    <n v="68"/>
    <n v="144"/>
    <n v="1046"/>
    <n v="340"/>
    <n v="5668"/>
    <n v="89553"/>
  </r>
  <r>
    <x v="54"/>
    <s v="ITA"/>
    <x v="8"/>
    <x v="8"/>
    <n v="4441149315"/>
    <n v="89326992"/>
    <n v="901"/>
    <n v="105"/>
    <n v="1006"/>
    <n v="2406"/>
    <n v="3412"/>
    <n v="-47"/>
    <n v="113"/>
    <n v="1992"/>
    <n v="897"/>
    <n v="6301"/>
    <n v="29322"/>
  </r>
  <r>
    <x v="54"/>
    <s v="ITA"/>
    <x v="9"/>
    <x v="9"/>
    <n v="4546679409"/>
    <n v="9190347404"/>
    <n v="10042"/>
    <n v="947"/>
    <n v="10989"/>
    <n v="23206"/>
    <n v="34195"/>
    <n v="761"/>
    <n v="1246"/>
    <n v="19136"/>
    <n v="12050"/>
    <n v="65381"/>
    <n v="255331"/>
  </r>
  <r>
    <x v="54"/>
    <s v="ITA"/>
    <x v="10"/>
    <x v="10"/>
    <n v="4361675973"/>
    <n v="135188753"/>
    <n v="804"/>
    <n v="88"/>
    <n v="892"/>
    <n v="2280"/>
    <n v="3172"/>
    <n v="15"/>
    <n v="53"/>
    <n v="1754"/>
    <n v="795"/>
    <n v="5721"/>
    <n v="39909"/>
  </r>
  <r>
    <x v="54"/>
    <s v="ITA"/>
    <x v="11"/>
    <x v="11"/>
    <n v="4155774754"/>
    <n v="1465916051"/>
    <n v="27"/>
    <n v="4"/>
    <n v="31"/>
    <n v="178"/>
    <n v="209"/>
    <n v="1"/>
    <n v="0"/>
    <n v="44"/>
    <n v="16"/>
    <n v="269"/>
    <n v="3082"/>
  </r>
  <r>
    <x v="54"/>
    <s v="ITA"/>
    <x v="12"/>
    <x v="12"/>
    <n v="450732745"/>
    <n v="7680687483"/>
    <n v="3271"/>
    <n v="323"/>
    <n v="3594"/>
    <n v="10629"/>
    <n v="14223"/>
    <n v="225"/>
    <n v="661"/>
    <n v="3989"/>
    <n v="2252"/>
    <n v="20464"/>
    <n v="91844"/>
  </r>
  <r>
    <x v="54"/>
    <s v="ITA"/>
    <x v="13"/>
    <x v="13"/>
    <n v="4112559576"/>
    <n v="1686736689"/>
    <n v="594"/>
    <n v="60"/>
    <n v="654"/>
    <n v="2040"/>
    <n v="2694"/>
    <n v="38"/>
    <n v="82"/>
    <n v="401"/>
    <n v="314"/>
    <n v="3409"/>
    <n v="40423"/>
  </r>
  <r>
    <x v="54"/>
    <s v="ITA"/>
    <x v="14"/>
    <x v="14"/>
    <n v="3921531192"/>
    <n v="9110616306"/>
    <n v="112"/>
    <n v="23"/>
    <n v="135"/>
    <n v="746"/>
    <n v="881"/>
    <n v="9"/>
    <n v="20"/>
    <n v="231"/>
    <n v="86"/>
    <n v="1198"/>
    <n v="14087"/>
  </r>
  <r>
    <x v="54"/>
    <s v="ITA"/>
    <x v="15"/>
    <x v="15"/>
    <n v="3811569725"/>
    <n v="133623567"/>
    <n v="526"/>
    <n v="42"/>
    <n v="568"/>
    <n v="1603"/>
    <n v="2171"/>
    <n v="32"/>
    <n v="47"/>
    <n v="305"/>
    <n v="196"/>
    <n v="2672"/>
    <n v="47715"/>
  </r>
  <r>
    <x v="54"/>
    <s v="ITA"/>
    <x v="16"/>
    <x v="16"/>
    <n v="4376923077"/>
    <n v="1125588885"/>
    <n v="883"/>
    <n v="198"/>
    <n v="1081"/>
    <n v="5389"/>
    <n v="6470"/>
    <n v="-113"/>
    <n v="127"/>
    <n v="1149"/>
    <n v="618"/>
    <n v="8237"/>
    <n v="99903"/>
  </r>
  <r>
    <x v="54"/>
    <s v="ITA"/>
    <x v="2"/>
    <x v="17"/>
    <n v="4606893511"/>
    <n v="1112123097"/>
    <n v="276"/>
    <n v="42"/>
    <n v="318"/>
    <n v="1667"/>
    <n v="1985"/>
    <n v="-5"/>
    <n v="55"/>
    <n v="1098"/>
    <n v="348"/>
    <n v="3431"/>
    <n v="23147"/>
  </r>
  <r>
    <x v="54"/>
    <s v="ITA"/>
    <x v="17"/>
    <x v="18"/>
    <n v="4310675841"/>
    <n v="1238824698"/>
    <n v="109"/>
    <n v="32"/>
    <n v="141"/>
    <n v="290"/>
    <n v="431"/>
    <n v="-63"/>
    <n v="7"/>
    <n v="856"/>
    <n v="57"/>
    <n v="1344"/>
    <n v="24106"/>
  </r>
  <r>
    <x v="54"/>
    <s v="ITA"/>
    <x v="18"/>
    <x v="19"/>
    <n v="4573750286"/>
    <n v="7320149366"/>
    <n v="107"/>
    <n v="10"/>
    <n v="117"/>
    <n v="432"/>
    <n v="549"/>
    <n v="58"/>
    <n v="80"/>
    <n v="400"/>
    <n v="124"/>
    <n v="1073"/>
    <n v="4521"/>
  </r>
  <r>
    <x v="54"/>
    <s v="ITA"/>
    <x v="19"/>
    <x v="20"/>
    <n v="4543490485"/>
    <n v="1233845213"/>
    <n v="1287"/>
    <n v="190"/>
    <n v="1477"/>
    <n v="8967"/>
    <n v="10444"/>
    <n v="-174"/>
    <n v="318"/>
    <n v="4189"/>
    <n v="1059"/>
    <n v="15692"/>
    <n v="247329"/>
  </r>
  <r>
    <x v="55"/>
    <s v="ITA"/>
    <x v="0"/>
    <x v="0"/>
    <n v="4235122196"/>
    <n v="1339843823"/>
    <n v="317"/>
    <n v="40"/>
    <n v="357"/>
    <n v="1630"/>
    <n v="1987"/>
    <n v="16"/>
    <n v="34"/>
    <n v="276"/>
    <n v="258"/>
    <n v="2521"/>
    <n v="27791"/>
  </r>
  <r>
    <x v="55"/>
    <s v="ITA"/>
    <x v="1"/>
    <x v="1"/>
    <n v="4063947052"/>
    <n v="1580514834"/>
    <n v="59"/>
    <n v="8"/>
    <n v="67"/>
    <n v="180"/>
    <n v="247"/>
    <n v="-15"/>
    <n v="3"/>
    <n v="71"/>
    <n v="24"/>
    <n v="342"/>
    <n v="6528"/>
  </r>
  <r>
    <x v="55"/>
    <s v="ITA"/>
    <x v="2"/>
    <x v="2"/>
    <n v="4649933453"/>
    <n v="1135662422"/>
    <n v="162"/>
    <n v="23"/>
    <n v="185"/>
    <n v="1381"/>
    <n v="1566"/>
    <n v="10"/>
    <n v="55"/>
    <n v="569"/>
    <n v="245"/>
    <n v="2380"/>
    <n v="30361"/>
  </r>
  <r>
    <x v="55"/>
    <s v="ITA"/>
    <x v="3"/>
    <x v="3"/>
    <n v="3890597598"/>
    <n v="1659440194"/>
    <n v="142"/>
    <n v="6"/>
    <n v="148"/>
    <n v="696"/>
    <n v="844"/>
    <n v="12"/>
    <n v="24"/>
    <n v="116"/>
    <n v="75"/>
    <n v="1035"/>
    <n v="23760"/>
  </r>
  <r>
    <x v="55"/>
    <s v="ITA"/>
    <x v="4"/>
    <x v="4"/>
    <n v="4083956555"/>
    <n v="1425084984"/>
    <n v="590"/>
    <n v="61"/>
    <n v="651"/>
    <n v="2371"/>
    <n v="3022"/>
    <n v="-23"/>
    <n v="41"/>
    <n v="703"/>
    <n v="304"/>
    <n v="4029"/>
    <n v="48187"/>
  </r>
  <r>
    <x v="55"/>
    <s v="ITA"/>
    <x v="5"/>
    <x v="5"/>
    <n v="4449436681"/>
    <n v="113417208"/>
    <n v="3166"/>
    <n v="289"/>
    <n v="3455"/>
    <n v="10097"/>
    <n v="13552"/>
    <n v="-32"/>
    <n v="376"/>
    <n v="5985"/>
    <n v="3023"/>
    <n v="22560"/>
    <n v="124916"/>
  </r>
  <r>
    <x v="55"/>
    <s v="ITA"/>
    <x v="6"/>
    <x v="6"/>
    <n v="456494354"/>
    <n v="1376813649"/>
    <n v="140"/>
    <n v="25"/>
    <n v="165"/>
    <n v="1172"/>
    <n v="1337"/>
    <n v="-66"/>
    <n v="14"/>
    <n v="1183"/>
    <n v="225"/>
    <n v="2745"/>
    <n v="44622"/>
  </r>
  <r>
    <x v="55"/>
    <s v="ITA"/>
    <x v="7"/>
    <x v="7"/>
    <n v="4189277044"/>
    <n v="1248366722"/>
    <n v="1370"/>
    <n v="185"/>
    <n v="1555"/>
    <n v="2766"/>
    <n v="4321"/>
    <n v="39"/>
    <n v="87"/>
    <n v="1093"/>
    <n v="341"/>
    <n v="5755"/>
    <n v="91807"/>
  </r>
  <r>
    <x v="55"/>
    <s v="ITA"/>
    <x v="8"/>
    <x v="8"/>
    <n v="4441149315"/>
    <n v="89326992"/>
    <n v="885"/>
    <n v="101"/>
    <n v="986"/>
    <n v="2504"/>
    <n v="3490"/>
    <n v="78"/>
    <n v="227"/>
    <n v="2110"/>
    <n v="928"/>
    <n v="6528"/>
    <n v="31551"/>
  </r>
  <r>
    <x v="55"/>
    <s v="ITA"/>
    <x v="9"/>
    <x v="9"/>
    <n v="4546679409"/>
    <n v="9190347404"/>
    <n v="10342"/>
    <n v="922"/>
    <n v="11264"/>
    <n v="23233"/>
    <n v="34497"/>
    <n v="302"/>
    <n v="855"/>
    <n v="19526"/>
    <n v="12213"/>
    <n v="66236"/>
    <n v="264155"/>
  </r>
  <r>
    <x v="55"/>
    <s v="ITA"/>
    <x v="10"/>
    <x v="10"/>
    <n v="4361675973"/>
    <n v="135188753"/>
    <n v="799"/>
    <n v="86"/>
    <n v="885"/>
    <n v="2297"/>
    <n v="3182"/>
    <n v="10"/>
    <n v="48"/>
    <n v="1780"/>
    <n v="807"/>
    <n v="5769"/>
    <n v="41474"/>
  </r>
  <r>
    <x v="55"/>
    <s v="ITA"/>
    <x v="11"/>
    <x v="11"/>
    <n v="4155774754"/>
    <n v="1465916051"/>
    <n v="27"/>
    <n v="4"/>
    <n v="31"/>
    <n v="184"/>
    <n v="215"/>
    <n v="6"/>
    <n v="10"/>
    <n v="47"/>
    <n v="17"/>
    <n v="279"/>
    <n v="3584"/>
  </r>
  <r>
    <x v="55"/>
    <s v="ITA"/>
    <x v="12"/>
    <x v="12"/>
    <n v="450732745"/>
    <n v="7680687483"/>
    <n v="3201"/>
    <n v="305"/>
    <n v="3506"/>
    <n v="10964"/>
    <n v="14470"/>
    <n v="247"/>
    <n v="593"/>
    <n v="4256"/>
    <n v="2331"/>
    <n v="21057"/>
    <n v="96569"/>
  </r>
  <r>
    <x v="55"/>
    <s v="ITA"/>
    <x v="13"/>
    <x v="13"/>
    <n v="4112559576"/>
    <n v="1686736689"/>
    <n v="590"/>
    <n v="60"/>
    <n v="650"/>
    <n v="2136"/>
    <n v="2786"/>
    <n v="92"/>
    <n v="120"/>
    <n v="427"/>
    <n v="316"/>
    <n v="3529"/>
    <n v="42598"/>
  </r>
  <r>
    <x v="55"/>
    <s v="ITA"/>
    <x v="14"/>
    <x v="14"/>
    <n v="3921531192"/>
    <n v="9110616306"/>
    <n v="117"/>
    <n v="22"/>
    <n v="139"/>
    <n v="725"/>
    <n v="864"/>
    <n v="-17"/>
    <n v="17"/>
    <n v="265"/>
    <n v="86"/>
    <n v="1215"/>
    <n v="14859"/>
  </r>
  <r>
    <x v="55"/>
    <s v="ITA"/>
    <x v="15"/>
    <x v="15"/>
    <n v="3811569725"/>
    <n v="133623567"/>
    <n v="522"/>
    <n v="41"/>
    <n v="563"/>
    <n v="1639"/>
    <n v="2202"/>
    <n v="31"/>
    <n v="45"/>
    <n v="315"/>
    <n v="200"/>
    <n v="2717"/>
    <n v="49772"/>
  </r>
  <r>
    <x v="55"/>
    <s v="ITA"/>
    <x v="16"/>
    <x v="16"/>
    <n v="4376923077"/>
    <n v="1125588885"/>
    <n v="852"/>
    <n v="192"/>
    <n v="1044"/>
    <n v="5452"/>
    <n v="6496"/>
    <n v="26"/>
    <n v="135"/>
    <n v="1239"/>
    <n v="637"/>
    <n v="8372"/>
    <n v="103975"/>
  </r>
  <r>
    <x v="55"/>
    <s v="ITA"/>
    <x v="2"/>
    <x v="17"/>
    <n v="4606893511"/>
    <n v="1112123097"/>
    <n v="278"/>
    <n v="41"/>
    <n v="319"/>
    <n v="1652"/>
    <n v="1971"/>
    <n v="-14"/>
    <n v="101"/>
    <n v="1201"/>
    <n v="360"/>
    <n v="3532"/>
    <n v="24388"/>
  </r>
  <r>
    <x v="55"/>
    <s v="ITA"/>
    <x v="17"/>
    <x v="18"/>
    <n v="4310675841"/>
    <n v="1238824698"/>
    <n v="108"/>
    <n v="30"/>
    <n v="138"/>
    <n v="298"/>
    <n v="436"/>
    <n v="5"/>
    <n v="4"/>
    <n v="854"/>
    <n v="58"/>
    <n v="1348"/>
    <n v="25170"/>
  </r>
  <r>
    <x v="55"/>
    <s v="ITA"/>
    <x v="18"/>
    <x v="19"/>
    <n v="4573750286"/>
    <n v="7320149366"/>
    <n v="102"/>
    <n v="10"/>
    <n v="112"/>
    <n v="450"/>
    <n v="562"/>
    <n v="13"/>
    <n v="15"/>
    <n v="401"/>
    <n v="125"/>
    <n v="1088"/>
    <n v="4677"/>
  </r>
  <r>
    <x v="55"/>
    <s v="ITA"/>
    <x v="19"/>
    <x v="20"/>
    <n v="4543490485"/>
    <n v="1233845213"/>
    <n v="1264"/>
    <n v="184"/>
    <n v="1448"/>
    <n v="8762"/>
    <n v="10210"/>
    <n v="-234"/>
    <n v="243"/>
    <n v="4638"/>
    <n v="1087"/>
    <n v="15935"/>
    <n v="255797"/>
  </r>
  <r>
    <x v="56"/>
    <s v="ITA"/>
    <x v="0"/>
    <x v="0"/>
    <n v="4235122196"/>
    <n v="1339843823"/>
    <n v="320"/>
    <n v="38"/>
    <n v="358"/>
    <n v="1704"/>
    <n v="2062"/>
    <n v="75"/>
    <n v="91"/>
    <n v="287"/>
    <n v="263"/>
    <n v="2612"/>
    <n v="27942"/>
  </r>
  <r>
    <x v="56"/>
    <s v="ITA"/>
    <x v="1"/>
    <x v="1"/>
    <n v="4063947052"/>
    <n v="1580514834"/>
    <n v="59"/>
    <n v="7"/>
    <n v="66"/>
    <n v="176"/>
    <n v="242"/>
    <n v="-5"/>
    <n v="0"/>
    <n v="76"/>
    <n v="24"/>
    <n v="342"/>
    <n v="6868"/>
  </r>
  <r>
    <x v="56"/>
    <s v="ITA"/>
    <x v="2"/>
    <x v="2"/>
    <n v="4649933453"/>
    <n v="1135662422"/>
    <n v="160"/>
    <n v="19"/>
    <n v="179"/>
    <n v="1361"/>
    <n v="1540"/>
    <n v="-26"/>
    <n v="14"/>
    <n v="605"/>
    <n v="249"/>
    <n v="2394"/>
    <n v="31381"/>
  </r>
  <r>
    <x v="56"/>
    <s v="ITA"/>
    <x v="3"/>
    <x v="3"/>
    <n v="3890597598"/>
    <n v="1659440194"/>
    <n v="140"/>
    <n v="7"/>
    <n v="147"/>
    <n v="681"/>
    <n v="828"/>
    <n v="-16"/>
    <n v="3"/>
    <n v="135"/>
    <n v="75"/>
    <n v="1038"/>
    <n v="24373"/>
  </r>
  <r>
    <x v="56"/>
    <s v="ITA"/>
    <x v="4"/>
    <x v="4"/>
    <n v="4083956555"/>
    <n v="1425084984"/>
    <n v="586"/>
    <n v="61"/>
    <n v="647"/>
    <n v="2372"/>
    <n v="3019"/>
    <n v="-3"/>
    <n v="45"/>
    <n v="746"/>
    <n v="309"/>
    <n v="4074"/>
    <n v="51090"/>
  </r>
  <r>
    <x v="56"/>
    <s v="ITA"/>
    <x v="5"/>
    <x v="5"/>
    <n v="4449436681"/>
    <n v="113417208"/>
    <n v="3144"/>
    <n v="283"/>
    <n v="3427"/>
    <n v="10095"/>
    <n v="13522"/>
    <n v="-30"/>
    <n v="307"/>
    <n v="6266"/>
    <n v="3079"/>
    <n v="22867"/>
    <n v="129530"/>
  </r>
  <r>
    <x v="56"/>
    <s v="ITA"/>
    <x v="6"/>
    <x v="6"/>
    <n v="456494354"/>
    <n v="1376813649"/>
    <n v="140"/>
    <n v="22"/>
    <n v="162"/>
    <n v="1028"/>
    <n v="1190"/>
    <n v="-147"/>
    <n v="30"/>
    <n v="1346"/>
    <n v="239"/>
    <n v="2775"/>
    <n v="45161"/>
  </r>
  <r>
    <x v="56"/>
    <s v="ITA"/>
    <x v="7"/>
    <x v="7"/>
    <n v="4189277044"/>
    <n v="1248366722"/>
    <n v="1388"/>
    <n v="185"/>
    <n v="1573"/>
    <n v="2792"/>
    <n v="4365"/>
    <n v="44"/>
    <n v="60"/>
    <n v="1101"/>
    <n v="349"/>
    <n v="5815"/>
    <n v="97823"/>
  </r>
  <r>
    <x v="56"/>
    <s v="ITA"/>
    <x v="8"/>
    <x v="8"/>
    <n v="4441149315"/>
    <n v="89326992"/>
    <n v="878"/>
    <n v="102"/>
    <n v="980"/>
    <n v="2516"/>
    <n v="3496"/>
    <n v="6"/>
    <n v="141"/>
    <n v="2216"/>
    <n v="957"/>
    <n v="6669"/>
    <n v="33007"/>
  </r>
  <r>
    <x v="56"/>
    <s v="ITA"/>
    <x v="9"/>
    <x v="9"/>
    <n v="4546679409"/>
    <n v="9190347404"/>
    <n v="10138"/>
    <n v="901"/>
    <n v="11039"/>
    <n v="23548"/>
    <n v="34587"/>
    <n v="90"/>
    <n v="735"/>
    <n v="20008"/>
    <n v="12376"/>
    <n v="66971"/>
    <n v="270486"/>
  </r>
  <r>
    <x v="56"/>
    <s v="ITA"/>
    <x v="10"/>
    <x v="10"/>
    <n v="4361675973"/>
    <n v="135188753"/>
    <n v="792"/>
    <n v="80"/>
    <n v="872"/>
    <n v="2340"/>
    <n v="3212"/>
    <n v="30"/>
    <n v="57"/>
    <n v="1792"/>
    <n v="822"/>
    <n v="5826"/>
    <n v="42782"/>
  </r>
  <r>
    <x v="56"/>
    <s v="ITA"/>
    <x v="11"/>
    <x v="11"/>
    <n v="4155774754"/>
    <n v="1465916051"/>
    <n v="27"/>
    <n v="2"/>
    <n v="29"/>
    <n v="184"/>
    <n v="213"/>
    <n v="-2"/>
    <n v="2"/>
    <n v="50"/>
    <n v="18"/>
    <n v="281"/>
    <n v="3783"/>
  </r>
  <r>
    <x v="56"/>
    <s v="ITA"/>
    <x v="12"/>
    <x v="12"/>
    <n v="450732745"/>
    <n v="7680687483"/>
    <n v="3299"/>
    <n v="301"/>
    <n v="3600"/>
    <n v="10957"/>
    <n v="14557"/>
    <n v="87"/>
    <n v="292"/>
    <n v="4383"/>
    <n v="2409"/>
    <n v="21349"/>
    <n v="99669"/>
  </r>
  <r>
    <x v="56"/>
    <s v="ITA"/>
    <x v="13"/>
    <x v="13"/>
    <n v="4112559576"/>
    <n v="1686736689"/>
    <n v="584"/>
    <n v="66"/>
    <n v="650"/>
    <n v="2160"/>
    <n v="2810"/>
    <n v="24"/>
    <n v="38"/>
    <n v="431"/>
    <n v="326"/>
    <n v="3567"/>
    <n v="44189"/>
  </r>
  <r>
    <x v="56"/>
    <s v="ITA"/>
    <x v="14"/>
    <x v="14"/>
    <n v="3921531192"/>
    <n v="9110616306"/>
    <n v="115"/>
    <n v="21"/>
    <n v="136"/>
    <n v="718"/>
    <n v="854"/>
    <n v="-10"/>
    <n v="13"/>
    <n v="288"/>
    <n v="86"/>
    <n v="1228"/>
    <n v="15328"/>
  </r>
  <r>
    <x v="56"/>
    <s v="ITA"/>
    <x v="15"/>
    <x v="15"/>
    <n v="3811569725"/>
    <n v="133623567"/>
    <n v="526"/>
    <n v="39"/>
    <n v="565"/>
    <n v="1645"/>
    <n v="2210"/>
    <n v="8"/>
    <n v="42"/>
    <n v="346"/>
    <n v="203"/>
    <n v="2759"/>
    <n v="51373"/>
  </r>
  <r>
    <x v="56"/>
    <s v="ITA"/>
    <x v="16"/>
    <x v="16"/>
    <n v="4376923077"/>
    <n v="1125588885"/>
    <n v="850"/>
    <n v="182"/>
    <n v="1032"/>
    <n v="5536"/>
    <n v="6568"/>
    <n v="72"/>
    <n v="135"/>
    <n v="1272"/>
    <n v="667"/>
    <n v="8507"/>
    <n v="105857"/>
  </r>
  <r>
    <x v="56"/>
    <s v="ITA"/>
    <x v="2"/>
    <x v="17"/>
    <n v="4606893511"/>
    <n v="1112123097"/>
    <n v="272"/>
    <n v="40"/>
    <n v="312"/>
    <n v="1617"/>
    <n v="1929"/>
    <n v="-42"/>
    <n v="58"/>
    <n v="1295"/>
    <n v="366"/>
    <n v="3590"/>
    <n v="26211"/>
  </r>
  <r>
    <x v="56"/>
    <s v="ITA"/>
    <x v="17"/>
    <x v="18"/>
    <n v="4310675841"/>
    <n v="1238824698"/>
    <n v="113"/>
    <n v="29"/>
    <n v="142"/>
    <n v="282"/>
    <n v="424"/>
    <n v="-12"/>
    <n v="1"/>
    <n v="867"/>
    <n v="58"/>
    <n v="1349"/>
    <n v="25562"/>
  </r>
  <r>
    <x v="56"/>
    <s v="ITA"/>
    <x v="18"/>
    <x v="19"/>
    <n v="4573750286"/>
    <n v="7320149366"/>
    <n v="102"/>
    <n v="8"/>
    <n v="110"/>
    <n v="438"/>
    <n v="548"/>
    <n v="-14"/>
    <n v="0"/>
    <n v="413"/>
    <n v="127"/>
    <n v="1088"/>
    <n v="4799"/>
  </r>
  <r>
    <x v="56"/>
    <s v="ITA"/>
    <x v="19"/>
    <x v="20"/>
    <n v="4543490485"/>
    <n v="1233845213"/>
    <n v="1273"/>
    <n v="180"/>
    <n v="1453"/>
    <n v="8608"/>
    <n v="10061"/>
    <n v="-149"/>
    <n v="192"/>
    <n v="4954"/>
    <n v="1112"/>
    <n v="16127"/>
    <n v="260810"/>
  </r>
  <r>
    <x v="57"/>
    <s v="ITA"/>
    <x v="0"/>
    <x v="0"/>
    <n v="4235122196"/>
    <n v="1339843823"/>
    <n v="318"/>
    <n v="35"/>
    <n v="353"/>
    <n v="1714"/>
    <n v="2067"/>
    <n v="5"/>
    <n v="55"/>
    <n v="329"/>
    <n v="271"/>
    <n v="2667"/>
    <n v="29906"/>
  </r>
  <r>
    <x v="57"/>
    <s v="ITA"/>
    <x v="1"/>
    <x v="1"/>
    <n v="4063947052"/>
    <n v="1580514834"/>
    <n v="64"/>
    <n v="7"/>
    <n v="71"/>
    <n v="174"/>
    <n v="245"/>
    <n v="3"/>
    <n v="8"/>
    <n v="81"/>
    <n v="24"/>
    <n v="350"/>
    <n v="7470"/>
  </r>
  <r>
    <x v="57"/>
    <s v="ITA"/>
    <x v="2"/>
    <x v="2"/>
    <n v="4649933453"/>
    <n v="1135662422"/>
    <n v="159"/>
    <n v="20"/>
    <n v="179"/>
    <n v="1357"/>
    <n v="1536"/>
    <n v="-4"/>
    <n v="16"/>
    <n v="623"/>
    <n v="251"/>
    <n v="2410"/>
    <n v="31987"/>
  </r>
  <r>
    <x v="57"/>
    <s v="ITA"/>
    <x v="3"/>
    <x v="3"/>
    <n v="3890597598"/>
    <n v="1659440194"/>
    <n v="133"/>
    <n v="7"/>
    <n v="140"/>
    <n v="679"/>
    <n v="819"/>
    <n v="-9"/>
    <n v="9"/>
    <n v="152"/>
    <n v="76"/>
    <n v="1047"/>
    <n v="25440"/>
  </r>
  <r>
    <x v="57"/>
    <s v="ITA"/>
    <x v="4"/>
    <x v="4"/>
    <n v="4083956555"/>
    <n v="1425084984"/>
    <n v="532"/>
    <n v="58"/>
    <n v="590"/>
    <n v="2356"/>
    <n v="2946"/>
    <n v="-73"/>
    <n v="61"/>
    <n v="872"/>
    <n v="317"/>
    <n v="4135"/>
    <n v="53548"/>
  </r>
  <r>
    <x v="57"/>
    <s v="ITA"/>
    <x v="5"/>
    <x v="5"/>
    <n v="4449436681"/>
    <n v="113417208"/>
    <n v="3045"/>
    <n v="282"/>
    <n v="3327"/>
    <n v="9917"/>
    <n v="13244"/>
    <n v="-278"/>
    <n v="225"/>
    <n v="6701"/>
    <n v="3147"/>
    <n v="23092"/>
    <n v="134878"/>
  </r>
  <r>
    <x v="57"/>
    <s v="ITA"/>
    <x v="6"/>
    <x v="6"/>
    <n v="456494354"/>
    <n v="1376813649"/>
    <n v="139"/>
    <n v="21"/>
    <n v="160"/>
    <n v="1162"/>
    <n v="1322"/>
    <n v="132"/>
    <n v="17"/>
    <n v="1229"/>
    <n v="241"/>
    <n v="2792"/>
    <n v="48500"/>
  </r>
  <r>
    <x v="57"/>
    <s v="ITA"/>
    <x v="7"/>
    <x v="7"/>
    <n v="4189277044"/>
    <n v="1248366722"/>
    <n v="1380"/>
    <n v="184"/>
    <n v="1564"/>
    <n v="2838"/>
    <n v="4402"/>
    <n v="37"/>
    <n v="80"/>
    <n v="1130"/>
    <n v="363"/>
    <n v="5895"/>
    <n v="100031"/>
  </r>
  <r>
    <x v="57"/>
    <s v="ITA"/>
    <x v="8"/>
    <x v="8"/>
    <n v="4441149315"/>
    <n v="89326992"/>
    <n v="914"/>
    <n v="94"/>
    <n v="1008"/>
    <n v="2455"/>
    <n v="3463"/>
    <n v="-33"/>
    <n v="95"/>
    <n v="2311"/>
    <n v="990"/>
    <n v="6764"/>
    <n v="34186"/>
  </r>
  <r>
    <x v="57"/>
    <s v="ITA"/>
    <x v="9"/>
    <x v="9"/>
    <n v="4546679409"/>
    <n v="9190347404"/>
    <n v="9805"/>
    <n v="851"/>
    <n v="10656"/>
    <n v="23322"/>
    <n v="33978"/>
    <n v="-609"/>
    <n v="960"/>
    <n v="21374"/>
    <n v="12579"/>
    <n v="67931"/>
    <n v="277197"/>
  </r>
  <r>
    <x v="57"/>
    <s v="ITA"/>
    <x v="10"/>
    <x v="10"/>
    <n v="4361675973"/>
    <n v="135188753"/>
    <n v="784"/>
    <n v="78"/>
    <n v="862"/>
    <n v="2356"/>
    <n v="3218"/>
    <n v="6"/>
    <n v="51"/>
    <n v="1825"/>
    <n v="834"/>
    <n v="5877"/>
    <n v="44332"/>
  </r>
  <r>
    <x v="57"/>
    <s v="ITA"/>
    <x v="11"/>
    <x v="11"/>
    <n v="4155774754"/>
    <n v="1465916051"/>
    <n v="27"/>
    <n v="2"/>
    <n v="29"/>
    <n v="184"/>
    <n v="213"/>
    <n v="0"/>
    <n v="1"/>
    <n v="51"/>
    <n v="18"/>
    <n v="282"/>
    <n v="4124"/>
  </r>
  <r>
    <x v="57"/>
    <s v="ITA"/>
    <x v="12"/>
    <x v="12"/>
    <n v="450732745"/>
    <n v="7680687483"/>
    <n v="3116"/>
    <n v="293"/>
    <n v="3409"/>
    <n v="11402"/>
    <n v="14811"/>
    <n v="254"/>
    <n v="606"/>
    <n v="4659"/>
    <n v="2485"/>
    <n v="21955"/>
    <n v="105434"/>
  </r>
  <r>
    <x v="57"/>
    <s v="ITA"/>
    <x v="13"/>
    <x v="13"/>
    <n v="4112559576"/>
    <n v="1686736689"/>
    <n v="569"/>
    <n v="65"/>
    <n v="634"/>
    <n v="2178"/>
    <n v="2812"/>
    <n v="2"/>
    <n v="55"/>
    <n v="459"/>
    <n v="351"/>
    <n v="3622"/>
    <n v="45984"/>
  </r>
  <r>
    <x v="57"/>
    <s v="ITA"/>
    <x v="14"/>
    <x v="14"/>
    <n v="3921531192"/>
    <n v="9110616306"/>
    <n v="112"/>
    <n v="21"/>
    <n v="133"/>
    <n v="704"/>
    <n v="837"/>
    <n v="-17"/>
    <n v="8"/>
    <n v="306"/>
    <n v="93"/>
    <n v="1236"/>
    <n v="15886"/>
  </r>
  <r>
    <x v="57"/>
    <s v="ITA"/>
    <x v="15"/>
    <x v="15"/>
    <n v="3811569725"/>
    <n v="133623567"/>
    <n v="514"/>
    <n v="37"/>
    <n v="551"/>
    <n v="1708"/>
    <n v="2259"/>
    <n v="49"/>
    <n v="76"/>
    <n v="370"/>
    <n v="206"/>
    <n v="2835"/>
    <n v="55093"/>
  </r>
  <r>
    <x v="57"/>
    <s v="ITA"/>
    <x v="16"/>
    <x v="16"/>
    <n v="4376923077"/>
    <n v="1125588885"/>
    <n v="833"/>
    <n v="171"/>
    <n v="1004"/>
    <n v="5618"/>
    <n v="6622"/>
    <n v="54"/>
    <n v="96"/>
    <n v="1295"/>
    <n v="686"/>
    <n v="8603"/>
    <n v="109925"/>
  </r>
  <r>
    <x v="57"/>
    <s v="ITA"/>
    <x v="2"/>
    <x v="17"/>
    <n v="4606893511"/>
    <n v="1112123097"/>
    <n v="254"/>
    <n v="38"/>
    <n v="292"/>
    <n v="1617"/>
    <n v="1909"/>
    <n v="-20"/>
    <n v="24"/>
    <n v="1329"/>
    <n v="376"/>
    <n v="3614"/>
    <n v="26610"/>
  </r>
  <r>
    <x v="57"/>
    <s v="ITA"/>
    <x v="17"/>
    <x v="18"/>
    <n v="4310675841"/>
    <n v="1238824698"/>
    <n v="107"/>
    <n v="22"/>
    <n v="129"/>
    <n v="278"/>
    <n v="407"/>
    <n v="-17"/>
    <n v="4"/>
    <n v="886"/>
    <n v="60"/>
    <n v="1353"/>
    <n v="26639"/>
  </r>
  <r>
    <x v="57"/>
    <s v="ITA"/>
    <x v="18"/>
    <x v="19"/>
    <n v="4573750286"/>
    <n v="7320149366"/>
    <n v="99"/>
    <n v="8"/>
    <n v="107"/>
    <n v="415"/>
    <n v="522"/>
    <n v="-26"/>
    <n v="5"/>
    <n v="445"/>
    <n v="126"/>
    <n v="1093"/>
    <n v="4911"/>
  </r>
  <r>
    <x v="57"/>
    <s v="ITA"/>
    <x v="19"/>
    <x v="20"/>
    <n v="4543490485"/>
    <n v="1233845213"/>
    <n v="1230"/>
    <n v="177"/>
    <n v="1407"/>
    <n v="8670"/>
    <n v="10077"/>
    <n v="16"/>
    <n v="277"/>
    <n v="5173"/>
    <n v="1154"/>
    <n v="16404"/>
    <n v="268069"/>
  </r>
  <r>
    <x v="58"/>
    <s v="ITA"/>
    <x v="0"/>
    <x v="0"/>
    <n v="4235122196"/>
    <n v="1339843823"/>
    <n v="309"/>
    <n v="35"/>
    <n v="344"/>
    <n v="1764"/>
    <n v="2108"/>
    <n v="41"/>
    <n v="66"/>
    <n v="349"/>
    <n v="276"/>
    <n v="2733"/>
    <n v="30348"/>
  </r>
  <r>
    <x v="58"/>
    <s v="ITA"/>
    <x v="1"/>
    <x v="1"/>
    <n v="4063947052"/>
    <n v="1580514834"/>
    <n v="65"/>
    <n v="7"/>
    <n v="72"/>
    <n v="160"/>
    <n v="232"/>
    <n v="-13"/>
    <n v="4"/>
    <n v="98"/>
    <n v="24"/>
    <n v="354"/>
    <n v="8040"/>
  </r>
  <r>
    <x v="58"/>
    <s v="ITA"/>
    <x v="2"/>
    <x v="2"/>
    <n v="4649933453"/>
    <n v="1135662422"/>
    <n v="157"/>
    <n v="19"/>
    <n v="176"/>
    <n v="1336"/>
    <n v="1512"/>
    <n v="-24"/>
    <n v="6"/>
    <n v="648"/>
    <n v="256"/>
    <n v="2416"/>
    <n v="32722"/>
  </r>
  <r>
    <x v="58"/>
    <s v="ITA"/>
    <x v="3"/>
    <x v="3"/>
    <n v="3890597598"/>
    <n v="1659440194"/>
    <n v="128"/>
    <n v="7"/>
    <n v="135"/>
    <n v="686"/>
    <n v="821"/>
    <n v="2"/>
    <n v="13"/>
    <n v="163"/>
    <n v="76"/>
    <n v="1060"/>
    <n v="26560"/>
  </r>
  <r>
    <x v="58"/>
    <s v="ITA"/>
    <x v="4"/>
    <x v="4"/>
    <n v="4083956555"/>
    <n v="1425084984"/>
    <n v="523"/>
    <n v="53"/>
    <n v="576"/>
    <n v="2422"/>
    <n v="2998"/>
    <n v="52"/>
    <n v="50"/>
    <n v="860"/>
    <n v="327"/>
    <n v="4185"/>
    <n v="55701"/>
  </r>
  <r>
    <x v="58"/>
    <s v="ITA"/>
    <x v="5"/>
    <x v="5"/>
    <n v="4449436681"/>
    <n v="113417208"/>
    <n v="2964"/>
    <n v="282"/>
    <n v="3246"/>
    <n v="9838"/>
    <n v="13084"/>
    <n v="-160"/>
    <n v="342"/>
    <n v="7146"/>
    <n v="3204"/>
    <n v="23434"/>
    <n v="140874"/>
  </r>
  <r>
    <x v="58"/>
    <s v="ITA"/>
    <x v="6"/>
    <x v="6"/>
    <n v="456494354"/>
    <n v="1376813649"/>
    <n v="134"/>
    <n v="20"/>
    <n v="154"/>
    <n v="1154"/>
    <n v="1308"/>
    <n v="-14"/>
    <n v="25"/>
    <n v="1263"/>
    <n v="246"/>
    <n v="2817"/>
    <n v="50869"/>
  </r>
  <r>
    <x v="58"/>
    <s v="ITA"/>
    <x v="7"/>
    <x v="7"/>
    <n v="4189277044"/>
    <n v="1248366722"/>
    <n v="1384"/>
    <n v="187"/>
    <n v="1571"/>
    <n v="2892"/>
    <n v="4463"/>
    <n v="61"/>
    <n v="80"/>
    <n v="1142"/>
    <n v="370"/>
    <n v="5975"/>
    <n v="104062"/>
  </r>
  <r>
    <x v="58"/>
    <s v="ITA"/>
    <x v="8"/>
    <x v="8"/>
    <n v="4441149315"/>
    <n v="89326992"/>
    <n v="860"/>
    <n v="92"/>
    <n v="952"/>
    <n v="2524"/>
    <n v="3476"/>
    <n v="13"/>
    <n v="154"/>
    <n v="2420"/>
    <n v="1022"/>
    <n v="6918"/>
    <n v="35990"/>
  </r>
  <r>
    <x v="58"/>
    <s v="ITA"/>
    <x v="9"/>
    <x v="9"/>
    <n v="4546679409"/>
    <n v="9190347404"/>
    <n v="9692"/>
    <n v="817"/>
    <n v="10509"/>
    <n v="23733"/>
    <n v="34242"/>
    <n v="264"/>
    <n v="1161"/>
    <n v="22110"/>
    <n v="12740"/>
    <n v="69092"/>
    <n v="290699"/>
  </r>
  <r>
    <x v="58"/>
    <s v="ITA"/>
    <x v="10"/>
    <x v="10"/>
    <n v="4361675973"/>
    <n v="135188753"/>
    <n v="735"/>
    <n v="76"/>
    <n v="811"/>
    <n v="2419"/>
    <n v="3230"/>
    <n v="12"/>
    <n v="47"/>
    <n v="1849"/>
    <n v="845"/>
    <n v="5924"/>
    <n v="46492"/>
  </r>
  <r>
    <x v="58"/>
    <s v="ITA"/>
    <x v="11"/>
    <x v="11"/>
    <n v="4155774754"/>
    <n v="1465916051"/>
    <n v="21"/>
    <n v="2"/>
    <n v="23"/>
    <n v="182"/>
    <n v="205"/>
    <n v="-8"/>
    <n v="2"/>
    <n v="60"/>
    <n v="19"/>
    <n v="284"/>
    <n v="4425"/>
  </r>
  <r>
    <x v="58"/>
    <s v="ITA"/>
    <x v="12"/>
    <x v="12"/>
    <n v="450732745"/>
    <n v="7680687483"/>
    <n v="3213"/>
    <n v="273"/>
    <n v="3486"/>
    <n v="11636"/>
    <n v="15122"/>
    <n v="311"/>
    <n v="784"/>
    <n v="5058"/>
    <n v="2559"/>
    <n v="22739"/>
    <n v="111513"/>
  </r>
  <r>
    <x v="58"/>
    <s v="ITA"/>
    <x v="13"/>
    <x v="13"/>
    <n v="4112559576"/>
    <n v="1686736689"/>
    <n v="564"/>
    <n v="60"/>
    <n v="624"/>
    <n v="2250"/>
    <n v="2874"/>
    <n v="62"/>
    <n v="108"/>
    <n v="494"/>
    <n v="362"/>
    <n v="3730"/>
    <n v="48342"/>
  </r>
  <r>
    <x v="58"/>
    <s v="ITA"/>
    <x v="14"/>
    <x v="14"/>
    <n v="3921531192"/>
    <n v="9110616306"/>
    <n v="97"/>
    <n v="20"/>
    <n v="117"/>
    <n v="716"/>
    <n v="833"/>
    <n v="-4"/>
    <n v="11"/>
    <n v="318"/>
    <n v="96"/>
    <n v="1247"/>
    <n v="16886"/>
  </r>
  <r>
    <x v="58"/>
    <s v="ITA"/>
    <x v="15"/>
    <x v="15"/>
    <n v="3811569725"/>
    <n v="133623567"/>
    <n v="500"/>
    <n v="35"/>
    <n v="535"/>
    <n v="1752"/>
    <n v="2287"/>
    <n v="28"/>
    <n v="48"/>
    <n v="388"/>
    <n v="208"/>
    <n v="2883"/>
    <n v="58732"/>
  </r>
  <r>
    <x v="58"/>
    <s v="ITA"/>
    <x v="16"/>
    <x v="16"/>
    <n v="4376923077"/>
    <n v="1125588885"/>
    <n v="820"/>
    <n v="174"/>
    <n v="994"/>
    <n v="5173"/>
    <n v="6167"/>
    <n v="-455"/>
    <n v="97"/>
    <n v="1828"/>
    <n v="705"/>
    <n v="8700"/>
    <n v="114100"/>
  </r>
  <r>
    <x v="58"/>
    <s v="ITA"/>
    <x v="2"/>
    <x v="17"/>
    <n v="4606893511"/>
    <n v="1112123097"/>
    <n v="245"/>
    <n v="34"/>
    <n v="279"/>
    <n v="1595"/>
    <n v="1874"/>
    <n v="-35"/>
    <n v="32"/>
    <n v="1391"/>
    <n v="381"/>
    <n v="3646"/>
    <n v="26674"/>
  </r>
  <r>
    <x v="58"/>
    <s v="ITA"/>
    <x v="17"/>
    <x v="18"/>
    <n v="4310675841"/>
    <n v="1238824698"/>
    <n v="97"/>
    <n v="20"/>
    <n v="117"/>
    <n v="254"/>
    <n v="371"/>
    <n v="-36"/>
    <n v="4"/>
    <n v="925"/>
    <n v="61"/>
    <n v="1357"/>
    <n v="27655"/>
  </r>
  <r>
    <x v="58"/>
    <s v="ITA"/>
    <x v="18"/>
    <x v="19"/>
    <n v="4573750286"/>
    <n v="7320149366"/>
    <n v="92"/>
    <n v="8"/>
    <n v="100"/>
    <n v="401"/>
    <n v="501"/>
    <n v="-21"/>
    <n v="2"/>
    <n v="467"/>
    <n v="127"/>
    <n v="1095"/>
    <n v="5024"/>
  </r>
  <r>
    <x v="58"/>
    <s v="ITA"/>
    <x v="19"/>
    <x v="20"/>
    <n v="4543490485"/>
    <n v="1233845213"/>
    <n v="1205"/>
    <n v="163"/>
    <n v="1368"/>
    <n v="8623"/>
    <n v="9991"/>
    <n v="-86"/>
    <n v="334"/>
    <n v="5566"/>
    <n v="1181"/>
    <n v="16738"/>
    <n v="277543"/>
  </r>
  <r>
    <x v="59"/>
    <s v="ITA"/>
    <x v="0"/>
    <x v="0"/>
    <n v="4235122196"/>
    <n v="1339843823"/>
    <n v="322"/>
    <n v="31"/>
    <n v="353"/>
    <n v="1747"/>
    <n v="2100"/>
    <n v="-8"/>
    <n v="52"/>
    <n v="405"/>
    <n v="280"/>
    <n v="2785"/>
    <n v="31187"/>
  </r>
  <r>
    <x v="59"/>
    <s v="ITA"/>
    <x v="1"/>
    <x v="1"/>
    <n v="4063947052"/>
    <n v="1580514834"/>
    <n v="61"/>
    <n v="7"/>
    <n v="68"/>
    <n v="161"/>
    <n v="229"/>
    <n v="-3"/>
    <n v="2"/>
    <n v="103"/>
    <n v="24"/>
    <n v="356"/>
    <n v="8511"/>
  </r>
  <r>
    <x v="59"/>
    <s v="ITA"/>
    <x v="2"/>
    <x v="2"/>
    <n v="4649933453"/>
    <n v="1135662422"/>
    <n v="141"/>
    <n v="17"/>
    <n v="158"/>
    <n v="1336"/>
    <n v="1494"/>
    <n v="-18"/>
    <n v="19"/>
    <n v="680"/>
    <n v="261"/>
    <n v="2435"/>
    <n v="33994"/>
  </r>
  <r>
    <x v="59"/>
    <s v="ITA"/>
    <x v="3"/>
    <x v="3"/>
    <n v="3890597598"/>
    <n v="1659440194"/>
    <n v="129"/>
    <n v="7"/>
    <n v="136"/>
    <n v="687"/>
    <n v="823"/>
    <n v="2"/>
    <n v="9"/>
    <n v="170"/>
    <n v="76"/>
    <n v="1069"/>
    <n v="27869"/>
  </r>
  <r>
    <x v="59"/>
    <s v="ITA"/>
    <x v="4"/>
    <x v="4"/>
    <n v="4083956555"/>
    <n v="1425084984"/>
    <n v="539"/>
    <n v="47"/>
    <n v="586"/>
    <n v="2392"/>
    <n v="2978"/>
    <n v="-20"/>
    <n v="53"/>
    <n v="928"/>
    <n v="332"/>
    <n v="4238"/>
    <n v="58324"/>
  </r>
  <r>
    <x v="59"/>
    <s v="ITA"/>
    <x v="5"/>
    <x v="5"/>
    <n v="4449436681"/>
    <n v="113417208"/>
    <n v="2889"/>
    <n v="266"/>
    <n v="3155"/>
    <n v="9690"/>
    <n v="12845"/>
    <n v="-239"/>
    <n v="289"/>
    <n v="7609"/>
    <n v="3269"/>
    <n v="23723"/>
    <n v="146146"/>
  </r>
  <r>
    <x v="59"/>
    <s v="ITA"/>
    <x v="6"/>
    <x v="6"/>
    <n v="456494354"/>
    <n v="1376813649"/>
    <n v="138"/>
    <n v="18"/>
    <n v="156"/>
    <n v="979"/>
    <n v="1135"/>
    <n v="-173"/>
    <n v="41"/>
    <n v="1467"/>
    <n v="256"/>
    <n v="2858"/>
    <n v="52918"/>
  </r>
  <r>
    <x v="59"/>
    <s v="ITA"/>
    <x v="7"/>
    <x v="7"/>
    <n v="4189277044"/>
    <n v="1248366722"/>
    <n v="1385"/>
    <n v="186"/>
    <n v="1571"/>
    <n v="2915"/>
    <n v="4486"/>
    <n v="23"/>
    <n v="79"/>
    <n v="1193"/>
    <n v="375"/>
    <n v="6054"/>
    <n v="111073"/>
  </r>
  <r>
    <x v="59"/>
    <s v="ITA"/>
    <x v="8"/>
    <x v="8"/>
    <n v="4441149315"/>
    <n v="89326992"/>
    <n v="783"/>
    <n v="91"/>
    <n v="874"/>
    <n v="2592"/>
    <n v="3466"/>
    <n v="-10"/>
    <n v="131"/>
    <n v="2536"/>
    <n v="1047"/>
    <n v="7049"/>
    <n v="37842"/>
  </r>
  <r>
    <x v="59"/>
    <s v="ITA"/>
    <x v="9"/>
    <x v="9"/>
    <n v="4546679409"/>
    <n v="9190347404"/>
    <n v="9192"/>
    <n v="790"/>
    <n v="9982"/>
    <n v="23891"/>
    <n v="33873"/>
    <n v="-369"/>
    <n v="1073"/>
    <n v="23352"/>
    <n v="12940"/>
    <n v="70165"/>
    <n v="302715"/>
  </r>
  <r>
    <x v="59"/>
    <s v="ITA"/>
    <x v="10"/>
    <x v="10"/>
    <n v="4361675973"/>
    <n v="135188753"/>
    <n v="727"/>
    <n v="71"/>
    <n v="798"/>
    <n v="2432"/>
    <n v="3230"/>
    <n v="0"/>
    <n v="28"/>
    <n v="1865"/>
    <n v="857"/>
    <n v="5952"/>
    <n v="47662"/>
  </r>
  <r>
    <x v="59"/>
    <s v="ITA"/>
    <x v="11"/>
    <x v="11"/>
    <n v="4155774754"/>
    <n v="1465916051"/>
    <n v="19"/>
    <n v="1"/>
    <n v="20"/>
    <n v="178"/>
    <n v="198"/>
    <n v="-7"/>
    <n v="0"/>
    <n v="66"/>
    <n v="20"/>
    <n v="284"/>
    <n v="4564"/>
  </r>
  <r>
    <x v="59"/>
    <s v="ITA"/>
    <x v="12"/>
    <x v="12"/>
    <n v="450732745"/>
    <n v="7680687483"/>
    <n v="3039"/>
    <n v="261"/>
    <n v="3300"/>
    <n v="11852"/>
    <n v="15152"/>
    <n v="30"/>
    <n v="401"/>
    <n v="5358"/>
    <n v="2630"/>
    <n v="23140"/>
    <n v="117970"/>
  </r>
  <r>
    <x v="59"/>
    <s v="ITA"/>
    <x v="13"/>
    <x v="13"/>
    <n v="4112559576"/>
    <n v="1686736689"/>
    <n v="536"/>
    <n v="55"/>
    <n v="591"/>
    <n v="2345"/>
    <n v="2936"/>
    <n v="62"/>
    <n v="109"/>
    <n v="531"/>
    <n v="372"/>
    <n v="3839"/>
    <n v="50410"/>
  </r>
  <r>
    <x v="59"/>
    <s v="ITA"/>
    <x v="14"/>
    <x v="14"/>
    <n v="3921531192"/>
    <n v="9110616306"/>
    <n v="90"/>
    <n v="20"/>
    <n v="110"/>
    <n v="707"/>
    <n v="817"/>
    <n v="-16"/>
    <n v="7"/>
    <n v="339"/>
    <n v="98"/>
    <n v="1254"/>
    <n v="17844"/>
  </r>
  <r>
    <x v="59"/>
    <s v="ITA"/>
    <x v="15"/>
    <x v="15"/>
    <n v="3811569725"/>
    <n v="133623567"/>
    <n v="476"/>
    <n v="34"/>
    <n v="510"/>
    <n v="1791"/>
    <n v="2301"/>
    <n v="14"/>
    <n v="43"/>
    <n v="412"/>
    <n v="213"/>
    <n v="2926"/>
    <n v="62150"/>
  </r>
  <r>
    <x v="59"/>
    <s v="ITA"/>
    <x v="16"/>
    <x v="16"/>
    <n v="4376923077"/>
    <n v="1125588885"/>
    <n v="791"/>
    <n v="168"/>
    <n v="959"/>
    <n v="5212"/>
    <n v="6171"/>
    <n v="4"/>
    <n v="80"/>
    <n v="1886"/>
    <n v="723"/>
    <n v="8780"/>
    <n v="118177"/>
  </r>
  <r>
    <x v="59"/>
    <s v="ITA"/>
    <x v="2"/>
    <x v="17"/>
    <n v="4606893511"/>
    <n v="1112123097"/>
    <n v="234"/>
    <n v="29"/>
    <n v="263"/>
    <n v="1608"/>
    <n v="1871"/>
    <n v="-3"/>
    <n v="81"/>
    <n v="1474"/>
    <n v="382"/>
    <n v="3727"/>
    <n v="28240"/>
  </r>
  <r>
    <x v="59"/>
    <s v="ITA"/>
    <x v="17"/>
    <x v="18"/>
    <n v="4310675841"/>
    <n v="1238824698"/>
    <n v="100"/>
    <n v="19"/>
    <n v="119"/>
    <n v="236"/>
    <n v="355"/>
    <n v="-16"/>
    <n v="5"/>
    <n v="946"/>
    <n v="61"/>
    <n v="1362"/>
    <n v="29011"/>
  </r>
  <r>
    <x v="59"/>
    <s v="ITA"/>
    <x v="18"/>
    <x v="19"/>
    <n v="4573750286"/>
    <n v="7320149366"/>
    <n v="91"/>
    <n v="9"/>
    <n v="100"/>
    <n v="363"/>
    <n v="463"/>
    <n v="-38"/>
    <n v="1"/>
    <n v="506"/>
    <n v="127"/>
    <n v="1096"/>
    <n v="5227"/>
  </r>
  <r>
    <x v="59"/>
    <s v="ITA"/>
    <x v="19"/>
    <x v="20"/>
    <n v="4543490485"/>
    <n v="1233845213"/>
    <n v="1189"/>
    <n v="140"/>
    <n v="1329"/>
    <n v="8596"/>
    <n v="9925"/>
    <n v="-66"/>
    <n v="143"/>
    <n v="5750"/>
    <n v="1206"/>
    <n v="16881"/>
    <n v="288075"/>
  </r>
  <r>
    <x v="60"/>
    <s v="ITA"/>
    <x v="0"/>
    <x v="0"/>
    <n v="4235122196"/>
    <n v="1339843823"/>
    <n v="327"/>
    <n v="28"/>
    <n v="355"/>
    <n v="1724"/>
    <n v="2079"/>
    <n v="-21"/>
    <n v="18"/>
    <n v="438"/>
    <n v="286"/>
    <n v="2803"/>
    <n v="32397"/>
  </r>
  <r>
    <x v="60"/>
    <s v="ITA"/>
    <x v="1"/>
    <x v="1"/>
    <n v="4063947052"/>
    <n v="1580514834"/>
    <n v="59"/>
    <n v="7"/>
    <n v="66"/>
    <n v="163"/>
    <n v="229"/>
    <n v="0"/>
    <n v="4"/>
    <n v="107"/>
    <n v="24"/>
    <n v="360"/>
    <n v="9026"/>
  </r>
  <r>
    <x v="60"/>
    <s v="ITA"/>
    <x v="2"/>
    <x v="2"/>
    <n v="4649933453"/>
    <n v="1135662422"/>
    <n v="148"/>
    <n v="16"/>
    <n v="164"/>
    <n v="929"/>
    <n v="1093"/>
    <n v="-401"/>
    <n v="21"/>
    <n v="1100"/>
    <n v="263"/>
    <n v="2456"/>
    <n v="35062"/>
  </r>
  <r>
    <x v="60"/>
    <s v="ITA"/>
    <x v="3"/>
    <x v="3"/>
    <n v="3890597598"/>
    <n v="1659440194"/>
    <n v="123"/>
    <n v="7"/>
    <n v="130"/>
    <n v="691"/>
    <n v="821"/>
    <n v="-2"/>
    <n v="10"/>
    <n v="178"/>
    <n v="80"/>
    <n v="1079"/>
    <n v="28764"/>
  </r>
  <r>
    <x v="60"/>
    <s v="ITA"/>
    <x v="4"/>
    <x v="4"/>
    <n v="4083956555"/>
    <n v="1425084984"/>
    <n v="524"/>
    <n v="44"/>
    <n v="568"/>
    <n v="2375"/>
    <n v="2943"/>
    <n v="-35"/>
    <n v="44"/>
    <n v="1003"/>
    <n v="336"/>
    <n v="4282"/>
    <n v="61331"/>
  </r>
  <r>
    <x v="60"/>
    <s v="ITA"/>
    <x v="5"/>
    <x v="5"/>
    <n v="4449436681"/>
    <n v="113417208"/>
    <n v="2807"/>
    <n v="264"/>
    <n v="3071"/>
    <n v="9438"/>
    <n v="12509"/>
    <n v="-336"/>
    <n v="247"/>
    <n v="8158"/>
    <n v="3303"/>
    <n v="23970"/>
    <n v="151505"/>
  </r>
  <r>
    <x v="60"/>
    <s v="ITA"/>
    <x v="6"/>
    <x v="6"/>
    <n v="456494354"/>
    <n v="1376813649"/>
    <n v="136"/>
    <n v="16"/>
    <n v="152"/>
    <n v="1168"/>
    <n v="1320"/>
    <n v="185"/>
    <n v="24"/>
    <n v="1304"/>
    <n v="258"/>
    <n v="2882"/>
    <n v="55502"/>
  </r>
  <r>
    <x v="60"/>
    <s v="ITA"/>
    <x v="7"/>
    <x v="7"/>
    <n v="4189277044"/>
    <n v="1248366722"/>
    <n v="1396"/>
    <n v="184"/>
    <n v="1580"/>
    <n v="2912"/>
    <n v="4492"/>
    <n v="6"/>
    <n v="78"/>
    <n v="1256"/>
    <n v="384"/>
    <n v="6132"/>
    <n v="114317"/>
  </r>
  <r>
    <x v="60"/>
    <s v="ITA"/>
    <x v="8"/>
    <x v="8"/>
    <n v="4441149315"/>
    <n v="89326992"/>
    <n v="760"/>
    <n v="87"/>
    <n v="847"/>
    <n v="2590"/>
    <n v="3437"/>
    <n v="-29"/>
    <n v="124"/>
    <n v="2660"/>
    <n v="1076"/>
    <n v="7173"/>
    <n v="39563"/>
  </r>
  <r>
    <x v="60"/>
    <s v="ITA"/>
    <x v="9"/>
    <x v="9"/>
    <n v="4546679409"/>
    <n v="9190347404"/>
    <n v="8791"/>
    <n v="756"/>
    <n v="9547"/>
    <n v="24821"/>
    <n v="34368"/>
    <n v="495"/>
    <n v="1091"/>
    <n v="23782"/>
    <n v="13106"/>
    <n v="71256"/>
    <n v="314298"/>
  </r>
  <r>
    <x v="60"/>
    <s v="ITA"/>
    <x v="10"/>
    <x v="10"/>
    <n v="4361675973"/>
    <n v="135188753"/>
    <n v="705"/>
    <n v="61"/>
    <n v="766"/>
    <n v="2507"/>
    <n v="3273"/>
    <n v="43"/>
    <n v="76"/>
    <n v="1890"/>
    <n v="865"/>
    <n v="6028"/>
    <n v="49163"/>
  </r>
  <r>
    <x v="60"/>
    <s v="ITA"/>
    <x v="11"/>
    <x v="11"/>
    <n v="4155774754"/>
    <n v="1465916051"/>
    <n v="19"/>
    <n v="1"/>
    <n v="20"/>
    <n v="180"/>
    <n v="200"/>
    <n v="2"/>
    <n v="3"/>
    <n v="67"/>
    <n v="20"/>
    <n v="287"/>
    <n v="4805"/>
  </r>
  <r>
    <x v="60"/>
    <s v="ITA"/>
    <x v="12"/>
    <x v="12"/>
    <n v="450732745"/>
    <n v="7680687483"/>
    <n v="2918"/>
    <n v="257"/>
    <n v="3175"/>
    <n v="12216"/>
    <n v="15391"/>
    <n v="239"/>
    <n v="682"/>
    <n v="5732"/>
    <n v="2699"/>
    <n v="23822"/>
    <n v="125300"/>
  </r>
  <r>
    <x v="60"/>
    <s v="ITA"/>
    <x v="13"/>
    <x v="13"/>
    <n v="4112559576"/>
    <n v="1686736689"/>
    <n v="496"/>
    <n v="51"/>
    <n v="547"/>
    <n v="2386"/>
    <n v="2933"/>
    <n v="-3"/>
    <n v="42"/>
    <n v="565"/>
    <n v="383"/>
    <n v="3881"/>
    <n v="52472"/>
  </r>
  <r>
    <x v="60"/>
    <s v="ITA"/>
    <x v="14"/>
    <x v="14"/>
    <n v="3921531192"/>
    <n v="9110616306"/>
    <n v="95"/>
    <n v="19"/>
    <n v="114"/>
    <n v="690"/>
    <n v="804"/>
    <n v="-13"/>
    <n v="3"/>
    <n v="351"/>
    <n v="102"/>
    <n v="1257"/>
    <n v="19889"/>
  </r>
  <r>
    <x v="60"/>
    <s v="ITA"/>
    <x v="15"/>
    <x v="15"/>
    <n v="3811569725"/>
    <n v="133623567"/>
    <n v="461"/>
    <n v="32"/>
    <n v="493"/>
    <n v="1827"/>
    <n v="2320"/>
    <n v="19"/>
    <n v="55"/>
    <n v="443"/>
    <n v="218"/>
    <n v="2981"/>
    <n v="65165"/>
  </r>
  <r>
    <x v="60"/>
    <s v="ITA"/>
    <x v="16"/>
    <x v="16"/>
    <n v="4376923077"/>
    <n v="1125588885"/>
    <n v="738"/>
    <n v="159"/>
    <n v="897"/>
    <n v="5236"/>
    <n v="6133"/>
    <n v="-38"/>
    <n v="97"/>
    <n v="2002"/>
    <n v="742"/>
    <n v="8877"/>
    <n v="121336"/>
  </r>
  <r>
    <x v="60"/>
    <s v="ITA"/>
    <x v="2"/>
    <x v="17"/>
    <n v="4606893511"/>
    <n v="1112123097"/>
    <n v="224"/>
    <n v="28"/>
    <n v="252"/>
    <n v="1575"/>
    <n v="1827"/>
    <n v="-44"/>
    <n v="49"/>
    <n v="1560"/>
    <n v="389"/>
    <n v="3776"/>
    <n v="29779"/>
  </r>
  <r>
    <x v="60"/>
    <s v="ITA"/>
    <x v="17"/>
    <x v="18"/>
    <n v="4310675841"/>
    <n v="1238824698"/>
    <n v="94"/>
    <n v="19"/>
    <n v="113"/>
    <n v="209"/>
    <n v="322"/>
    <n v="-33"/>
    <n v="1"/>
    <n v="979"/>
    <n v="62"/>
    <n v="1363"/>
    <n v="30524"/>
  </r>
  <r>
    <x v="60"/>
    <s v="ITA"/>
    <x v="18"/>
    <x v="19"/>
    <n v="4573750286"/>
    <n v="7320149366"/>
    <n v="88"/>
    <n v="7"/>
    <n v="95"/>
    <n v="259"/>
    <n v="354"/>
    <n v="-109"/>
    <n v="4"/>
    <n v="617"/>
    <n v="129"/>
    <n v="1100"/>
    <n v="5262"/>
  </r>
  <r>
    <x v="60"/>
    <s v="ITA"/>
    <x v="19"/>
    <x v="20"/>
    <n v="4543490485"/>
    <n v="1233845213"/>
    <n v="1159"/>
    <n v="130"/>
    <n v="1289"/>
    <n v="8390"/>
    <n v="9679"/>
    <n v="-246"/>
    <n v="348"/>
    <n v="6306"/>
    <n v="1244"/>
    <n v="17229"/>
    <n v="296896"/>
  </r>
  <r>
    <x v="61"/>
    <s v="ITA"/>
    <x v="0"/>
    <x v="0"/>
    <n v="4235122196"/>
    <n v="1339843823"/>
    <n v="323"/>
    <n v="26"/>
    <n v="349"/>
    <n v="1712"/>
    <n v="2061"/>
    <n v="-18"/>
    <n v="29"/>
    <n v="478"/>
    <n v="293"/>
    <n v="2832"/>
    <n v="33624"/>
  </r>
  <r>
    <x v="61"/>
    <s v="ITA"/>
    <x v="1"/>
    <x v="1"/>
    <n v="4063947052"/>
    <n v="1580514834"/>
    <n v="58"/>
    <n v="7"/>
    <n v="65"/>
    <n v="153"/>
    <n v="218"/>
    <n v="-11"/>
    <n v="1"/>
    <n v="118"/>
    <n v="25"/>
    <n v="361"/>
    <n v="9792"/>
  </r>
  <r>
    <x v="61"/>
    <s v="ITA"/>
    <x v="2"/>
    <x v="2"/>
    <n v="4649933453"/>
    <n v="1135662422"/>
    <n v="141"/>
    <n v="14"/>
    <n v="155"/>
    <n v="880"/>
    <n v="1035"/>
    <n v="-58"/>
    <n v="20"/>
    <n v="1176"/>
    <n v="265"/>
    <n v="2476"/>
    <n v="36608"/>
  </r>
  <r>
    <x v="61"/>
    <s v="ITA"/>
    <x v="3"/>
    <x v="3"/>
    <n v="3890597598"/>
    <n v="1659440194"/>
    <n v="125"/>
    <n v="7"/>
    <n v="132"/>
    <n v="679"/>
    <n v="811"/>
    <n v="-10"/>
    <n v="9"/>
    <n v="197"/>
    <n v="80"/>
    <n v="1088"/>
    <n v="29959"/>
  </r>
  <r>
    <x v="61"/>
    <s v="ITA"/>
    <x v="4"/>
    <x v="4"/>
    <n v="4083956555"/>
    <n v="1425084984"/>
    <n v="543"/>
    <n v="55"/>
    <n v="598"/>
    <n v="2337"/>
    <n v="2935"/>
    <n v="-8"/>
    <n v="17"/>
    <n v="1023"/>
    <n v="341"/>
    <n v="4299"/>
    <n v="64521"/>
  </r>
  <r>
    <x v="61"/>
    <s v="ITA"/>
    <x v="5"/>
    <x v="5"/>
    <n v="4449436681"/>
    <n v="113417208"/>
    <n v="2718"/>
    <n v="246"/>
    <n v="2964"/>
    <n v="9383"/>
    <n v="12347"/>
    <n v="-162"/>
    <n v="239"/>
    <n v="8515"/>
    <n v="3347"/>
    <n v="24209"/>
    <n v="156883"/>
  </r>
  <r>
    <x v="61"/>
    <s v="ITA"/>
    <x v="6"/>
    <x v="6"/>
    <n v="456494354"/>
    <n v="1376813649"/>
    <n v="122"/>
    <n v="15"/>
    <n v="137"/>
    <n v="947"/>
    <n v="1084"/>
    <n v="-236"/>
    <n v="21"/>
    <n v="1556"/>
    <n v="263"/>
    <n v="2903"/>
    <n v="58375"/>
  </r>
  <r>
    <x v="61"/>
    <s v="ITA"/>
    <x v="7"/>
    <x v="7"/>
    <n v="4189277044"/>
    <n v="1248366722"/>
    <n v="1421"/>
    <n v="183"/>
    <n v="1604"/>
    <n v="2957"/>
    <n v="4561"/>
    <n v="69"/>
    <n v="92"/>
    <n v="1276"/>
    <n v="387"/>
    <n v="6224"/>
    <n v="118354"/>
  </r>
  <r>
    <x v="61"/>
    <s v="ITA"/>
    <x v="8"/>
    <x v="8"/>
    <n v="4441149315"/>
    <n v="89326992"/>
    <n v="759"/>
    <n v="83"/>
    <n v="842"/>
    <n v="2591"/>
    <n v="3433"/>
    <n v="-4"/>
    <n v="128"/>
    <n v="2775"/>
    <n v="1093"/>
    <n v="7301"/>
    <n v="41125"/>
  </r>
  <r>
    <x v="61"/>
    <s v="ITA"/>
    <x v="9"/>
    <x v="9"/>
    <n v="4546679409"/>
    <n v="9190347404"/>
    <n v="8489"/>
    <n v="724"/>
    <n v="9213"/>
    <n v="25260"/>
    <n v="34473"/>
    <n v="105"/>
    <n v="713"/>
    <n v="24227"/>
    <n v="13269"/>
    <n v="71969"/>
    <n v="326940"/>
  </r>
  <r>
    <x v="61"/>
    <s v="ITA"/>
    <x v="10"/>
    <x v="10"/>
    <n v="4361675973"/>
    <n v="135188753"/>
    <n v="689"/>
    <n v="58"/>
    <n v="747"/>
    <n v="2525"/>
    <n v="3272"/>
    <n v="-1"/>
    <n v="30"/>
    <n v="1912"/>
    <n v="874"/>
    <n v="6058"/>
    <n v="50996"/>
  </r>
  <r>
    <x v="61"/>
    <s v="ITA"/>
    <x v="11"/>
    <x v="11"/>
    <n v="4155774754"/>
    <n v="1465916051"/>
    <n v="19"/>
    <n v="1"/>
    <n v="20"/>
    <n v="178"/>
    <n v="198"/>
    <n v="-2"/>
    <n v="5"/>
    <n v="73"/>
    <n v="21"/>
    <n v="292"/>
    <n v="5191"/>
  </r>
  <r>
    <x v="61"/>
    <s v="ITA"/>
    <x v="12"/>
    <x v="12"/>
    <n v="450732745"/>
    <n v="7680687483"/>
    <n v="2937"/>
    <n v="238"/>
    <n v="3175"/>
    <n v="12327"/>
    <n v="15502"/>
    <n v="111"/>
    <n v="604"/>
    <n v="6157"/>
    <n v="2767"/>
    <n v="24426"/>
    <n v="131107"/>
  </r>
  <r>
    <x v="61"/>
    <s v="ITA"/>
    <x v="13"/>
    <x v="13"/>
    <n v="4112559576"/>
    <n v="1686736689"/>
    <n v="469"/>
    <n v="48"/>
    <n v="517"/>
    <n v="2402"/>
    <n v="2919"/>
    <n v="-14"/>
    <n v="31"/>
    <n v="602"/>
    <n v="391"/>
    <n v="3912"/>
    <n v="54628"/>
  </r>
  <r>
    <x v="61"/>
    <s v="ITA"/>
    <x v="14"/>
    <x v="14"/>
    <n v="3921531192"/>
    <n v="9110616306"/>
    <n v="96"/>
    <n v="18"/>
    <n v="114"/>
    <n v="680"/>
    <n v="794"/>
    <n v="-10"/>
    <n v="14"/>
    <n v="374"/>
    <n v="103"/>
    <n v="1271"/>
    <n v="20351"/>
  </r>
  <r>
    <x v="61"/>
    <s v="ITA"/>
    <x v="15"/>
    <x v="15"/>
    <n v="3811569725"/>
    <n v="133623567"/>
    <n v="452"/>
    <n v="33"/>
    <n v="485"/>
    <n v="1787"/>
    <n v="2272"/>
    <n v="-48"/>
    <n v="39"/>
    <n v="524"/>
    <n v="224"/>
    <n v="3020"/>
    <n v="68251"/>
  </r>
  <r>
    <x v="61"/>
    <s v="ITA"/>
    <x v="16"/>
    <x v="16"/>
    <n v="4376923077"/>
    <n v="1125588885"/>
    <n v="687"/>
    <n v="166"/>
    <n v="853"/>
    <n v="5293"/>
    <n v="6146"/>
    <n v="13"/>
    <n v="138"/>
    <n v="2109"/>
    <n v="760"/>
    <n v="9015"/>
    <n v="125495"/>
  </r>
  <r>
    <x v="61"/>
    <s v="ITA"/>
    <x v="2"/>
    <x v="17"/>
    <n v="4606893511"/>
    <n v="1112123097"/>
    <n v="202"/>
    <n v="27"/>
    <n v="229"/>
    <n v="1515"/>
    <n v="1744"/>
    <n v="-83"/>
    <n v="62"/>
    <n v="1694"/>
    <n v="400"/>
    <n v="3838"/>
    <n v="30661"/>
  </r>
  <r>
    <x v="61"/>
    <s v="ITA"/>
    <x v="17"/>
    <x v="18"/>
    <n v="4310675841"/>
    <n v="1238824698"/>
    <n v="95"/>
    <n v="18"/>
    <n v="113"/>
    <n v="184"/>
    <n v="297"/>
    <n v="-25"/>
    <n v="3"/>
    <n v="1006"/>
    <n v="63"/>
    <n v="1366"/>
    <n v="31939"/>
  </r>
  <r>
    <x v="61"/>
    <s v="ITA"/>
    <x v="18"/>
    <x v="19"/>
    <n v="4573750286"/>
    <n v="7320149366"/>
    <n v="83"/>
    <n v="6"/>
    <n v="89"/>
    <n v="224"/>
    <n v="313"/>
    <n v="-41"/>
    <n v="0"/>
    <n v="657"/>
    <n v="130"/>
    <n v="1100"/>
    <n v="5966"/>
  </r>
  <r>
    <x v="61"/>
    <s v="ITA"/>
    <x v="19"/>
    <x v="20"/>
    <n v="4543490485"/>
    <n v="1233845213"/>
    <n v="1105"/>
    <n v="129"/>
    <n v="1234"/>
    <n v="8198"/>
    <n v="9432"/>
    <n v="-247"/>
    <n v="162"/>
    <n v="6671"/>
    <n v="1288"/>
    <n v="17391"/>
    <n v="306977"/>
  </r>
  <r>
    <x v="62"/>
    <s v="ITA"/>
    <x v="0"/>
    <x v="0"/>
    <n v="4235122196"/>
    <n v="1339843823"/>
    <n v="324"/>
    <n v="24"/>
    <n v="348"/>
    <n v="1720"/>
    <n v="2068"/>
    <n v="7"/>
    <n v="27"/>
    <n v="496"/>
    <n v="295"/>
    <n v="2859"/>
    <n v="33820"/>
  </r>
  <r>
    <x v="62"/>
    <s v="ITA"/>
    <x v="1"/>
    <x v="1"/>
    <n v="4063947052"/>
    <n v="1580514834"/>
    <n v="57"/>
    <n v="7"/>
    <n v="64"/>
    <n v="155"/>
    <n v="219"/>
    <n v="1"/>
    <n v="5"/>
    <n v="122"/>
    <n v="25"/>
    <n v="366"/>
    <n v="10077"/>
  </r>
  <r>
    <x v="62"/>
    <s v="ITA"/>
    <x v="2"/>
    <x v="2"/>
    <n v="4649933453"/>
    <n v="1135662422"/>
    <n v="138"/>
    <n v="14"/>
    <n v="152"/>
    <n v="842"/>
    <n v="994"/>
    <n v="-41"/>
    <n v="5"/>
    <n v="1218"/>
    <n v="269"/>
    <n v="2481"/>
    <n v="37431"/>
  </r>
  <r>
    <x v="62"/>
    <s v="ITA"/>
    <x v="3"/>
    <x v="3"/>
    <n v="3890597598"/>
    <n v="1659440194"/>
    <n v="118"/>
    <n v="8"/>
    <n v="126"/>
    <n v="671"/>
    <n v="797"/>
    <n v="-14"/>
    <n v="1"/>
    <n v="212"/>
    <n v="80"/>
    <n v="1089"/>
    <n v="30853"/>
  </r>
  <r>
    <x v="62"/>
    <s v="ITA"/>
    <x v="4"/>
    <x v="4"/>
    <n v="4083956555"/>
    <n v="1425084984"/>
    <n v="536"/>
    <n v="45"/>
    <n v="581"/>
    <n v="2343"/>
    <n v="2924"/>
    <n v="-11"/>
    <n v="32"/>
    <n v="1062"/>
    <n v="345"/>
    <n v="4331"/>
    <n v="67218"/>
  </r>
  <r>
    <x v="62"/>
    <s v="ITA"/>
    <x v="5"/>
    <x v="5"/>
    <n v="4449436681"/>
    <n v="113417208"/>
    <n v="2695"/>
    <n v="245"/>
    <n v="2940"/>
    <n v="9401"/>
    <n v="12341"/>
    <n v="-6"/>
    <n v="241"/>
    <n v="8723"/>
    <n v="3386"/>
    <n v="24450"/>
    <n v="161928"/>
  </r>
  <r>
    <x v="62"/>
    <s v="ITA"/>
    <x v="6"/>
    <x v="6"/>
    <n v="456494354"/>
    <n v="1376813649"/>
    <n v="129"/>
    <n v="13"/>
    <n v="142"/>
    <n v="1106"/>
    <n v="1248"/>
    <n v="164"/>
    <n v="14"/>
    <n v="1405"/>
    <n v="264"/>
    <n v="2917"/>
    <n v="59681"/>
  </r>
  <r>
    <x v="62"/>
    <s v="ITA"/>
    <x v="7"/>
    <x v="7"/>
    <n v="4189277044"/>
    <n v="1248366722"/>
    <n v="1442"/>
    <n v="161"/>
    <n v="1603"/>
    <n v="2970"/>
    <n v="4573"/>
    <n v="12"/>
    <n v="85"/>
    <n v="1347"/>
    <n v="389"/>
    <n v="6309"/>
    <n v="121677"/>
  </r>
  <r>
    <x v="62"/>
    <s v="ITA"/>
    <x v="8"/>
    <x v="8"/>
    <n v="4441149315"/>
    <n v="89326992"/>
    <n v="748"/>
    <n v="82"/>
    <n v="830"/>
    <n v="2650"/>
    <n v="3480"/>
    <n v="47"/>
    <n v="187"/>
    <n v="2894"/>
    <n v="1114"/>
    <n v="7488"/>
    <n v="42607"/>
  </r>
  <r>
    <x v="62"/>
    <s v="ITA"/>
    <x v="9"/>
    <x v="9"/>
    <n v="4546679409"/>
    <n v="9190347404"/>
    <n v="8481"/>
    <n v="706"/>
    <n v="9187"/>
    <n v="25979"/>
    <n v="35166"/>
    <n v="693"/>
    <n v="920"/>
    <n v="24398"/>
    <n v="13325"/>
    <n v="72889"/>
    <n v="337797"/>
  </r>
  <r>
    <x v="62"/>
    <s v="ITA"/>
    <x v="10"/>
    <x v="10"/>
    <n v="4361675973"/>
    <n v="135188753"/>
    <n v="668"/>
    <n v="58"/>
    <n v="726"/>
    <n v="2582"/>
    <n v="3308"/>
    <n v="36"/>
    <n v="53"/>
    <n v="1924"/>
    <n v="879"/>
    <n v="6111"/>
    <n v="52063"/>
  </r>
  <r>
    <x v="62"/>
    <s v="ITA"/>
    <x v="11"/>
    <x v="11"/>
    <n v="4155774754"/>
    <n v="1465916051"/>
    <n v="20"/>
    <n v="1"/>
    <n v="21"/>
    <n v="179"/>
    <n v="200"/>
    <n v="2"/>
    <n v="4"/>
    <n v="75"/>
    <n v="21"/>
    <n v="296"/>
    <n v="5567"/>
  </r>
  <r>
    <x v="62"/>
    <s v="ITA"/>
    <x v="12"/>
    <x v="12"/>
    <n v="450732745"/>
    <n v="7680687483"/>
    <n v="2866"/>
    <n v="214"/>
    <n v="3080"/>
    <n v="12439"/>
    <n v="15519"/>
    <n v="17"/>
    <n v="394"/>
    <n v="6478"/>
    <n v="2823"/>
    <n v="24820"/>
    <n v="135142"/>
  </r>
  <r>
    <x v="62"/>
    <s v="ITA"/>
    <x v="13"/>
    <x v="13"/>
    <n v="4112559576"/>
    <n v="1686736689"/>
    <n v="464"/>
    <n v="48"/>
    <n v="512"/>
    <n v="2425"/>
    <n v="2937"/>
    <n v="18"/>
    <n v="36"/>
    <n v="612"/>
    <n v="399"/>
    <n v="3948"/>
    <n v="55992"/>
  </r>
  <r>
    <x v="62"/>
    <s v="ITA"/>
    <x v="14"/>
    <x v="14"/>
    <n v="3921531192"/>
    <n v="9110616306"/>
    <n v="95"/>
    <n v="20"/>
    <n v="115"/>
    <n v="668"/>
    <n v="783"/>
    <n v="-11"/>
    <n v="9"/>
    <n v="388"/>
    <n v="109"/>
    <n v="1280"/>
    <n v="21101"/>
  </r>
  <r>
    <x v="62"/>
    <s v="ITA"/>
    <x v="15"/>
    <x v="15"/>
    <n v="3811569725"/>
    <n v="133623567"/>
    <n v="445"/>
    <n v="33"/>
    <n v="478"/>
    <n v="1629"/>
    <n v="2107"/>
    <n v="-165"/>
    <n v="35"/>
    <n v="720"/>
    <n v="228"/>
    <n v="3055"/>
    <n v="70104"/>
  </r>
  <r>
    <x v="62"/>
    <s v="ITA"/>
    <x v="16"/>
    <x v="16"/>
    <n v="4376923077"/>
    <n v="1125588885"/>
    <n v="677"/>
    <n v="158"/>
    <n v="835"/>
    <n v="5234"/>
    <n v="6069"/>
    <n v="-77"/>
    <n v="132"/>
    <n v="2300"/>
    <n v="778"/>
    <n v="9147"/>
    <n v="127394"/>
  </r>
  <r>
    <x v="62"/>
    <s v="ITA"/>
    <x v="2"/>
    <x v="17"/>
    <n v="4606893511"/>
    <n v="1112123097"/>
    <n v="199"/>
    <n v="24"/>
    <n v="223"/>
    <n v="1459"/>
    <n v="1682"/>
    <n v="-62"/>
    <n v="56"/>
    <n v="1807"/>
    <n v="405"/>
    <n v="3894"/>
    <n v="32142"/>
  </r>
  <r>
    <x v="62"/>
    <s v="ITA"/>
    <x v="17"/>
    <x v="18"/>
    <n v="4310675841"/>
    <n v="1238824698"/>
    <n v="91"/>
    <n v="17"/>
    <n v="108"/>
    <n v="188"/>
    <n v="296"/>
    <n v="-1"/>
    <n v="2"/>
    <n v="1008"/>
    <n v="64"/>
    <n v="1368"/>
    <n v="32569"/>
  </r>
  <r>
    <x v="62"/>
    <s v="ITA"/>
    <x v="18"/>
    <x v="19"/>
    <n v="4573750286"/>
    <n v="7320149366"/>
    <n v="82"/>
    <n v="7"/>
    <n v="89"/>
    <n v="165"/>
    <n v="254"/>
    <n v="-59"/>
    <n v="6"/>
    <n v="721"/>
    <n v="131"/>
    <n v="1106"/>
    <n v="6135"/>
  </r>
  <r>
    <x v="62"/>
    <s v="ITA"/>
    <x v="19"/>
    <x v="20"/>
    <n v="4543490485"/>
    <n v="1233845213"/>
    <n v="1097"/>
    <n v="124"/>
    <n v="1221"/>
    <n v="7917"/>
    <n v="9138"/>
    <n v="-294"/>
    <n v="80"/>
    <n v="7018"/>
    <n v="1315"/>
    <n v="17471"/>
    <n v="316361"/>
  </r>
  <r>
    <x v="63"/>
    <s v="ITA"/>
    <x v="0"/>
    <x v="0"/>
    <n v="4235122196"/>
    <n v="1339843823"/>
    <n v="328"/>
    <n v="23"/>
    <n v="351"/>
    <n v="1679"/>
    <n v="2030"/>
    <n v="-38"/>
    <n v="15"/>
    <n v="545"/>
    <n v="299"/>
    <n v="2874"/>
    <n v="34176"/>
  </r>
  <r>
    <x v="63"/>
    <s v="ITA"/>
    <x v="1"/>
    <x v="1"/>
    <n v="4063947052"/>
    <n v="1580514834"/>
    <n v="57"/>
    <n v="7"/>
    <n v="64"/>
    <n v="153"/>
    <n v="217"/>
    <n v="-2"/>
    <n v="0"/>
    <n v="124"/>
    <n v="25"/>
    <n v="366"/>
    <n v="10364"/>
  </r>
  <r>
    <x v="63"/>
    <s v="ITA"/>
    <x v="2"/>
    <x v="2"/>
    <n v="4649933453"/>
    <n v="1135662422"/>
    <n v="150"/>
    <n v="16"/>
    <n v="166"/>
    <n v="774"/>
    <n v="940"/>
    <n v="-54"/>
    <n v="15"/>
    <n v="1286"/>
    <n v="270"/>
    <n v="2496"/>
    <n v="38640"/>
  </r>
  <r>
    <x v="63"/>
    <s v="ITA"/>
    <x v="3"/>
    <x v="3"/>
    <n v="3890597598"/>
    <n v="1659440194"/>
    <n v="114"/>
    <n v="6"/>
    <n v="120"/>
    <n v="662"/>
    <n v="782"/>
    <n v="-15"/>
    <n v="7"/>
    <n v="231"/>
    <n v="83"/>
    <n v="1096"/>
    <n v="31787"/>
  </r>
  <r>
    <x v="63"/>
    <s v="ITA"/>
    <x v="4"/>
    <x v="4"/>
    <n v="4083956555"/>
    <n v="1425084984"/>
    <n v="541"/>
    <n v="37"/>
    <n v="578"/>
    <n v="2299"/>
    <n v="2877"/>
    <n v="-47"/>
    <n v="18"/>
    <n v="1120"/>
    <n v="352"/>
    <n v="4349"/>
    <n v="68727"/>
  </r>
  <r>
    <x v="63"/>
    <s v="ITA"/>
    <x v="5"/>
    <x v="5"/>
    <n v="4449436681"/>
    <n v="113417208"/>
    <n v="2640"/>
    <n v="247"/>
    <n v="2887"/>
    <n v="9338"/>
    <n v="12225"/>
    <n v="-116"/>
    <n v="212"/>
    <n v="9006"/>
    <n v="3431"/>
    <n v="24662"/>
    <n v="164979"/>
  </r>
  <r>
    <x v="63"/>
    <s v="ITA"/>
    <x v="6"/>
    <x v="6"/>
    <n v="456494354"/>
    <n v="1376813649"/>
    <n v="130"/>
    <n v="13"/>
    <n v="143"/>
    <n v="1115"/>
    <n v="1258"/>
    <n v="10"/>
    <n v="60"/>
    <n v="1448"/>
    <n v="271"/>
    <n v="2977"/>
    <n v="60940"/>
  </r>
  <r>
    <x v="63"/>
    <s v="ITA"/>
    <x v="7"/>
    <x v="7"/>
    <n v="4189277044"/>
    <n v="1248366722"/>
    <n v="1464"/>
    <n v="143"/>
    <n v="1607"/>
    <n v="2955"/>
    <n v="4562"/>
    <n v="-11"/>
    <n v="83"/>
    <n v="1433"/>
    <n v="397"/>
    <n v="6392"/>
    <n v="124769"/>
  </r>
  <r>
    <x v="63"/>
    <s v="ITA"/>
    <x v="8"/>
    <x v="8"/>
    <n v="4441149315"/>
    <n v="89326992"/>
    <n v="754"/>
    <n v="83"/>
    <n v="837"/>
    <n v="2743"/>
    <n v="3580"/>
    <n v="100"/>
    <n v="154"/>
    <n v="2934"/>
    <n v="1128"/>
    <n v="7642"/>
    <n v="44039"/>
  </r>
  <r>
    <x v="63"/>
    <s v="ITA"/>
    <x v="9"/>
    <x v="9"/>
    <n v="4546679409"/>
    <n v="9190347404"/>
    <n v="7525"/>
    <n v="680"/>
    <n v="8205"/>
    <n v="27236"/>
    <n v="35441"/>
    <n v="275"/>
    <n v="590"/>
    <n v="24589"/>
    <n v="13449"/>
    <n v="73479"/>
    <n v="342850"/>
  </r>
  <r>
    <x v="63"/>
    <s v="ITA"/>
    <x v="10"/>
    <x v="10"/>
    <n v="4361675973"/>
    <n v="135188753"/>
    <n v="667"/>
    <n v="58"/>
    <n v="725"/>
    <n v="2585"/>
    <n v="3310"/>
    <n v="2"/>
    <n v="16"/>
    <n v="1933"/>
    <n v="884"/>
    <n v="6127"/>
    <n v="52765"/>
  </r>
  <r>
    <x v="63"/>
    <s v="ITA"/>
    <x v="11"/>
    <x v="11"/>
    <n v="4155774754"/>
    <n v="1465916051"/>
    <n v="20"/>
    <n v="1"/>
    <n v="21"/>
    <n v="179"/>
    <n v="200"/>
    <n v="0"/>
    <n v="0"/>
    <n v="75"/>
    <n v="21"/>
    <n v="296"/>
    <n v="5656"/>
  </r>
  <r>
    <x v="63"/>
    <s v="ITA"/>
    <x v="12"/>
    <x v="12"/>
    <n v="450732745"/>
    <n v="7680687483"/>
    <n v="2830"/>
    <n v="214"/>
    <n v="3044"/>
    <n v="12464"/>
    <n v="15508"/>
    <n v="-11"/>
    <n v="278"/>
    <n v="6712"/>
    <n v="2878"/>
    <n v="25098"/>
    <n v="139348"/>
  </r>
  <r>
    <x v="63"/>
    <s v="ITA"/>
    <x v="13"/>
    <x v="13"/>
    <n v="4112559576"/>
    <n v="1686736689"/>
    <n v="449"/>
    <n v="51"/>
    <n v="500"/>
    <n v="2412"/>
    <n v="2912"/>
    <n v="-25"/>
    <n v="10"/>
    <n v="641"/>
    <n v="405"/>
    <n v="3958"/>
    <n v="56976"/>
  </r>
  <r>
    <x v="63"/>
    <s v="ITA"/>
    <x v="14"/>
    <x v="14"/>
    <n v="3921531192"/>
    <n v="9110616306"/>
    <n v="97"/>
    <n v="19"/>
    <n v="116"/>
    <n v="660"/>
    <n v="776"/>
    <n v="-7"/>
    <n v="3"/>
    <n v="398"/>
    <n v="109"/>
    <n v="1283"/>
    <n v="21395"/>
  </r>
  <r>
    <x v="63"/>
    <s v="ITA"/>
    <x v="15"/>
    <x v="15"/>
    <n v="3811569725"/>
    <n v="133623567"/>
    <n v="440"/>
    <n v="35"/>
    <n v="475"/>
    <n v="1648"/>
    <n v="2123"/>
    <n v="16"/>
    <n v="30"/>
    <n v="731"/>
    <n v="231"/>
    <n v="3085"/>
    <n v="70650"/>
  </r>
  <r>
    <x v="63"/>
    <s v="ITA"/>
    <x v="16"/>
    <x v="16"/>
    <n v="4376923077"/>
    <n v="1125588885"/>
    <n v="671"/>
    <n v="154"/>
    <n v="825"/>
    <n v="5158"/>
    <n v="5983"/>
    <n v="-86"/>
    <n v="32"/>
    <n v="2401"/>
    <n v="795"/>
    <n v="9179"/>
    <n v="129048"/>
  </r>
  <r>
    <x v="63"/>
    <s v="ITA"/>
    <x v="2"/>
    <x v="17"/>
    <n v="4606893511"/>
    <n v="1112123097"/>
    <n v="201"/>
    <n v="23"/>
    <n v="224"/>
    <n v="1483"/>
    <n v="1707"/>
    <n v="25"/>
    <n v="101"/>
    <n v="1881"/>
    <n v="407"/>
    <n v="3995"/>
    <n v="33152"/>
  </r>
  <r>
    <x v="63"/>
    <s v="ITA"/>
    <x v="17"/>
    <x v="18"/>
    <n v="4310675841"/>
    <n v="1238824698"/>
    <n v="90"/>
    <n v="16"/>
    <n v="106"/>
    <n v="181"/>
    <n v="287"/>
    <n v="-9"/>
    <n v="2"/>
    <n v="1018"/>
    <n v="65"/>
    <n v="1370"/>
    <n v="32823"/>
  </r>
  <r>
    <x v="63"/>
    <s v="ITA"/>
    <x v="18"/>
    <x v="19"/>
    <n v="4573750286"/>
    <n v="7320149366"/>
    <n v="86"/>
    <n v="7"/>
    <n v="93"/>
    <n v="142"/>
    <n v="235"/>
    <n v="-19"/>
    <n v="5"/>
    <n v="743"/>
    <n v="133"/>
    <n v="1111"/>
    <n v="6551"/>
  </r>
  <r>
    <x v="63"/>
    <s v="ITA"/>
    <x v="19"/>
    <x v="20"/>
    <n v="4543490485"/>
    <n v="1233845213"/>
    <n v="1099"/>
    <n v="123"/>
    <n v="1222"/>
    <n v="7638"/>
    <n v="8860"/>
    <n v="-278"/>
    <n v="108"/>
    <n v="7375"/>
    <n v="1344"/>
    <n v="17579"/>
    <n v="320027"/>
  </r>
  <r>
    <x v="64"/>
    <s v="ITA"/>
    <x v="0"/>
    <x v="0"/>
    <n v="4235122196"/>
    <n v="1339843823"/>
    <n v="312"/>
    <n v="21"/>
    <n v="333"/>
    <n v="1657"/>
    <n v="1990"/>
    <n v="-40"/>
    <n v="25"/>
    <n v="599"/>
    <n v="310"/>
    <n v="2899"/>
    <n v="35356"/>
  </r>
  <r>
    <x v="64"/>
    <s v="ITA"/>
    <x v="1"/>
    <x v="1"/>
    <n v="4063947052"/>
    <n v="1580514834"/>
    <n v="56"/>
    <n v="7"/>
    <n v="63"/>
    <n v="142"/>
    <n v="205"/>
    <n v="-12"/>
    <n v="0"/>
    <n v="136"/>
    <n v="25"/>
    <n v="366"/>
    <n v="10889"/>
  </r>
  <r>
    <x v="64"/>
    <s v="ITA"/>
    <x v="2"/>
    <x v="2"/>
    <n v="4649933453"/>
    <n v="1135662422"/>
    <n v="136"/>
    <n v="15"/>
    <n v="151"/>
    <n v="759"/>
    <n v="910"/>
    <n v="-30"/>
    <n v="2"/>
    <n v="1316"/>
    <n v="272"/>
    <n v="2498"/>
    <n v="39130"/>
  </r>
  <r>
    <x v="64"/>
    <s v="ITA"/>
    <x v="3"/>
    <x v="3"/>
    <n v="3890597598"/>
    <n v="1659440194"/>
    <n v="113"/>
    <n v="6"/>
    <n v="119"/>
    <n v="645"/>
    <n v="764"/>
    <n v="-18"/>
    <n v="1"/>
    <n v="248"/>
    <n v="85"/>
    <n v="1097"/>
    <n v="33755"/>
  </r>
  <r>
    <x v="64"/>
    <s v="ITA"/>
    <x v="4"/>
    <x v="4"/>
    <n v="4083956555"/>
    <n v="1425084984"/>
    <n v="544"/>
    <n v="33"/>
    <n v="577"/>
    <n v="2225"/>
    <n v="2802"/>
    <n v="-75"/>
    <n v="31"/>
    <n v="1220"/>
    <n v="358"/>
    <n v="4380"/>
    <n v="70566"/>
  </r>
  <r>
    <x v="64"/>
    <s v="ITA"/>
    <x v="5"/>
    <x v="5"/>
    <n v="4449436681"/>
    <n v="113417208"/>
    <n v="2574"/>
    <n v="228"/>
    <n v="2802"/>
    <n v="9201"/>
    <n v="12003"/>
    <n v="-222"/>
    <n v="252"/>
    <n v="9439"/>
    <n v="3472"/>
    <n v="24914"/>
    <n v="172589"/>
  </r>
  <r>
    <x v="64"/>
    <s v="ITA"/>
    <x v="6"/>
    <x v="6"/>
    <n v="456494354"/>
    <n v="1376813649"/>
    <n v="136"/>
    <n v="13"/>
    <n v="149"/>
    <n v="1090"/>
    <n v="1239"/>
    <n v="-19"/>
    <n v="18"/>
    <n v="1478"/>
    <n v="278"/>
    <n v="2995"/>
    <n v="64151"/>
  </r>
  <r>
    <x v="64"/>
    <s v="ITA"/>
    <x v="7"/>
    <x v="7"/>
    <n v="4189277044"/>
    <n v="1248366722"/>
    <n v="1468"/>
    <n v="132"/>
    <n v="1600"/>
    <n v="2962"/>
    <n v="4562"/>
    <n v="0"/>
    <n v="75"/>
    <n v="1491"/>
    <n v="414"/>
    <n v="6467"/>
    <n v="128664"/>
  </r>
  <r>
    <x v="64"/>
    <s v="ITA"/>
    <x v="8"/>
    <x v="8"/>
    <n v="4441149315"/>
    <n v="89326992"/>
    <n v="718"/>
    <n v="81"/>
    <n v="799"/>
    <n v="2772"/>
    <n v="3571"/>
    <n v="-9"/>
    <n v="130"/>
    <n v="3060"/>
    <n v="1141"/>
    <n v="7772"/>
    <n v="45719"/>
  </r>
  <r>
    <x v="64"/>
    <s v="ITA"/>
    <x v="9"/>
    <x v="9"/>
    <n v="4546679409"/>
    <n v="9190347404"/>
    <n v="7280"/>
    <n v="655"/>
    <n v="7935"/>
    <n v="27809"/>
    <n v="35744"/>
    <n v="303"/>
    <n v="869"/>
    <n v="25029"/>
    <n v="13575"/>
    <n v="74348"/>
    <n v="351423"/>
  </r>
  <r>
    <x v="64"/>
    <s v="ITA"/>
    <x v="10"/>
    <x v="10"/>
    <n v="4361675973"/>
    <n v="135188753"/>
    <n v="666"/>
    <n v="58"/>
    <n v="724"/>
    <n v="2610"/>
    <n v="3334"/>
    <n v="24"/>
    <n v="48"/>
    <n v="1948"/>
    <n v="893"/>
    <n v="6175"/>
    <n v="54313"/>
  </r>
  <r>
    <x v="64"/>
    <s v="ITA"/>
    <x v="11"/>
    <x v="11"/>
    <n v="4155774754"/>
    <n v="1465916051"/>
    <n v="18"/>
    <n v="1"/>
    <n v="19"/>
    <n v="176"/>
    <n v="195"/>
    <n v="-5"/>
    <n v="1"/>
    <n v="81"/>
    <n v="21"/>
    <n v="297"/>
    <n v="5776"/>
  </r>
  <r>
    <x v="64"/>
    <s v="ITA"/>
    <x v="12"/>
    <x v="12"/>
    <n v="450732745"/>
    <n v="7680687483"/>
    <n v="2701"/>
    <n v="202"/>
    <n v="2903"/>
    <n v="12603"/>
    <n v="15506"/>
    <n v="-2"/>
    <n v="352"/>
    <n v="7008"/>
    <n v="2936"/>
    <n v="25450"/>
    <n v="144531"/>
  </r>
  <r>
    <x v="64"/>
    <s v="ITA"/>
    <x v="13"/>
    <x v="13"/>
    <n v="4112559576"/>
    <n v="1686736689"/>
    <n v="448"/>
    <n v="51"/>
    <n v="499"/>
    <n v="2420"/>
    <n v="2919"/>
    <n v="7"/>
    <n v="22"/>
    <n v="654"/>
    <n v="407"/>
    <n v="3980"/>
    <n v="58496"/>
  </r>
  <r>
    <x v="64"/>
    <s v="ITA"/>
    <x v="14"/>
    <x v="14"/>
    <n v="3921531192"/>
    <n v="9110616306"/>
    <n v="96"/>
    <n v="18"/>
    <n v="114"/>
    <n v="658"/>
    <n v="772"/>
    <n v="-4"/>
    <n v="2"/>
    <n v="404"/>
    <n v="109"/>
    <n v="1285"/>
    <n v="22116"/>
  </r>
  <r>
    <x v="64"/>
    <s v="ITA"/>
    <x v="15"/>
    <x v="15"/>
    <n v="3811569725"/>
    <n v="133623567"/>
    <n v="428"/>
    <n v="34"/>
    <n v="462"/>
    <n v="1681"/>
    <n v="2143"/>
    <n v="20"/>
    <n v="35"/>
    <n v="745"/>
    <n v="232"/>
    <n v="3120"/>
    <n v="73008"/>
  </r>
  <r>
    <x v="64"/>
    <s v="ITA"/>
    <x v="16"/>
    <x v="16"/>
    <n v="4376923077"/>
    <n v="1125588885"/>
    <n v="619"/>
    <n v="144"/>
    <n v="763"/>
    <n v="5133"/>
    <n v="5896"/>
    <n v="-87"/>
    <n v="52"/>
    <n v="2524"/>
    <n v="811"/>
    <n v="9231"/>
    <n v="133617"/>
  </r>
  <r>
    <x v="64"/>
    <s v="ITA"/>
    <x v="2"/>
    <x v="17"/>
    <n v="4606893511"/>
    <n v="1112123097"/>
    <n v="182"/>
    <n v="22"/>
    <n v="204"/>
    <n v="1361"/>
    <n v="1565"/>
    <n v="-142"/>
    <n v="30"/>
    <n v="2048"/>
    <n v="412"/>
    <n v="4025"/>
    <n v="33839"/>
  </r>
  <r>
    <x v="64"/>
    <s v="ITA"/>
    <x v="17"/>
    <x v="18"/>
    <n v="4310675841"/>
    <n v="1238824698"/>
    <n v="80"/>
    <n v="17"/>
    <n v="97"/>
    <n v="178"/>
    <n v="275"/>
    <n v="-12"/>
    <n v="9"/>
    <n v="1039"/>
    <n v="65"/>
    <n v="1379"/>
    <n v="33881"/>
  </r>
  <r>
    <x v="64"/>
    <s v="ITA"/>
    <x v="18"/>
    <x v="19"/>
    <n v="4573750286"/>
    <n v="7320149366"/>
    <n v="81"/>
    <n v="5"/>
    <n v="86"/>
    <n v="123"/>
    <n v="209"/>
    <n v="-26"/>
    <n v="8"/>
    <n v="775"/>
    <n v="135"/>
    <n v="1119"/>
    <n v="6897"/>
  </r>
  <r>
    <x v="64"/>
    <s v="ITA"/>
    <x v="19"/>
    <x v="20"/>
    <n v="4543490485"/>
    <n v="1233845213"/>
    <n v="1067"/>
    <n v="120"/>
    <n v="1187"/>
    <n v="7414"/>
    <n v="8601"/>
    <n v="-259"/>
    <n v="129"/>
    <n v="7699"/>
    <n v="1408"/>
    <n v="17708"/>
    <n v="328218"/>
  </r>
  <r>
    <x v="65"/>
    <s v="ITA"/>
    <x v="0"/>
    <x v="0"/>
    <n v="4235122196"/>
    <n v="1339843823"/>
    <n v="309"/>
    <n v="19"/>
    <n v="328"/>
    <n v="1648"/>
    <n v="1976"/>
    <n v="-14"/>
    <n v="24"/>
    <n v="632"/>
    <n v="315"/>
    <n v="2923"/>
    <n v="36614"/>
  </r>
  <r>
    <x v="65"/>
    <s v="ITA"/>
    <x v="1"/>
    <x v="1"/>
    <n v="4063947052"/>
    <n v="1580514834"/>
    <n v="51"/>
    <n v="4"/>
    <n v="55"/>
    <n v="139"/>
    <n v="194"/>
    <n v="-11"/>
    <n v="0"/>
    <n v="147"/>
    <n v="25"/>
    <n v="366"/>
    <n v="11331"/>
  </r>
  <r>
    <x v="65"/>
    <s v="ITA"/>
    <x v="2"/>
    <x v="2"/>
    <n v="4649933453"/>
    <n v="1135662422"/>
    <n v="119"/>
    <n v="14"/>
    <n v="133"/>
    <n v="712"/>
    <n v="845"/>
    <n v="-65"/>
    <n v="9"/>
    <n v="1388"/>
    <n v="274"/>
    <n v="2507"/>
    <n v="40218"/>
  </r>
  <r>
    <x v="65"/>
    <s v="ITA"/>
    <x v="3"/>
    <x v="3"/>
    <n v="3890597598"/>
    <n v="1659440194"/>
    <n v="107"/>
    <n v="6"/>
    <n v="113"/>
    <n v="640"/>
    <n v="753"/>
    <n v="-11"/>
    <n v="5"/>
    <n v="263"/>
    <n v="86"/>
    <n v="1102"/>
    <n v="34914"/>
  </r>
  <r>
    <x v="65"/>
    <s v="ITA"/>
    <x v="4"/>
    <x v="4"/>
    <n v="4083956555"/>
    <n v="1425084984"/>
    <n v="518"/>
    <n v="31"/>
    <n v="549"/>
    <n v="2233"/>
    <n v="2782"/>
    <n v="-20"/>
    <n v="30"/>
    <n v="1269"/>
    <n v="359"/>
    <n v="4410"/>
    <n v="73094"/>
  </r>
  <r>
    <x v="65"/>
    <s v="ITA"/>
    <x v="5"/>
    <x v="5"/>
    <n v="4449436681"/>
    <n v="113417208"/>
    <n v="2527"/>
    <n v="226"/>
    <n v="2753"/>
    <n v="9109"/>
    <n v="11862"/>
    <n v="-141"/>
    <n v="263"/>
    <n v="9803"/>
    <n v="3512"/>
    <n v="25177"/>
    <n v="176865"/>
  </r>
  <r>
    <x v="65"/>
    <s v="ITA"/>
    <x v="6"/>
    <x v="6"/>
    <n v="456494354"/>
    <n v="1376813649"/>
    <n v="134"/>
    <n v="12"/>
    <n v="146"/>
    <n v="1081"/>
    <n v="1227"/>
    <n v="-12"/>
    <n v="15"/>
    <n v="1498"/>
    <n v="285"/>
    <n v="3010"/>
    <n v="66769"/>
  </r>
  <r>
    <x v="65"/>
    <s v="ITA"/>
    <x v="7"/>
    <x v="7"/>
    <n v="4189277044"/>
    <n v="1248366722"/>
    <n v="1445"/>
    <n v="130"/>
    <n v="1575"/>
    <n v="2960"/>
    <n v="4535"/>
    <n v="-27"/>
    <n v="78"/>
    <n v="1579"/>
    <n v="431"/>
    <n v="6545"/>
    <n v="133503"/>
  </r>
  <r>
    <x v="65"/>
    <s v="ITA"/>
    <x v="8"/>
    <x v="8"/>
    <n v="4441149315"/>
    <n v="89326992"/>
    <n v="697"/>
    <n v="70"/>
    <n v="767"/>
    <n v="2809"/>
    <n v="3576"/>
    <n v="5"/>
    <n v="117"/>
    <n v="3161"/>
    <n v="1152"/>
    <n v="7889"/>
    <n v="47220"/>
  </r>
  <r>
    <x v="65"/>
    <s v="ITA"/>
    <x v="9"/>
    <x v="9"/>
    <n v="4546679409"/>
    <n v="9190347404"/>
    <n v="7120"/>
    <n v="634"/>
    <n v="7754"/>
    <n v="28368"/>
    <n v="36122"/>
    <n v="378"/>
    <n v="786"/>
    <n v="25333"/>
    <n v="13679"/>
    <n v="75134"/>
    <n v="365895"/>
  </r>
  <r>
    <x v="65"/>
    <s v="ITA"/>
    <x v="10"/>
    <x v="10"/>
    <n v="4361675973"/>
    <n v="135188753"/>
    <n v="640"/>
    <n v="52"/>
    <n v="692"/>
    <n v="2655"/>
    <n v="3347"/>
    <n v="13"/>
    <n v="35"/>
    <n v="1964"/>
    <n v="899"/>
    <n v="6210"/>
    <n v="55905"/>
  </r>
  <r>
    <x v="65"/>
    <s v="ITA"/>
    <x v="11"/>
    <x v="11"/>
    <n v="4155774754"/>
    <n v="1465916051"/>
    <n v="17"/>
    <n v="1"/>
    <n v="18"/>
    <n v="175"/>
    <n v="193"/>
    <n v="-2"/>
    <n v="0"/>
    <n v="83"/>
    <n v="21"/>
    <n v="297"/>
    <n v="5910"/>
  </r>
  <r>
    <x v="65"/>
    <s v="ITA"/>
    <x v="12"/>
    <x v="12"/>
    <n v="450732745"/>
    <n v="7680687483"/>
    <n v="2637"/>
    <n v="202"/>
    <n v="2839"/>
    <n v="12682"/>
    <n v="15521"/>
    <n v="15"/>
    <n v="411"/>
    <n v="7337"/>
    <n v="3003"/>
    <n v="25861"/>
    <n v="151266"/>
  </r>
  <r>
    <x v="65"/>
    <s v="ITA"/>
    <x v="13"/>
    <x v="13"/>
    <n v="4112559576"/>
    <n v="1686736689"/>
    <n v="449"/>
    <n v="47"/>
    <n v="496"/>
    <n v="2431"/>
    <n v="2927"/>
    <n v="8"/>
    <n v="49"/>
    <n v="692"/>
    <n v="410"/>
    <n v="4029"/>
    <n v="60334"/>
  </r>
  <r>
    <x v="65"/>
    <s v="ITA"/>
    <x v="14"/>
    <x v="14"/>
    <n v="3921531192"/>
    <n v="9110616306"/>
    <n v="87"/>
    <n v="17"/>
    <n v="104"/>
    <n v="657"/>
    <n v="761"/>
    <n v="-11"/>
    <n v="5"/>
    <n v="413"/>
    <n v="116"/>
    <n v="1290"/>
    <n v="23299"/>
  </r>
  <r>
    <x v="65"/>
    <s v="ITA"/>
    <x v="15"/>
    <x v="15"/>
    <n v="3811569725"/>
    <n v="133623567"/>
    <n v="415"/>
    <n v="34"/>
    <n v="449"/>
    <n v="1696"/>
    <n v="2145"/>
    <n v="2"/>
    <n v="20"/>
    <n v="763"/>
    <n v="232"/>
    <n v="3140"/>
    <n v="75360"/>
  </r>
  <r>
    <x v="65"/>
    <s v="ITA"/>
    <x v="16"/>
    <x v="16"/>
    <n v="4376923077"/>
    <n v="1125588885"/>
    <n v="576"/>
    <n v="139"/>
    <n v="715"/>
    <n v="4948"/>
    <n v="5663"/>
    <n v="-233"/>
    <n v="61"/>
    <n v="2802"/>
    <n v="827"/>
    <n v="9292"/>
    <n v="137482"/>
  </r>
  <r>
    <x v="65"/>
    <s v="ITA"/>
    <x v="2"/>
    <x v="17"/>
    <n v="4606893511"/>
    <n v="1112123097"/>
    <n v="165"/>
    <n v="22"/>
    <n v="187"/>
    <n v="1276"/>
    <n v="1463"/>
    <n v="-102"/>
    <n v="44"/>
    <n v="2190"/>
    <n v="416"/>
    <n v="4069"/>
    <n v="35008"/>
  </r>
  <r>
    <x v="65"/>
    <s v="ITA"/>
    <x v="17"/>
    <x v="18"/>
    <n v="4310675841"/>
    <n v="1238824698"/>
    <n v="77"/>
    <n v="16"/>
    <n v="93"/>
    <n v="168"/>
    <n v="261"/>
    <n v="-14"/>
    <n v="12"/>
    <n v="1064"/>
    <n v="66"/>
    <n v="1391"/>
    <n v="34937"/>
  </r>
  <r>
    <x v="65"/>
    <s v="ITA"/>
    <x v="18"/>
    <x v="19"/>
    <n v="4573750286"/>
    <n v="7320149366"/>
    <n v="78"/>
    <n v="5"/>
    <n v="83"/>
    <n v="52"/>
    <n v="135"/>
    <n v="-74"/>
    <n v="5"/>
    <n v="852"/>
    <n v="137"/>
    <n v="1124"/>
    <n v="7181"/>
  </r>
  <r>
    <x v="65"/>
    <s v="ITA"/>
    <x v="19"/>
    <x v="20"/>
    <n v="4543490485"/>
    <n v="1233845213"/>
    <n v="1042"/>
    <n v="114"/>
    <n v="1156"/>
    <n v="7213"/>
    <n v="8369"/>
    <n v="-232"/>
    <n v="117"/>
    <n v="8019"/>
    <n v="1437"/>
    <n v="17825"/>
    <n v="337656"/>
  </r>
  <r>
    <x v="66"/>
    <s v="ITA"/>
    <x v="0"/>
    <x v="0"/>
    <n v="4235122196"/>
    <n v="1339843823"/>
    <n v="306"/>
    <n v="16"/>
    <n v="322"/>
    <n v="1593"/>
    <n v="1915"/>
    <n v="-61"/>
    <n v="7"/>
    <n v="695"/>
    <n v="320"/>
    <n v="2930"/>
    <n v="37996"/>
  </r>
  <r>
    <x v="66"/>
    <s v="ITA"/>
    <x v="1"/>
    <x v="1"/>
    <n v="4063947052"/>
    <n v="1580514834"/>
    <n v="49"/>
    <n v="4"/>
    <n v="53"/>
    <n v="139"/>
    <n v="192"/>
    <n v="-2"/>
    <n v="1"/>
    <n v="150"/>
    <n v="25"/>
    <n v="367"/>
    <n v="12774"/>
  </r>
  <r>
    <x v="66"/>
    <s v="ITA"/>
    <x v="2"/>
    <x v="2"/>
    <n v="4649933453"/>
    <n v="1135662422"/>
    <n v="126"/>
    <n v="13"/>
    <n v="139"/>
    <n v="663"/>
    <n v="802"/>
    <n v="-43"/>
    <n v="11"/>
    <n v="1441"/>
    <n v="275"/>
    <n v="2518"/>
    <n v="41297"/>
  </r>
  <r>
    <x v="66"/>
    <s v="ITA"/>
    <x v="3"/>
    <x v="3"/>
    <n v="3890597598"/>
    <n v="1659440194"/>
    <n v="105"/>
    <n v="6"/>
    <n v="111"/>
    <n v="629"/>
    <n v="740"/>
    <n v="-13"/>
    <n v="6"/>
    <n v="282"/>
    <n v="86"/>
    <n v="1108"/>
    <n v="35903"/>
  </r>
  <r>
    <x v="66"/>
    <s v="ITA"/>
    <x v="4"/>
    <x v="4"/>
    <n v="4083956555"/>
    <n v="1425084984"/>
    <n v="484"/>
    <n v="29"/>
    <n v="513"/>
    <n v="2260"/>
    <n v="2773"/>
    <n v="-9"/>
    <n v="13"/>
    <n v="1291"/>
    <n v="359"/>
    <n v="4423"/>
    <n v="76108"/>
  </r>
  <r>
    <x v="66"/>
    <s v="ITA"/>
    <x v="5"/>
    <x v="5"/>
    <n v="4449436681"/>
    <n v="113417208"/>
    <n v="2146"/>
    <n v="206"/>
    <n v="2352"/>
    <n v="7211"/>
    <n v="9563"/>
    <n v="-2299"/>
    <n v="259"/>
    <n v="12322"/>
    <n v="3551"/>
    <n v="25436"/>
    <n v="182857"/>
  </r>
  <r>
    <x v="66"/>
    <s v="ITA"/>
    <x v="6"/>
    <x v="6"/>
    <n v="456494354"/>
    <n v="1376813649"/>
    <n v="109"/>
    <n v="11"/>
    <n v="120"/>
    <n v="1050"/>
    <n v="1170"/>
    <n v="-57"/>
    <n v="15"/>
    <n v="1566"/>
    <n v="289"/>
    <n v="3025"/>
    <n v="67930"/>
  </r>
  <r>
    <x v="66"/>
    <s v="ITA"/>
    <x v="7"/>
    <x v="7"/>
    <n v="4189277044"/>
    <n v="1248366722"/>
    <n v="1417"/>
    <n v="115"/>
    <n v="1532"/>
    <n v="2936"/>
    <n v="4468"/>
    <n v="-67"/>
    <n v="71"/>
    <n v="1707"/>
    <n v="441"/>
    <n v="6616"/>
    <n v="137596"/>
  </r>
  <r>
    <x v="66"/>
    <s v="ITA"/>
    <x v="8"/>
    <x v="8"/>
    <n v="4441149315"/>
    <n v="89326992"/>
    <n v="676"/>
    <n v="69"/>
    <n v="745"/>
    <n v="2806"/>
    <n v="3551"/>
    <n v="-25"/>
    <n v="104"/>
    <n v="3275"/>
    <n v="1167"/>
    <n v="7993"/>
    <n v="48762"/>
  </r>
  <r>
    <x v="66"/>
    <s v="ITA"/>
    <x v="9"/>
    <x v="9"/>
    <n v="4546679409"/>
    <n v="9190347404"/>
    <n v="6834"/>
    <n v="605"/>
    <n v="7439"/>
    <n v="28772"/>
    <n v="36211"/>
    <n v="89"/>
    <n v="598"/>
    <n v="25749"/>
    <n v="13772"/>
    <n v="75732"/>
    <n v="376943"/>
  </r>
  <r>
    <x v="66"/>
    <s v="ITA"/>
    <x v="10"/>
    <x v="10"/>
    <n v="4361675973"/>
    <n v="135188753"/>
    <n v="465"/>
    <n v="48"/>
    <n v="513"/>
    <n v="2697"/>
    <n v="3210"/>
    <n v="-137"/>
    <n v="37"/>
    <n v="2131"/>
    <n v="906"/>
    <n v="6247"/>
    <n v="59488"/>
  </r>
  <r>
    <x v="66"/>
    <s v="ITA"/>
    <x v="11"/>
    <x v="11"/>
    <n v="4155774754"/>
    <n v="1465916051"/>
    <n v="17"/>
    <n v="1"/>
    <n v="18"/>
    <n v="172"/>
    <n v="190"/>
    <n v="-3"/>
    <n v="1"/>
    <n v="87"/>
    <n v="21"/>
    <n v="298"/>
    <n v="6446"/>
  </r>
  <r>
    <x v="66"/>
    <s v="ITA"/>
    <x v="12"/>
    <x v="12"/>
    <n v="450732745"/>
    <n v="7680687483"/>
    <n v="2621"/>
    <n v="199"/>
    <n v="2820"/>
    <n v="12673"/>
    <n v="15493"/>
    <n v="-28"/>
    <n v="428"/>
    <n v="7730"/>
    <n v="3066"/>
    <n v="26289"/>
    <n v="156534"/>
  </r>
  <r>
    <x v="66"/>
    <s v="ITA"/>
    <x v="13"/>
    <x v="13"/>
    <n v="4112559576"/>
    <n v="1686736689"/>
    <n v="439"/>
    <n v="42"/>
    <n v="481"/>
    <n v="2468"/>
    <n v="2949"/>
    <n v="22"/>
    <n v="43"/>
    <n v="708"/>
    <n v="415"/>
    <n v="4072"/>
    <n v="62460"/>
  </r>
  <r>
    <x v="66"/>
    <s v="ITA"/>
    <x v="14"/>
    <x v="14"/>
    <n v="3921531192"/>
    <n v="9110616306"/>
    <n v="87"/>
    <n v="16"/>
    <n v="103"/>
    <n v="641"/>
    <n v="744"/>
    <n v="-17"/>
    <n v="5"/>
    <n v="435"/>
    <n v="116"/>
    <n v="1295"/>
    <n v="24754"/>
  </r>
  <r>
    <x v="66"/>
    <s v="ITA"/>
    <x v="15"/>
    <x v="15"/>
    <n v="3811569725"/>
    <n v="133623567"/>
    <n v="408"/>
    <n v="33"/>
    <n v="441"/>
    <n v="1716"/>
    <n v="2157"/>
    <n v="12"/>
    <n v="26"/>
    <n v="774"/>
    <n v="235"/>
    <n v="3166"/>
    <n v="79669"/>
  </r>
  <r>
    <x v="66"/>
    <s v="ITA"/>
    <x v="16"/>
    <x v="16"/>
    <n v="4376923077"/>
    <n v="1125588885"/>
    <n v="546"/>
    <n v="126"/>
    <n v="672"/>
    <n v="4912"/>
    <n v="5584"/>
    <n v="-79"/>
    <n v="60"/>
    <n v="2926"/>
    <n v="842"/>
    <n v="9352"/>
    <n v="141849"/>
  </r>
  <r>
    <x v="66"/>
    <s v="ITA"/>
    <x v="2"/>
    <x v="17"/>
    <n v="4606893511"/>
    <n v="1112123097"/>
    <n v="158"/>
    <n v="21"/>
    <n v="179"/>
    <n v="1191"/>
    <n v="1370"/>
    <n v="-93"/>
    <n v="47"/>
    <n v="2328"/>
    <n v="418"/>
    <n v="4116"/>
    <n v="36534"/>
  </r>
  <r>
    <x v="66"/>
    <s v="ITA"/>
    <x v="17"/>
    <x v="18"/>
    <n v="4310675841"/>
    <n v="1238824698"/>
    <n v="68"/>
    <n v="16"/>
    <n v="84"/>
    <n v="149"/>
    <n v="233"/>
    <n v="-28"/>
    <n v="1"/>
    <n v="1092"/>
    <n v="67"/>
    <n v="1392"/>
    <n v="36459"/>
  </r>
  <r>
    <x v="66"/>
    <s v="ITA"/>
    <x v="18"/>
    <x v="19"/>
    <n v="4573750286"/>
    <n v="7320149366"/>
    <n v="76"/>
    <n v="4"/>
    <n v="80"/>
    <n v="9"/>
    <n v="89"/>
    <n v="-46"/>
    <n v="4"/>
    <n v="902"/>
    <n v="137"/>
    <n v="1128"/>
    <n v="7631"/>
  </r>
  <r>
    <x v="66"/>
    <s v="ITA"/>
    <x v="19"/>
    <x v="20"/>
    <n v="4543490485"/>
    <n v="1233845213"/>
    <n v="1012"/>
    <n v="114"/>
    <n v="1126"/>
    <n v="7021"/>
    <n v="8147"/>
    <n v="-222"/>
    <n v="135"/>
    <n v="8354"/>
    <n v="1459"/>
    <n v="17960"/>
    <n v="349227"/>
  </r>
  <r>
    <x v="67"/>
    <s v="ITA"/>
    <x v="0"/>
    <x v="0"/>
    <n v="4235122196"/>
    <n v="1339843823"/>
    <n v="297"/>
    <n v="16"/>
    <n v="313"/>
    <n v="1598"/>
    <n v="1911"/>
    <n v="-4"/>
    <n v="18"/>
    <n v="713"/>
    <n v="324"/>
    <n v="2948"/>
    <n v="39385"/>
  </r>
  <r>
    <x v="67"/>
    <s v="ITA"/>
    <x v="1"/>
    <x v="1"/>
    <n v="4063947052"/>
    <n v="1580514834"/>
    <n v="49"/>
    <n v="4"/>
    <n v="53"/>
    <n v="140"/>
    <n v="193"/>
    <n v="1"/>
    <n v="11"/>
    <n v="160"/>
    <n v="25"/>
    <n v="378"/>
    <n v="13269"/>
  </r>
  <r>
    <x v="67"/>
    <s v="ITA"/>
    <x v="2"/>
    <x v="2"/>
    <n v="4649933453"/>
    <n v="1135662422"/>
    <n v="112"/>
    <n v="11"/>
    <n v="123"/>
    <n v="634"/>
    <n v="757"/>
    <n v="-45"/>
    <n v="10"/>
    <n v="1493"/>
    <n v="278"/>
    <n v="2528"/>
    <n v="42903"/>
  </r>
  <r>
    <x v="67"/>
    <s v="ITA"/>
    <x v="3"/>
    <x v="3"/>
    <n v="3890597598"/>
    <n v="1659440194"/>
    <n v="105"/>
    <n v="3"/>
    <n v="108"/>
    <n v="619"/>
    <n v="727"/>
    <n v="-13"/>
    <n v="4"/>
    <n v="299"/>
    <n v="86"/>
    <n v="1112"/>
    <n v="37054"/>
  </r>
  <r>
    <x v="67"/>
    <s v="ITA"/>
    <x v="4"/>
    <x v="4"/>
    <n v="4083956555"/>
    <n v="1425084984"/>
    <n v="478"/>
    <n v="29"/>
    <n v="507"/>
    <n v="2246"/>
    <n v="2753"/>
    <n v="-20"/>
    <n v="21"/>
    <n v="1332"/>
    <n v="359"/>
    <n v="4444"/>
    <n v="79940"/>
  </r>
  <r>
    <x v="67"/>
    <s v="ITA"/>
    <x v="5"/>
    <x v="5"/>
    <n v="4449436681"/>
    <n v="113417208"/>
    <n v="2112"/>
    <n v="197"/>
    <n v="2309"/>
    <n v="7175"/>
    <n v="9484"/>
    <n v="-79"/>
    <n v="208"/>
    <n v="12581"/>
    <n v="3579"/>
    <n v="25644"/>
    <n v="188264"/>
  </r>
  <r>
    <x v="67"/>
    <s v="ITA"/>
    <x v="6"/>
    <x v="6"/>
    <n v="456494354"/>
    <n v="1376813649"/>
    <n v="131"/>
    <n v="6"/>
    <n v="137"/>
    <n v="978"/>
    <n v="1115"/>
    <n v="-55"/>
    <n v="16"/>
    <n v="1632"/>
    <n v="294"/>
    <n v="3041"/>
    <n v="71013"/>
  </r>
  <r>
    <x v="67"/>
    <s v="ITA"/>
    <x v="7"/>
    <x v="7"/>
    <n v="4189277044"/>
    <n v="1248366722"/>
    <n v="1372"/>
    <n v="105"/>
    <n v="1477"/>
    <n v="2969"/>
    <n v="4446"/>
    <n v="-22"/>
    <n v="56"/>
    <n v="1744"/>
    <n v="482"/>
    <n v="6672"/>
    <n v="143804"/>
  </r>
  <r>
    <x v="67"/>
    <s v="ITA"/>
    <x v="8"/>
    <x v="8"/>
    <n v="4441149315"/>
    <n v="89326992"/>
    <n v="666"/>
    <n v="68"/>
    <n v="734"/>
    <n v="2784"/>
    <n v="3518"/>
    <n v="-33"/>
    <n v="133"/>
    <n v="3424"/>
    <n v="1184"/>
    <n v="8126"/>
    <n v="51199"/>
  </r>
  <r>
    <x v="67"/>
    <s v="ITA"/>
    <x v="9"/>
    <x v="9"/>
    <n v="4546679409"/>
    <n v="9190347404"/>
    <n v="6628"/>
    <n v="563"/>
    <n v="7191"/>
    <n v="29282"/>
    <n v="36473"/>
    <n v="262"/>
    <n v="737"/>
    <n v="26136"/>
    <n v="13860"/>
    <n v="76469"/>
    <n v="390644"/>
  </r>
  <r>
    <x v="67"/>
    <s v="ITA"/>
    <x v="10"/>
    <x v="10"/>
    <n v="4361675973"/>
    <n v="135188753"/>
    <n v="413"/>
    <n v="44"/>
    <n v="457"/>
    <n v="2754"/>
    <n v="3211"/>
    <n v="1"/>
    <n v="28"/>
    <n v="2153"/>
    <n v="911"/>
    <n v="6275"/>
    <n v="61241"/>
  </r>
  <r>
    <x v="67"/>
    <s v="ITA"/>
    <x v="11"/>
    <x v="11"/>
    <n v="4155774754"/>
    <n v="1465916051"/>
    <n v="17"/>
    <n v="1"/>
    <n v="18"/>
    <n v="172"/>
    <n v="190"/>
    <n v="0"/>
    <n v="2"/>
    <n v="89"/>
    <n v="21"/>
    <n v="300"/>
    <n v="6463"/>
  </r>
  <r>
    <x v="67"/>
    <s v="ITA"/>
    <x v="12"/>
    <x v="12"/>
    <n v="450732745"/>
    <n v="7680687483"/>
    <n v="2503"/>
    <n v="181"/>
    <n v="2684"/>
    <n v="12878"/>
    <n v="15562"/>
    <n v="69"/>
    <n v="395"/>
    <n v="8025"/>
    <n v="3097"/>
    <n v="26684"/>
    <n v="162568"/>
  </r>
  <r>
    <x v="67"/>
    <s v="ITA"/>
    <x v="13"/>
    <x v="13"/>
    <n v="4112559576"/>
    <n v="1686736689"/>
    <n v="428"/>
    <n v="39"/>
    <n v="467"/>
    <n v="2480"/>
    <n v="2947"/>
    <n v="-2"/>
    <n v="27"/>
    <n v="731"/>
    <n v="421"/>
    <n v="4099"/>
    <n v="64292"/>
  </r>
  <r>
    <x v="67"/>
    <s v="ITA"/>
    <x v="14"/>
    <x v="14"/>
    <n v="3921531192"/>
    <n v="9110616306"/>
    <n v="84"/>
    <n v="12"/>
    <n v="96"/>
    <n v="648"/>
    <n v="744"/>
    <n v="0"/>
    <n v="18"/>
    <n v="452"/>
    <n v="117"/>
    <n v="1313"/>
    <n v="26242"/>
  </r>
  <r>
    <x v="67"/>
    <s v="ITA"/>
    <x v="15"/>
    <x v="15"/>
    <n v="3811569725"/>
    <n v="133623567"/>
    <n v="399"/>
    <n v="30"/>
    <n v="429"/>
    <n v="1742"/>
    <n v="2171"/>
    <n v="14"/>
    <n v="28"/>
    <n v="786"/>
    <n v="237"/>
    <n v="3194"/>
    <n v="82860"/>
  </r>
  <r>
    <x v="67"/>
    <s v="ITA"/>
    <x v="16"/>
    <x v="16"/>
    <n v="4376923077"/>
    <n v="1125588885"/>
    <n v="520"/>
    <n v="124"/>
    <n v="644"/>
    <n v="4729"/>
    <n v="5373"/>
    <n v="-211"/>
    <n v="93"/>
    <n v="3218"/>
    <n v="854"/>
    <n v="9445"/>
    <n v="146456"/>
  </r>
  <r>
    <x v="67"/>
    <s v="ITA"/>
    <x v="2"/>
    <x v="17"/>
    <n v="4606893511"/>
    <n v="1112123097"/>
    <n v="146"/>
    <n v="19"/>
    <n v="165"/>
    <n v="1128"/>
    <n v="1293"/>
    <n v="-77"/>
    <n v="16"/>
    <n v="2416"/>
    <n v="423"/>
    <n v="4132"/>
    <n v="37838"/>
  </r>
  <r>
    <x v="67"/>
    <s v="ITA"/>
    <x v="17"/>
    <x v="18"/>
    <n v="4310675841"/>
    <n v="1238824698"/>
    <n v="60"/>
    <n v="13"/>
    <n v="73"/>
    <n v="131"/>
    <n v="204"/>
    <n v="-29"/>
    <n v="1"/>
    <n v="1121"/>
    <n v="68"/>
    <n v="1393"/>
    <n v="37762"/>
  </r>
  <r>
    <x v="67"/>
    <s v="ITA"/>
    <x v="18"/>
    <x v="19"/>
    <n v="4573750286"/>
    <n v="7320149366"/>
    <n v="72"/>
    <n v="3"/>
    <n v="75"/>
    <n v="17"/>
    <n v="92"/>
    <n v="3"/>
    <n v="5"/>
    <n v="904"/>
    <n v="137"/>
    <n v="1133"/>
    <n v="7769"/>
  </r>
  <r>
    <x v="67"/>
    <s v="ITA"/>
    <x v="19"/>
    <x v="20"/>
    <n v="4543490485"/>
    <n v="1233845213"/>
    <n v="977"/>
    <n v="110"/>
    <n v="1087"/>
    <n v="6692"/>
    <n v="7779"/>
    <n v="-368"/>
    <n v="138"/>
    <n v="8840"/>
    <n v="1479"/>
    <n v="18098"/>
    <n v="362459"/>
  </r>
  <r>
    <x v="68"/>
    <s v="ITA"/>
    <x v="0"/>
    <x v="0"/>
    <n v="4235122196"/>
    <n v="1339843823"/>
    <n v="303"/>
    <n v="16"/>
    <n v="319"/>
    <n v="1560"/>
    <n v="1879"/>
    <n v="-32"/>
    <n v="16"/>
    <n v="758"/>
    <n v="327"/>
    <n v="2964"/>
    <n v="39916"/>
  </r>
  <r>
    <x v="68"/>
    <s v="ITA"/>
    <x v="1"/>
    <x v="1"/>
    <n v="4063947052"/>
    <n v="1580514834"/>
    <n v="48"/>
    <n v="4"/>
    <n v="52"/>
    <n v="139"/>
    <n v="191"/>
    <n v="-2"/>
    <n v="2"/>
    <n v="164"/>
    <n v="25"/>
    <n v="380"/>
    <n v="13722"/>
  </r>
  <r>
    <x v="68"/>
    <s v="ITA"/>
    <x v="2"/>
    <x v="2"/>
    <n v="4649933453"/>
    <n v="1135662422"/>
    <n v="113"/>
    <n v="10"/>
    <n v="123"/>
    <n v="580"/>
    <n v="703"/>
    <n v="-54"/>
    <n v="7"/>
    <n v="1553"/>
    <n v="279"/>
    <n v="2535"/>
    <n v="43804"/>
  </r>
  <r>
    <x v="68"/>
    <s v="ITA"/>
    <x v="3"/>
    <x v="3"/>
    <n v="3890597598"/>
    <n v="1659440194"/>
    <n v="100"/>
    <n v="4"/>
    <n v="104"/>
    <n v="609"/>
    <n v="713"/>
    <n v="-14"/>
    <n v="0"/>
    <n v="311"/>
    <n v="88"/>
    <n v="1112"/>
    <n v="37928"/>
  </r>
  <r>
    <x v="68"/>
    <s v="ITA"/>
    <x v="4"/>
    <x v="4"/>
    <n v="4083956555"/>
    <n v="1425084984"/>
    <n v="470"/>
    <n v="27"/>
    <n v="497"/>
    <n v="2224"/>
    <n v="2721"/>
    <n v="-32"/>
    <n v="15"/>
    <n v="1376"/>
    <n v="362"/>
    <n v="4459"/>
    <n v="83592"/>
  </r>
  <r>
    <x v="68"/>
    <s v="ITA"/>
    <x v="5"/>
    <x v="5"/>
    <n v="4449436681"/>
    <n v="113417208"/>
    <n v="2033"/>
    <n v="196"/>
    <n v="2229"/>
    <n v="7094"/>
    <n v="9323"/>
    <n v="-161"/>
    <n v="206"/>
    <n v="12913"/>
    <n v="3614"/>
    <n v="25850"/>
    <n v="192135"/>
  </r>
  <r>
    <x v="68"/>
    <s v="ITA"/>
    <x v="6"/>
    <x v="6"/>
    <n v="456494354"/>
    <n v="1376813649"/>
    <n v="131"/>
    <n v="5"/>
    <n v="136"/>
    <n v="973"/>
    <n v="1109"/>
    <n v="-6"/>
    <n v="18"/>
    <n v="1655"/>
    <n v="295"/>
    <n v="3059"/>
    <n v="73855"/>
  </r>
  <r>
    <x v="68"/>
    <s v="ITA"/>
    <x v="7"/>
    <x v="7"/>
    <n v="4189277044"/>
    <n v="1248366722"/>
    <n v="1370"/>
    <n v="96"/>
    <n v="1466"/>
    <n v="2986"/>
    <n v="4452"/>
    <n v="6"/>
    <n v="84"/>
    <n v="1807"/>
    <n v="497"/>
    <n v="6756"/>
    <n v="147078"/>
  </r>
  <r>
    <x v="68"/>
    <s v="ITA"/>
    <x v="8"/>
    <x v="8"/>
    <n v="4441149315"/>
    <n v="89326992"/>
    <n v="647"/>
    <n v="68"/>
    <n v="715"/>
    <n v="2883"/>
    <n v="3598"/>
    <n v="80"/>
    <n v="186"/>
    <n v="3519"/>
    <n v="1195"/>
    <n v="8312"/>
    <n v="53202"/>
  </r>
  <r>
    <x v="68"/>
    <s v="ITA"/>
    <x v="9"/>
    <x v="9"/>
    <n v="4546679409"/>
    <n v="9190347404"/>
    <n v="6529"/>
    <n v="545"/>
    <n v="7074"/>
    <n v="29593"/>
    <n v="36667"/>
    <n v="194"/>
    <n v="533"/>
    <n v="26146"/>
    <n v="14189"/>
    <n v="77002"/>
    <n v="403702"/>
  </r>
  <r>
    <x v="68"/>
    <s v="ITA"/>
    <x v="10"/>
    <x v="10"/>
    <n v="4361675973"/>
    <n v="135188753"/>
    <n v="399"/>
    <n v="46"/>
    <n v="445"/>
    <n v="2760"/>
    <n v="3205"/>
    <n v="-6"/>
    <n v="23"/>
    <n v="2177"/>
    <n v="916"/>
    <n v="6298"/>
    <n v="62834"/>
  </r>
  <r>
    <x v="68"/>
    <s v="ITA"/>
    <x v="11"/>
    <x v="11"/>
    <n v="4155774754"/>
    <n v="1465916051"/>
    <n v="9"/>
    <n v="1"/>
    <n v="10"/>
    <n v="172"/>
    <n v="182"/>
    <n v="-8"/>
    <n v="1"/>
    <n v="98"/>
    <n v="21"/>
    <n v="301"/>
    <n v="7075"/>
  </r>
  <r>
    <x v="68"/>
    <s v="ITA"/>
    <x v="12"/>
    <x v="12"/>
    <n v="450732745"/>
    <n v="7680687483"/>
    <n v="2550"/>
    <n v="178"/>
    <n v="2728"/>
    <n v="12991"/>
    <n v="15719"/>
    <n v="157"/>
    <n v="495"/>
    <n v="8334"/>
    <n v="3126"/>
    <n v="27179"/>
    <n v="168479"/>
  </r>
  <r>
    <x v="68"/>
    <s v="ITA"/>
    <x v="13"/>
    <x v="13"/>
    <n v="4112559576"/>
    <n v="1686736689"/>
    <n v="416"/>
    <n v="39"/>
    <n v="455"/>
    <n v="2499"/>
    <n v="2954"/>
    <n v="7"/>
    <n v="34"/>
    <n v="757"/>
    <n v="422"/>
    <n v="4133"/>
    <n v="65370"/>
  </r>
  <r>
    <x v="68"/>
    <s v="ITA"/>
    <x v="14"/>
    <x v="14"/>
    <n v="3921531192"/>
    <n v="9110616306"/>
    <n v="86"/>
    <n v="13"/>
    <n v="99"/>
    <n v="631"/>
    <n v="730"/>
    <n v="-14"/>
    <n v="2"/>
    <n v="466"/>
    <n v="119"/>
    <n v="1315"/>
    <n v="26990"/>
  </r>
  <r>
    <x v="68"/>
    <s v="ITA"/>
    <x v="15"/>
    <x v="15"/>
    <n v="3811569725"/>
    <n v="133623567"/>
    <n v="396"/>
    <n v="30"/>
    <n v="426"/>
    <n v="1760"/>
    <n v="2186"/>
    <n v="15"/>
    <n v="19"/>
    <n v="787"/>
    <n v="240"/>
    <n v="3213"/>
    <n v="84352"/>
  </r>
  <r>
    <x v="68"/>
    <s v="ITA"/>
    <x v="16"/>
    <x v="16"/>
    <n v="4376923077"/>
    <n v="1125588885"/>
    <n v="519"/>
    <n v="118"/>
    <n v="637"/>
    <n v="4728"/>
    <n v="5365"/>
    <n v="-8"/>
    <n v="80"/>
    <n v="3297"/>
    <n v="863"/>
    <n v="9525"/>
    <n v="148223"/>
  </r>
  <r>
    <x v="68"/>
    <s v="ITA"/>
    <x v="2"/>
    <x v="17"/>
    <n v="4606893511"/>
    <n v="1112123097"/>
    <n v="138"/>
    <n v="19"/>
    <n v="157"/>
    <n v="1125"/>
    <n v="1282"/>
    <n v="-11"/>
    <n v="49"/>
    <n v="2474"/>
    <n v="425"/>
    <n v="4181"/>
    <n v="39579"/>
  </r>
  <r>
    <x v="68"/>
    <s v="ITA"/>
    <x v="17"/>
    <x v="18"/>
    <n v="4310675841"/>
    <n v="1238824698"/>
    <n v="60"/>
    <n v="13"/>
    <n v="73"/>
    <n v="123"/>
    <n v="196"/>
    <n v="-8"/>
    <n v="1"/>
    <n v="1130"/>
    <n v="68"/>
    <n v="1394"/>
    <n v="38072"/>
  </r>
  <r>
    <x v="68"/>
    <s v="ITA"/>
    <x v="18"/>
    <x v="19"/>
    <n v="4573750286"/>
    <n v="7320149366"/>
    <n v="70"/>
    <n v="3"/>
    <n v="73"/>
    <n v="25"/>
    <n v="98"/>
    <n v="6"/>
    <n v="3"/>
    <n v="901"/>
    <n v="137"/>
    <n v="1136"/>
    <n v="7951"/>
  </r>
  <r>
    <x v="68"/>
    <s v="ITA"/>
    <x v="19"/>
    <x v="20"/>
    <n v="4543490485"/>
    <n v="1233845213"/>
    <n v="970"/>
    <n v="108"/>
    <n v="1078"/>
    <n v="6353"/>
    <n v="7431"/>
    <n v="-348"/>
    <n v="126"/>
    <n v="9291"/>
    <n v="1502"/>
    <n v="18224"/>
    <n v="370978"/>
  </r>
  <r>
    <x v="69"/>
    <s v="ITA"/>
    <x v="0"/>
    <x v="0"/>
    <n v="4235122196"/>
    <n v="1339843823"/>
    <n v="300"/>
    <n v="16"/>
    <n v="316"/>
    <n v="1552"/>
    <n v="1868"/>
    <n v="-11"/>
    <n v="32"/>
    <n v="798"/>
    <n v="330"/>
    <n v="2996"/>
    <n v="40699"/>
  </r>
  <r>
    <x v="69"/>
    <s v="ITA"/>
    <x v="1"/>
    <x v="1"/>
    <n v="4063947052"/>
    <n v="1580514834"/>
    <n v="48"/>
    <n v="3"/>
    <n v="51"/>
    <n v="143"/>
    <n v="194"/>
    <n v="3"/>
    <n v="6"/>
    <n v="167"/>
    <n v="25"/>
    <n v="386"/>
    <n v="14210"/>
  </r>
  <r>
    <x v="69"/>
    <s v="ITA"/>
    <x v="2"/>
    <x v="2"/>
    <n v="4649933453"/>
    <n v="1135662422"/>
    <n v="109"/>
    <n v="11"/>
    <n v="120"/>
    <n v="545"/>
    <n v="665"/>
    <n v="-38"/>
    <n v="1"/>
    <n v="1590"/>
    <n v="281"/>
    <n v="2536"/>
    <n v="44240"/>
  </r>
  <r>
    <x v="69"/>
    <s v="ITA"/>
    <x v="3"/>
    <x v="3"/>
    <n v="3890597598"/>
    <n v="1659440194"/>
    <n v="95"/>
    <n v="4"/>
    <n v="99"/>
    <n v="603"/>
    <n v="702"/>
    <n v="-11"/>
    <n v="2"/>
    <n v="324"/>
    <n v="88"/>
    <n v="1114"/>
    <n v="38835"/>
  </r>
  <r>
    <x v="69"/>
    <s v="ITA"/>
    <x v="4"/>
    <x v="4"/>
    <n v="4083956555"/>
    <n v="1425084984"/>
    <n v="455"/>
    <n v="30"/>
    <n v="485"/>
    <n v="2241"/>
    <n v="2726"/>
    <n v="5"/>
    <n v="25"/>
    <n v="1394"/>
    <n v="364"/>
    <n v="4484"/>
    <n v="86498"/>
  </r>
  <r>
    <x v="69"/>
    <s v="ITA"/>
    <x v="5"/>
    <x v="5"/>
    <n v="4449436681"/>
    <n v="113417208"/>
    <n v="1997"/>
    <n v="197"/>
    <n v="2194"/>
    <n v="6851"/>
    <n v="9045"/>
    <n v="-278"/>
    <n v="166"/>
    <n v="13329"/>
    <n v="3642"/>
    <n v="26016"/>
    <n v="197075"/>
  </r>
  <r>
    <x v="69"/>
    <s v="ITA"/>
    <x v="6"/>
    <x v="6"/>
    <n v="456494354"/>
    <n v="1376813649"/>
    <n v="131"/>
    <n v="6"/>
    <n v="137"/>
    <n v="950"/>
    <n v="1087"/>
    <n v="-22"/>
    <n v="13"/>
    <n v="1688"/>
    <n v="297"/>
    <n v="3072"/>
    <n v="74990"/>
  </r>
  <r>
    <x v="69"/>
    <s v="ITA"/>
    <x v="7"/>
    <x v="7"/>
    <n v="4189277044"/>
    <n v="1248366722"/>
    <n v="1346"/>
    <n v="95"/>
    <n v="1441"/>
    <n v="2944"/>
    <n v="4385"/>
    <n v="-67"/>
    <n v="53"/>
    <n v="1916"/>
    <n v="508"/>
    <n v="6809"/>
    <n v="150912"/>
  </r>
  <r>
    <x v="69"/>
    <s v="ITA"/>
    <x v="8"/>
    <x v="8"/>
    <n v="4441149315"/>
    <n v="89326992"/>
    <n v="627"/>
    <n v="68"/>
    <n v="695"/>
    <n v="2856"/>
    <n v="3551"/>
    <n v="-47"/>
    <n v="47"/>
    <n v="3599"/>
    <n v="1209"/>
    <n v="8359"/>
    <n v="54492"/>
  </r>
  <r>
    <x v="69"/>
    <s v="ITA"/>
    <x v="9"/>
    <x v="9"/>
    <n v="4546679409"/>
    <n v="9190347404"/>
    <n v="6609"/>
    <n v="532"/>
    <n v="7141"/>
    <n v="29785"/>
    <n v="36926"/>
    <n v="259"/>
    <n v="526"/>
    <n v="26371"/>
    <n v="14231"/>
    <n v="77528"/>
    <n v="410857"/>
  </r>
  <r>
    <x v="69"/>
    <s v="ITA"/>
    <x v="10"/>
    <x v="10"/>
    <n v="4361675973"/>
    <n v="135188753"/>
    <n v="400"/>
    <n v="43"/>
    <n v="443"/>
    <n v="2755"/>
    <n v="3198"/>
    <n v="-7"/>
    <n v="21"/>
    <n v="2194"/>
    <n v="927"/>
    <n v="6319"/>
    <n v="64412"/>
  </r>
  <r>
    <x v="69"/>
    <s v="ITA"/>
    <x v="11"/>
    <x v="11"/>
    <n v="4155774754"/>
    <n v="1465916051"/>
    <n v="8"/>
    <n v="1"/>
    <n v="9"/>
    <n v="172"/>
    <n v="181"/>
    <n v="-1"/>
    <n v="0"/>
    <n v="98"/>
    <n v="22"/>
    <n v="301"/>
    <n v="7075"/>
  </r>
  <r>
    <x v="69"/>
    <s v="ITA"/>
    <x v="12"/>
    <x v="12"/>
    <n v="450732745"/>
    <n v="7680687483"/>
    <n v="2496"/>
    <n v="169"/>
    <n v="2665"/>
    <n v="12973"/>
    <n v="15638"/>
    <n v="-81"/>
    <n v="251"/>
    <n v="8640"/>
    <n v="3152"/>
    <n v="27430"/>
    <n v="172208"/>
  </r>
  <r>
    <x v="69"/>
    <s v="ITA"/>
    <x v="13"/>
    <x v="13"/>
    <n v="4112559576"/>
    <n v="1686736689"/>
    <n v="410"/>
    <n v="40"/>
    <n v="450"/>
    <n v="2505"/>
    <n v="2955"/>
    <n v="1"/>
    <n v="11"/>
    <n v="765"/>
    <n v="424"/>
    <n v="4144"/>
    <n v="66443"/>
  </r>
  <r>
    <x v="69"/>
    <s v="ITA"/>
    <x v="14"/>
    <x v="14"/>
    <n v="3921531192"/>
    <n v="9110616306"/>
    <n v="92"/>
    <n v="10"/>
    <n v="102"/>
    <n v="587"/>
    <n v="689"/>
    <n v="-41"/>
    <n v="4"/>
    <n v="511"/>
    <n v="119"/>
    <n v="1319"/>
    <n v="27737"/>
  </r>
  <r>
    <x v="69"/>
    <s v="ITA"/>
    <x v="15"/>
    <x v="15"/>
    <n v="3811569725"/>
    <n v="133623567"/>
    <n v="383"/>
    <n v="29"/>
    <n v="412"/>
    <n v="1791"/>
    <n v="2203"/>
    <n v="17"/>
    <n v="27"/>
    <n v="795"/>
    <n v="242"/>
    <n v="3240"/>
    <n v="85955"/>
  </r>
  <r>
    <x v="69"/>
    <s v="ITA"/>
    <x v="16"/>
    <x v="16"/>
    <n v="4376923077"/>
    <n v="1125588885"/>
    <n v="513"/>
    <n v="112"/>
    <n v="625"/>
    <n v="4703"/>
    <n v="5328"/>
    <n v="-37"/>
    <n v="38"/>
    <n v="3363"/>
    <n v="872"/>
    <n v="9563"/>
    <n v="150914"/>
  </r>
  <r>
    <x v="69"/>
    <s v="ITA"/>
    <x v="2"/>
    <x v="17"/>
    <n v="4606893511"/>
    <n v="1112123097"/>
    <n v="136"/>
    <n v="17"/>
    <n v="153"/>
    <n v="1094"/>
    <n v="1247"/>
    <n v="-35"/>
    <n v="66"/>
    <n v="2571"/>
    <n v="429"/>
    <n v="4247"/>
    <n v="41095"/>
  </r>
  <r>
    <x v="69"/>
    <s v="ITA"/>
    <x v="17"/>
    <x v="18"/>
    <n v="4310675841"/>
    <n v="1238824698"/>
    <n v="58"/>
    <n v="13"/>
    <n v="71"/>
    <n v="112"/>
    <n v="183"/>
    <n v="-13"/>
    <n v="0"/>
    <n v="1143"/>
    <n v="68"/>
    <n v="1394"/>
    <n v="38823"/>
  </r>
  <r>
    <x v="69"/>
    <s v="ITA"/>
    <x v="18"/>
    <x v="19"/>
    <n v="4573750286"/>
    <n v="7320149366"/>
    <n v="74"/>
    <n v="2"/>
    <n v="76"/>
    <n v="33"/>
    <n v="109"/>
    <n v="11"/>
    <n v="6"/>
    <n v="895"/>
    <n v="138"/>
    <n v="1142"/>
    <n v="8100"/>
  </r>
  <r>
    <x v="69"/>
    <s v="ITA"/>
    <x v="19"/>
    <x v="20"/>
    <n v="4543490485"/>
    <n v="1233845213"/>
    <n v="955"/>
    <n v="103"/>
    <n v="1058"/>
    <n v="6241"/>
    <n v="7299"/>
    <n v="-132"/>
    <n v="94"/>
    <n v="9503"/>
    <n v="1516"/>
    <n v="18318"/>
    <n v="378202"/>
  </r>
  <r>
    <x v="70"/>
    <s v="ITA"/>
    <x v="0"/>
    <x v="0"/>
    <n v="4235122196"/>
    <n v="1339843823"/>
    <n v="301"/>
    <n v="15"/>
    <n v="316"/>
    <n v="1521"/>
    <n v="1837"/>
    <n v="-31"/>
    <n v="4"/>
    <n v="831"/>
    <n v="332"/>
    <n v="3000"/>
    <n v="41108"/>
  </r>
  <r>
    <x v="70"/>
    <s v="ITA"/>
    <x v="1"/>
    <x v="1"/>
    <n v="4063947052"/>
    <n v="1580514834"/>
    <n v="50"/>
    <n v="3"/>
    <n v="53"/>
    <n v="120"/>
    <n v="173"/>
    <n v="-21"/>
    <n v="0"/>
    <n v="188"/>
    <n v="25"/>
    <n v="386"/>
    <n v="14901"/>
  </r>
  <r>
    <x v="70"/>
    <s v="ITA"/>
    <x v="2"/>
    <x v="2"/>
    <n v="4649933453"/>
    <n v="1135662422"/>
    <n v="103"/>
    <n v="10"/>
    <n v="113"/>
    <n v="523"/>
    <n v="636"/>
    <n v="-29"/>
    <n v="5"/>
    <n v="1621"/>
    <n v="284"/>
    <n v="2541"/>
    <n v="44673"/>
  </r>
  <r>
    <x v="70"/>
    <s v="ITA"/>
    <x v="3"/>
    <x v="3"/>
    <n v="3890597598"/>
    <n v="1659440194"/>
    <n v="93"/>
    <n v="4"/>
    <n v="97"/>
    <n v="577"/>
    <n v="674"/>
    <n v="-28"/>
    <n v="4"/>
    <n v="356"/>
    <n v="88"/>
    <n v="1118"/>
    <n v="39438"/>
  </r>
  <r>
    <x v="70"/>
    <s v="ITA"/>
    <x v="4"/>
    <x v="4"/>
    <n v="4083956555"/>
    <n v="1425084984"/>
    <n v="438"/>
    <n v="24"/>
    <n v="462"/>
    <n v="2249"/>
    <n v="2711"/>
    <n v="-15"/>
    <n v="14"/>
    <n v="1421"/>
    <n v="366"/>
    <n v="4498"/>
    <n v="90543"/>
  </r>
  <r>
    <x v="70"/>
    <s v="ITA"/>
    <x v="5"/>
    <x v="5"/>
    <n v="4449436681"/>
    <n v="113417208"/>
    <n v="1968"/>
    <n v="199"/>
    <n v="2167"/>
    <n v="6817"/>
    <n v="8984"/>
    <n v="-61"/>
    <n v="159"/>
    <n v="13525"/>
    <n v="3666"/>
    <n v="26175"/>
    <n v="200427"/>
  </r>
  <r>
    <x v="70"/>
    <s v="ITA"/>
    <x v="6"/>
    <x v="6"/>
    <n v="456494354"/>
    <n v="1376813649"/>
    <n v="130"/>
    <n v="4"/>
    <n v="134"/>
    <n v="916"/>
    <n v="1050"/>
    <n v="-37"/>
    <n v="4"/>
    <n v="1727"/>
    <n v="299"/>
    <n v="3076"/>
    <n v="75421"/>
  </r>
  <r>
    <x v="70"/>
    <s v="ITA"/>
    <x v="7"/>
    <x v="7"/>
    <n v="4189277044"/>
    <n v="1248366722"/>
    <n v="1335"/>
    <n v="95"/>
    <n v="1430"/>
    <n v="2955"/>
    <n v="4385"/>
    <n v="0"/>
    <n v="38"/>
    <n v="1938"/>
    <n v="524"/>
    <n v="6847"/>
    <n v="153293"/>
  </r>
  <r>
    <x v="70"/>
    <s v="ITA"/>
    <x v="8"/>
    <x v="8"/>
    <n v="4441149315"/>
    <n v="89326992"/>
    <n v="606"/>
    <n v="72"/>
    <n v="678"/>
    <n v="2830"/>
    <n v="3508"/>
    <n v="-43"/>
    <n v="53"/>
    <n v="3683"/>
    <n v="1221"/>
    <n v="8412"/>
    <n v="56092"/>
  </r>
  <r>
    <x v="70"/>
    <s v="ITA"/>
    <x v="9"/>
    <x v="9"/>
    <n v="4546679409"/>
    <n v="9190347404"/>
    <n v="6414"/>
    <n v="532"/>
    <n v="6946"/>
    <n v="30361"/>
    <n v="37307"/>
    <n v="381"/>
    <n v="577"/>
    <n v="26504"/>
    <n v="14294"/>
    <n v="78105"/>
    <n v="418835"/>
  </r>
  <r>
    <x v="70"/>
    <s v="ITA"/>
    <x v="10"/>
    <x v="10"/>
    <n v="4361675973"/>
    <n v="135188753"/>
    <n v="389"/>
    <n v="44"/>
    <n v="433"/>
    <n v="2773"/>
    <n v="3206"/>
    <n v="8"/>
    <n v="44"/>
    <n v="2225"/>
    <n v="932"/>
    <n v="6363"/>
    <n v="65398"/>
  </r>
  <r>
    <x v="70"/>
    <s v="ITA"/>
    <x v="11"/>
    <x v="11"/>
    <n v="4155774754"/>
    <n v="1465916051"/>
    <n v="9"/>
    <n v="1"/>
    <n v="10"/>
    <n v="168"/>
    <n v="178"/>
    <n v="-3"/>
    <n v="0"/>
    <n v="101"/>
    <n v="22"/>
    <n v="301"/>
    <n v="7328"/>
  </r>
  <r>
    <x v="70"/>
    <s v="ITA"/>
    <x v="12"/>
    <x v="12"/>
    <n v="450732745"/>
    <n v="7680687483"/>
    <n v="2391"/>
    <n v="161"/>
    <n v="2552"/>
    <n v="13010"/>
    <n v="15562"/>
    <n v="-76"/>
    <n v="192"/>
    <n v="8874"/>
    <n v="3186"/>
    <n v="27622"/>
    <n v="176078"/>
  </r>
  <r>
    <x v="70"/>
    <s v="ITA"/>
    <x v="13"/>
    <x v="13"/>
    <n v="4112559576"/>
    <n v="1686736689"/>
    <n v="397"/>
    <n v="39"/>
    <n v="436"/>
    <n v="2509"/>
    <n v="2945"/>
    <n v="-10"/>
    <n v="9"/>
    <n v="779"/>
    <n v="429"/>
    <n v="4153"/>
    <n v="67167"/>
  </r>
  <r>
    <x v="70"/>
    <s v="ITA"/>
    <x v="14"/>
    <x v="14"/>
    <n v="3921531192"/>
    <n v="9110616306"/>
    <n v="91"/>
    <n v="9"/>
    <n v="100"/>
    <n v="553"/>
    <n v="653"/>
    <n v="-36"/>
    <n v="-2"/>
    <n v="545"/>
    <n v="119"/>
    <n v="1317"/>
    <n v="28052"/>
  </r>
  <r>
    <x v="70"/>
    <s v="ITA"/>
    <x v="15"/>
    <x v="15"/>
    <n v="3811569725"/>
    <n v="133623567"/>
    <n v="376"/>
    <n v="27"/>
    <n v="403"/>
    <n v="1799"/>
    <n v="2202"/>
    <n v="-1"/>
    <n v="15"/>
    <n v="809"/>
    <n v="244"/>
    <n v="3255"/>
    <n v="87166"/>
  </r>
  <r>
    <x v="70"/>
    <s v="ITA"/>
    <x v="16"/>
    <x v="16"/>
    <n v="4376923077"/>
    <n v="1125588885"/>
    <n v="512"/>
    <n v="107"/>
    <n v="619"/>
    <n v="4660"/>
    <n v="5279"/>
    <n v="-49"/>
    <n v="38"/>
    <n v="3441"/>
    <n v="881"/>
    <n v="9601"/>
    <n v="152447"/>
  </r>
  <r>
    <x v="70"/>
    <s v="ITA"/>
    <x v="2"/>
    <x v="17"/>
    <n v="4606893511"/>
    <n v="1112123097"/>
    <n v="135"/>
    <n v="17"/>
    <n v="152"/>
    <n v="1013"/>
    <n v="1165"/>
    <n v="-82"/>
    <n v="11"/>
    <n v="2663"/>
    <n v="430"/>
    <n v="4258"/>
    <n v="42061"/>
  </r>
  <r>
    <x v="70"/>
    <s v="ITA"/>
    <x v="17"/>
    <x v="18"/>
    <n v="4310675841"/>
    <n v="1238824698"/>
    <n v="56"/>
    <n v="13"/>
    <n v="69"/>
    <n v="112"/>
    <n v="181"/>
    <n v="-2"/>
    <n v="0"/>
    <n v="1143"/>
    <n v="70"/>
    <n v="1394"/>
    <n v="39044"/>
  </r>
  <r>
    <x v="70"/>
    <s v="ITA"/>
    <x v="18"/>
    <x v="19"/>
    <n v="4573750286"/>
    <n v="7320149366"/>
    <n v="74"/>
    <n v="2"/>
    <n v="76"/>
    <n v="34"/>
    <n v="110"/>
    <n v="1"/>
    <n v="1"/>
    <n v="894"/>
    <n v="139"/>
    <n v="1143"/>
    <n v="8271"/>
  </r>
  <r>
    <x v="70"/>
    <s v="ITA"/>
    <x v="19"/>
    <x v="20"/>
    <n v="4543490485"/>
    <n v="1233845213"/>
    <n v="955"/>
    <n v="101"/>
    <n v="1056"/>
    <n v="6178"/>
    <n v="7234"/>
    <n v="-65"/>
    <n v="55"/>
    <n v="9611"/>
    <n v="1528"/>
    <n v="18373"/>
    <n v="383660"/>
  </r>
  <r>
    <x v="71"/>
    <s v="ITA"/>
    <x v="0"/>
    <x v="0"/>
    <n v="4235122196"/>
    <n v="1339843823"/>
    <n v="289"/>
    <n v="11"/>
    <n v="300"/>
    <n v="1509"/>
    <n v="1809"/>
    <n v="-28"/>
    <n v="25"/>
    <n v="881"/>
    <n v="335"/>
    <n v="3025"/>
    <n v="42489"/>
  </r>
  <r>
    <x v="71"/>
    <s v="ITA"/>
    <x v="1"/>
    <x v="1"/>
    <n v="4063947052"/>
    <n v="1580514834"/>
    <n v="50"/>
    <n v="3"/>
    <n v="53"/>
    <n v="124"/>
    <n v="177"/>
    <n v="4"/>
    <n v="10"/>
    <n v="194"/>
    <n v="25"/>
    <n v="396"/>
    <n v="15476"/>
  </r>
  <r>
    <x v="71"/>
    <s v="ITA"/>
    <x v="2"/>
    <x v="2"/>
    <n v="4649933453"/>
    <n v="1135662422"/>
    <n v="99"/>
    <n v="11"/>
    <n v="110"/>
    <n v="502"/>
    <n v="612"/>
    <n v="-24"/>
    <n v="1"/>
    <n v="1644"/>
    <n v="286"/>
    <n v="2542"/>
    <n v="45264"/>
  </r>
  <r>
    <x v="71"/>
    <s v="ITA"/>
    <x v="3"/>
    <x v="3"/>
    <n v="3890597598"/>
    <n v="1659440194"/>
    <n v="92"/>
    <n v="4"/>
    <n v="96"/>
    <n v="554"/>
    <n v="650"/>
    <n v="-24"/>
    <n v="1"/>
    <n v="381"/>
    <n v="88"/>
    <n v="1119"/>
    <n v="40509"/>
  </r>
  <r>
    <x v="71"/>
    <s v="ITA"/>
    <x v="4"/>
    <x v="4"/>
    <n v="4083956555"/>
    <n v="1425084984"/>
    <n v="408"/>
    <n v="25"/>
    <n v="433"/>
    <n v="2097"/>
    <n v="2530"/>
    <n v="-181"/>
    <n v="20"/>
    <n v="1619"/>
    <n v="369"/>
    <n v="4518"/>
    <n v="93068"/>
  </r>
  <r>
    <x v="71"/>
    <s v="ITA"/>
    <x v="5"/>
    <x v="5"/>
    <n v="4449436681"/>
    <n v="113417208"/>
    <n v="1917"/>
    <n v="191"/>
    <n v="2108"/>
    <n v="6573"/>
    <n v="8681"/>
    <n v="-303"/>
    <n v="100"/>
    <n v="13889"/>
    <n v="3705"/>
    <n v="26275"/>
    <n v="206166"/>
  </r>
  <r>
    <x v="71"/>
    <s v="ITA"/>
    <x v="6"/>
    <x v="6"/>
    <n v="456494354"/>
    <n v="1376813649"/>
    <n v="120"/>
    <n v="4"/>
    <n v="124"/>
    <n v="860"/>
    <n v="984"/>
    <n v="-66"/>
    <n v="9"/>
    <n v="1798"/>
    <n v="303"/>
    <n v="3085"/>
    <n v="78510"/>
  </r>
  <r>
    <x v="71"/>
    <s v="ITA"/>
    <x v="7"/>
    <x v="7"/>
    <n v="4189277044"/>
    <n v="1248366722"/>
    <n v="1315"/>
    <n v="91"/>
    <n v="1406"/>
    <n v="2964"/>
    <n v="4370"/>
    <n v="-15"/>
    <n v="67"/>
    <n v="2010"/>
    <n v="534"/>
    <n v="6914"/>
    <n v="157307"/>
  </r>
  <r>
    <x v="71"/>
    <s v="ITA"/>
    <x v="8"/>
    <x v="8"/>
    <n v="4441149315"/>
    <n v="89326992"/>
    <n v="583"/>
    <n v="68"/>
    <n v="651"/>
    <n v="2776"/>
    <n v="3427"/>
    <n v="-81"/>
    <n v="63"/>
    <n v="3816"/>
    <n v="1232"/>
    <n v="8475"/>
    <n v="57622"/>
  </r>
  <r>
    <x v="71"/>
    <s v="ITA"/>
    <x v="9"/>
    <x v="9"/>
    <n v="4546679409"/>
    <n v="9190347404"/>
    <n v="6201"/>
    <n v="509"/>
    <n v="6710"/>
    <n v="30382"/>
    <n v="37092"/>
    <n v="-215"/>
    <n v="500"/>
    <n v="27124"/>
    <n v="14389"/>
    <n v="78605"/>
    <n v="425290"/>
  </r>
  <r>
    <x v="71"/>
    <s v="ITA"/>
    <x v="10"/>
    <x v="10"/>
    <n v="4361675973"/>
    <n v="135188753"/>
    <n v="387"/>
    <n v="42"/>
    <n v="429"/>
    <n v="2790"/>
    <n v="3219"/>
    <n v="13"/>
    <n v="29"/>
    <n v="2237"/>
    <n v="936"/>
    <n v="6392"/>
    <n v="67256"/>
  </r>
  <r>
    <x v="71"/>
    <s v="ITA"/>
    <x v="11"/>
    <x v="11"/>
    <n v="4155774754"/>
    <n v="1465916051"/>
    <n v="9"/>
    <n v="1"/>
    <n v="10"/>
    <n v="167"/>
    <n v="177"/>
    <n v="-1"/>
    <n v="0"/>
    <n v="102"/>
    <n v="22"/>
    <n v="301"/>
    <n v="7528"/>
  </r>
  <r>
    <x v="71"/>
    <s v="ITA"/>
    <x v="12"/>
    <x v="12"/>
    <n v="450732745"/>
    <n v="7680687483"/>
    <n v="2307"/>
    <n v="155"/>
    <n v="2462"/>
    <n v="12861"/>
    <n v="15323"/>
    <n v="-239"/>
    <n v="152"/>
    <n v="9235"/>
    <n v="3216"/>
    <n v="27774"/>
    <n v="181316"/>
  </r>
  <r>
    <x v="71"/>
    <s v="ITA"/>
    <x v="13"/>
    <x v="13"/>
    <n v="4112559576"/>
    <n v="1686736689"/>
    <n v="384"/>
    <n v="39"/>
    <n v="423"/>
    <n v="2516"/>
    <n v="2939"/>
    <n v="-6"/>
    <n v="17"/>
    <n v="798"/>
    <n v="433"/>
    <n v="4170"/>
    <n v="69128"/>
  </r>
  <r>
    <x v="71"/>
    <s v="ITA"/>
    <x v="14"/>
    <x v="14"/>
    <n v="3921531192"/>
    <n v="9110616306"/>
    <n v="94"/>
    <n v="9"/>
    <n v="103"/>
    <n v="539"/>
    <n v="642"/>
    <n v="-11"/>
    <n v="1"/>
    <n v="557"/>
    <n v="119"/>
    <n v="1318"/>
    <n v="28867"/>
  </r>
  <r>
    <x v="71"/>
    <s v="ITA"/>
    <x v="15"/>
    <x v="15"/>
    <n v="3811569725"/>
    <n v="133623567"/>
    <n v="367"/>
    <n v="26"/>
    <n v="393"/>
    <n v="1809"/>
    <n v="2202"/>
    <n v="0"/>
    <n v="12"/>
    <n v="818"/>
    <n v="247"/>
    <n v="3267"/>
    <n v="91306"/>
  </r>
  <r>
    <x v="71"/>
    <s v="ITA"/>
    <x v="16"/>
    <x v="16"/>
    <n v="4376923077"/>
    <n v="1125588885"/>
    <n v="484"/>
    <n v="111"/>
    <n v="595"/>
    <n v="4595"/>
    <n v="5190"/>
    <n v="-89"/>
    <n v="30"/>
    <n v="3552"/>
    <n v="889"/>
    <n v="9631"/>
    <n v="157260"/>
  </r>
  <r>
    <x v="71"/>
    <s v="ITA"/>
    <x v="2"/>
    <x v="17"/>
    <n v="4606893511"/>
    <n v="1112123097"/>
    <n v="126"/>
    <n v="15"/>
    <n v="141"/>
    <n v="900"/>
    <n v="1041"/>
    <n v="-124"/>
    <n v="3"/>
    <n v="2787"/>
    <n v="433"/>
    <n v="4261"/>
    <n v="42870"/>
  </r>
  <r>
    <x v="71"/>
    <s v="ITA"/>
    <x v="17"/>
    <x v="18"/>
    <n v="4310675841"/>
    <n v="1238824698"/>
    <n v="56"/>
    <n v="11"/>
    <n v="67"/>
    <n v="109"/>
    <n v="176"/>
    <n v="-5"/>
    <n v="6"/>
    <n v="1154"/>
    <n v="70"/>
    <n v="1400"/>
    <n v="39998"/>
  </r>
  <r>
    <x v="71"/>
    <s v="ITA"/>
    <x v="18"/>
    <x v="19"/>
    <n v="4573750286"/>
    <n v="7320149366"/>
    <n v="56"/>
    <n v="3"/>
    <n v="59"/>
    <n v="51"/>
    <n v="110"/>
    <n v="0"/>
    <n v="0"/>
    <n v="894"/>
    <n v="139"/>
    <n v="1143"/>
    <n v="8484"/>
  </r>
  <r>
    <x v="71"/>
    <s v="ITA"/>
    <x v="19"/>
    <x v="20"/>
    <n v="4543490485"/>
    <n v="1233845213"/>
    <n v="926"/>
    <n v="98"/>
    <n v="1024"/>
    <n v="6092"/>
    <n v="7116"/>
    <n v="-118"/>
    <n v="29"/>
    <n v="9741"/>
    <n v="1545"/>
    <n v="18402"/>
    <n v="390952"/>
  </r>
  <r>
    <x v="72"/>
    <s v="ITA"/>
    <x v="0"/>
    <x v="0"/>
    <n v="4235122196"/>
    <n v="1339843823"/>
    <n v="285"/>
    <n v="11"/>
    <n v="296"/>
    <n v="1495"/>
    <n v="1791"/>
    <n v="-18"/>
    <n v="22"/>
    <n v="915"/>
    <n v="341"/>
    <n v="3047"/>
    <n v="43803"/>
  </r>
  <r>
    <x v="72"/>
    <s v="ITA"/>
    <x v="1"/>
    <x v="1"/>
    <n v="4063947052"/>
    <n v="1580514834"/>
    <n v="47"/>
    <n v="3"/>
    <n v="50"/>
    <n v="122"/>
    <n v="172"/>
    <n v="-5"/>
    <n v="3"/>
    <n v="202"/>
    <n v="25"/>
    <n v="399"/>
    <n v="16103"/>
  </r>
  <r>
    <x v="72"/>
    <s v="ITA"/>
    <x v="2"/>
    <x v="2"/>
    <n v="4649933453"/>
    <n v="1135662422"/>
    <n v="99"/>
    <n v="11"/>
    <n v="110"/>
    <n v="469"/>
    <n v="579"/>
    <n v="-33"/>
    <n v="1"/>
    <n v="1678"/>
    <n v="286"/>
    <n v="2543"/>
    <n v="46228"/>
  </r>
  <r>
    <x v="72"/>
    <s v="ITA"/>
    <x v="3"/>
    <x v="3"/>
    <n v="3890597598"/>
    <n v="1659440194"/>
    <n v="87"/>
    <n v="3"/>
    <n v="90"/>
    <n v="554"/>
    <n v="644"/>
    <n v="-6"/>
    <n v="3"/>
    <n v="389"/>
    <n v="89"/>
    <n v="1122"/>
    <n v="41828"/>
  </r>
  <r>
    <x v="72"/>
    <s v="ITA"/>
    <x v="4"/>
    <x v="4"/>
    <n v="4083956555"/>
    <n v="1425084984"/>
    <n v="433"/>
    <n v="25"/>
    <n v="458"/>
    <n v="1882"/>
    <n v="2340"/>
    <n v="-190"/>
    <n v="14"/>
    <n v="1816"/>
    <n v="376"/>
    <n v="4532"/>
    <n v="96548"/>
  </r>
  <r>
    <x v="72"/>
    <s v="ITA"/>
    <x v="5"/>
    <x v="5"/>
    <n v="4449436681"/>
    <n v="113417208"/>
    <n v="1816"/>
    <n v="176"/>
    <n v="1992"/>
    <n v="6399"/>
    <n v="8391"/>
    <n v="-290"/>
    <n v="104"/>
    <n v="14251"/>
    <n v="3737"/>
    <n v="26379"/>
    <n v="211652"/>
  </r>
  <r>
    <x v="72"/>
    <s v="ITA"/>
    <x v="6"/>
    <x v="6"/>
    <n v="456494354"/>
    <n v="1376813649"/>
    <n v="115"/>
    <n v="3"/>
    <n v="118"/>
    <n v="844"/>
    <n v="962"/>
    <n v="-22"/>
    <n v="9"/>
    <n v="1826"/>
    <n v="306"/>
    <n v="3094"/>
    <n v="79429"/>
  </r>
  <r>
    <x v="72"/>
    <s v="ITA"/>
    <x v="7"/>
    <x v="7"/>
    <n v="4189277044"/>
    <n v="1248366722"/>
    <n v="1351"/>
    <n v="91"/>
    <n v="1442"/>
    <n v="2991"/>
    <n v="4433"/>
    <n v="63"/>
    <n v="81"/>
    <n v="2024"/>
    <n v="538"/>
    <n v="6995"/>
    <n v="160894"/>
  </r>
  <r>
    <x v="72"/>
    <s v="ITA"/>
    <x v="8"/>
    <x v="8"/>
    <n v="4441149315"/>
    <n v="89326992"/>
    <n v="548"/>
    <n v="59"/>
    <n v="607"/>
    <n v="2699"/>
    <n v="3306"/>
    <n v="-121"/>
    <n v="76"/>
    <n v="4002"/>
    <n v="1243"/>
    <n v="8551"/>
    <n v="59693"/>
  </r>
  <r>
    <x v="72"/>
    <s v="ITA"/>
    <x v="9"/>
    <x v="9"/>
    <n v="4546679409"/>
    <n v="9190347404"/>
    <n v="6079"/>
    <n v="480"/>
    <n v="6559"/>
    <n v="25194"/>
    <n v="31753"/>
    <n v="-5339"/>
    <n v="764"/>
    <n v="33005"/>
    <n v="14611"/>
    <n v="79369"/>
    <n v="439806"/>
  </r>
  <r>
    <x v="72"/>
    <s v="ITA"/>
    <x v="10"/>
    <x v="10"/>
    <n v="4361675973"/>
    <n v="135188753"/>
    <n v="353"/>
    <n v="42"/>
    <n v="395"/>
    <n v="2841"/>
    <n v="3236"/>
    <n v="17"/>
    <n v="29"/>
    <n v="2242"/>
    <n v="943"/>
    <n v="6421"/>
    <n v="69037"/>
  </r>
  <r>
    <x v="72"/>
    <s v="ITA"/>
    <x v="11"/>
    <x v="11"/>
    <n v="4155774754"/>
    <n v="1465916051"/>
    <n v="9"/>
    <n v="0"/>
    <n v="9"/>
    <n v="170"/>
    <n v="179"/>
    <n v="2"/>
    <n v="3"/>
    <n v="103"/>
    <n v="22"/>
    <n v="304"/>
    <n v="7896"/>
  </r>
  <r>
    <x v="72"/>
    <s v="ITA"/>
    <x v="12"/>
    <x v="12"/>
    <n v="450732745"/>
    <n v="7680687483"/>
    <n v="2147"/>
    <n v="150"/>
    <n v="2297"/>
    <n v="12561"/>
    <n v="14858"/>
    <n v="-465"/>
    <n v="165"/>
    <n v="9834"/>
    <n v="3247"/>
    <n v="27939"/>
    <n v="188057"/>
  </r>
  <r>
    <x v="72"/>
    <s v="ITA"/>
    <x v="13"/>
    <x v="13"/>
    <n v="4112559576"/>
    <n v="1686736689"/>
    <n v="365"/>
    <n v="36"/>
    <n v="401"/>
    <n v="2502"/>
    <n v="2903"/>
    <n v="-36"/>
    <n v="26"/>
    <n v="855"/>
    <n v="438"/>
    <n v="4196"/>
    <n v="70944"/>
  </r>
  <r>
    <x v="72"/>
    <s v="ITA"/>
    <x v="14"/>
    <x v="14"/>
    <n v="3921531192"/>
    <n v="9110616306"/>
    <n v="91"/>
    <n v="11"/>
    <n v="102"/>
    <n v="521"/>
    <n v="623"/>
    <n v="-19"/>
    <n v="1"/>
    <n v="577"/>
    <n v="119"/>
    <n v="1319"/>
    <n v="29966"/>
  </r>
  <r>
    <x v="72"/>
    <s v="ITA"/>
    <x v="15"/>
    <x v="15"/>
    <n v="3811569725"/>
    <n v="133623567"/>
    <n v="359"/>
    <n v="25"/>
    <n v="384"/>
    <n v="1817"/>
    <n v="2201"/>
    <n v="-1"/>
    <n v="14"/>
    <n v="830"/>
    <n v="250"/>
    <n v="3281"/>
    <n v="92999"/>
  </r>
  <r>
    <x v="72"/>
    <s v="ITA"/>
    <x v="16"/>
    <x v="16"/>
    <n v="4376923077"/>
    <n v="1125588885"/>
    <n v="462"/>
    <n v="92"/>
    <n v="554"/>
    <n v="4534"/>
    <n v="5088"/>
    <n v="-102"/>
    <n v="26"/>
    <n v="3670"/>
    <n v="899"/>
    <n v="9657"/>
    <n v="161553"/>
  </r>
  <r>
    <x v="72"/>
    <s v="ITA"/>
    <x v="2"/>
    <x v="17"/>
    <n v="4606893511"/>
    <n v="1112123097"/>
    <n v="116"/>
    <n v="13"/>
    <n v="129"/>
    <n v="853"/>
    <n v="982"/>
    <n v="-59"/>
    <n v="19"/>
    <n v="2861"/>
    <n v="437"/>
    <n v="4280"/>
    <n v="44719"/>
  </r>
  <r>
    <x v="72"/>
    <s v="ITA"/>
    <x v="17"/>
    <x v="18"/>
    <n v="4310675841"/>
    <n v="1238824698"/>
    <n v="55"/>
    <n v="9"/>
    <n v="64"/>
    <n v="107"/>
    <n v="171"/>
    <n v="-5"/>
    <n v="4"/>
    <n v="1163"/>
    <n v="70"/>
    <n v="1404"/>
    <n v="41328"/>
  </r>
  <r>
    <x v="72"/>
    <s v="ITA"/>
    <x v="18"/>
    <x v="19"/>
    <n v="4573750286"/>
    <n v="7320149366"/>
    <n v="50"/>
    <n v="3"/>
    <n v="53"/>
    <n v="74"/>
    <n v="127"/>
    <n v="17"/>
    <n v="3"/>
    <n v="880"/>
    <n v="139"/>
    <n v="1146"/>
    <n v="8640"/>
  </r>
  <r>
    <x v="72"/>
    <s v="ITA"/>
    <x v="19"/>
    <x v="20"/>
    <n v="4543490485"/>
    <n v="1233845213"/>
    <n v="902"/>
    <n v="90"/>
    <n v="992"/>
    <n v="5797"/>
    <n v="6789"/>
    <n v="-327"/>
    <n v="77"/>
    <n v="10122"/>
    <n v="1568"/>
    <n v="18479"/>
    <n v="399806"/>
  </r>
  <r>
    <x v="73"/>
    <s v="ITA"/>
    <x v="0"/>
    <x v="0"/>
    <n v="4235122196"/>
    <n v="1339843823"/>
    <n v="263"/>
    <n v="12"/>
    <n v="275"/>
    <n v="1495"/>
    <n v="1770"/>
    <n v="-21"/>
    <n v="25"/>
    <n v="954"/>
    <n v="348"/>
    <n v="3072"/>
    <n v="45021"/>
  </r>
  <r>
    <x v="73"/>
    <s v="ITA"/>
    <x v="1"/>
    <x v="1"/>
    <n v="4063947052"/>
    <n v="1580514834"/>
    <n v="48"/>
    <n v="2"/>
    <n v="50"/>
    <n v="105"/>
    <n v="155"/>
    <n v="-17"/>
    <n v="-16"/>
    <n v="202"/>
    <n v="26"/>
    <n v="383"/>
    <n v="16272"/>
  </r>
  <r>
    <x v="73"/>
    <s v="ITA"/>
    <x v="2"/>
    <x v="2"/>
    <n v="4649933453"/>
    <n v="1135662422"/>
    <n v="87"/>
    <n v="11"/>
    <n v="98"/>
    <n v="453"/>
    <n v="551"/>
    <n v="-28"/>
    <n v="9"/>
    <n v="1715"/>
    <n v="286"/>
    <n v="2552"/>
    <n v="47091"/>
  </r>
  <r>
    <x v="73"/>
    <s v="ITA"/>
    <x v="3"/>
    <x v="3"/>
    <n v="3890597598"/>
    <n v="1659440194"/>
    <n v="81"/>
    <n v="2"/>
    <n v="83"/>
    <n v="550"/>
    <n v="633"/>
    <n v="-11"/>
    <n v="3"/>
    <n v="403"/>
    <n v="89"/>
    <n v="1125"/>
    <n v="42854"/>
  </r>
  <r>
    <x v="73"/>
    <s v="ITA"/>
    <x v="4"/>
    <x v="4"/>
    <n v="4083956555"/>
    <n v="1425084984"/>
    <n v="415"/>
    <n v="27"/>
    <n v="442"/>
    <n v="1697"/>
    <n v="2139"/>
    <n v="-201"/>
    <n v="9"/>
    <n v="2023"/>
    <n v="379"/>
    <n v="4541"/>
    <n v="101025"/>
  </r>
  <r>
    <x v="73"/>
    <s v="ITA"/>
    <x v="5"/>
    <x v="5"/>
    <n v="4449436681"/>
    <n v="113417208"/>
    <n v="1726"/>
    <n v="173"/>
    <n v="1899"/>
    <n v="6112"/>
    <n v="8011"/>
    <n v="-380"/>
    <n v="108"/>
    <n v="14710"/>
    <n v="3766"/>
    <n v="26487"/>
    <n v="217039"/>
  </r>
  <r>
    <x v="73"/>
    <s v="ITA"/>
    <x v="6"/>
    <x v="6"/>
    <n v="456494354"/>
    <n v="1376813649"/>
    <n v="109"/>
    <n v="2"/>
    <n v="111"/>
    <n v="816"/>
    <n v="927"/>
    <n v="-35"/>
    <n v="13"/>
    <n v="1872"/>
    <n v="308"/>
    <n v="3107"/>
    <n v="82012"/>
  </r>
  <r>
    <x v="73"/>
    <s v="ITA"/>
    <x v="7"/>
    <x v="7"/>
    <n v="4189277044"/>
    <n v="1248366722"/>
    <n v="1291"/>
    <n v="89"/>
    <n v="1380"/>
    <n v="2968"/>
    <n v="4348"/>
    <n v="-85"/>
    <n v="39"/>
    <n v="2143"/>
    <n v="543"/>
    <n v="7034"/>
    <n v="165340"/>
  </r>
  <r>
    <x v="73"/>
    <s v="ITA"/>
    <x v="8"/>
    <x v="8"/>
    <n v="4441149315"/>
    <n v="89326992"/>
    <n v="525"/>
    <n v="57"/>
    <n v="582"/>
    <n v="2666"/>
    <n v="3248"/>
    <n v="-58"/>
    <n v="94"/>
    <n v="4143"/>
    <n v="1254"/>
    <n v="8645"/>
    <n v="61446"/>
  </r>
  <r>
    <x v="73"/>
    <s v="ITA"/>
    <x v="9"/>
    <x v="9"/>
    <n v="4546679409"/>
    <n v="9190347404"/>
    <n v="5848"/>
    <n v="480"/>
    <n v="6328"/>
    <n v="25687"/>
    <n v="32015"/>
    <n v="262"/>
    <n v="720"/>
    <n v="33329"/>
    <n v="14745"/>
    <n v="80089"/>
    <n v="455294"/>
  </r>
  <r>
    <x v="73"/>
    <s v="ITA"/>
    <x v="10"/>
    <x v="10"/>
    <n v="4361675973"/>
    <n v="135188753"/>
    <n v="328"/>
    <n v="41"/>
    <n v="369"/>
    <n v="2878"/>
    <n v="3247"/>
    <n v="11"/>
    <n v="31"/>
    <n v="2257"/>
    <n v="948"/>
    <n v="6452"/>
    <n v="71017"/>
  </r>
  <r>
    <x v="73"/>
    <s v="ITA"/>
    <x v="11"/>
    <x v="11"/>
    <n v="4155774754"/>
    <n v="1465916051"/>
    <n v="8"/>
    <n v="0"/>
    <n v="8"/>
    <n v="162"/>
    <n v="170"/>
    <n v="-9"/>
    <n v="1"/>
    <n v="113"/>
    <n v="22"/>
    <n v="305"/>
    <n v="8237"/>
  </r>
  <r>
    <x v="73"/>
    <s v="ITA"/>
    <x v="12"/>
    <x v="12"/>
    <n v="450732745"/>
    <n v="7680687483"/>
    <n v="2147"/>
    <n v="150"/>
    <n v="2297"/>
    <n v="12172"/>
    <n v="14469"/>
    <n v="-389"/>
    <n v="196"/>
    <n v="10384"/>
    <n v="3282"/>
    <n v="28135"/>
    <n v="194584"/>
  </r>
  <r>
    <x v="73"/>
    <s v="ITA"/>
    <x v="13"/>
    <x v="13"/>
    <n v="4112559576"/>
    <n v="1686736689"/>
    <n v="355"/>
    <n v="35"/>
    <n v="390"/>
    <n v="2410"/>
    <n v="2800"/>
    <n v="-103"/>
    <n v="49"/>
    <n v="1004"/>
    <n v="441"/>
    <n v="4245"/>
    <n v="72796"/>
  </r>
  <r>
    <x v="73"/>
    <s v="ITA"/>
    <x v="14"/>
    <x v="14"/>
    <n v="3921531192"/>
    <n v="9110616306"/>
    <n v="90"/>
    <n v="9"/>
    <n v="99"/>
    <n v="484"/>
    <n v="583"/>
    <n v="-40"/>
    <n v="5"/>
    <n v="622"/>
    <n v="119"/>
    <n v="1324"/>
    <n v="31064"/>
  </r>
  <r>
    <x v="73"/>
    <s v="ITA"/>
    <x v="15"/>
    <x v="15"/>
    <n v="3811569725"/>
    <n v="133623567"/>
    <n v="349"/>
    <n v="21"/>
    <n v="370"/>
    <n v="1757"/>
    <n v="2127"/>
    <n v="-74"/>
    <n v="7"/>
    <n v="910"/>
    <n v="251"/>
    <n v="3288"/>
    <n v="95695"/>
  </r>
  <r>
    <x v="73"/>
    <s v="ITA"/>
    <x v="16"/>
    <x v="16"/>
    <n v="4376923077"/>
    <n v="1125588885"/>
    <n v="437"/>
    <n v="91"/>
    <n v="528"/>
    <n v="4188"/>
    <n v="4716"/>
    <n v="-372"/>
    <n v="26"/>
    <n v="4052"/>
    <n v="915"/>
    <n v="9683"/>
    <n v="166062"/>
  </r>
  <r>
    <x v="73"/>
    <s v="ITA"/>
    <x v="2"/>
    <x v="17"/>
    <n v="4606893511"/>
    <n v="1112123097"/>
    <n v="99"/>
    <n v="11"/>
    <n v="110"/>
    <n v="800"/>
    <n v="910"/>
    <n v="-72"/>
    <n v="3"/>
    <n v="2935"/>
    <n v="438"/>
    <n v="4283"/>
    <n v="46500"/>
  </r>
  <r>
    <x v="73"/>
    <s v="ITA"/>
    <x v="17"/>
    <x v="18"/>
    <n v="4310675841"/>
    <n v="1238824698"/>
    <n v="47"/>
    <n v="9"/>
    <n v="56"/>
    <n v="85"/>
    <n v="141"/>
    <n v="-30"/>
    <n v="1"/>
    <n v="1194"/>
    <n v="70"/>
    <n v="1405"/>
    <n v="42788"/>
  </r>
  <r>
    <x v="73"/>
    <s v="ITA"/>
    <x v="18"/>
    <x v="19"/>
    <n v="4573750286"/>
    <n v="7320149366"/>
    <n v="49"/>
    <n v="2"/>
    <n v="51"/>
    <n v="79"/>
    <n v="130"/>
    <n v="3"/>
    <n v="4"/>
    <n v="881"/>
    <n v="139"/>
    <n v="1150"/>
    <n v="8939"/>
  </r>
  <r>
    <x v="73"/>
    <s v="ITA"/>
    <x v="19"/>
    <x v="20"/>
    <n v="4543490485"/>
    <n v="1233845213"/>
    <n v="872"/>
    <n v="87"/>
    <n v="959"/>
    <n v="5575"/>
    <n v="6534"/>
    <n v="-255"/>
    <n v="74"/>
    <n v="10430"/>
    <n v="1589"/>
    <n v="18553"/>
    <n v="410212"/>
  </r>
  <r>
    <x v="74"/>
    <s v="ITA"/>
    <x v="0"/>
    <x v="0"/>
    <n v="4235122196"/>
    <n v="1339843823"/>
    <n v="250"/>
    <n v="10"/>
    <n v="260"/>
    <n v="1453"/>
    <n v="1713"/>
    <n v="-57"/>
    <n v="6"/>
    <n v="1014"/>
    <n v="351"/>
    <n v="3078"/>
    <n v="46103"/>
  </r>
  <r>
    <x v="74"/>
    <s v="ITA"/>
    <x v="1"/>
    <x v="1"/>
    <n v="4063947052"/>
    <n v="1580514834"/>
    <n v="48"/>
    <n v="2"/>
    <n v="50"/>
    <n v="102"/>
    <n v="152"/>
    <n v="-3"/>
    <n v="-1"/>
    <n v="204"/>
    <n v="26"/>
    <n v="382"/>
    <n v="16777"/>
  </r>
  <r>
    <x v="74"/>
    <s v="ITA"/>
    <x v="2"/>
    <x v="2"/>
    <n v="4649933453"/>
    <n v="1135662422"/>
    <n v="78"/>
    <n v="9"/>
    <n v="87"/>
    <n v="415"/>
    <n v="502"/>
    <n v="-49"/>
    <n v="6"/>
    <n v="1767"/>
    <n v="289"/>
    <n v="2558"/>
    <n v="47908"/>
  </r>
  <r>
    <x v="74"/>
    <s v="ITA"/>
    <x v="3"/>
    <x v="3"/>
    <n v="3890597598"/>
    <n v="1659440194"/>
    <n v="73"/>
    <n v="2"/>
    <n v="75"/>
    <n v="544"/>
    <n v="619"/>
    <n v="-14"/>
    <n v="1"/>
    <n v="417"/>
    <n v="90"/>
    <n v="1126"/>
    <n v="43980"/>
  </r>
  <r>
    <x v="74"/>
    <s v="ITA"/>
    <x v="4"/>
    <x v="4"/>
    <n v="4083956555"/>
    <n v="1425084984"/>
    <n v="418"/>
    <n v="28"/>
    <n v="446"/>
    <n v="1566"/>
    <n v="2012"/>
    <n v="-127"/>
    <n v="21"/>
    <n v="2164"/>
    <n v="386"/>
    <n v="4562"/>
    <n v="105399"/>
  </r>
  <r>
    <x v="74"/>
    <s v="ITA"/>
    <x v="5"/>
    <x v="5"/>
    <n v="4449436681"/>
    <n v="113417208"/>
    <n v="1680"/>
    <n v="163"/>
    <n v="1843"/>
    <n v="5887"/>
    <n v="7730"/>
    <n v="-281"/>
    <n v="111"/>
    <n v="15071"/>
    <n v="3797"/>
    <n v="26598"/>
    <n v="221866"/>
  </r>
  <r>
    <x v="74"/>
    <s v="ITA"/>
    <x v="6"/>
    <x v="6"/>
    <n v="456494354"/>
    <n v="1376813649"/>
    <n v="105"/>
    <n v="2"/>
    <n v="107"/>
    <n v="804"/>
    <n v="911"/>
    <n v="-16"/>
    <n v="9"/>
    <n v="1897"/>
    <n v="308"/>
    <n v="3116"/>
    <n v="82902"/>
  </r>
  <r>
    <x v="74"/>
    <s v="ITA"/>
    <x v="7"/>
    <x v="7"/>
    <n v="4189277044"/>
    <n v="1248366722"/>
    <n v="1278"/>
    <n v="84"/>
    <n v="1362"/>
    <n v="2966"/>
    <n v="4328"/>
    <n v="-20"/>
    <n v="52"/>
    <n v="2209"/>
    <n v="549"/>
    <n v="7086"/>
    <n v="169499"/>
  </r>
  <r>
    <x v="74"/>
    <s v="ITA"/>
    <x v="8"/>
    <x v="8"/>
    <n v="4441149315"/>
    <n v="89326992"/>
    <n v="517"/>
    <n v="46"/>
    <n v="563"/>
    <n v="2613"/>
    <n v="3176"/>
    <n v="-72"/>
    <n v="78"/>
    <n v="4282"/>
    <n v="1265"/>
    <n v="8723"/>
    <n v="63531"/>
  </r>
  <r>
    <x v="74"/>
    <s v="ITA"/>
    <x v="9"/>
    <x v="9"/>
    <n v="4546679409"/>
    <n v="9190347404"/>
    <n v="5702"/>
    <n v="400"/>
    <n v="6102"/>
    <n v="25881"/>
    <n v="31983"/>
    <n v="-32"/>
    <n v="634"/>
    <n v="33901"/>
    <n v="14839"/>
    <n v="80723"/>
    <n v="466287"/>
  </r>
  <r>
    <x v="74"/>
    <s v="ITA"/>
    <x v="10"/>
    <x v="10"/>
    <n v="4361675973"/>
    <n v="135188753"/>
    <n v="303"/>
    <n v="38"/>
    <n v="341"/>
    <n v="2897"/>
    <n v="3238"/>
    <n v="-9"/>
    <n v="18"/>
    <n v="2278"/>
    <n v="954"/>
    <n v="6470"/>
    <n v="72504"/>
  </r>
  <r>
    <x v="74"/>
    <s v="ITA"/>
    <x v="11"/>
    <x v="11"/>
    <n v="4155774754"/>
    <n v="1465916051"/>
    <n v="6"/>
    <n v="0"/>
    <n v="6"/>
    <n v="178"/>
    <n v="184"/>
    <n v="14"/>
    <n v="22"/>
    <n v="121"/>
    <n v="22"/>
    <n v="327"/>
    <n v="8502"/>
  </r>
  <r>
    <x v="74"/>
    <s v="ITA"/>
    <x v="12"/>
    <x v="12"/>
    <n v="450732745"/>
    <n v="7680687483"/>
    <n v="2013"/>
    <n v="140"/>
    <n v="2153"/>
    <n v="11954"/>
    <n v="14107"/>
    <n v="-362"/>
    <n v="233"/>
    <n v="10956"/>
    <n v="3305"/>
    <n v="28368"/>
    <n v="201183"/>
  </r>
  <r>
    <x v="74"/>
    <s v="ITA"/>
    <x v="13"/>
    <x v="13"/>
    <n v="4112559576"/>
    <n v="1686736689"/>
    <n v="349"/>
    <n v="33"/>
    <n v="382"/>
    <n v="2351"/>
    <n v="2733"/>
    <n v="-67"/>
    <n v="11"/>
    <n v="1080"/>
    <n v="443"/>
    <n v="4256"/>
    <n v="74724"/>
  </r>
  <r>
    <x v="74"/>
    <s v="ITA"/>
    <x v="14"/>
    <x v="14"/>
    <n v="3921531192"/>
    <n v="9110616306"/>
    <n v="90"/>
    <n v="10"/>
    <n v="100"/>
    <n v="453"/>
    <n v="553"/>
    <n v="-30"/>
    <n v="6"/>
    <n v="658"/>
    <n v="119"/>
    <n v="1330"/>
    <n v="32219"/>
  </r>
  <r>
    <x v="74"/>
    <s v="ITA"/>
    <x v="15"/>
    <x v="15"/>
    <n v="3811569725"/>
    <n v="133623567"/>
    <n v="310"/>
    <n v="19"/>
    <n v="329"/>
    <n v="1798"/>
    <n v="2127"/>
    <n v="0"/>
    <n v="13"/>
    <n v="921"/>
    <n v="253"/>
    <n v="3301"/>
    <n v="98711"/>
  </r>
  <r>
    <x v="74"/>
    <s v="ITA"/>
    <x v="16"/>
    <x v="16"/>
    <n v="4376923077"/>
    <n v="1125588885"/>
    <n v="399"/>
    <n v="84"/>
    <n v="483"/>
    <n v="4109"/>
    <n v="4592"/>
    <n v="-124"/>
    <n v="38"/>
    <n v="4199"/>
    <n v="930"/>
    <n v="9721"/>
    <n v="170296"/>
  </r>
  <r>
    <x v="74"/>
    <s v="ITA"/>
    <x v="2"/>
    <x v="17"/>
    <n v="4606893511"/>
    <n v="1112123097"/>
    <n v="94"/>
    <n v="11"/>
    <n v="105"/>
    <n v="767"/>
    <n v="872"/>
    <n v="-38"/>
    <n v="2"/>
    <n v="2975"/>
    <n v="438"/>
    <n v="4285"/>
    <n v="48220"/>
  </r>
  <r>
    <x v="74"/>
    <s v="ITA"/>
    <x v="17"/>
    <x v="18"/>
    <n v="4310675841"/>
    <n v="1238824698"/>
    <n v="47"/>
    <n v="6"/>
    <n v="53"/>
    <n v="66"/>
    <n v="119"/>
    <n v="-22"/>
    <n v="1"/>
    <n v="1216"/>
    <n v="71"/>
    <n v="1406"/>
    <n v="44223"/>
  </r>
  <r>
    <x v="74"/>
    <s v="ITA"/>
    <x v="18"/>
    <x v="19"/>
    <n v="4573750286"/>
    <n v="7320149366"/>
    <n v="45"/>
    <n v="2"/>
    <n v="47"/>
    <n v="76"/>
    <n v="123"/>
    <n v="-7"/>
    <n v="1"/>
    <n v="889"/>
    <n v="139"/>
    <n v="1151"/>
    <n v="9280"/>
  </r>
  <r>
    <x v="74"/>
    <s v="ITA"/>
    <x v="19"/>
    <x v="20"/>
    <n v="4543490485"/>
    <n v="1233845213"/>
    <n v="831"/>
    <n v="79"/>
    <n v="910"/>
    <n v="5277"/>
    <n v="6187"/>
    <n v="-347"/>
    <n v="65"/>
    <n v="10804"/>
    <n v="1627"/>
    <n v="18618"/>
    <n v="420949"/>
  </r>
  <r>
    <x v="75"/>
    <s v="ITA"/>
    <x v="0"/>
    <x v="0"/>
    <n v="4235122196"/>
    <n v="1339843823"/>
    <n v="246"/>
    <n v="10"/>
    <n v="256"/>
    <n v="1420"/>
    <n v="1676"/>
    <n v="-37"/>
    <n v="8"/>
    <n v="1055"/>
    <n v="355"/>
    <n v="3086"/>
    <n v="47190"/>
  </r>
  <r>
    <x v="75"/>
    <s v="ITA"/>
    <x v="1"/>
    <x v="1"/>
    <n v="4063947052"/>
    <n v="1580514834"/>
    <n v="45"/>
    <n v="1"/>
    <n v="46"/>
    <n v="99"/>
    <n v="145"/>
    <n v="-7"/>
    <n v="0"/>
    <n v="210"/>
    <n v="27"/>
    <n v="382"/>
    <n v="17433"/>
  </r>
  <r>
    <x v="75"/>
    <s v="ITA"/>
    <x v="2"/>
    <x v="2"/>
    <n v="4649933453"/>
    <n v="1135662422"/>
    <n v="55"/>
    <n v="9"/>
    <n v="64"/>
    <n v="409"/>
    <n v="473"/>
    <n v="-29"/>
    <n v="9"/>
    <n v="1804"/>
    <n v="290"/>
    <n v="2567"/>
    <n v="48858"/>
  </r>
  <r>
    <x v="75"/>
    <s v="ITA"/>
    <x v="3"/>
    <x v="3"/>
    <n v="3890597598"/>
    <n v="1659440194"/>
    <n v="68"/>
    <n v="2"/>
    <n v="70"/>
    <n v="542"/>
    <n v="612"/>
    <n v="-7"/>
    <n v="3"/>
    <n v="427"/>
    <n v="90"/>
    <n v="1129"/>
    <n v="45071"/>
  </r>
  <r>
    <x v="75"/>
    <s v="ITA"/>
    <x v="4"/>
    <x v="4"/>
    <n v="4083956555"/>
    <n v="1425084984"/>
    <n v="415"/>
    <n v="26"/>
    <n v="441"/>
    <n v="1524"/>
    <n v="1965"/>
    <n v="-47"/>
    <n v="14"/>
    <n v="2223"/>
    <n v="388"/>
    <n v="4576"/>
    <n v="110811"/>
  </r>
  <r>
    <x v="75"/>
    <s v="ITA"/>
    <x v="5"/>
    <x v="5"/>
    <n v="4449436681"/>
    <n v="113417208"/>
    <n v="1604"/>
    <n v="155"/>
    <n v="1759"/>
    <n v="5642"/>
    <n v="7401"/>
    <n v="-329"/>
    <n v="121"/>
    <n v="15491"/>
    <n v="3827"/>
    <n v="26719"/>
    <n v="227366"/>
  </r>
  <r>
    <x v="75"/>
    <s v="ITA"/>
    <x v="6"/>
    <x v="6"/>
    <n v="456494354"/>
    <n v="1376813649"/>
    <n v="101"/>
    <n v="3"/>
    <n v="104"/>
    <n v="765"/>
    <n v="869"/>
    <n v="-42"/>
    <n v="8"/>
    <n v="1947"/>
    <n v="308"/>
    <n v="3124"/>
    <n v="88384"/>
  </r>
  <r>
    <x v="75"/>
    <s v="ITA"/>
    <x v="7"/>
    <x v="7"/>
    <n v="4189277044"/>
    <n v="1248366722"/>
    <n v="1277"/>
    <n v="82"/>
    <n v="1359"/>
    <n v="2986"/>
    <n v="4345"/>
    <n v="17"/>
    <n v="47"/>
    <n v="2235"/>
    <n v="553"/>
    <n v="7133"/>
    <n v="174448"/>
  </r>
  <r>
    <x v="75"/>
    <s v="ITA"/>
    <x v="8"/>
    <x v="8"/>
    <n v="4441149315"/>
    <n v="89326992"/>
    <n v="501"/>
    <n v="42"/>
    <n v="543"/>
    <n v="2439"/>
    <n v="2982"/>
    <n v="-194"/>
    <n v="15"/>
    <n v="4480"/>
    <n v="1276"/>
    <n v="8738"/>
    <n v="64926"/>
  </r>
  <r>
    <x v="75"/>
    <s v="ITA"/>
    <x v="9"/>
    <x v="9"/>
    <n v="4546679409"/>
    <n v="9190347404"/>
    <n v="5535"/>
    <n v="330"/>
    <n v="5865"/>
    <n v="24397"/>
    <n v="30262"/>
    <n v="-1721"/>
    <n v="502"/>
    <n v="36039"/>
    <n v="14924"/>
    <n v="81225"/>
    <n v="477765"/>
  </r>
  <r>
    <x v="75"/>
    <s v="ITA"/>
    <x v="10"/>
    <x v="10"/>
    <n v="4361675973"/>
    <n v="135188753"/>
    <n v="285"/>
    <n v="32"/>
    <n v="317"/>
    <n v="2913"/>
    <n v="3230"/>
    <n v="-8"/>
    <n v="23"/>
    <n v="2305"/>
    <n v="958"/>
    <n v="6493"/>
    <n v="73965"/>
  </r>
  <r>
    <x v="75"/>
    <s v="ITA"/>
    <x v="11"/>
    <x v="11"/>
    <n v="4155774754"/>
    <n v="1465916051"/>
    <n v="8"/>
    <n v="0"/>
    <n v="8"/>
    <n v="197"/>
    <n v="205"/>
    <n v="21"/>
    <n v="20"/>
    <n v="120"/>
    <n v="22"/>
    <n v="347"/>
    <n v="8691"/>
  </r>
  <r>
    <x v="75"/>
    <s v="ITA"/>
    <x v="12"/>
    <x v="12"/>
    <n v="450732745"/>
    <n v="7680687483"/>
    <n v="2010"/>
    <n v="143"/>
    <n v="2153"/>
    <n v="11781"/>
    <n v="13934"/>
    <n v="-173"/>
    <n v="181"/>
    <n v="11284"/>
    <n v="3331"/>
    <n v="28549"/>
    <n v="205800"/>
  </r>
  <r>
    <x v="75"/>
    <s v="ITA"/>
    <x v="13"/>
    <x v="13"/>
    <n v="4112559576"/>
    <n v="1686736689"/>
    <n v="344"/>
    <n v="33"/>
    <n v="377"/>
    <n v="2352"/>
    <n v="2729"/>
    <n v="-4"/>
    <n v="30"/>
    <n v="1114"/>
    <n v="443"/>
    <n v="4286"/>
    <n v="76643"/>
  </r>
  <r>
    <x v="75"/>
    <s v="ITA"/>
    <x v="14"/>
    <x v="14"/>
    <n v="3921531192"/>
    <n v="9110616306"/>
    <n v="87"/>
    <n v="11"/>
    <n v="98"/>
    <n v="452"/>
    <n v="550"/>
    <n v="-3"/>
    <n v="4"/>
    <n v="665"/>
    <n v="119"/>
    <n v="1334"/>
    <n v="33330"/>
  </r>
  <r>
    <x v="75"/>
    <s v="ITA"/>
    <x v="15"/>
    <x v="15"/>
    <n v="3811569725"/>
    <n v="133623567"/>
    <n v="277"/>
    <n v="17"/>
    <n v="294"/>
    <n v="1786"/>
    <n v="2080"/>
    <n v="-47"/>
    <n v="12"/>
    <n v="977"/>
    <n v="256"/>
    <n v="3313"/>
    <n v="101548"/>
  </r>
  <r>
    <x v="75"/>
    <s v="ITA"/>
    <x v="16"/>
    <x v="16"/>
    <n v="4376923077"/>
    <n v="1125588885"/>
    <n v="364"/>
    <n v="79"/>
    <n v="443"/>
    <n v="4005"/>
    <n v="4448"/>
    <n v="-144"/>
    <n v="24"/>
    <n v="4360"/>
    <n v="937"/>
    <n v="9745"/>
    <n v="174596"/>
  </r>
  <r>
    <x v="75"/>
    <s v="ITA"/>
    <x v="2"/>
    <x v="17"/>
    <n v="4606893511"/>
    <n v="1112123097"/>
    <n v="87"/>
    <n v="10"/>
    <n v="97"/>
    <n v="733"/>
    <n v="830"/>
    <n v="-42"/>
    <n v="7"/>
    <n v="3024"/>
    <n v="438"/>
    <n v="4292"/>
    <n v="50278"/>
  </r>
  <r>
    <x v="75"/>
    <s v="ITA"/>
    <x v="17"/>
    <x v="18"/>
    <n v="4310675841"/>
    <n v="1238824698"/>
    <n v="45"/>
    <n v="6"/>
    <n v="51"/>
    <n v="60"/>
    <n v="111"/>
    <n v="-8"/>
    <n v="1"/>
    <n v="1225"/>
    <n v="71"/>
    <n v="1407"/>
    <n v="45574"/>
  </r>
  <r>
    <x v="75"/>
    <s v="ITA"/>
    <x v="18"/>
    <x v="19"/>
    <n v="4573750286"/>
    <n v="7320149366"/>
    <n v="45"/>
    <n v="3"/>
    <n v="48"/>
    <n v="70"/>
    <n v="118"/>
    <n v="-5"/>
    <n v="1"/>
    <n v="895"/>
    <n v="139"/>
    <n v="1152"/>
    <n v="9443"/>
  </r>
  <r>
    <x v="75"/>
    <s v="ITA"/>
    <x v="19"/>
    <x v="20"/>
    <n v="4543490485"/>
    <n v="1233845213"/>
    <n v="435"/>
    <n v="40"/>
    <n v="475"/>
    <n v="5402"/>
    <n v="5877"/>
    <n v="-310"/>
    <n v="53"/>
    <n v="11151"/>
    <n v="1643"/>
    <n v="18671"/>
    <n v="432114"/>
  </r>
  <r>
    <x v="76"/>
    <s v="ITA"/>
    <x v="0"/>
    <x v="0"/>
    <n v="4235122196"/>
    <n v="1339843823"/>
    <n v="233"/>
    <n v="10"/>
    <n v="243"/>
    <n v="1428"/>
    <n v="1671"/>
    <n v="-5"/>
    <n v="17"/>
    <n v="1073"/>
    <n v="359"/>
    <n v="3103"/>
    <n v="48110"/>
  </r>
  <r>
    <x v="76"/>
    <s v="ITA"/>
    <x v="1"/>
    <x v="1"/>
    <n v="4063947052"/>
    <n v="1580514834"/>
    <n v="45"/>
    <n v="1"/>
    <n v="46"/>
    <n v="97"/>
    <n v="143"/>
    <n v="-2"/>
    <n v="3"/>
    <n v="215"/>
    <n v="27"/>
    <n v="385"/>
    <n v="17916"/>
  </r>
  <r>
    <x v="76"/>
    <s v="ITA"/>
    <x v="2"/>
    <x v="2"/>
    <n v="4649933453"/>
    <n v="1135662422"/>
    <n v="61"/>
    <n v="8"/>
    <n v="69"/>
    <n v="390"/>
    <n v="459"/>
    <n v="-14"/>
    <n v="2"/>
    <n v="1820"/>
    <n v="290"/>
    <n v="2569"/>
    <n v="49571"/>
  </r>
  <r>
    <x v="76"/>
    <s v="ITA"/>
    <x v="3"/>
    <x v="3"/>
    <n v="3890597598"/>
    <n v="1659440194"/>
    <n v="66"/>
    <n v="2"/>
    <n v="68"/>
    <n v="528"/>
    <n v="596"/>
    <n v="-16"/>
    <n v="3"/>
    <n v="445"/>
    <n v="91"/>
    <n v="1132"/>
    <n v="46111"/>
  </r>
  <r>
    <x v="76"/>
    <s v="ITA"/>
    <x v="4"/>
    <x v="4"/>
    <n v="4083956555"/>
    <n v="1425084984"/>
    <n v="435"/>
    <n v="20"/>
    <n v="455"/>
    <n v="1460"/>
    <n v="1915"/>
    <n v="-50"/>
    <n v="12"/>
    <n v="2282"/>
    <n v="391"/>
    <n v="4588"/>
    <n v="114819"/>
  </r>
  <r>
    <x v="76"/>
    <s v="ITA"/>
    <x v="5"/>
    <x v="5"/>
    <n v="4449436681"/>
    <n v="113417208"/>
    <n v="1562"/>
    <n v="150"/>
    <n v="1712"/>
    <n v="5479"/>
    <n v="7191"/>
    <n v="-210"/>
    <n v="77"/>
    <n v="15760"/>
    <n v="3845"/>
    <n v="26796"/>
    <n v="231637"/>
  </r>
  <r>
    <x v="76"/>
    <s v="ITA"/>
    <x v="6"/>
    <x v="6"/>
    <n v="456494354"/>
    <n v="1376813649"/>
    <n v="98"/>
    <n v="3"/>
    <n v="101"/>
    <n v="750"/>
    <n v="851"/>
    <n v="-18"/>
    <n v="6"/>
    <n v="1969"/>
    <n v="310"/>
    <n v="3130"/>
    <n v="89449"/>
  </r>
  <r>
    <x v="76"/>
    <s v="ITA"/>
    <x v="7"/>
    <x v="7"/>
    <n v="4189277044"/>
    <n v="1248366722"/>
    <n v="1265"/>
    <n v="84"/>
    <n v="1349"/>
    <n v="2937"/>
    <n v="4286"/>
    <n v="-59"/>
    <n v="32"/>
    <n v="2322"/>
    <n v="557"/>
    <n v="7165"/>
    <n v="178569"/>
  </r>
  <r>
    <x v="76"/>
    <s v="ITA"/>
    <x v="8"/>
    <x v="8"/>
    <n v="4441149315"/>
    <n v="89326992"/>
    <n v="481"/>
    <n v="41"/>
    <n v="522"/>
    <n v="2378"/>
    <n v="2900"/>
    <n v="-82"/>
    <n v="50"/>
    <n v="4607"/>
    <n v="1281"/>
    <n v="8788"/>
    <n v="67322"/>
  </r>
  <r>
    <x v="76"/>
    <s v="ITA"/>
    <x v="9"/>
    <x v="9"/>
    <n v="4546679409"/>
    <n v="9190347404"/>
    <n v="5428"/>
    <n v="348"/>
    <n v="5776"/>
    <n v="24414"/>
    <n v="30190"/>
    <n v="-72"/>
    <n v="282"/>
    <n v="36331"/>
    <n v="14986"/>
    <n v="81507"/>
    <n v="485134"/>
  </r>
  <r>
    <x v="76"/>
    <s v="ITA"/>
    <x v="10"/>
    <x v="10"/>
    <n v="4361675973"/>
    <n v="135188753"/>
    <n v="284"/>
    <n v="30"/>
    <n v="314"/>
    <n v="2937"/>
    <n v="3251"/>
    <n v="21"/>
    <n v="40"/>
    <n v="2322"/>
    <n v="960"/>
    <n v="6533"/>
    <n v="76367"/>
  </r>
  <r>
    <x v="76"/>
    <s v="ITA"/>
    <x v="11"/>
    <x v="11"/>
    <n v="4155774754"/>
    <n v="1465916051"/>
    <n v="9"/>
    <n v="0"/>
    <n v="9"/>
    <n v="209"/>
    <n v="218"/>
    <n v="13"/>
    <n v="23"/>
    <n v="130"/>
    <n v="22"/>
    <n v="370"/>
    <n v="9164"/>
  </r>
  <r>
    <x v="76"/>
    <s v="ITA"/>
    <x v="12"/>
    <x v="12"/>
    <n v="450732745"/>
    <n v="7680687483"/>
    <n v="2024"/>
    <n v="137"/>
    <n v="2161"/>
    <n v="11489"/>
    <n v="13650"/>
    <n v="-284"/>
    <n v="116"/>
    <n v="11648"/>
    <n v="3367"/>
    <n v="28665"/>
    <n v="210370"/>
  </r>
  <r>
    <x v="76"/>
    <s v="ITA"/>
    <x v="13"/>
    <x v="13"/>
    <n v="4112559576"/>
    <n v="1686736689"/>
    <n v="343"/>
    <n v="34"/>
    <n v="377"/>
    <n v="2292"/>
    <n v="2669"/>
    <n v="-60"/>
    <n v="27"/>
    <n v="1196"/>
    <n v="448"/>
    <n v="4313"/>
    <n v="78399"/>
  </r>
  <r>
    <x v="76"/>
    <s v="ITA"/>
    <x v="14"/>
    <x v="14"/>
    <n v="3921531192"/>
    <n v="9110616306"/>
    <n v="83"/>
    <n v="10"/>
    <n v="93"/>
    <n v="422"/>
    <n v="515"/>
    <n v="-35"/>
    <n v="6"/>
    <n v="705"/>
    <n v="120"/>
    <n v="1340"/>
    <n v="34046"/>
  </r>
  <r>
    <x v="76"/>
    <s v="ITA"/>
    <x v="15"/>
    <x v="15"/>
    <n v="3811569725"/>
    <n v="133623567"/>
    <n v="273"/>
    <n v="16"/>
    <n v="289"/>
    <n v="1780"/>
    <n v="2069"/>
    <n v="-11"/>
    <n v="14"/>
    <n v="1002"/>
    <n v="256"/>
    <n v="3327"/>
    <n v="102403"/>
  </r>
  <r>
    <x v="76"/>
    <s v="ITA"/>
    <x v="16"/>
    <x v="16"/>
    <n v="4376923077"/>
    <n v="1125588885"/>
    <n v="350"/>
    <n v="78"/>
    <n v="428"/>
    <n v="3719"/>
    <n v="4147"/>
    <n v="-301"/>
    <n v="29"/>
    <n v="4685"/>
    <n v="942"/>
    <n v="9774"/>
    <n v="178208"/>
  </r>
  <r>
    <x v="76"/>
    <s v="ITA"/>
    <x v="2"/>
    <x v="17"/>
    <n v="4606893511"/>
    <n v="1112123097"/>
    <n v="82"/>
    <n v="10"/>
    <n v="92"/>
    <n v="694"/>
    <n v="786"/>
    <n v="-44"/>
    <n v="3"/>
    <n v="3068"/>
    <n v="441"/>
    <n v="4295"/>
    <n v="52039"/>
  </r>
  <r>
    <x v="76"/>
    <s v="ITA"/>
    <x v="17"/>
    <x v="18"/>
    <n v="4310675841"/>
    <n v="1238824698"/>
    <n v="42"/>
    <n v="6"/>
    <n v="48"/>
    <n v="65"/>
    <n v="113"/>
    <n v="2"/>
    <n v="4"/>
    <n v="1227"/>
    <n v="71"/>
    <n v="1411"/>
    <n v="46923"/>
  </r>
  <r>
    <x v="76"/>
    <s v="ITA"/>
    <x v="18"/>
    <x v="19"/>
    <n v="4573750286"/>
    <n v="7320149366"/>
    <n v="46"/>
    <n v="2"/>
    <n v="48"/>
    <n v="65"/>
    <n v="113"/>
    <n v="-5"/>
    <n v="5"/>
    <n v="905"/>
    <n v="139"/>
    <n v="1157"/>
    <n v="9833"/>
  </r>
  <r>
    <x v="76"/>
    <s v="ITA"/>
    <x v="19"/>
    <x v="20"/>
    <n v="4543490485"/>
    <n v="1233845213"/>
    <n v="408"/>
    <n v="37"/>
    <n v="445"/>
    <n v="5146"/>
    <n v="5591"/>
    <n v="-286"/>
    <n v="51"/>
    <n v="11474"/>
    <n v="1657"/>
    <n v="18722"/>
    <n v="439522"/>
  </r>
  <r>
    <x v="77"/>
    <s v="ITA"/>
    <x v="0"/>
    <x v="0"/>
    <n v="4235122196"/>
    <n v="1339843823"/>
    <n v="231"/>
    <n v="9"/>
    <n v="240"/>
    <n v="1369"/>
    <n v="1609"/>
    <n v="-62"/>
    <n v="4"/>
    <n v="1132"/>
    <n v="366"/>
    <n v="3107"/>
    <n v="48903"/>
  </r>
  <r>
    <x v="77"/>
    <s v="ITA"/>
    <x v="1"/>
    <x v="1"/>
    <n v="4063947052"/>
    <n v="1580514834"/>
    <n v="46"/>
    <n v="1"/>
    <n v="47"/>
    <n v="95"/>
    <n v="142"/>
    <n v="-1"/>
    <n v="1"/>
    <n v="217"/>
    <n v="27"/>
    <n v="386"/>
    <n v="18266"/>
  </r>
  <r>
    <x v="77"/>
    <s v="ITA"/>
    <x v="2"/>
    <x v="2"/>
    <n v="4649933453"/>
    <n v="1135662422"/>
    <n v="63"/>
    <n v="7"/>
    <n v="70"/>
    <n v="377"/>
    <n v="447"/>
    <n v="-12"/>
    <n v="3"/>
    <n v="1835"/>
    <n v="290"/>
    <n v="2572"/>
    <n v="50019"/>
  </r>
  <r>
    <x v="77"/>
    <s v="ITA"/>
    <x v="3"/>
    <x v="3"/>
    <n v="3890597598"/>
    <n v="1659440194"/>
    <n v="64"/>
    <n v="1"/>
    <n v="65"/>
    <n v="503"/>
    <n v="568"/>
    <n v="-28"/>
    <n v="2"/>
    <n v="473"/>
    <n v="93"/>
    <n v="1134"/>
    <n v="47265"/>
  </r>
  <r>
    <x v="77"/>
    <s v="ITA"/>
    <x v="4"/>
    <x v="4"/>
    <n v="4083956555"/>
    <n v="1425084984"/>
    <n v="436"/>
    <n v="23"/>
    <n v="459"/>
    <n v="1450"/>
    <n v="1909"/>
    <n v="-6"/>
    <n v="14"/>
    <n v="2301"/>
    <n v="392"/>
    <n v="4602"/>
    <n v="119042"/>
  </r>
  <r>
    <x v="77"/>
    <s v="ITA"/>
    <x v="5"/>
    <x v="5"/>
    <n v="4449436681"/>
    <n v="113417208"/>
    <n v="1537"/>
    <n v="141"/>
    <n v="1678"/>
    <n v="5362"/>
    <n v="7040"/>
    <n v="-151"/>
    <n v="80"/>
    <n v="15969"/>
    <n v="3867"/>
    <n v="26876"/>
    <n v="234619"/>
  </r>
  <r>
    <x v="77"/>
    <s v="ITA"/>
    <x v="6"/>
    <x v="6"/>
    <n v="456494354"/>
    <n v="1376813649"/>
    <n v="96"/>
    <n v="3"/>
    <n v="99"/>
    <n v="731"/>
    <n v="830"/>
    <n v="-21"/>
    <n v="8"/>
    <n v="1996"/>
    <n v="312"/>
    <n v="3138"/>
    <n v="90860"/>
  </r>
  <r>
    <x v="77"/>
    <s v="ITA"/>
    <x v="7"/>
    <x v="7"/>
    <n v="4189277044"/>
    <n v="1248366722"/>
    <n v="1266"/>
    <n v="83"/>
    <n v="1349"/>
    <n v="2945"/>
    <n v="4294"/>
    <n v="8"/>
    <n v="25"/>
    <n v="2334"/>
    <n v="562"/>
    <n v="7190"/>
    <n v="181398"/>
  </r>
  <r>
    <x v="77"/>
    <s v="ITA"/>
    <x v="8"/>
    <x v="8"/>
    <n v="4441149315"/>
    <n v="89326992"/>
    <n v="484"/>
    <n v="38"/>
    <n v="522"/>
    <n v="2322"/>
    <n v="2844"/>
    <n v="-56"/>
    <n v="44"/>
    <n v="4695"/>
    <n v="1293"/>
    <n v="8832"/>
    <n v="68814"/>
  </r>
  <r>
    <x v="77"/>
    <s v="ITA"/>
    <x v="9"/>
    <x v="9"/>
    <n v="4546679409"/>
    <n v="9190347404"/>
    <n v="5397"/>
    <n v="341"/>
    <n v="5738"/>
    <n v="24673"/>
    <n v="30411"/>
    <n v="221"/>
    <n v="364"/>
    <n v="36406"/>
    <n v="15054"/>
    <n v="81871"/>
    <n v="492642"/>
  </r>
  <r>
    <x v="77"/>
    <s v="ITA"/>
    <x v="10"/>
    <x v="10"/>
    <n v="4361675973"/>
    <n v="135188753"/>
    <n v="277"/>
    <n v="28"/>
    <n v="305"/>
    <n v="2922"/>
    <n v="3227"/>
    <n v="-24"/>
    <n v="10"/>
    <n v="2352"/>
    <n v="964"/>
    <n v="6543"/>
    <n v="77830"/>
  </r>
  <r>
    <x v="77"/>
    <s v="ITA"/>
    <x v="11"/>
    <x v="11"/>
    <n v="4155774754"/>
    <n v="1465916051"/>
    <n v="11"/>
    <n v="0"/>
    <n v="11"/>
    <n v="218"/>
    <n v="229"/>
    <n v="11"/>
    <n v="13"/>
    <n v="132"/>
    <n v="22"/>
    <n v="383"/>
    <n v="9390"/>
  </r>
  <r>
    <x v="77"/>
    <s v="ITA"/>
    <x v="12"/>
    <x v="12"/>
    <n v="450732745"/>
    <n v="7680687483"/>
    <n v="2021"/>
    <n v="135"/>
    <n v="2156"/>
    <n v="11182"/>
    <n v="13338"/>
    <n v="-312"/>
    <n v="111"/>
    <n v="12038"/>
    <n v="3400"/>
    <n v="28776"/>
    <n v="213783"/>
  </r>
  <r>
    <x v="77"/>
    <s v="ITA"/>
    <x v="13"/>
    <x v="13"/>
    <n v="4112559576"/>
    <n v="1686736689"/>
    <n v="340"/>
    <n v="32"/>
    <n v="372"/>
    <n v="2172"/>
    <n v="2544"/>
    <n v="-125"/>
    <n v="14"/>
    <n v="1332"/>
    <n v="451"/>
    <n v="4327"/>
    <n v="79737"/>
  </r>
  <r>
    <x v="77"/>
    <s v="ITA"/>
    <x v="14"/>
    <x v="14"/>
    <n v="3921531192"/>
    <n v="9110616306"/>
    <n v="84"/>
    <n v="10"/>
    <n v="94"/>
    <n v="417"/>
    <n v="511"/>
    <n v="-4"/>
    <n v="3"/>
    <n v="712"/>
    <n v="120"/>
    <n v="1343"/>
    <n v="34641"/>
  </r>
  <r>
    <x v="77"/>
    <s v="ITA"/>
    <x v="15"/>
    <x v="15"/>
    <n v="3811569725"/>
    <n v="133623567"/>
    <n v="271"/>
    <n v="16"/>
    <n v="287"/>
    <n v="1775"/>
    <n v="2062"/>
    <n v="-7"/>
    <n v="12"/>
    <n v="1020"/>
    <n v="257"/>
    <n v="3339"/>
    <n v="103134"/>
  </r>
  <r>
    <x v="77"/>
    <s v="ITA"/>
    <x v="16"/>
    <x v="16"/>
    <n v="4376923077"/>
    <n v="1125588885"/>
    <n v="347"/>
    <n v="77"/>
    <n v="424"/>
    <n v="3649"/>
    <n v="4073"/>
    <n v="-74"/>
    <n v="13"/>
    <n v="4764"/>
    <n v="950"/>
    <n v="9787"/>
    <n v="179469"/>
  </r>
  <r>
    <x v="77"/>
    <s v="ITA"/>
    <x v="2"/>
    <x v="17"/>
    <n v="4606893511"/>
    <n v="1112123097"/>
    <n v="84"/>
    <n v="11"/>
    <n v="95"/>
    <n v="640"/>
    <n v="735"/>
    <n v="-51"/>
    <n v="2"/>
    <n v="3119"/>
    <n v="443"/>
    <n v="4297"/>
    <n v="53398"/>
  </r>
  <r>
    <x v="77"/>
    <s v="ITA"/>
    <x v="17"/>
    <x v="18"/>
    <n v="4310675841"/>
    <n v="1238824698"/>
    <n v="40"/>
    <n v="4"/>
    <n v="44"/>
    <n v="64"/>
    <n v="108"/>
    <n v="-5"/>
    <n v="1"/>
    <n v="1233"/>
    <n v="71"/>
    <n v="1412"/>
    <n v="47474"/>
  </r>
  <r>
    <x v="77"/>
    <s v="ITA"/>
    <x v="18"/>
    <x v="19"/>
    <n v="4573750286"/>
    <n v="7320149366"/>
    <n v="44"/>
    <n v="1"/>
    <n v="45"/>
    <n v="62"/>
    <n v="107"/>
    <n v="-6"/>
    <n v="1"/>
    <n v="912"/>
    <n v="139"/>
    <n v="1158"/>
    <n v="10063"/>
  </r>
  <r>
    <x v="77"/>
    <s v="ITA"/>
    <x v="19"/>
    <x v="20"/>
    <n v="4543490485"/>
    <n v="1233845213"/>
    <n v="400"/>
    <n v="38"/>
    <n v="438"/>
    <n v="5022"/>
    <n v="5460"/>
    <n v="-131"/>
    <n v="19"/>
    <n v="11615"/>
    <n v="1666"/>
    <n v="18741"/>
    <n v="445905"/>
  </r>
  <r>
    <x v="78"/>
    <s v="ITA"/>
    <x v="0"/>
    <x v="0"/>
    <n v="4235122196"/>
    <n v="1339843823"/>
    <n v="222"/>
    <n v="8"/>
    <n v="230"/>
    <n v="1318"/>
    <n v="1548"/>
    <n v="-61"/>
    <n v="8"/>
    <n v="1197"/>
    <n v="370"/>
    <n v="3115"/>
    <n v="50295"/>
  </r>
  <r>
    <x v="78"/>
    <s v="ITA"/>
    <x v="1"/>
    <x v="1"/>
    <n v="4063947052"/>
    <n v="1580514834"/>
    <n v="47"/>
    <n v="1"/>
    <n v="48"/>
    <n v="92"/>
    <n v="140"/>
    <n v="-2"/>
    <n v="1"/>
    <n v="220"/>
    <n v="27"/>
    <n v="387"/>
    <n v="19100"/>
  </r>
  <r>
    <x v="78"/>
    <s v="ITA"/>
    <x v="2"/>
    <x v="2"/>
    <n v="4649933453"/>
    <n v="1135662422"/>
    <n v="56"/>
    <n v="7"/>
    <n v="63"/>
    <n v="374"/>
    <n v="437"/>
    <n v="-10"/>
    <n v="0"/>
    <n v="1845"/>
    <n v="290"/>
    <n v="2572"/>
    <n v="50381"/>
  </r>
  <r>
    <x v="78"/>
    <s v="ITA"/>
    <x v="3"/>
    <x v="3"/>
    <n v="3890597598"/>
    <n v="1659440194"/>
    <n v="65"/>
    <n v="1"/>
    <n v="66"/>
    <n v="502"/>
    <n v="568"/>
    <n v="0"/>
    <n v="4"/>
    <n v="477"/>
    <n v="93"/>
    <n v="1138"/>
    <n v="48420"/>
  </r>
  <r>
    <x v="78"/>
    <s v="ITA"/>
    <x v="4"/>
    <x v="4"/>
    <n v="4083956555"/>
    <n v="1425084984"/>
    <n v="414"/>
    <n v="20"/>
    <n v="434"/>
    <n v="1443"/>
    <n v="1877"/>
    <n v="-32"/>
    <n v="13"/>
    <n v="2345"/>
    <n v="393"/>
    <n v="4615"/>
    <n v="121253"/>
  </r>
  <r>
    <x v="78"/>
    <s v="ITA"/>
    <x v="5"/>
    <x v="5"/>
    <n v="4449436681"/>
    <n v="113417208"/>
    <n v="1384"/>
    <n v="136"/>
    <n v="1520"/>
    <n v="5281"/>
    <n v="6801"/>
    <n v="-239"/>
    <n v="53"/>
    <n v="16243"/>
    <n v="3885"/>
    <n v="26929"/>
    <n v="239178"/>
  </r>
  <r>
    <x v="78"/>
    <s v="ITA"/>
    <x v="6"/>
    <x v="6"/>
    <n v="456494354"/>
    <n v="1376813649"/>
    <n v="96"/>
    <n v="2"/>
    <n v="98"/>
    <n v="703"/>
    <n v="801"/>
    <n v="-29"/>
    <n v="10"/>
    <n v="2034"/>
    <n v="313"/>
    <n v="3148"/>
    <n v="93051"/>
  </r>
  <r>
    <x v="78"/>
    <s v="ITA"/>
    <x v="7"/>
    <x v="7"/>
    <n v="4189277044"/>
    <n v="1248366722"/>
    <n v="1258"/>
    <n v="84"/>
    <n v="1342"/>
    <n v="2931"/>
    <n v="4273"/>
    <n v="-21"/>
    <n v="22"/>
    <n v="2373"/>
    <n v="566"/>
    <n v="7212"/>
    <n v="185085"/>
  </r>
  <r>
    <x v="78"/>
    <s v="ITA"/>
    <x v="8"/>
    <x v="8"/>
    <n v="4441149315"/>
    <n v="89326992"/>
    <n v="447"/>
    <n v="35"/>
    <n v="482"/>
    <n v="2297"/>
    <n v="2779"/>
    <n v="-65"/>
    <n v="31"/>
    <n v="4783"/>
    <n v="1301"/>
    <n v="8863"/>
    <n v="70159"/>
  </r>
  <r>
    <x v="78"/>
    <s v="ITA"/>
    <x v="9"/>
    <x v="9"/>
    <n v="4546679409"/>
    <n v="9190347404"/>
    <n v="5222"/>
    <n v="322"/>
    <n v="5544"/>
    <n v="25131"/>
    <n v="30675"/>
    <n v="264"/>
    <n v="1033"/>
    <n v="37113"/>
    <n v="15116"/>
    <n v="82904"/>
    <n v="513244"/>
  </r>
  <r>
    <x v="78"/>
    <s v="ITA"/>
    <x v="10"/>
    <x v="10"/>
    <n v="4361675973"/>
    <n v="135188753"/>
    <n v="230"/>
    <n v="24"/>
    <n v="254"/>
    <n v="2954"/>
    <n v="3208"/>
    <n v="-19"/>
    <n v="25"/>
    <n v="2391"/>
    <n v="969"/>
    <n v="6568"/>
    <n v="79414"/>
  </r>
  <r>
    <x v="78"/>
    <s v="ITA"/>
    <x v="11"/>
    <x v="11"/>
    <n v="4155774754"/>
    <n v="1465916051"/>
    <n v="13"/>
    <n v="1"/>
    <n v="14"/>
    <n v="212"/>
    <n v="226"/>
    <n v="-3"/>
    <n v="3"/>
    <n v="138"/>
    <n v="22"/>
    <n v="386"/>
    <n v="9981"/>
  </r>
  <r>
    <x v="78"/>
    <s v="ITA"/>
    <x v="12"/>
    <x v="12"/>
    <n v="450732745"/>
    <n v="7680687483"/>
    <n v="1900"/>
    <n v="136"/>
    <n v="2036"/>
    <n v="11148"/>
    <n v="13184"/>
    <n v="-154"/>
    <n v="113"/>
    <n v="12277"/>
    <n v="3428"/>
    <n v="28889"/>
    <n v="218071"/>
  </r>
  <r>
    <x v="78"/>
    <s v="ITA"/>
    <x v="13"/>
    <x v="13"/>
    <n v="4112559576"/>
    <n v="1686736689"/>
    <n v="334"/>
    <n v="31"/>
    <n v="365"/>
    <n v="2056"/>
    <n v="2421"/>
    <n v="-123"/>
    <n v="10"/>
    <n v="1460"/>
    <n v="456"/>
    <n v="4337"/>
    <n v="81492"/>
  </r>
  <r>
    <x v="78"/>
    <s v="ITA"/>
    <x v="14"/>
    <x v="14"/>
    <n v="3921531192"/>
    <n v="9110616306"/>
    <n v="77"/>
    <n v="11"/>
    <n v="88"/>
    <n v="418"/>
    <n v="506"/>
    <n v="-5"/>
    <n v="1"/>
    <n v="718"/>
    <n v="120"/>
    <n v="1344"/>
    <n v="35476"/>
  </r>
  <r>
    <x v="78"/>
    <s v="ITA"/>
    <x v="15"/>
    <x v="15"/>
    <n v="3811569725"/>
    <n v="133623567"/>
    <n v="234"/>
    <n v="15"/>
    <n v="249"/>
    <n v="1662"/>
    <n v="1911"/>
    <n v="-151"/>
    <n v="4"/>
    <n v="1171"/>
    <n v="261"/>
    <n v="3343"/>
    <n v="105017"/>
  </r>
  <r>
    <x v="78"/>
    <s v="ITA"/>
    <x v="16"/>
    <x v="16"/>
    <n v="4376923077"/>
    <n v="1125588885"/>
    <n v="307"/>
    <n v="72"/>
    <n v="379"/>
    <n v="3462"/>
    <n v="3841"/>
    <n v="-232"/>
    <n v="15"/>
    <n v="5002"/>
    <n v="959"/>
    <n v="9802"/>
    <n v="184851"/>
  </r>
  <r>
    <x v="78"/>
    <s v="ITA"/>
    <x v="2"/>
    <x v="17"/>
    <n v="4606893511"/>
    <n v="1112123097"/>
    <n v="80"/>
    <n v="9"/>
    <n v="89"/>
    <n v="578"/>
    <n v="667"/>
    <n v="-68"/>
    <n v="6"/>
    <n v="3191"/>
    <n v="445"/>
    <n v="4303"/>
    <n v="55334"/>
  </r>
  <r>
    <x v="78"/>
    <s v="ITA"/>
    <x v="17"/>
    <x v="18"/>
    <n v="4310675841"/>
    <n v="1238824698"/>
    <n v="41"/>
    <n v="4"/>
    <n v="45"/>
    <n v="64"/>
    <n v="109"/>
    <n v="1"/>
    <n v="7"/>
    <n v="1239"/>
    <n v="71"/>
    <n v="1419"/>
    <n v="49249"/>
  </r>
  <r>
    <x v="78"/>
    <s v="ITA"/>
    <x v="18"/>
    <x v="19"/>
    <n v="4573750286"/>
    <n v="7320149366"/>
    <n v="45"/>
    <n v="0"/>
    <n v="45"/>
    <n v="59"/>
    <n v="104"/>
    <n v="-3"/>
    <n v="2"/>
    <n v="916"/>
    <n v="140"/>
    <n v="1160"/>
    <n v="10415"/>
  </r>
  <r>
    <x v="78"/>
    <s v="ITA"/>
    <x v="19"/>
    <x v="20"/>
    <n v="4543490485"/>
    <n v="1233845213"/>
    <n v="393"/>
    <n v="33"/>
    <n v="426"/>
    <n v="4764"/>
    <n v="5190"/>
    <n v="-270"/>
    <n v="41"/>
    <n v="11906"/>
    <n v="1686"/>
    <n v="18782"/>
    <n v="454189"/>
  </r>
  <r>
    <x v="79"/>
    <s v="ITA"/>
    <x v="0"/>
    <x v="0"/>
    <n v="4235122196"/>
    <n v="1339843823"/>
    <n v="214"/>
    <n v="7"/>
    <n v="221"/>
    <n v="1268"/>
    <n v="1489"/>
    <n v="-59"/>
    <n v="12"/>
    <n v="1263"/>
    <n v="375"/>
    <n v="3127"/>
    <n v="51361"/>
  </r>
  <r>
    <x v="79"/>
    <s v="ITA"/>
    <x v="1"/>
    <x v="1"/>
    <n v="4063947052"/>
    <n v="1580514834"/>
    <n v="42"/>
    <n v="1"/>
    <n v="43"/>
    <n v="88"/>
    <n v="131"/>
    <n v="-9"/>
    <n v="2"/>
    <n v="231"/>
    <n v="27"/>
    <n v="389"/>
    <n v="19678"/>
  </r>
  <r>
    <x v="79"/>
    <s v="ITA"/>
    <x v="2"/>
    <x v="2"/>
    <n v="4649933453"/>
    <n v="1135662422"/>
    <n v="56"/>
    <n v="7"/>
    <n v="63"/>
    <n v="350"/>
    <n v="413"/>
    <n v="-24"/>
    <n v="3"/>
    <n v="1872"/>
    <n v="290"/>
    <n v="2575"/>
    <n v="51181"/>
  </r>
  <r>
    <x v="79"/>
    <s v="ITA"/>
    <x v="3"/>
    <x v="3"/>
    <n v="3890597598"/>
    <n v="1659440194"/>
    <n v="64"/>
    <n v="1"/>
    <n v="65"/>
    <n v="486"/>
    <n v="551"/>
    <n v="-17"/>
    <n v="2"/>
    <n v="496"/>
    <n v="93"/>
    <n v="1140"/>
    <n v="49787"/>
  </r>
  <r>
    <x v="79"/>
    <s v="ITA"/>
    <x v="4"/>
    <x v="4"/>
    <n v="4083956555"/>
    <n v="1425084984"/>
    <n v="402"/>
    <n v="19"/>
    <n v="421"/>
    <n v="1394"/>
    <n v="1815"/>
    <n v="-62"/>
    <n v="15"/>
    <n v="2421"/>
    <n v="394"/>
    <n v="4630"/>
    <n v="124370"/>
  </r>
  <r>
    <x v="79"/>
    <s v="ITA"/>
    <x v="5"/>
    <x v="5"/>
    <n v="4449436681"/>
    <n v="113417208"/>
    <n v="1165"/>
    <n v="123"/>
    <n v="1288"/>
    <n v="5214"/>
    <n v="6502"/>
    <n v="-299"/>
    <n v="50"/>
    <n v="16572"/>
    <n v="3905"/>
    <n v="26979"/>
    <n v="243883"/>
  </r>
  <r>
    <x v="79"/>
    <s v="ITA"/>
    <x v="6"/>
    <x v="6"/>
    <n v="456494354"/>
    <n v="1376813649"/>
    <n v="92"/>
    <n v="2"/>
    <n v="94"/>
    <n v="685"/>
    <n v="779"/>
    <n v="-22"/>
    <n v="8"/>
    <n v="2061"/>
    <n v="316"/>
    <n v="3156"/>
    <n v="94600"/>
  </r>
  <r>
    <x v="79"/>
    <s v="ITA"/>
    <x v="7"/>
    <x v="7"/>
    <n v="4189277044"/>
    <n v="1248366722"/>
    <n v="1224"/>
    <n v="83"/>
    <n v="1307"/>
    <n v="2928"/>
    <n v="4235"/>
    <n v="-38"/>
    <n v="38"/>
    <n v="2438"/>
    <n v="577"/>
    <n v="7250"/>
    <n v="188632"/>
  </r>
  <r>
    <x v="79"/>
    <s v="ITA"/>
    <x v="8"/>
    <x v="8"/>
    <n v="4441149315"/>
    <n v="89326992"/>
    <n v="430"/>
    <n v="35"/>
    <n v="465"/>
    <n v="2253"/>
    <n v="2718"/>
    <n v="-61"/>
    <n v="67"/>
    <n v="4898"/>
    <n v="1314"/>
    <n v="8930"/>
    <n v="72174"/>
  </r>
  <r>
    <x v="79"/>
    <s v="ITA"/>
    <x v="9"/>
    <x v="9"/>
    <n v="4546679409"/>
    <n v="9190347404"/>
    <n v="5007"/>
    <n v="307"/>
    <n v="5314"/>
    <n v="24718"/>
    <n v="30032"/>
    <n v="-643"/>
    <n v="394"/>
    <n v="38081"/>
    <n v="15185"/>
    <n v="83298"/>
    <n v="524163"/>
  </r>
  <r>
    <x v="79"/>
    <s v="ITA"/>
    <x v="10"/>
    <x v="10"/>
    <n v="4361675973"/>
    <n v="135188753"/>
    <n v="211"/>
    <n v="20"/>
    <n v="231"/>
    <n v="2782"/>
    <n v="3013"/>
    <n v="-195"/>
    <n v="20"/>
    <n v="2604"/>
    <n v="971"/>
    <n v="6588"/>
    <n v="80850"/>
  </r>
  <r>
    <x v="79"/>
    <s v="ITA"/>
    <x v="11"/>
    <x v="11"/>
    <n v="4155774754"/>
    <n v="1465916051"/>
    <n v="9"/>
    <n v="1"/>
    <n v="10"/>
    <n v="221"/>
    <n v="231"/>
    <n v="5"/>
    <n v="15"/>
    <n v="148"/>
    <n v="22"/>
    <n v="401"/>
    <n v="10062"/>
  </r>
  <r>
    <x v="79"/>
    <s v="ITA"/>
    <x v="12"/>
    <x v="12"/>
    <n v="450732745"/>
    <n v="7680687483"/>
    <n v="1858"/>
    <n v="122"/>
    <n v="1980"/>
    <n v="10511"/>
    <n v="12491"/>
    <n v="-693"/>
    <n v="169"/>
    <n v="13107"/>
    <n v="3460"/>
    <n v="29058"/>
    <n v="224788"/>
  </r>
  <r>
    <x v="79"/>
    <s v="ITA"/>
    <x v="13"/>
    <x v="13"/>
    <n v="4112559576"/>
    <n v="1686736689"/>
    <n v="310"/>
    <n v="27"/>
    <n v="337"/>
    <n v="1985"/>
    <n v="2322"/>
    <n v="-99"/>
    <n v="11"/>
    <n v="1566"/>
    <n v="460"/>
    <n v="4348"/>
    <n v="83713"/>
  </r>
  <r>
    <x v="79"/>
    <s v="ITA"/>
    <x v="14"/>
    <x v="14"/>
    <n v="3921531192"/>
    <n v="9110616306"/>
    <n v="78"/>
    <n v="10"/>
    <n v="88"/>
    <n v="403"/>
    <n v="491"/>
    <n v="-15"/>
    <n v="1"/>
    <n v="734"/>
    <n v="120"/>
    <n v="1345"/>
    <n v="36710"/>
  </r>
  <r>
    <x v="79"/>
    <s v="ITA"/>
    <x v="15"/>
    <x v="15"/>
    <n v="3811569725"/>
    <n v="133623567"/>
    <n v="212"/>
    <n v="13"/>
    <n v="225"/>
    <n v="1664"/>
    <n v="1889"/>
    <n v="-22"/>
    <n v="11"/>
    <n v="1203"/>
    <n v="262"/>
    <n v="3354"/>
    <n v="107991"/>
  </r>
  <r>
    <x v="79"/>
    <s v="ITA"/>
    <x v="16"/>
    <x v="16"/>
    <n v="4376923077"/>
    <n v="1125588885"/>
    <n v="284"/>
    <n v="72"/>
    <n v="356"/>
    <n v="3207"/>
    <n v="3563"/>
    <n v="-278"/>
    <n v="27"/>
    <n v="5302"/>
    <n v="964"/>
    <n v="9829"/>
    <n v="189026"/>
  </r>
  <r>
    <x v="79"/>
    <s v="ITA"/>
    <x v="2"/>
    <x v="17"/>
    <n v="4606893511"/>
    <n v="1112123097"/>
    <n v="76"/>
    <n v="9"/>
    <n v="85"/>
    <n v="488"/>
    <n v="573"/>
    <n v="-94"/>
    <n v="9"/>
    <n v="3293"/>
    <n v="446"/>
    <n v="4312"/>
    <n v="57997"/>
  </r>
  <r>
    <x v="79"/>
    <s v="ITA"/>
    <x v="17"/>
    <x v="18"/>
    <n v="4310675841"/>
    <n v="1238824698"/>
    <n v="36"/>
    <n v="4"/>
    <n v="40"/>
    <n v="66"/>
    <n v="106"/>
    <n v="-3"/>
    <n v="0"/>
    <n v="1241"/>
    <n v="72"/>
    <n v="1419"/>
    <n v="50731"/>
  </r>
  <r>
    <x v="79"/>
    <s v="ITA"/>
    <x v="18"/>
    <x v="19"/>
    <n v="4573750286"/>
    <n v="7320149366"/>
    <n v="38"/>
    <n v="0"/>
    <n v="38"/>
    <n v="55"/>
    <n v="93"/>
    <n v="-11"/>
    <n v="3"/>
    <n v="929"/>
    <n v="141"/>
    <n v="1163"/>
    <n v="10777"/>
  </r>
  <r>
    <x v="79"/>
    <s v="ITA"/>
    <x v="19"/>
    <x v="20"/>
    <n v="4543490485"/>
    <n v="1233845213"/>
    <n v="364"/>
    <n v="30"/>
    <n v="394"/>
    <n v="4626"/>
    <n v="5020"/>
    <n v="-170"/>
    <n v="31"/>
    <n v="12081"/>
    <n v="1712"/>
    <n v="18813"/>
    <n v="463154"/>
  </r>
  <r>
    <x v="80"/>
    <s v="ITA"/>
    <x v="0"/>
    <x v="0"/>
    <n v="4235122196"/>
    <n v="1339843823"/>
    <n v="215"/>
    <n v="6"/>
    <n v="221"/>
    <n v="1261"/>
    <n v="1482"/>
    <n v="-7"/>
    <n v="9"/>
    <n v="1275"/>
    <n v="379"/>
    <n v="3136"/>
    <n v="52860"/>
  </r>
  <r>
    <x v="80"/>
    <s v="ITA"/>
    <x v="1"/>
    <x v="1"/>
    <n v="4063947052"/>
    <n v="1580514834"/>
    <n v="34"/>
    <n v="1"/>
    <n v="35"/>
    <n v="92"/>
    <n v="127"/>
    <n v="-4"/>
    <n v="0"/>
    <n v="235"/>
    <n v="27"/>
    <n v="389"/>
    <n v="20285"/>
  </r>
  <r>
    <x v="80"/>
    <s v="ITA"/>
    <x v="2"/>
    <x v="2"/>
    <n v="4649933453"/>
    <n v="1135662422"/>
    <n v="54"/>
    <n v="7"/>
    <n v="61"/>
    <n v="319"/>
    <n v="380"/>
    <n v="-33"/>
    <n v="3"/>
    <n v="1908"/>
    <n v="290"/>
    <n v="2578"/>
    <n v="52015"/>
  </r>
  <r>
    <x v="80"/>
    <s v="ITA"/>
    <x v="3"/>
    <x v="3"/>
    <n v="3890597598"/>
    <n v="1659440194"/>
    <n v="59"/>
    <n v="2"/>
    <n v="61"/>
    <n v="463"/>
    <n v="524"/>
    <n v="-27"/>
    <n v="3"/>
    <n v="524"/>
    <n v="95"/>
    <n v="1143"/>
    <n v="51050"/>
  </r>
  <r>
    <x v="80"/>
    <s v="ITA"/>
    <x v="4"/>
    <x v="4"/>
    <n v="4083956555"/>
    <n v="1425084984"/>
    <n v="387"/>
    <n v="19"/>
    <n v="406"/>
    <n v="1359"/>
    <n v="1765"/>
    <n v="-50"/>
    <n v="9"/>
    <n v="2480"/>
    <n v="394"/>
    <n v="4639"/>
    <n v="127938"/>
  </r>
  <r>
    <x v="80"/>
    <s v="ITA"/>
    <x v="5"/>
    <x v="5"/>
    <n v="4449436681"/>
    <n v="113417208"/>
    <n v="861"/>
    <n v="122"/>
    <n v="983"/>
    <n v="5318"/>
    <n v="6301"/>
    <n v="-201"/>
    <n v="77"/>
    <n v="16825"/>
    <n v="3930"/>
    <n v="27056"/>
    <n v="248591"/>
  </r>
  <r>
    <x v="80"/>
    <s v="ITA"/>
    <x v="6"/>
    <x v="6"/>
    <n v="456494354"/>
    <n v="1376813649"/>
    <n v="149"/>
    <n v="2"/>
    <n v="151"/>
    <n v="619"/>
    <n v="770"/>
    <n v="-9"/>
    <n v="5"/>
    <n v="2074"/>
    <n v="317"/>
    <n v="3161"/>
    <n v="97000"/>
  </r>
  <r>
    <x v="80"/>
    <s v="ITA"/>
    <x v="7"/>
    <x v="7"/>
    <n v="4189277044"/>
    <n v="1248366722"/>
    <n v="1178"/>
    <n v="79"/>
    <n v="1257"/>
    <n v="2839"/>
    <n v="4096"/>
    <n v="-139"/>
    <n v="41"/>
    <n v="2600"/>
    <n v="595"/>
    <n v="7291"/>
    <n v="192917"/>
  </r>
  <r>
    <x v="80"/>
    <s v="ITA"/>
    <x v="8"/>
    <x v="8"/>
    <n v="4441149315"/>
    <n v="89326992"/>
    <n v="408"/>
    <n v="35"/>
    <n v="443"/>
    <n v="2217"/>
    <n v="2660"/>
    <n v="-58"/>
    <n v="65"/>
    <n v="5006"/>
    <n v="1329"/>
    <n v="8995"/>
    <n v="74248"/>
  </r>
  <r>
    <x v="80"/>
    <s v="ITA"/>
    <x v="9"/>
    <x v="9"/>
    <n v="4546679409"/>
    <n v="9190347404"/>
    <n v="4818"/>
    <n v="297"/>
    <n v="5115"/>
    <n v="24841"/>
    <n v="29956"/>
    <n v="-76"/>
    <n v="522"/>
    <n v="38568"/>
    <n v="15296"/>
    <n v="83820"/>
    <n v="538243"/>
  </r>
  <r>
    <x v="80"/>
    <s v="ITA"/>
    <x v="10"/>
    <x v="10"/>
    <n v="4361675973"/>
    <n v="135188753"/>
    <n v="189"/>
    <n v="18"/>
    <n v="207"/>
    <n v="2697"/>
    <n v="2904"/>
    <n v="-109"/>
    <n v="15"/>
    <n v="2725"/>
    <n v="974"/>
    <n v="6603"/>
    <n v="82840"/>
  </r>
  <r>
    <x v="80"/>
    <s v="ITA"/>
    <x v="11"/>
    <x v="11"/>
    <n v="4155774754"/>
    <n v="1465916051"/>
    <n v="10"/>
    <n v="1"/>
    <n v="11"/>
    <n v="218"/>
    <n v="229"/>
    <n v="-2"/>
    <n v="2"/>
    <n v="152"/>
    <n v="22"/>
    <n v="403"/>
    <n v="10227"/>
  </r>
  <r>
    <x v="80"/>
    <s v="ITA"/>
    <x v="12"/>
    <x v="12"/>
    <n v="450732745"/>
    <n v="7680687483"/>
    <n v="1775"/>
    <n v="116"/>
    <n v="1891"/>
    <n v="10000"/>
    <n v="11891"/>
    <n v="-600"/>
    <n v="151"/>
    <n v="13825"/>
    <n v="3493"/>
    <n v="29209"/>
    <n v="232682"/>
  </r>
  <r>
    <x v="80"/>
    <s v="ITA"/>
    <x v="13"/>
    <x v="13"/>
    <n v="4112559576"/>
    <n v="1686736689"/>
    <n v="296"/>
    <n v="24"/>
    <n v="320"/>
    <n v="1933"/>
    <n v="2253"/>
    <n v="-69"/>
    <n v="9"/>
    <n v="1643"/>
    <n v="461"/>
    <n v="4357"/>
    <n v="85577"/>
  </r>
  <r>
    <x v="80"/>
    <s v="ITA"/>
    <x v="14"/>
    <x v="14"/>
    <n v="3921531192"/>
    <n v="9110616306"/>
    <n v="76"/>
    <n v="10"/>
    <n v="86"/>
    <n v="379"/>
    <n v="465"/>
    <n v="-26"/>
    <n v="0"/>
    <n v="755"/>
    <n v="125"/>
    <n v="1345"/>
    <n v="38034"/>
  </r>
  <r>
    <x v="80"/>
    <s v="ITA"/>
    <x v="15"/>
    <x v="15"/>
    <n v="3811569725"/>
    <n v="133623567"/>
    <n v="203"/>
    <n v="12"/>
    <n v="215"/>
    <n v="1639"/>
    <n v="1854"/>
    <n v="-35"/>
    <n v="12"/>
    <n v="1249"/>
    <n v="263"/>
    <n v="3366"/>
    <n v="111137"/>
  </r>
  <r>
    <x v="80"/>
    <s v="ITA"/>
    <x v="16"/>
    <x v="16"/>
    <n v="4376923077"/>
    <n v="1125588885"/>
    <n v="269"/>
    <n v="68"/>
    <n v="337"/>
    <n v="3051"/>
    <n v="3388"/>
    <n v="-175"/>
    <n v="30"/>
    <n v="5498"/>
    <n v="973"/>
    <n v="9859"/>
    <n v="193182"/>
  </r>
  <r>
    <x v="80"/>
    <s v="ITA"/>
    <x v="2"/>
    <x v="17"/>
    <n v="4606893511"/>
    <n v="1112123097"/>
    <n v="66"/>
    <n v="9"/>
    <n v="75"/>
    <n v="430"/>
    <n v="505"/>
    <n v="-68"/>
    <n v="3"/>
    <n v="3362"/>
    <n v="448"/>
    <n v="4315"/>
    <n v="60843"/>
  </r>
  <r>
    <x v="80"/>
    <s v="ITA"/>
    <x v="17"/>
    <x v="18"/>
    <n v="4310675841"/>
    <n v="1238824698"/>
    <n v="26"/>
    <n v="1"/>
    <n v="27"/>
    <n v="65"/>
    <n v="92"/>
    <n v="-14"/>
    <n v="1"/>
    <n v="1255"/>
    <n v="73"/>
    <n v="1420"/>
    <n v="52247"/>
  </r>
  <r>
    <x v="80"/>
    <s v="ITA"/>
    <x v="18"/>
    <x v="19"/>
    <n v="4573750286"/>
    <n v="7320149366"/>
    <n v="38"/>
    <n v="0"/>
    <n v="38"/>
    <n v="42"/>
    <n v="80"/>
    <n v="-13"/>
    <n v="3"/>
    <n v="945"/>
    <n v="141"/>
    <n v="1166"/>
    <n v="11100"/>
  </r>
  <r>
    <x v="80"/>
    <s v="ITA"/>
    <x v="19"/>
    <x v="20"/>
    <n v="4543490485"/>
    <n v="1233845213"/>
    <n v="342"/>
    <n v="26"/>
    <n v="368"/>
    <n v="4350"/>
    <n v="4718"/>
    <n v="-302"/>
    <n v="32"/>
    <n v="12384"/>
    <n v="1743"/>
    <n v="18845"/>
    <n v="474488"/>
  </r>
  <r>
    <x v="81"/>
    <m/>
    <x v="20"/>
    <x v="21"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6276DF2-5371-42E1-B3AC-C7601E0F8817}" name="Tabella pivot2" cacheId="0" applyNumberFormats="0" applyBorderFormats="0" applyFontFormats="0" applyPatternFormats="0" applyAlignmentFormats="0" applyWidthHeightFormats="1" dataCaption="Valori" updatedVersion="6" minRefreshableVersion="3" useAutoFormatting="1" itemPrintTitles="1" createdVersion="6" indent="0" outline="1" outlineData="1" multipleFieldFilters="0">
  <location ref="AC54:AE136" firstHeaderRow="0" firstDataRow="1" firstDataCol="1" rowPageCount="2" colPageCount="1"/>
  <pivotFields count="18">
    <pivotField axis="axisRow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axis="axisPage" showAll="0">
      <items count="22">
        <item x="12"/>
        <item x="18"/>
        <item x="9"/>
        <item x="2"/>
        <item x="19"/>
        <item x="6"/>
        <item x="8"/>
        <item x="5"/>
        <item x="16"/>
        <item x="17"/>
        <item x="10"/>
        <item x="7"/>
        <item x="0"/>
        <item x="11"/>
        <item x="4"/>
        <item x="13"/>
        <item x="1"/>
        <item x="3"/>
        <item x="15"/>
        <item x="14"/>
        <item x="20"/>
        <item t="default"/>
      </items>
    </pivotField>
    <pivotField axis="axisPage" showAll="0">
      <items count="23">
        <item x="0"/>
        <item x="1"/>
        <item x="3"/>
        <item x="4"/>
        <item x="5"/>
        <item x="6"/>
        <item x="7"/>
        <item x="8"/>
        <item x="9"/>
        <item x="10"/>
        <item x="11"/>
        <item x="2"/>
        <item x="17"/>
        <item x="12"/>
        <item x="13"/>
        <item x="14"/>
        <item x="15"/>
        <item x="16"/>
        <item x="18"/>
        <item x="19"/>
        <item x="2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1">
    <field x="0"/>
  </rowFields>
  <rowItems count="82"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 t="grand">
      <x/>
    </i>
  </rowItems>
  <colFields count="1">
    <field x="-2"/>
  </colFields>
  <colItems count="2">
    <i>
      <x/>
    </i>
    <i i="1">
      <x v="1"/>
    </i>
  </colItems>
  <pageFields count="2">
    <pageField fld="2" item="6" hier="-1"/>
    <pageField fld="3" item="7" hier="-1"/>
  </pageFields>
  <dataFields count="2">
    <dataField name="Somma di dimessi_guariti" fld="13" baseField="0" baseItem="0"/>
    <dataField name="Somma di deceduti" fld="14" baseField="0" baseItem="0"/>
  </dataFields>
  <formats count="12">
    <format dxfId="178">
      <pivotArea collapsedLevelsAreSubtotals="1" fieldPosition="0">
        <references count="1">
          <reference field="0" count="58"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</reference>
        </references>
      </pivotArea>
    </format>
    <format dxfId="177">
      <pivotArea collapsedLevelsAreSubtotals="1" fieldPosition="0">
        <references count="1">
          <reference field="0" count="1">
            <x v="113"/>
          </reference>
        </references>
      </pivotArea>
    </format>
    <format dxfId="176">
      <pivotArea collapsedLevelsAreSubtotals="1" fieldPosition="0">
        <references count="1">
          <reference field="0" count="1">
            <x v="114"/>
          </reference>
        </references>
      </pivotArea>
    </format>
    <format dxfId="175">
      <pivotArea collapsedLevelsAreSubtotals="1" fieldPosition="0">
        <references count="1">
          <reference field="0" count="1">
            <x v="115"/>
          </reference>
        </references>
      </pivotArea>
    </format>
    <format dxfId="174">
      <pivotArea collapsedLevelsAreSubtotals="1" fieldPosition="0">
        <references count="1">
          <reference field="0" count="1">
            <x v="116"/>
          </reference>
        </references>
      </pivotArea>
    </format>
    <format dxfId="173">
      <pivotArea collapsedLevelsAreSubtotals="1" fieldPosition="0">
        <references count="1">
          <reference field="0" count="1">
            <x v="117"/>
          </reference>
        </references>
      </pivotArea>
    </format>
    <format dxfId="172">
      <pivotArea collapsedLevelsAreSubtotals="1" fieldPosition="0">
        <references count="1">
          <reference field="0" count="13"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</reference>
        </references>
      </pivotArea>
    </format>
    <format dxfId="171">
      <pivotArea collapsedLevelsAreSubtotals="1" fieldPosition="0">
        <references count="1">
          <reference field="0" count="1">
            <x v="131"/>
          </reference>
        </references>
      </pivotArea>
    </format>
    <format dxfId="170">
      <pivotArea collapsedLevelsAreSubtotals="1" fieldPosition="0">
        <references count="1">
          <reference field="0" count="1">
            <x v="132"/>
          </reference>
        </references>
      </pivotArea>
    </format>
    <format dxfId="169">
      <pivotArea collapsedLevelsAreSubtotals="1" fieldPosition="0">
        <references count="1">
          <reference field="0" count="1">
            <x v="133"/>
          </reference>
        </references>
      </pivotArea>
    </format>
    <format dxfId="168">
      <pivotArea collapsedLevelsAreSubtotals="1" fieldPosition="0">
        <references count="1">
          <reference field="0" count="1">
            <x v="134"/>
          </reference>
        </references>
      </pivotArea>
    </format>
    <format dxfId="167">
      <pivotArea collapsedLevelsAreSubtotals="1" fieldPosition="0">
        <references count="1">
          <reference field="0" count="1">
            <x v="135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17" xr16:uid="{068865BD-44DE-4B41-8D06-0A65DC59696F}" autoFormatId="16" applyNumberFormats="0" applyBorderFormats="0" applyFontFormats="0" applyPatternFormats="0" applyAlignmentFormats="0" applyWidthHeightFormats="0">
  <queryTableRefresh nextId="99">
    <queryTableFields count="9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  <queryTableField id="32" name="Column32" tableColumnId="32"/>
      <queryTableField id="33" name="Column33" tableColumnId="33"/>
      <queryTableField id="34" name="Column34" tableColumnId="34"/>
      <queryTableField id="35" name="Column35" tableColumnId="35"/>
      <queryTableField id="36" name="Column36" tableColumnId="36"/>
      <queryTableField id="37" name="Column37" tableColumnId="37"/>
      <queryTableField id="38" name="Column38" tableColumnId="38"/>
      <queryTableField id="39" name="Column39" tableColumnId="39"/>
      <queryTableField id="40" name="Column40" tableColumnId="40"/>
      <queryTableField id="41" name="Column41" tableColumnId="41"/>
      <queryTableField id="42" name="Column42" tableColumnId="42"/>
      <queryTableField id="43" name="Column43" tableColumnId="43"/>
      <queryTableField id="44" name="Column44" tableColumnId="44"/>
      <queryTableField id="45" name="Column45" tableColumnId="45"/>
      <queryTableField id="46" name="Column46" tableColumnId="46"/>
      <queryTableField id="47" name="Column47" tableColumnId="47"/>
      <queryTableField id="48" name="Column48" tableColumnId="48"/>
      <queryTableField id="49" name="Column49" tableColumnId="49"/>
      <queryTableField id="50" name="Column50" tableColumnId="50"/>
      <queryTableField id="51" name="Column51" tableColumnId="51"/>
      <queryTableField id="52" name="Column52" tableColumnId="52"/>
      <queryTableField id="53" name="Column53" tableColumnId="53"/>
      <queryTableField id="54" name="Column54" tableColumnId="54"/>
      <queryTableField id="55" name="Column55" tableColumnId="55"/>
      <queryTableField id="56" name="Column56" tableColumnId="56"/>
      <queryTableField id="57" name="Column57" tableColumnId="57"/>
      <queryTableField id="58" name="Column58" tableColumnId="58"/>
      <queryTableField id="59" name="Column59" tableColumnId="59"/>
      <queryTableField id="60" name="Column60" tableColumnId="60"/>
      <queryTableField id="61" name="Column61" tableColumnId="61"/>
      <queryTableField id="62" name="Column62" tableColumnId="62"/>
      <queryTableField id="63" name="Column63" tableColumnId="63"/>
      <queryTableField id="64" name="Column64" tableColumnId="64"/>
      <queryTableField id="65" name="Column65" tableColumnId="65"/>
      <queryTableField id="66" name="Column66" tableColumnId="66"/>
      <queryTableField id="67" name="Column67" tableColumnId="67"/>
      <queryTableField id="68" name="Column68" tableColumnId="68"/>
      <queryTableField id="69" name="Column69" tableColumnId="69"/>
      <queryTableField id="70" name="Column70" tableColumnId="70"/>
      <queryTableField id="71" name="Column71" tableColumnId="71"/>
      <queryTableField id="72" name="Column72" tableColumnId="72"/>
      <queryTableField id="73" name="Column73" tableColumnId="73"/>
      <queryTableField id="74" name="Column74" tableColumnId="74"/>
      <queryTableField id="75" name="Column75" tableColumnId="75"/>
      <queryTableField id="76" name="Column76" tableColumnId="76"/>
      <queryTableField id="77" name="Column77" tableColumnId="77"/>
      <queryTableField id="78" name="Column78" tableColumnId="78"/>
      <queryTableField id="79" name="Column79" tableColumnId="79"/>
      <queryTableField id="80" name="Column80" tableColumnId="80"/>
      <queryTableField id="81" name="Column81" tableColumnId="81"/>
      <queryTableField id="82" name="Column82" tableColumnId="82"/>
      <queryTableField id="83" name="Column83" tableColumnId="83"/>
      <queryTableField id="84" name="Column84" tableColumnId="84"/>
      <queryTableField id="85" name="Column85" tableColumnId="85"/>
      <queryTableField id="86" name="Column86" tableColumnId="86"/>
      <queryTableField id="87" name="Column87" tableColumnId="87"/>
      <queryTableField id="88" name="Column88" tableColumnId="88"/>
      <queryTableField id="89" name="Column89" tableColumnId="89"/>
      <queryTableField id="90" name="Column90" tableColumnId="90"/>
      <queryTableField id="91" name="Column91" tableColumnId="91"/>
      <queryTableField id="92" name="Column92" tableColumnId="92"/>
      <queryTableField id="93" name="Column93" tableColumnId="93"/>
      <queryTableField id="94" name="Column94" tableColumnId="94"/>
      <queryTableField id="95" name="Column95" tableColumnId="95"/>
      <queryTableField id="96" name="Column96" tableColumnId="96"/>
      <queryTableField id="97" name="Column97" tableColumnId="97"/>
      <queryTableField id="98" name="Column98" tableColumnId="98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2" xr16:uid="{00189BA8-8873-404E-B164-FF83A5DE7C8F}" autoFormatId="16" applyNumberFormats="0" applyBorderFormats="0" applyFontFormats="0" applyPatternFormats="0" applyAlignmentFormats="0" applyWidthHeightFormats="0">
  <queryTableRefresh nextId="18">
    <queryTableFields count="16">
      <queryTableField id="1" name="data" tableColumnId="1"/>
      <queryTableField id="2" name="stato" tableColumnId="2"/>
      <queryTableField id="3" name="ricoverati_con_sintomi" tableColumnId="3"/>
      <queryTableField id="4" name="terapia_intensiva" tableColumnId="4"/>
      <queryTableField id="5" name="totale_ospedalizzati" tableColumnId="5"/>
      <queryTableField id="6" name="isolamento_domiciliare" tableColumnId="6"/>
      <queryTableField id="7" name="totale_positivi" tableColumnId="7"/>
      <queryTableField id="8" name="variazione_totale_positivi" tableColumnId="8"/>
      <queryTableField id="9" name="nuovi_positivi" tableColumnId="9"/>
      <queryTableField id="10" name="dimessi_guariti" tableColumnId="10"/>
      <queryTableField id="11" name="deceduti" tableColumnId="11"/>
      <queryTableField id="12" name="totale_casi" tableColumnId="12"/>
      <queryTableField id="13" name="tamponi" tableColumnId="13"/>
      <queryTableField id="14" name="casi_testati" tableColumnId="14"/>
      <queryTableField id="15" name="note_it" tableColumnId="15"/>
      <queryTableField id="16" name="note_en" tableColumnId="16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15" xr16:uid="{7BF24BE1-34AC-42F2-BA73-724CB82322A7}" autoFormatId="16" applyNumberFormats="0" applyBorderFormats="0" applyFontFormats="0" applyPatternFormats="0" applyAlignmentFormats="0" applyWidthHeightFormats="0">
  <queryTableRefresh nextId="21">
    <queryTableFields count="20">
      <queryTableField id="1" name="data" tableColumnId="1"/>
      <queryTableField id="2" name="stato" tableColumnId="2"/>
      <queryTableField id="3" name="codice_regione" tableColumnId="3"/>
      <queryTableField id="4" name="denominazione_regione" tableColumnId="4"/>
      <queryTableField id="5" name="lat" tableColumnId="5"/>
      <queryTableField id="6" name="long" tableColumnId="6"/>
      <queryTableField id="7" name="ricoverati_con_sintomi" tableColumnId="7"/>
      <queryTableField id="8" name="terapia_intensiva" tableColumnId="8"/>
      <queryTableField id="9" name="totale_ospedalizzati" tableColumnId="9"/>
      <queryTableField id="10" name="isolamento_domiciliare" tableColumnId="10"/>
      <queryTableField id="11" name="totale_positivi" tableColumnId="11"/>
      <queryTableField id="12" name="variazione_totale_positivi" tableColumnId="12"/>
      <queryTableField id="13" name="nuovi_positivi" tableColumnId="13"/>
      <queryTableField id="14" name="dimessi_guariti" tableColumnId="14"/>
      <queryTableField id="15" name="deceduti" tableColumnId="15"/>
      <queryTableField id="16" name="totale_casi" tableColumnId="16"/>
      <queryTableField id="17" name="tamponi" tableColumnId="17"/>
      <queryTableField id="18" name="casi_testati" tableColumnId="18"/>
      <queryTableField id="19" name="note_it" tableColumnId="19"/>
      <queryTableField id="20" name="note_en" tableColumnId="2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0967D779-74AE-4D7F-939F-0472C98A14C4}" name="time_series_covid19_confirmed_global" displayName="time_series_covid19_confirmed_global" ref="A1:CT266" tableType="queryTable" totalsRowShown="0">
  <autoFilter ref="A1:CT266" xr:uid="{4A48DFC3-0984-4E44-8277-EB498DAECED8}">
    <filterColumn colId="1">
      <filters>
        <filter val="Country/Region"/>
        <filter val="Italy"/>
      </filters>
    </filterColumn>
  </autoFilter>
  <tableColumns count="98">
    <tableColumn id="1" xr3:uid="{148BE2BF-26F9-492A-ACB8-6EB297845BC6}" uniqueName="1" name="Column1" queryTableFieldId="1" dataDxfId="290"/>
    <tableColumn id="2" xr3:uid="{052DBEFF-3B9B-47DB-8FB3-397439AB71C7}" uniqueName="2" name="Column2" queryTableFieldId="2" dataDxfId="289"/>
    <tableColumn id="3" xr3:uid="{E669234B-2AEB-4F57-8C5D-17FAF0F1CFBC}" uniqueName="3" name="Column3" queryTableFieldId="3" dataDxfId="288"/>
    <tableColumn id="4" xr3:uid="{40C81AE9-E9F1-4D7D-ACFE-18D9DB98259D}" uniqueName="4" name="Column4" queryTableFieldId="4" dataDxfId="287"/>
    <tableColumn id="5" xr3:uid="{A5010665-E8D1-4ED3-A97B-86B1164D5ACC}" uniqueName="5" name="Column5" queryTableFieldId="5" dataDxfId="286"/>
    <tableColumn id="6" xr3:uid="{38F861F8-6E8F-41CE-AFF5-8C4B0290C6F0}" uniqueName="6" name="Column6" queryTableFieldId="6" dataDxfId="285"/>
    <tableColumn id="7" xr3:uid="{FD528BAF-2E5C-4269-9D13-28FA5E8CB8CD}" uniqueName="7" name="Column7" queryTableFieldId="7" dataDxfId="284"/>
    <tableColumn id="8" xr3:uid="{DB131F84-35D5-4395-8E47-083FB0417CD8}" uniqueName="8" name="Column8" queryTableFieldId="8" dataDxfId="283"/>
    <tableColumn id="9" xr3:uid="{5EF4FD79-868A-47E4-8C21-73F06B602B6C}" uniqueName="9" name="Column9" queryTableFieldId="9" dataDxfId="282"/>
    <tableColumn id="10" xr3:uid="{7020651A-C043-40FC-99CA-A1D94E7E746F}" uniqueName="10" name="Column10" queryTableFieldId="10" dataDxfId="281"/>
    <tableColumn id="11" xr3:uid="{F7AD8950-CED8-438B-BAF7-15443C7E17A1}" uniqueName="11" name="Column11" queryTableFieldId="11" dataDxfId="280"/>
    <tableColumn id="12" xr3:uid="{05A510B4-B3D3-4667-B95D-BEA70773B1B0}" uniqueName="12" name="Column12" queryTableFieldId="12" dataDxfId="279"/>
    <tableColumn id="13" xr3:uid="{2CBD0A72-DB28-4200-A288-7F922A0A4C3E}" uniqueName="13" name="Column13" queryTableFieldId="13" dataDxfId="278"/>
    <tableColumn id="14" xr3:uid="{55C643F2-E931-4C1F-A43F-1B6C5ABE32E4}" uniqueName="14" name="Column14" queryTableFieldId="14" dataDxfId="277"/>
    <tableColumn id="15" xr3:uid="{44E37E34-9767-48A0-A1BE-0626B50EB6F6}" uniqueName="15" name="Column15" queryTableFieldId="15" dataDxfId="276"/>
    <tableColumn id="16" xr3:uid="{28B62929-53F4-4D57-814D-CDDD52EB420A}" uniqueName="16" name="Column16" queryTableFieldId="16" dataDxfId="275"/>
    <tableColumn id="17" xr3:uid="{76EAB580-FD56-4D5A-A6D7-B859CB1D7A5E}" uniqueName="17" name="Column17" queryTableFieldId="17" dataDxfId="274"/>
    <tableColumn id="18" xr3:uid="{D8B640AD-D4EF-47BD-BF9A-E114F57C73DB}" uniqueName="18" name="Column18" queryTableFieldId="18" dataDxfId="273"/>
    <tableColumn id="19" xr3:uid="{490F89FA-EC16-41A0-B036-82DF01785480}" uniqueName="19" name="Column19" queryTableFieldId="19" dataDxfId="272"/>
    <tableColumn id="20" xr3:uid="{A58AEDF3-BBDD-40E1-BCF7-4EF9FD408A6F}" uniqueName="20" name="Column20" queryTableFieldId="20" dataDxfId="271"/>
    <tableColumn id="21" xr3:uid="{74BAE563-6973-45EA-880C-80A8BD9A98D0}" uniqueName="21" name="Column21" queryTableFieldId="21" dataDxfId="270"/>
    <tableColumn id="22" xr3:uid="{B2E98618-640E-42D8-B756-A3E620533D7A}" uniqueName="22" name="Column22" queryTableFieldId="22" dataDxfId="269"/>
    <tableColumn id="23" xr3:uid="{ED469CF9-F673-4973-B012-6B246271CFFD}" uniqueName="23" name="Column23" queryTableFieldId="23" dataDxfId="268"/>
    <tableColumn id="24" xr3:uid="{831C69DA-4D20-4098-B824-8EB5A425DEF4}" uniqueName="24" name="Column24" queryTableFieldId="24" dataDxfId="267"/>
    <tableColumn id="25" xr3:uid="{276F9C50-1583-4E79-89B0-C464EB524758}" uniqueName="25" name="Column25" queryTableFieldId="25" dataDxfId="266"/>
    <tableColumn id="26" xr3:uid="{8DD8FF83-62A8-49A4-AD2E-0500F3DD3106}" uniqueName="26" name="Column26" queryTableFieldId="26" dataDxfId="265"/>
    <tableColumn id="27" xr3:uid="{68F257A6-FA0C-44C8-ABB2-3ED467858B5B}" uniqueName="27" name="Column27" queryTableFieldId="27" dataDxfId="264"/>
    <tableColumn id="28" xr3:uid="{A62A4C61-3128-47FA-955F-47CF0DE4D1C2}" uniqueName="28" name="Column28" queryTableFieldId="28" dataDxfId="263"/>
    <tableColumn id="29" xr3:uid="{C9E06EEC-DBC6-4198-944C-CA2C7F3D997F}" uniqueName="29" name="Column29" queryTableFieldId="29" dataDxfId="262"/>
    <tableColumn id="30" xr3:uid="{562ED4BA-02D1-432F-AB37-3A16F7F186B7}" uniqueName="30" name="Column30" queryTableFieldId="30" dataDxfId="261"/>
    <tableColumn id="31" xr3:uid="{21C0B22E-874F-4F57-B12A-B0AA5E237327}" uniqueName="31" name="Column31" queryTableFieldId="31" dataDxfId="260"/>
    <tableColumn id="32" xr3:uid="{B19E4A04-5FFA-465E-BB43-FC13AF549471}" uniqueName="32" name="Column32" queryTableFieldId="32" dataDxfId="259"/>
    <tableColumn id="33" xr3:uid="{52FF6019-9DB3-465F-8C17-E90ECB3C1649}" uniqueName="33" name="Column33" queryTableFieldId="33" dataDxfId="258"/>
    <tableColumn id="34" xr3:uid="{076245EA-901F-44DA-AAF1-60AEBD9A2A5F}" uniqueName="34" name="Column34" queryTableFieldId="34" dataDxfId="257"/>
    <tableColumn id="35" xr3:uid="{1D6B3D6D-CD5D-407B-939A-CD03C265E38B}" uniqueName="35" name="Column35" queryTableFieldId="35" dataDxfId="256"/>
    <tableColumn id="36" xr3:uid="{95F10FBD-FBAD-4B7C-850A-BE7304DB6453}" uniqueName="36" name="Column36" queryTableFieldId="36" dataDxfId="255"/>
    <tableColumn id="37" xr3:uid="{DCF4CE06-3527-4277-BB1E-878BFB0F2372}" uniqueName="37" name="Column37" queryTableFieldId="37" dataDxfId="254"/>
    <tableColumn id="38" xr3:uid="{68DEE0AA-CE4F-4937-BA93-5C09CB4F407E}" uniqueName="38" name="Column38" queryTableFieldId="38" dataDxfId="253"/>
    <tableColumn id="39" xr3:uid="{A1635DCA-8C48-4C00-A813-19A5D12ED68E}" uniqueName="39" name="Column39" queryTableFieldId="39" dataDxfId="252"/>
    <tableColumn id="40" xr3:uid="{6B57463E-82D6-42D3-AB6A-E67945C5F150}" uniqueName="40" name="Column40" queryTableFieldId="40" dataDxfId="251"/>
    <tableColumn id="41" xr3:uid="{2DD99B9E-D2F8-46E8-ADD9-A4E6888CC610}" uniqueName="41" name="Column41" queryTableFieldId="41" dataDxfId="250"/>
    <tableColumn id="42" xr3:uid="{07E79799-D2CC-411C-9FF1-E3F237D74CBD}" uniqueName="42" name="Column42" queryTableFieldId="42" dataDxfId="249"/>
    <tableColumn id="43" xr3:uid="{D782A507-BAF0-4DA5-997D-FFAE2F6584A2}" uniqueName="43" name="Column43" queryTableFieldId="43" dataDxfId="248"/>
    <tableColumn id="44" xr3:uid="{7F32FAC7-59FA-4C3B-ACEE-057FCD2A4484}" uniqueName="44" name="Column44" queryTableFieldId="44" dataDxfId="247"/>
    <tableColumn id="45" xr3:uid="{EEFD5EE0-34FB-48B4-88D8-5F1B5600A79A}" uniqueName="45" name="Column45" queryTableFieldId="45" dataDxfId="246"/>
    <tableColumn id="46" xr3:uid="{D9B44C04-68CA-4C03-A97E-FABB58A22A4B}" uniqueName="46" name="Column46" queryTableFieldId="46" dataDxfId="245"/>
    <tableColumn id="47" xr3:uid="{3C4850A4-18AC-4CCA-B088-9A692E3B4D46}" uniqueName="47" name="Column47" queryTableFieldId="47" dataDxfId="244"/>
    <tableColumn id="48" xr3:uid="{9A57DB29-2159-4FF9-A25C-FD402226DD0F}" uniqueName="48" name="Column48" queryTableFieldId="48" dataDxfId="243"/>
    <tableColumn id="49" xr3:uid="{A2FFED32-741F-4F9E-8CAE-476C64A43917}" uniqueName="49" name="Column49" queryTableFieldId="49" dataDxfId="242"/>
    <tableColumn id="50" xr3:uid="{992C1CD8-9B8C-430F-805C-E574C41A827E}" uniqueName="50" name="Column50" queryTableFieldId="50" dataDxfId="241"/>
    <tableColumn id="51" xr3:uid="{C0AF97FE-8FB4-499D-86D8-E27DFE13E768}" uniqueName="51" name="Column51" queryTableFieldId="51" dataDxfId="240"/>
    <tableColumn id="52" xr3:uid="{B1E83CBF-8A74-4E8C-B648-FFB09F246443}" uniqueName="52" name="Column52" queryTableFieldId="52" dataDxfId="239"/>
    <tableColumn id="53" xr3:uid="{DB14E96F-2BE4-433B-9B55-B2F2859396D2}" uniqueName="53" name="Column53" queryTableFieldId="53" dataDxfId="238"/>
    <tableColumn id="54" xr3:uid="{B6FC09E3-8EF1-4CA1-BCA1-BFB6BC1BD682}" uniqueName="54" name="Column54" queryTableFieldId="54" dataDxfId="237"/>
    <tableColumn id="55" xr3:uid="{552C4D39-A801-41C5-BFDD-61DEEA3D4E7E}" uniqueName="55" name="Column55" queryTableFieldId="55" dataDxfId="236"/>
    <tableColumn id="56" xr3:uid="{DD3AF5A5-6F96-40CC-A4D2-D183D502AB47}" uniqueName="56" name="Column56" queryTableFieldId="56" dataDxfId="235"/>
    <tableColumn id="57" xr3:uid="{28CAB7DA-C674-4811-A07C-EC5174D8E240}" uniqueName="57" name="Column57" queryTableFieldId="57" dataDxfId="234"/>
    <tableColumn id="58" xr3:uid="{BE7B1D9D-195A-44AD-BBBD-6E14D5A63496}" uniqueName="58" name="Column58" queryTableFieldId="58" dataDxfId="233"/>
    <tableColumn id="59" xr3:uid="{8C34A3CE-B862-414E-93DA-118BE278A02F}" uniqueName="59" name="Column59" queryTableFieldId="59" dataDxfId="232"/>
    <tableColumn id="60" xr3:uid="{0EB2E1AC-FC20-4D13-9E56-63C7D3C758BD}" uniqueName="60" name="Column60" queryTableFieldId="60" dataDxfId="231"/>
    <tableColumn id="61" xr3:uid="{99087620-7A35-49C4-A2E5-DB3A5261317C}" uniqueName="61" name="Column61" queryTableFieldId="61" dataDxfId="230"/>
    <tableColumn id="62" xr3:uid="{ED5AE7BC-E80E-481A-8C49-6ABC3B3968E9}" uniqueName="62" name="Column62" queryTableFieldId="62" dataDxfId="229"/>
    <tableColumn id="63" xr3:uid="{F8280355-FA40-42DB-965B-3464C85B49D5}" uniqueName="63" name="Column63" queryTableFieldId="63" dataDxfId="228"/>
    <tableColumn id="64" xr3:uid="{F2418127-D014-4067-B107-C78C140B00C6}" uniqueName="64" name="Column64" queryTableFieldId="64" dataDxfId="227"/>
    <tableColumn id="65" xr3:uid="{F0E3F92E-1444-409E-887A-859634E088BB}" uniqueName="65" name="Column65" queryTableFieldId="65" dataDxfId="226"/>
    <tableColumn id="66" xr3:uid="{C6BFA776-5E27-4A98-861E-69EDB62DF652}" uniqueName="66" name="Column66" queryTableFieldId="66" dataDxfId="225"/>
    <tableColumn id="67" xr3:uid="{37392868-CE32-47E3-9EBB-7FDB898DF345}" uniqueName="67" name="Column67" queryTableFieldId="67" dataDxfId="224"/>
    <tableColumn id="68" xr3:uid="{DBE13BEF-A7B4-464A-8759-557A1498E393}" uniqueName="68" name="Column68" queryTableFieldId="68" dataDxfId="223"/>
    <tableColumn id="69" xr3:uid="{84869D7A-2B6F-48ED-A53D-052BEE671F8F}" uniqueName="69" name="Column69" queryTableFieldId="69" dataDxfId="222"/>
    <tableColumn id="70" xr3:uid="{2153FAE8-E048-496E-8872-80091449CB2A}" uniqueName="70" name="Column70" queryTableFieldId="70" dataDxfId="221"/>
    <tableColumn id="71" xr3:uid="{F16A0634-21F6-4BA9-BE1A-331EBA4E42CC}" uniqueName="71" name="Column71" queryTableFieldId="71" dataDxfId="220"/>
    <tableColumn id="72" xr3:uid="{91E13775-282B-44A5-B090-BAAD6CE14739}" uniqueName="72" name="Column72" queryTableFieldId="72" dataDxfId="219"/>
    <tableColumn id="73" xr3:uid="{31C9BBFA-5F48-41FF-A6BD-18E0870C8372}" uniqueName="73" name="Column73" queryTableFieldId="73" dataDxfId="218"/>
    <tableColumn id="74" xr3:uid="{3739070E-FEC8-41B4-A012-66BD64645263}" uniqueName="74" name="Column74" queryTableFieldId="74" dataDxfId="217"/>
    <tableColumn id="75" xr3:uid="{AB11DF51-07F2-4C4E-AC22-81A7CAB0871D}" uniqueName="75" name="Column75" queryTableFieldId="75" dataDxfId="216"/>
    <tableColumn id="76" xr3:uid="{D7A188E8-CF02-4EE6-BB4C-2F331E85B374}" uniqueName="76" name="Column76" queryTableFieldId="76" dataDxfId="215"/>
    <tableColumn id="77" xr3:uid="{50F0B1CB-0C35-4821-9ACF-DC2679AC194D}" uniqueName="77" name="Column77" queryTableFieldId="77" dataDxfId="214"/>
    <tableColumn id="78" xr3:uid="{5AB67DA2-FC6D-488B-ACB9-7C199D1611BA}" uniqueName="78" name="Column78" queryTableFieldId="78" dataDxfId="213"/>
    <tableColumn id="79" xr3:uid="{BC709710-CF6F-4BBE-B13D-93DBADBDF7CC}" uniqueName="79" name="Column79" queryTableFieldId="79" dataDxfId="212"/>
    <tableColumn id="80" xr3:uid="{D409598C-480C-4575-BD6E-24F377A55738}" uniqueName="80" name="Column80" queryTableFieldId="80" dataDxfId="211"/>
    <tableColumn id="81" xr3:uid="{29F1A8E9-1946-4762-844B-85E3BD464D4E}" uniqueName="81" name="Column81" queryTableFieldId="81" dataDxfId="210"/>
    <tableColumn id="82" xr3:uid="{51C8C840-6D59-41D0-9BA5-A7587349955C}" uniqueName="82" name="Column82" queryTableFieldId="82" dataDxfId="209"/>
    <tableColumn id="83" xr3:uid="{C0B4AD81-72D6-499D-83BB-4E1CD2D2C467}" uniqueName="83" name="Column83" queryTableFieldId="83" dataDxfId="208"/>
    <tableColumn id="84" xr3:uid="{FB379548-157F-4309-AC70-EF805CEB817B}" uniqueName="84" name="Column84" queryTableFieldId="84" dataDxfId="207"/>
    <tableColumn id="85" xr3:uid="{4A3485F0-B1E3-4310-A9F6-707CF5D1CA83}" uniqueName="85" name="Column85" queryTableFieldId="85" dataDxfId="206"/>
    <tableColumn id="86" xr3:uid="{F93380DA-9761-45AD-83BC-BA721BF6937B}" uniqueName="86" name="Column86" queryTableFieldId="86" dataDxfId="205"/>
    <tableColumn id="87" xr3:uid="{95ADB596-3D66-413E-86E9-1907052905AD}" uniqueName="87" name="Column87" queryTableFieldId="87" dataDxfId="204"/>
    <tableColumn id="88" xr3:uid="{32BC6DF1-F486-476F-A226-E664119B552F}" uniqueName="88" name="Column88" queryTableFieldId="88" dataDxfId="203"/>
    <tableColumn id="89" xr3:uid="{8B5CE1D1-9B24-48A4-A451-69F42020789F}" uniqueName="89" name="Column89" queryTableFieldId="89" dataDxfId="202"/>
    <tableColumn id="90" xr3:uid="{DE96CE83-D562-4160-A543-08778B58C748}" uniqueName="90" name="Column90" queryTableFieldId="90" dataDxfId="201"/>
    <tableColumn id="91" xr3:uid="{7E508C88-20A4-4EDF-8779-2C5520B2EE17}" uniqueName="91" name="Column91" queryTableFieldId="91" dataDxfId="200"/>
    <tableColumn id="92" xr3:uid="{5740E1CC-5660-48ED-8327-82B06C5A0C53}" uniqueName="92" name="Column92" queryTableFieldId="92" dataDxfId="199"/>
    <tableColumn id="93" xr3:uid="{E152ED93-98B0-48D4-ACAF-1F9A14E63131}" uniqueName="93" name="Column93" queryTableFieldId="93" dataDxfId="198"/>
    <tableColumn id="94" xr3:uid="{04D2E53B-68DF-4AD0-9076-3A3EF959206D}" uniqueName="94" name="Column94" queryTableFieldId="94" dataDxfId="197"/>
    <tableColumn id="95" xr3:uid="{B85B9114-E02D-4E70-91EB-2B36942D9B34}" uniqueName="95" name="Column95" queryTableFieldId="95" dataDxfId="196"/>
    <tableColumn id="96" xr3:uid="{0C9EF96D-8CE9-4C0A-8EF1-1EDC8AECB626}" uniqueName="96" name="Column96" queryTableFieldId="96" dataDxfId="195"/>
    <tableColumn id="97" xr3:uid="{DE86C336-9274-457E-B3EE-1D503B21AD35}" uniqueName="97" name="Column97" queryTableFieldId="97" dataDxfId="194"/>
    <tableColumn id="98" xr3:uid="{4EBD33D1-BE7E-4C7B-B5C4-768594BBCBED}" uniqueName="98" name="Column98" queryTableFieldId="98" dataDxfId="19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E304B03-58B1-434D-A307-5884EC3F41EC}" name="dpc_covid19_ita_andamento_nazionale__10" displayName="dpc_covid19_ita_andamento_nazionale__10" ref="A1:P83" tableType="queryTable" totalsRowShown="0">
  <autoFilter ref="A1:P83" xr:uid="{D0A1C8D8-5217-433D-99F5-8999CDDB2081}"/>
  <tableColumns count="16">
    <tableColumn id="1" xr3:uid="{6CCD7585-D8F9-4107-B9DC-D4B81DE6869B}" uniqueName="1" name="data" queryTableFieldId="1" dataDxfId="192"/>
    <tableColumn id="2" xr3:uid="{9B9CC325-AF99-4169-8709-CD8722606075}" uniqueName="2" name="stato" queryTableFieldId="2" dataDxfId="191"/>
    <tableColumn id="3" xr3:uid="{0F7390E4-FC30-4FA0-ABC2-20FBC8554A3E}" uniqueName="3" name="ricoverati_con_sintomi" queryTableFieldId="3"/>
    <tableColumn id="4" xr3:uid="{EFB9D222-FCCF-4564-8D4F-BDA9D67FDD44}" uniqueName="4" name="terapia_intensiva" queryTableFieldId="4"/>
    <tableColumn id="5" xr3:uid="{6D12266C-9B57-489D-AAEF-8B6925ED7394}" uniqueName="5" name="totale_ospedalizzati" queryTableFieldId="5"/>
    <tableColumn id="6" xr3:uid="{E49546B6-B8DD-4186-9897-0EE57E71AEB2}" uniqueName="6" name="isolamento_domiciliare" queryTableFieldId="6"/>
    <tableColumn id="7" xr3:uid="{DCB4CA99-F372-44FE-B61A-6CD1F9F07E4C}" uniqueName="7" name="totale_positivi" queryTableFieldId="7"/>
    <tableColumn id="8" xr3:uid="{6FD59F08-149C-4AA0-B320-971CE8C15CC7}" uniqueName="8" name="variazione_totale_positivi" queryTableFieldId="8"/>
    <tableColumn id="9" xr3:uid="{9EC6A8A3-B733-4C1D-BD0D-8FE69A76A9BA}" uniqueName="9" name="nuovi_positivi" queryTableFieldId="9"/>
    <tableColumn id="10" xr3:uid="{CF27497F-0A64-41C5-9B44-8C94C11DC85D}" uniqueName="10" name="dimessi_guariti" queryTableFieldId="10"/>
    <tableColumn id="11" xr3:uid="{3ADD8D45-1A3A-45D6-AF7F-67A7A549A7C4}" uniqueName="11" name="deceduti" queryTableFieldId="11"/>
    <tableColumn id="12" xr3:uid="{F5B96566-CBEF-4890-9D4B-541F3368EA42}" uniqueName="12" name="totale_casi" queryTableFieldId="12"/>
    <tableColumn id="13" xr3:uid="{AE9978E1-6083-450C-BD9E-CB7E6AD04A80}" uniqueName="13" name="tamponi" queryTableFieldId="13"/>
    <tableColumn id="14" xr3:uid="{6E747CBF-3394-4EBC-A4D1-269288E2F3EF}" uniqueName="14" name="casi_testati" queryTableFieldId="14"/>
    <tableColumn id="15" xr3:uid="{65179596-E7A1-415E-9B3C-CB93EC289043}" uniqueName="15" name="note_it" queryTableFieldId="15" dataDxfId="190"/>
    <tableColumn id="16" xr3:uid="{6E80C55E-74BA-4347-AC20-1BE816E48DA4}" uniqueName="16" name="note_en" queryTableFieldId="16" dataDxfId="189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98A372B-C79B-43CF-916B-2932AEA1D7F5}" name="dpc_covid19_ita_regioni__5" displayName="dpc_covid19_ita_regioni__5" ref="A1:T1702" tableType="queryTable" totalsRowShown="0">
  <autoFilter ref="A1:T1702" xr:uid="{75A0E3AA-1478-411F-B1DA-A76ABEB50CF9}"/>
  <tableColumns count="20">
    <tableColumn id="1" xr3:uid="{B2AE65BE-C010-4297-A190-279E9C24A4E9}" uniqueName="1" name="data" queryTableFieldId="1" dataDxfId="188"/>
    <tableColumn id="2" xr3:uid="{F043FB76-ED52-4FD4-B68E-63BDFA884DF7}" uniqueName="2" name="stato" queryTableFieldId="2" dataDxfId="187"/>
    <tableColumn id="3" xr3:uid="{8AFF2BE5-1C19-4C87-B5C3-9873157F277C}" uniqueName="3" name="codice_regione" queryTableFieldId="3"/>
    <tableColumn id="4" xr3:uid="{828A29A3-72A4-4174-BA61-C6F6C5B03DFB}" uniqueName="4" name="denominazione_regione" queryTableFieldId="4" dataDxfId="186"/>
    <tableColumn id="5" xr3:uid="{723CDCA5-0A61-419E-B8FD-F32448F89D3F}" uniqueName="5" name="lat" queryTableFieldId="5"/>
    <tableColumn id="6" xr3:uid="{435F10C2-6A54-4120-AD20-E64A3F7341EC}" uniqueName="6" name="long" queryTableFieldId="6"/>
    <tableColumn id="7" xr3:uid="{C56DFCEE-E96D-4BCC-A5BB-C09FC28C79BF}" uniqueName="7" name="ricoverati_con_sintomi" queryTableFieldId="7"/>
    <tableColumn id="8" xr3:uid="{50828B0E-9EA7-49EE-9DC3-AB274E03EA84}" uniqueName="8" name="terapia_intensiva" queryTableFieldId="8"/>
    <tableColumn id="9" xr3:uid="{987D9834-4F67-4005-9EBC-708453CB78A0}" uniqueName="9" name="totale_ospedalizzati" queryTableFieldId="9"/>
    <tableColumn id="10" xr3:uid="{72EAD90E-733C-4CC0-A804-F83500F9C514}" uniqueName="10" name="isolamento_domiciliare" queryTableFieldId="10"/>
    <tableColumn id="11" xr3:uid="{814E19E9-FA4C-40C1-BCB3-25EE2B572A81}" uniqueName="11" name="totale_positivi" queryTableFieldId="11"/>
    <tableColumn id="12" xr3:uid="{AE495C48-67F8-422C-8D0A-0B76AE6197A9}" uniqueName="12" name="variazione_totale_positivi" queryTableFieldId="12"/>
    <tableColumn id="13" xr3:uid="{8B3C648B-B3AA-4EFE-BE81-EF3382712837}" uniqueName="13" name="nuovi_positivi" queryTableFieldId="13"/>
    <tableColumn id="14" xr3:uid="{7421AD8A-A131-49D3-ADE0-A207BF696575}" uniqueName="14" name="dimessi_guariti" queryTableFieldId="14"/>
    <tableColumn id="15" xr3:uid="{4FDFF7B3-5C5D-4166-87BE-9C57FC04AA9D}" uniqueName="15" name="deceduti" queryTableFieldId="15"/>
    <tableColumn id="16" xr3:uid="{CC39D5E3-EBEA-41FF-A3B2-80AA75A37699}" uniqueName="16" name="totale_casi" queryTableFieldId="16"/>
    <tableColumn id="17" xr3:uid="{5279F774-40CB-4118-9261-F861BE73B1A0}" uniqueName="17" name="tamponi" queryTableFieldId="17"/>
    <tableColumn id="18" xr3:uid="{2967A89F-425E-4DD4-88D8-18F1DB2A5FC7}" uniqueName="18" name="casi_testati" queryTableFieldId="18" dataDxfId="185"/>
    <tableColumn id="19" xr3:uid="{C5A03D33-10A8-4F81-82C2-B88811DA4B48}" uniqueName="19" name="note_it" queryTableFieldId="19" dataDxfId="184"/>
    <tableColumn id="20" xr3:uid="{FB809515-6F16-4BCF-A791-6216B35F8D02}" uniqueName="20" name="note_en" queryTableFieldId="20" dataDxfId="183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284AB5DF-A51B-4738-AB16-BE48A7BDA5F1}" name="Tabella8" displayName="Tabella8" ref="B7:AA184" totalsRowShown="0" headerRowDxfId="166">
  <autoFilter ref="B7:AA184" xr:uid="{3FC8D4CB-1CF6-4469-84DF-7F0ECB3BF752}"/>
  <tableColumns count="26">
    <tableColumn id="1" xr3:uid="{23135A61-F766-418E-98E1-4B28EB0245EB}" name="Date" dataDxfId="165"/>
    <tableColumn id="2" xr3:uid="{9D31CCAA-E745-495E-AC65-4EE7E5B7C948}" name="Day" dataDxfId="164"/>
    <tableColumn id="3" xr3:uid="{FA8347E6-D263-402C-B119-75408FAF2DAC}" name="Italy cumulative" dataDxfId="163"/>
    <tableColumn id="16" xr3:uid="{8C3FDD01-6166-4DD6-9069-BBFB3B31CBAB}" name="Colonna1" dataDxfId="162">
      <calculatedColumnFormula>Tabella8[[#This Row],[Italy cumulative]]*NOT(ISBLANK(Tabella8[[#This Row],[Italy cumulative]]))</calculatedColumnFormula>
    </tableColumn>
    <tableColumn id="4" xr3:uid="{431A9A26-9F76-4785-835A-2254CAAB0D9D}" name="Italy sum of regions" dataDxfId="161">
      <calculatedColumnFormula>Tabella8[[#This Row],[region fit]]+Tabella8[[#This Row],[rest of Italy fit]]</calculatedColumnFormula>
    </tableColumn>
    <tableColumn id="23" xr3:uid="{8205D785-66A4-4A16-AB9A-6AEDEE06C465}" name="Italiy sum of regions  (Norm.)" dataDxfId="160">
      <calculatedColumnFormula>Tabella8[[#This Row],[Italy sum of regions]]/K_sum</calculatedColumnFormula>
    </tableColumn>
    <tableColumn id="17" xr3:uid="{C448742E-FAE5-406F-BB11-395AB7117427}" name="Colonna2" dataDxfId="159">
      <calculatedColumnFormula>Tabella8[[#This Row],[Italy sum of regions]]*NOT(ISBLANK(Tabella8[[#This Row],[Italy cumulative]]))</calculatedColumnFormula>
    </tableColumn>
    <tableColumn id="15" xr3:uid="{EBAC123C-04E4-45BF-87F2-E1463644B09E}" name="Italy fit" dataDxfId="158">
      <calculatedColumnFormula>MAX(Kt*(TANH(psi_t*(Tabella8[[#This Row],[Day]]-pt)-phi_t)+TANH(phi_t))/(1+TANH(phi_t)),0)</calculatedColumnFormula>
    </tableColumn>
    <tableColumn id="24" xr3:uid="{EAFABED2-6A06-4D2D-B725-ED92B18FE0F8}" name="Italy fit (Norm:)" dataDxfId="157">
      <calculatedColumnFormula>Tabella8[[#This Row],[Italy fit]]/Kt</calculatedColumnFormula>
    </tableColumn>
    <tableColumn id="18" xr3:uid="{BB0581BF-B4E8-454D-A58F-7896262EF839}" name="Colonna3" dataDxfId="156">
      <calculatedColumnFormula>Tabella8[[#This Row],[Italy fit]]*NOT(ISBLANK(Tabella8[[#This Row],[Italy cumulative]]))</calculatedColumnFormula>
    </tableColumn>
    <tableColumn id="5" xr3:uid="{550811E3-8896-4BC4-AAEC-1710448F78AA}" name="Upper CI"/>
    <tableColumn id="6" xr3:uid="{F0106795-FAF2-43DF-AAD9-462CC01A471A}" name="Lower CI"/>
    <tableColumn id="7" xr3:uid="{8C9D201A-E2D1-4561-B557-E6BA56D2D6CB}" name="region data" dataCellStyle="20% - Colore 2"/>
    <tableColumn id="19" xr3:uid="{F96B47FC-7C3A-47A5-B0B6-FBBA6A0E9F53}" name="Colonna4" dataDxfId="155">
      <calculatedColumnFormula>Tabella8[[#This Row],[region data]]*NOT(ISBLANK(Tabella8[[#This Row],[region data]]))</calculatedColumnFormula>
    </tableColumn>
    <tableColumn id="8" xr3:uid="{FFDFB21E-6B95-4CB3-BEAA-17A88953AF1A}" name="region fit" dataDxfId="154">
      <calculatedColumnFormula>MAX(Kr*(TANH(psi_r*(Tabella8[[#This Row],[Day]]-pr)-phi_r)+TANH(phi_r))/(1+TANH(phi_r)),0)</calculatedColumnFormula>
    </tableColumn>
    <tableColumn id="25" xr3:uid="{415E3992-2D3B-4B08-B52A-BA7EDE1B22D0}" name="region fit (Norm.)" dataDxfId="153">
      <calculatedColumnFormula>Tabella8[[#This Row],[region fit]]/Kr</calculatedColumnFormula>
    </tableColumn>
    <tableColumn id="20" xr3:uid="{E0C56B36-41D5-4E63-90C0-BEF19D5CF307}" name="Colonna5" dataDxfId="152">
      <calculatedColumnFormula>Tabella8[[#This Row],[region fit]]*NOT(ISBLANK(Tabella8[[#This Row],[region data]]))</calculatedColumnFormula>
    </tableColumn>
    <tableColumn id="9" xr3:uid="{533A3700-CD36-454E-A89A-C109A0EC8C3A}" name="r. Upper CI"/>
    <tableColumn id="10" xr3:uid="{12B05D41-F2C4-4C50-A981-70A91E9E3202}" name="r. Lower CI"/>
    <tableColumn id="11" xr3:uid="{3FA757E2-8271-45DD-9111-95AF881C9386}" name="rest of Italy "/>
    <tableColumn id="21" xr3:uid="{0719E832-0DD9-4597-8E36-C5D928E8918B}" name="Colonna6" dataDxfId="151">
      <calculatedColumnFormula>Tabella8[[#This Row],[rest of Italy ]]*NOT(ISBLANK(Tabella8[[#This Row],[rest of Italy ]]))</calculatedColumnFormula>
    </tableColumn>
    <tableColumn id="12" xr3:uid="{1A679F42-1D8C-44C1-8ADC-80EE4031BF33}" name="rest of Italy fit" dataDxfId="150">
      <calculatedColumnFormula>MAX(Ko*(TANH(psi_o*(Tabella8[[#This Row],[Day]]-po)-phi_o)+TANH(phi_o))/(1+TANH(phi_o)),0)</calculatedColumnFormula>
    </tableColumn>
    <tableColumn id="26" xr3:uid="{38CEE2F0-2DCF-4937-B752-21D39BEAB993}" name="rest of Italy fit (Norm.)" dataDxfId="149">
      <calculatedColumnFormula>Tabella8[[#This Row],[rest of Italy fit]]/Ko</calculatedColumnFormula>
    </tableColumn>
    <tableColumn id="22" xr3:uid="{D4BF3042-F3E5-4A11-865A-5C285EB3D460}" name="Colonna7" dataDxfId="148">
      <calculatedColumnFormula>Tabella8[[#This Row],[rest of Italy fit]]*NOT(ISBLANK(Tabella8[[#This Row],[rest of Italy ]]))</calculatedColumnFormula>
    </tableColumn>
    <tableColumn id="13" xr3:uid="{54A7DA70-4460-43AF-B70E-E5EF3A27B840}" name="o.r. Upper CI"/>
    <tableColumn id="14" xr3:uid="{25E38CCB-32DC-4A49-8487-A107F991A720}" name="o.r. Lower CI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84A45A35-CC62-4741-AD97-3C6F9EA2CB45}" name="Tabella9" displayName="Tabella9" ref="AC7:AD17" totalsRowShown="0" headerRowDxfId="147" dataDxfId="146">
  <autoFilter ref="AC7:AD17" xr:uid="{FE44A3F6-B4C2-400B-AA9A-283E33E9F7C7}"/>
  <tableColumns count="2">
    <tableColumn id="1" xr3:uid="{D2583FE2-794A-4D14-88A1-0EEE16DA7363}" name="Whole country sum" dataDxfId="145"/>
    <tableColumn id="2" xr3:uid="{7AD72336-12D4-4A52-8169-8B6FC2AAA773}" name="Italy sum" dataDxfId="144"/>
  </tableColumns>
  <tableStyleInfo name="TableStyleLight1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AF571018-7DE3-4940-8B14-587C648D5781}" name="Tabella10" displayName="Tabella10" ref="AC18:AD28" totalsRowShown="0">
  <autoFilter ref="AC18:AD28" xr:uid="{6BBACF2F-9411-42AE-88CD-B6A5D694B764}"/>
  <tableColumns count="2">
    <tableColumn id="1" xr3:uid="{FAA10416-F4E0-4435-B099-FD9F2014709E}" name="region" dataDxfId="143"/>
    <tableColumn id="2" xr3:uid="{4B3DF482-3E70-4077-90EF-F4C6D02D2F19}" name="region fit"/>
  </tableColumns>
  <tableStyleInfo name="TableStyleLight3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84978F66-0F21-4962-BBAD-9DAEEF95C128}" name="Tabella11" displayName="Tabella11" ref="AC29:AD39" totalsRowShown="0" headerRowDxfId="142">
  <autoFilter ref="AC29:AD39" xr:uid="{4F62C887-D7E5-4422-A98B-007740B545EB}"/>
  <tableColumns count="2">
    <tableColumn id="1" xr3:uid="{BDF94A07-4A3B-4AEE-A628-F130488AED7A}" name="outside" dataDxfId="141"/>
    <tableColumn id="2" xr3:uid="{04EF7C50-030F-4875-86E2-1A44649EFD46}" name="rest of Italy"/>
  </tableColumns>
  <tableStyleInfo name="TableStyleLight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B1AE4D46-C6A2-4E06-8024-F6AAD11361A6}" name="Tabella913" displayName="Tabella913" ref="AC40:AD50" totalsRowShown="0">
  <autoFilter ref="AC40:AD50" xr:uid="{3ED27504-5203-423C-8078-DD3D337178D4}"/>
  <tableColumns count="2">
    <tableColumn id="1" xr3:uid="{68D94B9C-FC79-4691-B5B2-5566913F6A46}" name="Whole country fit" dataDxfId="140"/>
    <tableColumn id="2" xr3:uid="{12ECD97A-4CBF-4516-9545-EA45C2E69AA0}" name="Italy fit"/>
  </tableColumns>
  <tableStyleInfo name="TableStyleLight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13C43434-F9AD-405C-8D9B-7469933A0BF3}" name="Tabella3" displayName="Tabella3" ref="B7:AP281" totalsRowShown="0" headerRowDxfId="128">
  <autoFilter ref="B7:AP281" xr:uid="{5E78D83D-6C25-40E0-A2DB-B68F6AAB46EA}"/>
  <tableColumns count="41">
    <tableColumn id="1" xr3:uid="{AC9FAB61-B731-40E3-83D5-22123EF8AE0D}" name="Date" dataDxfId="127"/>
    <tableColumn id="2" xr3:uid="{AB3B8E39-CEE3-43EE-B1A6-8D28135CAFC6}" name="Day" dataDxfId="126"/>
    <tableColumn id="3" xr3:uid="{DDACA13A-A286-4F18-9A4D-05064582A36A}" name="Italy cumul. data"/>
    <tableColumn id="4" xr3:uid="{4A764917-3626-4415-9B41-E9B90EFD7FA4}" name="Italy remov. rate data" dataDxfId="125"/>
    <tableColumn id="21" xr3:uid="{C976B52B-2786-4CB4-B206-E98A3E1A4632}" name="Colonna1" dataDxfId="124">
      <calculatedColumnFormula>Tabella3[[#This Row],[Italy remov. rate data]]*NOT(ISBLANK(Tabella3[[#This Row],[Italy remov. rate data]]))</calculatedColumnFormula>
    </tableColumn>
    <tableColumn id="5" xr3:uid="{3DBA7757-647A-453D-A0D3-43B83465DD6F}" name="Italy cumul. fit" dataDxfId="123">
      <calculatedColumnFormula>Tabella3[[#This Row],[region cumul. fit]]+Tabella3[[#This Row],[rest of Italy cumul. fit]]</calculatedColumnFormula>
    </tableColumn>
    <tableColumn id="30" xr3:uid="{19173AC9-DD3B-48D8-BD27-B959B4943117}" name="Italy cum. fit (Norm.)" dataDxfId="122">
      <calculatedColumnFormula>Tabella3[[#This Row],[Italy cumul. fit]]/Kf</calculatedColumnFormula>
    </tableColumn>
    <tableColumn id="6" xr3:uid="{ADF84F98-C9B1-4D4E-965D-1E7BE56AE313}" name="Italy (fit of selected region + fitted sum of the other regions)" dataDxfId="121">
      <calculatedColumnFormula>Tabella3[[#This Row],[region fit]]+Tabella3[[#This Row],[rest of Italy fit]]</calculatedColumnFormula>
    </tableColumn>
    <tableColumn id="29" xr3:uid="{1E8CC91C-8367-45FE-8391-9AB293D222B5}" name="Italy sum of regions (Norm.)" dataDxfId="120">
      <calculatedColumnFormula>Tabella3[[#This Row],[Italy (fit of selected region + fitted sum of the other regions)]]/(y_l_peak+y_a_peak)</calculatedColumnFormula>
    </tableColumn>
    <tableColumn id="27" xr3:uid="{314DDD96-3EEF-47F6-A093-677CC3B78412}" name="Italy remov. rate fit" dataDxfId="119">
      <calculatedColumnFormula>IFERROR(Kf*psi_f*_xlfn.SECH(psi_f*(Tabella3[[#This Row],[Day]]-pf)-phi_f)^2/(1+TANH(phi_f)),0)</calculatedColumnFormula>
    </tableColumn>
    <tableColumn id="36" xr3:uid="{CC5B183D-632D-4A6C-B644-BB29F3D6869D}" name="rem. rate residuals" dataDxfId="118">
      <calculatedColumnFormula>Tabella3[[#This Row],[Italy remov. rate fit]]-Tabella3[[#This Row],[Italy remov. rate data]]</calculatedColumnFormula>
    </tableColumn>
    <tableColumn id="37" xr3:uid="{202404FC-9A44-4951-A150-753A34E6DFBC}" name="Colonna4" dataDxfId="117">
      <calculatedColumnFormula>Tabella3[[#This Row],[rem. rate residuals]]*NOT(ISBLANK(Tabella3[[#This Row],[Italy remov. rate data]]))</calculatedColumnFormula>
    </tableColumn>
    <tableColumn id="31" xr3:uid="{28B183A3-93B0-49AC-9B07-DFC3DA865465}" name="Italy remov. rate fit (Norm.)" dataDxfId="116">
      <calculatedColumnFormula>Tabella3[[#This Row],[Italy remov. rate fit]]/y_f_peak</calculatedColumnFormula>
    </tableColumn>
    <tableColumn id="22" xr3:uid="{7CB6D2CF-1488-45DF-B3D3-DA9FCE991397}" name="Colonna2" dataDxfId="115">
      <calculatedColumnFormula>Tabella3[[#This Row],[Italy (fit of selected region + fitted sum of the other regions)]]*NOT(ISBLANK(Tabella3[[#This Row],[Italy remov. rate data]]))</calculatedColumnFormula>
    </tableColumn>
    <tableColumn id="28" xr3:uid="{B7998AB9-1622-4307-B253-C5A912B69B6C}" name="Colonna22" dataDxfId="114">
      <calculatedColumnFormula>Tabella3[[#This Row],[Italy remov. rate fit]]*NOT(ISBLANK(Tabella3[[#This Row],[Italy remov. rate data]]))</calculatedColumnFormula>
    </tableColumn>
    <tableColumn id="7" xr3:uid="{FD2AFF0D-028F-4079-9B67-B1C4C865DA70}" name="Upper CI"/>
    <tableColumn id="8" xr3:uid="{2C00E3C4-CD56-4BD9-82E9-BA6F629F232D}" name="Lower CI"/>
    <tableColumn id="9" xr3:uid="{62CAAF81-8EFB-45AC-BBA6-8D7C7B486997}" name="region cumul. data"/>
    <tableColumn id="10" xr3:uid="{09663C31-3E7C-4611-8AF3-0C06B00BA6F1}" name="region data" dataDxfId="113"/>
    <tableColumn id="23" xr3:uid="{10082EA6-D10C-44B2-9A09-0B1409F1C373}" name="Colonna3" dataDxfId="112">
      <calculatedColumnFormula>Tabella3[[#This Row],[region data]]*NOT(ISBLANK(Tabella3[[#This Row],[region data]]))</calculatedColumnFormula>
    </tableColumn>
    <tableColumn id="38" xr3:uid="{100D5A38-841C-4E03-A48A-E21FFFCDBFFA}" name="6-days moving avg" dataDxfId="111"/>
    <tableColumn id="40" xr3:uid="{5FB18D02-28A1-41D7-B01E-DF3FB730450A}" name="Colonna5" dataDxfId="110">
      <calculatedColumnFormula>Tabella3[[#This Row],[6-days moving avg]]*NOT(ISBLANK(Tabella3[[#This Row],[6-days moving avg]]))</calculatedColumnFormula>
    </tableColumn>
    <tableColumn id="11" xr3:uid="{CDC351C1-18CE-4B4C-A65D-FD39DA8A5DED}" name="region cumul. fit" dataDxfId="109">
      <calculatedColumnFormula>Tabella8[[#This Row],[region fit]]</calculatedColumnFormula>
    </tableColumn>
    <tableColumn id="32" xr3:uid="{8289A475-5A3F-4D73-BFD0-199C82D3EFEB}" name="region cum. fit (Norm.)" dataDxfId="108">
      <calculatedColumnFormula>Tabella3[[#This Row],[region cumul. fit]]/Kl</calculatedColumnFormula>
    </tableColumn>
    <tableColumn id="12" xr3:uid="{442CC8F3-BD05-4FDA-B285-A701402ADF1D}" name="region fit" dataDxfId="107">
      <calculatedColumnFormula>IFERROR(Kl*psi_l*_xlfn.SECH(psi_l*(Tabella3[[#This Row],[Day]]-pl)-phi_l)^2/(1+TANH(phi_l)),0)</calculatedColumnFormula>
    </tableColumn>
    <tableColumn id="33" xr3:uid="{45D3EE4E-80BD-46C5-8651-F774F41813D9}" name="region fit (Norm.)" dataDxfId="106">
      <calculatedColumnFormula>Tabella3[[#This Row],[region fit]]/y_l_peak</calculatedColumnFormula>
    </tableColumn>
    <tableColumn id="24" xr3:uid="{3735E881-B76D-4343-A940-CD03F154AD8A}" name="Colonna32" dataDxfId="105">
      <calculatedColumnFormula>Tabella3[[#This Row],[region fit]]*NOT(ISBLANK(Tabella3[[#This Row],[region data]]))</calculatedColumnFormula>
    </tableColumn>
    <tableColumn id="39" xr3:uid="{D2E991DE-E8EB-4FCC-9910-B86BA3C206DA}" name="6-days moving avg fit" dataDxfId="104">
      <calculatedColumnFormula>IFERROR(kl_m*psi_l_m*_xlfn.SECH(psi_l_m*(Tabella3[[#This Row],[Day]]-pl_m)-phi_l_m)^2/(1+TANH(phi_l_m)),0)</calculatedColumnFormula>
    </tableColumn>
    <tableColumn id="41" xr3:uid="{A630EAFB-6FAE-4941-82BB-1B19DAEE9960}" name="Colonna6" dataDxfId="103">
      <calculatedColumnFormula>Tabella3[[#This Row],[6-days moving avg fit]]*NOT(ISBLANK(Tabella3[[#This Row],[6-days moving avg]]))</calculatedColumnFormula>
    </tableColumn>
    <tableColumn id="13" xr3:uid="{EE889393-6E60-4237-9EC5-DFB1642204B7}" name="Upper CI_"/>
    <tableColumn id="14" xr3:uid="{4BF9A623-B53D-4A7D-BCED-AF51065FBB44}" name="Lower CI_"/>
    <tableColumn id="15" xr3:uid="{88406667-2C06-4837-8C1D-7C7FB674BC25}" name="rest of Italy cum. data"/>
    <tableColumn id="16" xr3:uid="{F9696E58-DE59-43F8-B795-C68B17BE8856}" name="rest of Italy data" dataDxfId="102"/>
    <tableColumn id="25" xr3:uid="{0DCF2D46-6281-4B7D-BB9E-222F69A41FF9}" name="Colonna33" dataDxfId="101">
      <calculatedColumnFormula>Tabella3[[#This Row],[rest of Italy data]]*NOT(ISBLANK(Tabella3[[#This Row],[rest of Italy data]]))</calculatedColumnFormula>
    </tableColumn>
    <tableColumn id="17" xr3:uid="{A81E690D-2D5C-4476-BFC1-14B6B7500BDD}" name="rest of Italy cumul. fit" dataDxfId="100">
      <calculatedColumnFormula>Tabella8[[#This Row],[rest of Italy fit]]</calculatedColumnFormula>
    </tableColumn>
    <tableColumn id="34" xr3:uid="{8DC03341-55D1-4FDB-BAB7-6F60F1EC5087}" name="rest of Italy com. fit (Norm.)" dataDxfId="99">
      <calculatedColumnFormula>Tabella3[[#This Row],[rest of Italy cumul. fit]]/Ka</calculatedColumnFormula>
    </tableColumn>
    <tableColumn id="18" xr3:uid="{84CE2F6C-88D6-4F6C-BCE7-AB2A3AB959DB}" name="rest of Italy fit" dataDxfId="98">
      <calculatedColumnFormula>IFERROR(Ka*psi_a*_xlfn.SECH(psi_a*(Tabella3[[#This Row],[Day]]-pa)-phi_a)^2/(1+TANH(phi_a)),0)</calculatedColumnFormula>
    </tableColumn>
    <tableColumn id="35" xr3:uid="{FAE138C2-83E3-4613-9501-2311745CFF47}" name="rest of Italy fit (Norm.)" dataDxfId="97">
      <calculatedColumnFormula>Tabella3[[#This Row],[rest of Italy fit]]/y_a_peak</calculatedColumnFormula>
    </tableColumn>
    <tableColumn id="26" xr3:uid="{09DF6F78-AD5E-4D2B-8B55-4D9808403ED3}" name="Colonna322" dataDxfId="96">
      <calculatedColumnFormula>Tabella3[[#This Row],[rest of Italy fit]]*NOT(ISBLANK(Tabella3[[#This Row],[rest of Italy data]]))</calculatedColumnFormula>
    </tableColumn>
    <tableColumn id="19" xr3:uid="{825B4302-D347-4A3A-B1B4-0C960AAFF399}" name="Upper CI__"/>
    <tableColumn id="20" xr3:uid="{E509F0A5-EBDA-42F5-8E21-168F4C595F15}" name="Lower CI__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35DD6354-3B59-4943-8730-CD3B8C8CB1F7}" name="Tabella4" displayName="Tabella4" ref="AR7:AS18" totalsRowShown="0" headerRowDxfId="95" dataDxfId="94">
  <autoFilter ref="AR7:AS18" xr:uid="{00766B7A-46BC-4E07-B4A9-02AE45892E82}"/>
  <tableColumns count="2">
    <tableColumn id="1" xr3:uid="{E4319721-3F80-4342-9D0A-B78DF39299B8}" name="Whole country sum" dataDxfId="93"/>
    <tableColumn id="2" xr3:uid="{B084DEAD-F4A7-4385-950A-B66123852865}" name="Italy sum" dataDxfId="92"/>
  </tableColumns>
  <tableStyleInfo name="TableStyleLight1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2294717D-24D4-45C4-B26D-359AC6BA8815}" name="Tabella5" displayName="Tabella5" ref="AR19:AS31" totalsRowShown="0">
  <autoFilter ref="AR19:AS31" xr:uid="{2E08838D-8BAF-42A1-B981-D6B449E7082E}"/>
  <tableColumns count="2">
    <tableColumn id="1" xr3:uid="{3FD0D38D-8842-4E6D-9882-984AB3BFADE1}" name="region"/>
    <tableColumn id="2" xr3:uid="{A2610841-2CD8-4F5A-829D-2493C4B73EC9}" name="region fit"/>
  </tableColumns>
  <tableStyleInfo name="TableStyleLight3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66EEF903-D623-4533-84D2-A7C60F1EAB2C}" name="Tabella6" displayName="Tabella6" ref="AR32:AS44" totalsRowShown="0" headerRowDxfId="91">
  <autoFilter ref="AR32:AS44" xr:uid="{493E660F-E033-408D-A4BC-15A27F9E624C}"/>
  <tableColumns count="2">
    <tableColumn id="1" xr3:uid="{44D35643-5DC7-4195-979E-896CDDCB52C1}" name="outside"/>
    <tableColumn id="2" xr3:uid="{A86FC75B-BB86-40BE-8764-739189EEC27C}" name="rest of Italy fit"/>
  </tableColumns>
  <tableStyleInfo name="TableStyleLight7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B9B90D4D-928B-41E1-A7D6-BBC2157CE923}" name="Tabella68" displayName="Tabella68" ref="AR45:AS57" totalsRowShown="0" headerRowDxfId="90">
  <autoFilter ref="AR45:AS57" xr:uid="{0F6FCA51-9485-4058-8475-AC6ECE9EB084}"/>
  <tableColumns count="2">
    <tableColumn id="1" xr3:uid="{A58BAF37-2CFC-44D3-8FF7-25C14C606C17}" name="Whole contry fit"/>
    <tableColumn id="2" xr3:uid="{96C5F196-9214-480C-B9CC-A31645BD150D}" name="Italy fit"/>
  </tableColumns>
  <tableStyleInfo name="TableStyleLight2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05F510E1-A82E-4E37-A696-6F326C6D717C}" name="Tabella520" displayName="Tabella520" ref="AU19:AV31" totalsRowShown="0">
  <autoFilter ref="AU19:AV31" xr:uid="{A1FC66BC-D470-46E0-A1E8-94594C0159E5}"/>
  <tableColumns count="2">
    <tableColumn id="1" xr3:uid="{8C119177-3125-425A-9D13-51FA19E2D7A2}" name="region"/>
    <tableColumn id="2" xr3:uid="{D4C6CC96-9C7E-4579-890A-73F44EF3E4A2}" name="moving avg fit"/>
  </tableColumns>
  <tableStyleInfo name="TableStyleLight3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E3FEB33-8B26-42E6-ADB7-AA1AC4DF580A}" name="Tabella34" displayName="Tabella34" ref="B7:BV184" totalsRowShown="0" headerRowDxfId="86">
  <autoFilter ref="B7:BV184" xr:uid="{64CD1C81-4B90-4800-800E-C13D0F753BA9}"/>
  <tableColumns count="73">
    <tableColumn id="1" xr3:uid="{ACC60D23-F072-4D9D-A75D-B1915A814BB4}" name="Date" dataDxfId="85"/>
    <tableColumn id="2" xr3:uid="{C687C2CC-E8A7-4C24-B877-FA7EDDF0A632}" name="Day" dataDxfId="84"/>
    <tableColumn id="3" xr3:uid="{32CB9D95-D0A9-4333-A8CB-BAC8B460990E}" name="Italy cumul. data"/>
    <tableColumn id="4" xr3:uid="{76F600A8-728F-40AA-A2E9-DDB22120782F}" name="Italy rate data" dataDxfId="83"/>
    <tableColumn id="36" xr3:uid="{0884E98A-AEF8-472A-A5DA-4B24699AC0CF}" name="Italy accel. data " dataDxfId="82">
      <calculatedColumnFormula>Tabella34[[#This Row],[Italy rate data]]-E7</calculatedColumnFormula>
    </tableColumn>
    <tableColumn id="21" xr3:uid="{0D1481C4-9D87-4704-B0DE-8ACA0E994AC7}" name="Colonna1" dataDxfId="81">
      <calculatedColumnFormula>Tabella34[[#This Row],[Italy rate data]]*NOT(ISBLANK(Tabella34[[#This Row],[Italy rate data]]))</calculatedColumnFormula>
    </tableColumn>
    <tableColumn id="5" xr3:uid="{8D0CB0D2-92F2-41DA-A159-66625C9C7097}" name="Italy cumul. Fit" dataDxfId="80">
      <calculatedColumnFormula>Tabella8[[#This Row],[Italy fit]]</calculatedColumnFormula>
    </tableColumn>
    <tableColumn id="39" xr3:uid="{21F9B5CE-CC66-4D15-B76F-C86FB0BE1F82}" name="Italy d.t." dataDxfId="79">
      <calculatedColumnFormula>(ATANH(alpha*Tabella34[[#This Row],[Italy cumul. Fit]]/Kf-(1-alpha*Tabella34[[#This Row],[Italy cumul. Fit]]/Kf)*TANH(phi_f))+phi_f)/psi_f-(Tabella34[[#This Row],[Day]]-pf)</calculatedColumnFormula>
    </tableColumn>
    <tableColumn id="72" xr3:uid="{7E087130-7511-49DE-83D3-3176EC0124E7}" name="Italy d.t. (Norm. To val. at lockdown)" dataDxfId="78">
      <calculatedColumnFormula>Tabella34[[#This Row],[Italy d.t.]]/Italy_dt_at_lockdown</calculatedColumnFormula>
    </tableColumn>
    <tableColumn id="30" xr3:uid="{03F23D1E-85B6-40F6-8AA8-7DE1FFDE9589}" name="Italy cum. Fit (Norm.)" dataDxfId="77">
      <calculatedColumnFormula>Tabella34[[#This Row],[Italy cumul. Fit]]/Kf</calculatedColumnFormula>
    </tableColumn>
    <tableColumn id="6" xr3:uid="{740AA17C-023E-4C94-8E34-DB114AB971BF}" name="Italy (fit of selected region + fitted sum of the other regions)" dataDxfId="76">
      <calculatedColumnFormula>Tabella34[[#This Row],[sel. region acc. fit]]+Tabella34[[#This Row],[rest of Italy acc. fit]]</calculatedColumnFormula>
    </tableColumn>
    <tableColumn id="29" xr3:uid="{282446F5-0EDB-484A-94C3-294A06E68C77}" name="Italy sum of regions (Norm.)" dataDxfId="75">
      <calculatedColumnFormula>Tabella34[[#This Row],[Italy (fit of selected region + fitted sum of the other regions)]]/(y_l_peak+y_a_peak)</calculatedColumnFormula>
    </tableColumn>
    <tableColumn id="42" xr3:uid="{521E1297-D2DF-4AC6-8790-090D86C0E817}" name="Italy velocity" dataDxfId="74">
      <calculatedColumnFormula>Tabella3[[#This Row],[Italy remov. rate fit]]</calculatedColumnFormula>
    </tableColumn>
    <tableColumn id="53" xr3:uid="{FFC22A47-8D4D-40C2-8529-17883A408300}" name="verify" dataDxfId="73">
      <calculatedColumnFormula>Kt*EXP(-0.5*Tabella34[[#This Row],[x_t]]^2)/(psi_t*SQRTPI(2)*(Tabella34[[#This Row],[Day]]-D_bk))</calculatedColumnFormula>
    </tableColumn>
    <tableColumn id="43" xr3:uid="{B81E0C6D-6369-49C6-A7A3-351684E6DEBC}" name="Italy g.r." dataDxfId="72" dataCellStyle="Percentuale">
      <calculatedColumnFormula>Tabella34[[#This Row],[Italy velocity]]/Tabella34[[#This Row],[Italy cumul. Fit]]</calculatedColumnFormula>
    </tableColumn>
    <tableColumn id="48" xr3:uid="{B28CB71B-B535-4352-B4B7-0692A0793652}" name="x_t" dataDxfId="71" dataCellStyle="Percentuale">
      <calculatedColumnFormula>(LN(Tabella34[[#This Row],[Day]]-D_bk)-phi_t)/psi_t</calculatedColumnFormula>
    </tableColumn>
    <tableColumn id="56" xr3:uid="{864B7B5E-4044-4DCF-86B0-ACA478C568CC}" name="t_alpha_t+plus" dataDxfId="70" dataCellStyle="Percentuale">
      <calculatedColumnFormula>EXP(phi_t+psi_t*Tabella34[[#This Row],[x_t_alpha©+plus]])-(Tabella34[[#This Row],[Day]]-D_bk)</calculatedColumnFormula>
    </tableColumn>
    <tableColumn id="55" xr3:uid="{87BE6765-60DB-49BC-9BD3-D752B025B1AB}" name="t_alpha_t-minus" dataDxfId="69" dataCellStyle="Percentuale">
      <calculatedColumnFormula>EXP(phi_t+psi_t*Tabella34[[#This Row],[x_t_alpha©-minus]])-(Tabella34[[#This Row],[Day]]-D_bk)</calculatedColumnFormula>
    </tableColumn>
    <tableColumn id="57" xr3:uid="{225D971B-F72D-42DF-B7FB-6565CB2672A7}" name="x_t_alpha©+plus" dataDxfId="68" dataCellStyle="Percentuale">
      <calculatedColumnFormula>-psi_t+SQRT(psi_t^2-2*Tabella34[[#This Row],[c_t]])</calculatedColumnFormula>
    </tableColumn>
    <tableColumn id="54" xr3:uid="{53175594-C4E6-456E-B351-1AB48F823A7E}" name="x_t_alpha©-minus" dataDxfId="67" dataCellStyle="Percentuale">
      <calculatedColumnFormula>-psi_t-SQRT(psi_t^2-2*Tabella34[[#This Row],[c_t]])</calculatedColumnFormula>
    </tableColumn>
    <tableColumn id="49" xr3:uid="{EE228D2A-2CC1-4C57-82DB-85DBB998B89C}" name="c_t" dataDxfId="66" dataCellStyle="Percentuale">
      <calculatedColumnFormula>phi_t-LN(alpha*Kt/(Tabella34[[#This Row],[Italy velocity]]*psi_t*SQRTPI(2)))</calculatedColumnFormula>
    </tableColumn>
    <tableColumn id="73" xr3:uid="{5C057197-AE13-45BE-8938-A7EC86EABB4D}" name="Italy g.r. (Norm. To val. at lockdown)" dataDxfId="65" dataCellStyle="Percentuale">
      <calculatedColumnFormula>Tabella34[[#This Row],[Italy g.r.]]/Italy_gr_at_lockdown</calculatedColumnFormula>
    </tableColumn>
    <tableColumn id="52" xr3:uid="{9BBA6C11-95B1-4650-830D-F3B7BFD96860}" name="Italy h.t." dataDxfId="64" dataCellStyle="Percentuale">
      <calculatedColumnFormula>(ACOSH(SQRT(alpha*Kf*psi_f/(Tabella34[[#This Row],[Italy velocity]]*(1+TANH(phi_f)))))+phi_f)/psi_f-(Tabella34[[#This Row],[Day]]-pf)</calculatedColumnFormula>
    </tableColumn>
    <tableColumn id="74" xr3:uid="{7EC4ED15-BBED-465F-92F6-584BEA3C3158}" name="Italy h.t. (Norm. To val. at lockdown)" dataDxfId="63" dataCellStyle="Percentuale">
      <calculatedColumnFormula>Tabella34[[#This Row],[Italy h.t.]]/Italy_ht_at_lockdown</calculatedColumnFormula>
    </tableColumn>
    <tableColumn id="27" xr3:uid="{EC1FC797-F919-44E2-AA63-C942176919E9}" name="Italy acc. fit" dataDxfId="62">
      <calculatedColumnFormula>-2*$BY$48*TANH($BY$48*(Tabella34[[#This Row],[Day]]-$BY$57)-$BY$47)*Tabella34[[#This Row],[Italy velocity]]</calculatedColumnFormula>
    </tableColumn>
    <tableColumn id="71" xr3:uid="{16A5831C-A515-4976-B3C8-C5D426FD214B}" name="Italy acc. Fit (Norm. To val. at lockdown)" dataDxfId="61">
      <calculatedColumnFormula>Tabella34[[#This Row],[Italy acc. fit]]/Itali_acc_at_lockdown</calculatedColumnFormula>
    </tableColumn>
    <tableColumn id="31" xr3:uid="{A7B90458-3156-4C65-8D40-9C7ED79E6D1F}" name="Italy acc. fit (Norm.)" dataDxfId="60">
      <calculatedColumnFormula>Tabella34[[#This Row],[Italy acc. fit]]/y_f_peak</calculatedColumnFormula>
    </tableColumn>
    <tableColumn id="22" xr3:uid="{3454EAEC-2F0B-43EB-BAA5-786BDD84C222}" name="Colonna2" dataDxfId="59">
      <calculatedColumnFormula>Tabella34[[#This Row],[Italy (fit of selected region + fitted sum of the other regions)]]*NOT(ISBLANK(Tabella34[[#This Row],[Italy rate data]]))</calculatedColumnFormula>
    </tableColumn>
    <tableColumn id="28" xr3:uid="{B677F892-B1B7-4687-B36F-B412484B9F7F}" name="Colonna22" dataDxfId="58">
      <calculatedColumnFormula>Tabella34[[#This Row],[Italy acc. fit]]*NOT(ISBLANK(Tabella34[[#This Row],[Italy rate data]]))</calculatedColumnFormula>
    </tableColumn>
    <tableColumn id="7" xr3:uid="{1FB29A2A-9F78-468F-A44C-116109C9ABB2}" name="Upper CI" dataDxfId="57"/>
    <tableColumn id="8" xr3:uid="{F226004F-D369-46CF-809B-30849E1E6832}" name="Lower CI" dataDxfId="56"/>
    <tableColumn id="9" xr3:uid="{4CC4E10A-61F2-4C4D-9A4E-4E48FF420524}" name="selected region cumul. data"/>
    <tableColumn id="10" xr3:uid="{2C2C4B9F-3F34-417A-9946-756DE7F974E7}" name="selected region rate data" dataDxfId="55"/>
    <tableColumn id="37" xr3:uid="{BE294A1D-6168-4F3F-A0CA-6632C8ED5125}" name="selected region accel. data " dataDxfId="54">
      <calculatedColumnFormula>Tabella34[[#This Row],[selected region rate data]]-AH7</calculatedColumnFormula>
    </tableColumn>
    <tableColumn id="23" xr3:uid="{0816919E-6D08-4861-9F97-8BFFF3DFA6BA}" name="Colonna3" dataDxfId="53">
      <calculatedColumnFormula>Tabella34[[#This Row],[selected region rate data]]*NOT(ISBLANK(Tabella34[[#This Row],[selected region rate data]]))</calculatedColumnFormula>
    </tableColumn>
    <tableColumn id="11" xr3:uid="{32BBCC10-DEF5-4EDC-A383-055E405F03DF}" name="sel. region cumul. fit" dataDxfId="52">
      <calculatedColumnFormula>Tabella8[[#This Row],[region fit]]</calculatedColumnFormula>
    </tableColumn>
    <tableColumn id="40" xr3:uid="{C19CD861-CE71-4602-9F9B-59546032C192}" name="sel. region d.t." dataDxfId="51">
      <calculatedColumnFormula>(ATANH(alpha*Tabella34[[#This Row],[sel. region cumul. fit]]/Kl-(1-alpha*Tabella34[[#This Row],[sel. region cumul. fit]]/Kl)*TANH(phi_l))+phi_l)/psi_l-(Tabella34[[#This Row],[Day]]-pl)</calculatedColumnFormula>
    </tableColumn>
    <tableColumn id="32" xr3:uid="{16AAD297-3C82-48D2-9034-8421902336DF}" name="sel region cum. fit (Norm.)" dataDxfId="50">
      <calculatedColumnFormula>Tabella34[[#This Row],[sel. region cumul. fit]]/Kl</calculatedColumnFormula>
    </tableColumn>
    <tableColumn id="44" xr3:uid="{65D8D691-BDCF-4271-B781-17E6E9E74409}" name="sel. region velocity" dataDxfId="49">
      <calculatedColumnFormula>Tabella3[[#This Row],[region fit]]</calculatedColumnFormula>
    </tableColumn>
    <tableColumn id="45" xr3:uid="{325AFA39-6BAB-4C39-AF15-4C713744E763}" name="sel. region g.r." dataDxfId="48" dataCellStyle="Percentuale">
      <calculatedColumnFormula>Tabella34[[#This Row],[sel. region velocity]]/Tabella34[[#This Row],[sel. region cumul. fit]]</calculatedColumnFormula>
    </tableColumn>
    <tableColumn id="50" xr3:uid="{AEC629F5-F5B7-427A-A3BE-91164E174013}" name="Lombardy x=(ln(t-p)-mu)/sigma2" dataDxfId="47" dataCellStyle="Percentuale">
      <calculatedColumnFormula>(LN(Tabella34[[#This Row],[Day]]-pr)-phi_r)/psi_r</calculatedColumnFormula>
    </tableColumn>
    <tableColumn id="59" xr3:uid="{0101A73A-DD63-43C9-859D-92B4B22D7687}" name="t_alpha_r+plus" dataDxfId="46" dataCellStyle="Percentuale">
      <calculatedColumnFormula>EXP(phi_r+psi_r*Tabella34[[#This Row],[x_r_alpha©+plus]])-(Tabella34[[#This Row],[Day]]-pr)</calculatedColumnFormula>
    </tableColumn>
    <tableColumn id="60" xr3:uid="{BC4FB734-F354-4873-85D1-4E78CD72BFE2}" name="t_alpha_r-minus" dataDxfId="45" dataCellStyle="Percentuale">
      <calculatedColumnFormula>EXP(phi_r+psi_r*Tabella34[[#This Row],[x_r_alpha©-minus]])-(Tabella34[[#This Row],[Day]]-pr)</calculatedColumnFormula>
    </tableColumn>
    <tableColumn id="61" xr3:uid="{882F33D0-0BDB-4269-AB07-4396D7F159EC}" name="x_r_alpha©+plus" dataDxfId="44" dataCellStyle="Percentuale">
      <calculatedColumnFormula>-psi_r+SQRT(psi_r^2-2*Tabella34[[#This Row],[c_r]])</calculatedColumnFormula>
    </tableColumn>
    <tableColumn id="62" xr3:uid="{452B87DE-E21F-4856-B6F0-96140DEFAC55}" name="x_r_alpha©-minus" dataDxfId="43" dataCellStyle="Percentuale">
      <calculatedColumnFormula>-psi_r-SQRT(psi_r^2-2*Tabella34[[#This Row],[c_r]])</calculatedColumnFormula>
    </tableColumn>
    <tableColumn id="63" xr3:uid="{F7B802E0-8D03-4B23-953B-18C7737EDE16}" name="c_r" dataDxfId="42" dataCellStyle="Percentuale">
      <calculatedColumnFormula>phi_r-LN(alpha*Kr/(Tabella34[[#This Row],[sel. region velocity]]*psi_r*SQRTPI(2)))</calculatedColumnFormula>
    </tableColumn>
    <tableColumn id="64" xr3:uid="{77F0D52D-0A62-41AA-8CBF-4BD837FD2F95}" name="sel. region h.t." dataDxfId="41" dataCellStyle="Percentuale">
      <calculatedColumnFormula>(ACOSH(SQRT(alpha*Kl*psi_l/(Tabella34[[#This Row],[sel. region velocity]]*(1+TANH(phi_l)))))+phi_l)/psi_l-(Tabella34[[#This Row],[Day]]-pl)</calculatedColumnFormula>
    </tableColumn>
    <tableColumn id="12" xr3:uid="{EAFF3715-35A3-45D0-B237-ADA5691DA311}" name="sel. region acc. fit" dataDxfId="40">
      <calculatedColumnFormula>-2*$BY$22*TANH($BY$22*(Tabella34[[#This Row],[Day]]-$BY$31)-$BY$21)*Tabella34[[#This Row],[sel. region velocity]]</calculatedColumnFormula>
    </tableColumn>
    <tableColumn id="33" xr3:uid="{8861C221-9045-49BF-AB8F-0B4AE5B0B9BF}" name="sel. region fit (Norm.)" dataDxfId="39">
      <calculatedColumnFormula>Tabella34[[#This Row],[sel. region acc. fit]]/y_l_peak</calculatedColumnFormula>
    </tableColumn>
    <tableColumn id="24" xr3:uid="{4CD3476B-984B-421F-BE72-55E7CA95AD6A}" name="Colonna32" dataDxfId="38">
      <calculatedColumnFormula>Tabella34[[#This Row],[sel. region acc. fit]]*NOT(ISBLANK(Tabella34[[#This Row],[selected region rate data]]))</calculatedColumnFormula>
    </tableColumn>
    <tableColumn id="13" xr3:uid="{1D6140DA-E765-4F87-B873-41D83130E13B}" name="Upper CI_" dataDxfId="37"/>
    <tableColumn id="14" xr3:uid="{45890936-9464-4D51-96E1-04F3526F71B4}" name="Lower CI_" dataDxfId="36"/>
    <tableColumn id="15" xr3:uid="{D943E5B4-DA7B-4A71-AB6A-1E08D9228118}" name="rest of Italy cum. Data"/>
    <tableColumn id="16" xr3:uid="{8DB68116-02FF-4237-877B-747D4A0561AD}" name="rest of Italy rate data" dataDxfId="35"/>
    <tableColumn id="38" xr3:uid="{4827C410-B133-4944-B8DD-B8D81A258A65}" name="rest of Italy accel. data " dataDxfId="34">
      <calculatedColumnFormula>Tabella34[[#This Row],[rest of Italy rate data]]-BC7</calculatedColumnFormula>
    </tableColumn>
    <tableColumn id="25" xr3:uid="{E695BD70-C7AC-4500-BE66-A4E1D4935741}" name="74,24033469" dataDxfId="33">
      <calculatedColumnFormula>Tabella34[[#This Row],[rest of Italy rate data]]*NOT(ISBLANK(Tabella34[[#This Row],[rest of Italy rate data]]))</calculatedColumnFormula>
    </tableColumn>
    <tableColumn id="17" xr3:uid="{B4A3C8A3-9ACC-47B4-A063-AFD72D1D9450}" name="rest of Italy cumul. fit" dataDxfId="32">
      <calculatedColumnFormula>Tabella8[[#This Row],[rest of Italy fit]]</calculatedColumnFormula>
    </tableColumn>
    <tableColumn id="41" xr3:uid="{71DD744E-D643-4287-B141-1C22CD2F974E}" name="rest of Italy d.t." dataDxfId="31">
      <calculatedColumnFormula>(ATANH(alpha*Tabella34[[#This Row],[rest of Italy cumul. fit]]/Ka-(1-alpha*Tabella34[[#This Row],[rest of Italy cumul. fit]]/Ka)*TANH(phi_a))+phi_a)/psi_a-(Tabella34[[#This Row],[Day]]-pa)</calculatedColumnFormula>
    </tableColumn>
    <tableColumn id="34" xr3:uid="{E5A81988-8E83-41F6-891C-22529B961480}" name="rest of Italy cum. fit (Norm.)" dataDxfId="30">
      <calculatedColumnFormula>Tabella34[[#This Row],[rest of Italy cumul. fit]]/Ka</calculatedColumnFormula>
    </tableColumn>
    <tableColumn id="46" xr3:uid="{FEAD9E42-52F3-4D1C-9922-E2058FC97222}" name="rest of Italy velocity" dataDxfId="29">
      <calculatedColumnFormula>Tabella3[[#This Row],[rest of Italy fit]]</calculatedColumnFormula>
    </tableColumn>
    <tableColumn id="47" xr3:uid="{0AA7A7A0-22D9-47BE-91D2-C7574E413F2F}" name="rest of Italy g.r." dataDxfId="28" dataCellStyle="Percentuale">
      <calculatedColumnFormula>Tabella34[[#This Row],[rest of Italy velocity]]/Tabella34[[#This Row],[rest of Italy cumul. fit]]</calculatedColumnFormula>
    </tableColumn>
    <tableColumn id="51" xr3:uid="{BEF729BC-C406-44B4-92AF-076284E0A6B9}" name="rest of Italy x=(ln(t-p)-mu)/sigma" dataDxfId="27" dataCellStyle="Percentuale">
      <calculatedColumnFormula>(LN(Tabella34[[#This Row],[Day]]-po)-phi_o)/psi_o</calculatedColumnFormula>
    </tableColumn>
    <tableColumn id="70" xr3:uid="{C6AB1831-7C1A-432B-A38D-178411AD6237}" name="t_alpha_o+plus" dataDxfId="26" dataCellStyle="Percentuale">
      <calculatedColumnFormula>EXP(phi_o+psi_o*Tabella34[[#This Row],[x_o_alpha©+plus]])-(Tabella34[[#This Row],[Day]]-po)</calculatedColumnFormula>
    </tableColumn>
    <tableColumn id="69" xr3:uid="{63266908-B7A0-4558-8981-5A1404F14612}" name="t_alpha_o-minus" dataDxfId="25" dataCellStyle="Percentuale">
      <calculatedColumnFormula>EXP(phi_o+psi_o*Tabella34[[#This Row],[x_o_alpha©-minus]])-(Tabella34[[#This Row],[Day]]-po)</calculatedColumnFormula>
    </tableColumn>
    <tableColumn id="68" xr3:uid="{D94FE56F-DDF3-46F8-B0ED-CCDA232007CC}" name="x_o_alpha©+plus" dataDxfId="24" dataCellStyle="Percentuale">
      <calculatedColumnFormula>-psi_o+SQRT(psi_o^2-2*Tabella34[[#This Row],[c_o]])</calculatedColumnFormula>
    </tableColumn>
    <tableColumn id="67" xr3:uid="{5A9CCD42-CF4B-4B1A-8E5D-FE5FE52DDADF}" name="x_o_alpha©-minus" dataDxfId="23" dataCellStyle="Percentuale">
      <calculatedColumnFormula>-psi_o-SQRT(psi_o^2-2*Tabella34[[#This Row],[c_o]])</calculatedColumnFormula>
    </tableColumn>
    <tableColumn id="66" xr3:uid="{FC0AC2AE-0158-4E21-9218-F3556443E8BC}" name="c_o" dataDxfId="22" dataCellStyle="Percentuale">
      <calculatedColumnFormula>phi_o-LN(alpha*Ko/(Tabella34[[#This Row],[rest of Italy velocity]]*psi_o*SQRTPI(2)))</calculatedColumnFormula>
    </tableColumn>
    <tableColumn id="65" xr3:uid="{9204EA2C-2432-4DF3-AFAD-DDCDC7C72CD3}" name="rest of Italy h.t." dataDxfId="21" dataCellStyle="Percentuale">
      <calculatedColumnFormula>(ACOSH(SQRT(alpha*Ka*psi_a/(Tabella34[[#This Row],[rest of Italy velocity]]*(1+TANH(phi_a)))))+phi_a)/psi_a-(Tabella34[[#This Row],[Day]]-pa)</calculatedColumnFormula>
    </tableColumn>
    <tableColumn id="18" xr3:uid="{FD6099F4-40ED-4723-BCFC-0515197E5411}" name="rest of Italy acc. fit" dataDxfId="20">
      <calculatedColumnFormula>-2*$BY$35*TANH($BY$35*(Tabella34[[#This Row],[Day]]-$BY$44)-$BY$34)*Tabella34[[#This Row],[rest of Italy velocity]]</calculatedColumnFormula>
    </tableColumn>
    <tableColumn id="35" xr3:uid="{A0A203B2-BAB1-4D07-BDD1-9652E898B6BE}" name="rest of Italy fit (Norm.)" dataDxfId="19">
      <calculatedColumnFormula>Tabella34[[#This Row],[rest of Italy acc. fit]]/y_a_peak</calculatedColumnFormula>
    </tableColumn>
    <tableColumn id="26" xr3:uid="{15F32069-D8D9-41EE-BAFA-377D6BE7DD5A}" name="Colonna322" dataDxfId="18">
      <calculatedColumnFormula>Tabella34[[#This Row],[rest of Italy acc. fit]]*NOT(ISBLANK(Tabella34[[#This Row],[rest of Italy rate data]]))</calculatedColumnFormula>
    </tableColumn>
    <tableColumn id="19" xr3:uid="{44B472C2-6348-4F9B-8B44-4ACD5F0A8631}" name="Upper CI__" dataDxfId="17"/>
    <tableColumn id="20" xr3:uid="{D884F6F9-76D1-4EEF-B3DD-7AC5018C1A4F}" name="Lower CI__" dataDxfId="16"/>
  </tableColumns>
  <tableStyleInfo name="TableStyleMedium2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ADAE565-9929-4EF2-BB03-FF560E6104E1}" name="Tabella45" displayName="Tabella45" ref="BX7:BY18" totalsRowShown="0" headerRowDxfId="15" dataDxfId="14">
  <autoFilter ref="BX7:BY18" xr:uid="{99FCECFF-7546-4E9F-BC9B-C608747C7992}"/>
  <tableColumns count="2">
    <tableColumn id="1" xr3:uid="{2C2EF1A0-FA01-4854-A48A-A3FC2CEBE484}" name="Whole country sum" dataDxfId="13"/>
    <tableColumn id="2" xr3:uid="{BBBCCB83-BCC4-4B61-BF70-F20B1DE5DD2E}" name="Italy sum" dataDxfId="12"/>
  </tableColumns>
  <tableStyleInfo name="TableStyleLight1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F82D669D-7956-470D-9767-C61B869E5ED4}" name="Tabella56" displayName="Tabella56" ref="BX19:BY31" totalsRowShown="0" headerRowDxfId="11" dataDxfId="10">
  <autoFilter ref="BX19:BY31" xr:uid="{41723F04-8F3D-447E-986E-DDE7C4E185D6}"/>
  <tableColumns count="2">
    <tableColumn id="1" xr3:uid="{873A0FB9-23E1-4D7F-BF03-F96BAA97225C}" name="region" dataDxfId="9"/>
    <tableColumn id="2" xr3:uid="{685825AB-81E2-4751-B870-0CE101D6244D}" name="Lombardy fit" dataDxfId="8"/>
  </tableColumns>
  <tableStyleInfo name="TableStyleLight3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E469D03A-0560-482D-A9AC-3A84D4F4D7A4}" name="Tabella67" displayName="Tabella67" ref="BX32:BY44" totalsRowShown="0" headerRowDxfId="7" dataDxfId="6">
  <autoFilter ref="BX32:BY44" xr:uid="{B7330CDA-797E-4AEE-8936-2CD475EF1182}"/>
  <tableColumns count="2">
    <tableColumn id="1" xr3:uid="{2AA5E278-91B2-4EF3-9265-1635E1F2D8C8}" name="outside" dataDxfId="5"/>
    <tableColumn id="2" xr3:uid="{6889DBC2-F373-4EA1-AB3D-93A01689A1F2}" name="rest of Italy fit" dataDxfId="4"/>
  </tableColumns>
  <tableStyleInfo name="TableStyleLight7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8D4DD7C6-95B0-4AC8-BFFB-2DAC674B8B97}" name="Tabella688" displayName="Tabella688" ref="BX45:BY57" totalsRowShown="0" headerRowDxfId="3" dataDxfId="2">
  <autoFilter ref="BX45:BY57" xr:uid="{FBCC173C-E06A-4C12-9CC1-E8F46BF2DDE4}"/>
  <tableColumns count="2">
    <tableColumn id="1" xr3:uid="{F33654F0-155E-4DDE-8519-6857DFA9A7EF}" name="Whole contry fit" dataDxfId="1"/>
    <tableColumn id="2" xr3:uid="{9D52DE31-D71F-4C7A-B142-89C67D91A57E}" name="Italy fit" dataDxfId="0"/>
  </tableColumns>
  <tableStyleInfo name="TableStyleLight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AE3" dT="2020-04-13T00:14:38.76" personId="{46504131-ADD3-4530-BCC7-16E4FED1C2C4}" id="{18E5A2A4-4328-4013-9C5A-7FF3FFE52F37}">
    <text>Saturation value or carrying capalcity</text>
  </threadedComment>
  <threadedComment ref="AE4" dT="2020-04-13T00:15:06.31" personId="{46504131-ADD3-4530-BCC7-16E4FED1C2C4}" id="{B28540D2-8971-4B31-876F-24BE58C058FA}">
    <text>Point of inflection</text>
  </threadedComment>
  <threadedComment ref="AE5" dT="2020-04-13T00:16:48.93" personId="{46504131-ADD3-4530-BCC7-16E4FED1C2C4}" id="{361F45E2-544C-4814-986A-5F23748796D7}">
    <text>Slope or decay time</text>
  </threadedComment>
  <threadedComment ref="AE6" dT="2020-04-24T20:17:39.98" personId="{46504131-ADD3-4530-BCC7-16E4FED1C2C4}" id="{84201E2F-7D32-4D3E-A68C-2A395C0AFEB1}">
    <text>backdating of starting day</text>
  </threadedComment>
  <threadedComment ref="B29" dT="2020-04-26T00:19:42.74" personId="{46504131-ADD3-4530-BCC7-16E4FED1C2C4}" id="{A873C920-16AD-4BAC-9C3D-8B9354B93FEC}">
    <text>Data from https://github.com/CSSEGISandData</text>
  </threadedComment>
  <threadedComment ref="B62" dT="2020-03-21T22:11:56.31" personId="{46504131-ADD3-4530-BCC7-16E4FED1C2C4}" id="{0621FDE1-092F-4B0A-B6B9-713897DF0CC5}">
    <text>first red zones (north)</text>
  </threadedComment>
  <threadedComment ref="B68" dT="2020-03-21T22:12:51.46" personId="{46504131-ADD3-4530-BCC7-16E4FED1C2C4}" id="{6744EB57-859E-42EA-B4F2-F10942B49A22}">
    <text>partial lockdown (north)</text>
  </threadedComment>
  <threadedComment ref="B72" dT="2020-03-21T22:13:52.19" personId="{46504131-ADD3-4530-BCC7-16E4FED1C2C4}" id="{33530D03-226A-4358-A568-CF8D6E16063E}">
    <text>school closure (Italy)</text>
  </threadedComment>
  <threadedComment ref="B75" dT="2020-03-21T22:14:24.84" personId="{46504131-ADD3-4530-BCC7-16E4FED1C2C4}" id="{DEE131DF-B99E-49E5-B71E-E8FA46139EA4}">
    <text>full lockdown (northern Italy)</text>
  </threadedComment>
  <threadedComment ref="B77" dT="2020-03-21T22:14:52.14" personId="{46504131-ADD3-4530-BCC7-16E4FED1C2C4}" id="{D7D1BB5E-BF21-4496-ACA8-360768C57861}">
    <text>partial lockdown (Italy)</text>
  </threadedComment>
  <threadedComment ref="B79" dT="2020-03-21T22:15:16.77" personId="{46504131-ADD3-4530-BCC7-16E4FED1C2C4}" id="{A4FE517B-52ED-47DC-A9CE-D59F3913061A}">
    <text>full lockdown (Italy)</text>
  </threadedComment>
  <threadedComment ref="B90" dT="2020-03-23T21:41:16.67" personId="{46504131-ADD3-4530-BCC7-16E4FED1C2C4}" id="{C9ADCFB2-7E30-41ED-B43B-6911BE354135}">
    <text>reinforced lockdown (Italy)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AT3" dT="2020-04-13T00:14:38.76" personId="{46504131-ADD3-4530-BCC7-16E4FED1C2C4}" id="{A31BDA61-CB03-4589-AEDD-5DBC77775160}">
    <text>Saturation value or carrying capalcity</text>
  </threadedComment>
  <threadedComment ref="AT4" dT="2020-04-13T00:15:06.31" personId="{46504131-ADD3-4530-BCC7-16E4FED1C2C4}" id="{7BE39CE0-31A0-4271-9AA0-823748DBF6B6}">
    <text>Point of inflection</text>
  </threadedComment>
  <threadedComment ref="AT5" dT="2020-04-13T00:16:48.93" personId="{46504131-ADD3-4530-BCC7-16E4FED1C2C4}" id="{6309FC12-6801-488A-98E6-0897E47B5D66}">
    <text>Slope or decay time</text>
  </threadedComment>
  <threadedComment ref="AT6" dT="2020-04-24T20:17:39.98" personId="{46504131-ADD3-4530-BCC7-16E4FED1C2C4}" id="{9F495C09-5724-4158-AA5F-E592AFE5A86E}">
    <text>backdating of starting day</text>
  </threadedComment>
  <threadedComment ref="B29" dT="2020-04-26T22:26:40.95" personId="{46504131-ADD3-4530-BCC7-16E4FED1C2C4}" id="{35848DFF-2269-48CA-BBD5-939EFA41CE4B}">
    <text>see previous sheet</text>
  </threadedComment>
  <threadedComment ref="B62" dT="2020-03-21T22:11:56.31" personId="{46504131-ADD3-4530-BCC7-16E4FED1C2C4}" id="{55BA04F6-DD5C-404D-9143-067D1A800A3A}">
    <text>first red zones (north)</text>
  </threadedComment>
  <threadedComment ref="B68" dT="2020-03-21T22:12:51.46" personId="{46504131-ADD3-4530-BCC7-16E4FED1C2C4}" id="{BDDA7B4B-B1F4-44B2-A550-3674E961B52E}">
    <text>partial lockdown (north)</text>
  </threadedComment>
  <threadedComment ref="B72" dT="2020-03-21T22:13:52.19" personId="{46504131-ADD3-4530-BCC7-16E4FED1C2C4}" id="{4CDB76F3-57CC-4212-B53F-F8F165375B94}">
    <text>school closure (Italy)</text>
  </threadedComment>
  <threadedComment ref="B75" dT="2020-03-21T22:14:24.84" personId="{46504131-ADD3-4530-BCC7-16E4FED1C2C4}" id="{CE65C50C-3F83-4631-A90E-C07B7C5721E9}">
    <text>full lockdown (northern Italy)</text>
  </threadedComment>
  <threadedComment ref="B77" dT="2020-03-21T22:14:52.14" personId="{46504131-ADD3-4530-BCC7-16E4FED1C2C4}" id="{92B8577E-1708-4B0F-85FD-31A0291F718A}">
    <text>partial lockdown (Italy)</text>
  </threadedComment>
  <threadedComment ref="B79" dT="2020-03-21T22:15:16.77" personId="{46504131-ADD3-4530-BCC7-16E4FED1C2C4}" id="{67CE4491-269D-478E-850E-4FD0904AA888}">
    <text>full lockdown (Italy)</text>
  </threadedComment>
  <threadedComment ref="B90" dT="2020-03-23T21:41:16.67" personId="{46504131-ADD3-4530-BCC7-16E4FED1C2C4}" id="{12A51D8D-BC18-4F3B-A122-CB2A491B9543}">
    <text>reinforced lockdown (Italy)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BZ3" dT="2020-04-13T00:14:38.76" personId="{46504131-ADD3-4530-BCC7-16E4FED1C2C4}" id="{BB0CE72B-86F5-40CC-A38D-61CE1AB51BF1}">
    <text>Saturation value or carrying capalcity</text>
  </threadedComment>
  <threadedComment ref="BZ4" dT="2020-04-13T00:15:06.31" personId="{46504131-ADD3-4530-BCC7-16E4FED1C2C4}" id="{0A75884C-28A9-44E8-B517-A5859A3D3EC5}">
    <text>Point of inflection</text>
  </threadedComment>
  <threadedComment ref="BZ5" dT="2020-04-13T00:16:48.93" personId="{46504131-ADD3-4530-BCC7-16E4FED1C2C4}" id="{9DA0AE34-ACAD-4BEE-AFA0-4063CA815C6D}">
    <text>Slope or decay time</text>
  </threadedComment>
  <threadedComment ref="BZ6" dT="2020-04-24T20:17:39.98" personId="{46504131-ADD3-4530-BCC7-16E4FED1C2C4}" id="{C0E20805-0FA1-4030-9D4B-CC20AC2CEB72}">
    <text>backdating of starting day</text>
  </threadedComment>
  <threadedComment ref="B62" dT="2020-03-21T22:11:56.31" personId="{46504131-ADD3-4530-BCC7-16E4FED1C2C4}" id="{3D06FFC5-AE5C-40AF-951E-8817B4F3A121}">
    <text>first red zones (north)</text>
  </threadedComment>
  <threadedComment ref="B68" dT="2020-03-21T22:12:51.46" personId="{46504131-ADD3-4530-BCC7-16E4FED1C2C4}" id="{F1B3988C-7831-496F-82F5-0B82EE836187}">
    <text>partial lockdown (north)</text>
  </threadedComment>
  <threadedComment ref="B72" dT="2020-03-21T22:13:52.19" personId="{46504131-ADD3-4530-BCC7-16E4FED1C2C4}" id="{13AB517F-BD4E-4746-AF07-A982E4FB6ACE}">
    <text>school closure (Italy)</text>
  </threadedComment>
  <threadedComment ref="B75" dT="2020-03-21T22:14:24.84" personId="{46504131-ADD3-4530-BCC7-16E4FED1C2C4}" id="{DDE92F60-776B-4CDE-B4EB-B14A18B23E6B}">
    <text>full lockdown (northern Italy)</text>
  </threadedComment>
  <threadedComment ref="B77" dT="2020-03-21T22:14:52.14" personId="{46504131-ADD3-4530-BCC7-16E4FED1C2C4}" id="{4D0715D5-E2BE-4259-9DBA-1C570C2BC087}">
    <text>partial lockdown (Italy)</text>
  </threadedComment>
  <threadedComment ref="B79" dT="2020-03-21T22:15:16.77" personId="{46504131-ADD3-4530-BCC7-16E4FED1C2C4}" id="{45A3707D-7D38-4419-9325-AB8727F4742B}">
    <text>full lockdown (Italy)</text>
  </threadedComment>
  <threadedComment ref="B90" dT="2020-03-23T21:41:16.67" personId="{46504131-ADD3-4530-BCC7-16E4FED1C2C4}" id="{05E3B6D9-8618-4BF7-8E63-7AFE3A48A850}">
    <text>reinforced lockdown (Italy)</text>
  </threadedComment>
</ThreadedComment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table" Target="../tables/table7.xml"/><Relationship Id="rId3" Type="http://schemas.openxmlformats.org/officeDocument/2006/relationships/drawing" Target="../drawings/drawing1.xml"/><Relationship Id="rId7" Type="http://schemas.openxmlformats.org/officeDocument/2006/relationships/table" Target="../tables/table6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Relationship Id="rId6" Type="http://schemas.openxmlformats.org/officeDocument/2006/relationships/table" Target="../tables/table5.xml"/><Relationship Id="rId11" Type="http://schemas.microsoft.com/office/2017/10/relationships/threadedComment" Target="../threadedComments/threadedComment1.xml"/><Relationship Id="rId5" Type="http://schemas.openxmlformats.org/officeDocument/2006/relationships/table" Target="../tables/table4.xml"/><Relationship Id="rId10" Type="http://schemas.openxmlformats.org/officeDocument/2006/relationships/comments" Target="../comments1.xml"/><Relationship Id="rId4" Type="http://schemas.openxmlformats.org/officeDocument/2006/relationships/vmlDrawing" Target="../drawings/vmlDrawing1.vml"/><Relationship Id="rId9" Type="http://schemas.openxmlformats.org/officeDocument/2006/relationships/table" Target="../tables/table8.xm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table" Target="../tables/table13.xml"/><Relationship Id="rId3" Type="http://schemas.openxmlformats.org/officeDocument/2006/relationships/vmlDrawing" Target="../drawings/vmlDrawing2.vml"/><Relationship Id="rId7" Type="http://schemas.openxmlformats.org/officeDocument/2006/relationships/table" Target="../tables/table12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Relationship Id="rId6" Type="http://schemas.openxmlformats.org/officeDocument/2006/relationships/table" Target="../tables/table11.xml"/><Relationship Id="rId11" Type="http://schemas.microsoft.com/office/2017/10/relationships/threadedComment" Target="../threadedComments/threadedComment2.xml"/><Relationship Id="rId5" Type="http://schemas.openxmlformats.org/officeDocument/2006/relationships/table" Target="../tables/table10.xml"/><Relationship Id="rId10" Type="http://schemas.openxmlformats.org/officeDocument/2006/relationships/comments" Target="../comments2.xml"/><Relationship Id="rId4" Type="http://schemas.openxmlformats.org/officeDocument/2006/relationships/table" Target="../tables/table9.xml"/><Relationship Id="rId9" Type="http://schemas.openxmlformats.org/officeDocument/2006/relationships/table" Target="../tables/table14.xm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table" Target="../tables/table19.xml"/><Relationship Id="rId3" Type="http://schemas.openxmlformats.org/officeDocument/2006/relationships/vmlDrawing" Target="../drawings/vmlDrawing3.vml"/><Relationship Id="rId7" Type="http://schemas.openxmlformats.org/officeDocument/2006/relationships/table" Target="../tables/table18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3.bin"/><Relationship Id="rId6" Type="http://schemas.openxmlformats.org/officeDocument/2006/relationships/table" Target="../tables/table17.xml"/><Relationship Id="rId5" Type="http://schemas.openxmlformats.org/officeDocument/2006/relationships/table" Target="../tables/table16.xml"/><Relationship Id="rId10" Type="http://schemas.microsoft.com/office/2017/10/relationships/threadedComment" Target="../threadedComments/threadedComment3.xml"/><Relationship Id="rId4" Type="http://schemas.openxmlformats.org/officeDocument/2006/relationships/table" Target="../tables/table15.xml"/><Relationship Id="rId9" Type="http://schemas.openxmlformats.org/officeDocument/2006/relationships/comments" Target="../comments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186A11-7C4F-4EAD-A7FE-CCABCA9DC626}">
  <dimension ref="A1:CT266"/>
  <sheetViews>
    <sheetView topLeftCell="AB1" workbookViewId="0">
      <selection activeCell="E140" sqref="E140:AK140"/>
    </sheetView>
  </sheetViews>
  <sheetFormatPr defaultRowHeight="14.4" x14ac:dyDescent="0.3"/>
  <cols>
    <col min="1" max="1" width="27.21875" bestFit="1" customWidth="1"/>
    <col min="2" max="2" width="28.109375" bestFit="1" customWidth="1"/>
    <col min="3" max="4" width="19.44140625" bestFit="1" customWidth="1"/>
    <col min="5" max="9" width="10.77734375" bestFit="1" customWidth="1"/>
    <col min="10" max="98" width="11.77734375" bestFit="1" customWidth="1"/>
  </cols>
  <sheetData>
    <row r="1" spans="1:98" x14ac:dyDescent="0.3">
      <c r="A1" t="s">
        <v>379</v>
      </c>
      <c r="B1" t="s">
        <v>380</v>
      </c>
      <c r="C1" t="s">
        <v>381</v>
      </c>
      <c r="D1" t="s">
        <v>382</v>
      </c>
      <c r="E1" t="s">
        <v>383</v>
      </c>
      <c r="F1" t="s">
        <v>384</v>
      </c>
      <c r="G1" t="s">
        <v>385</v>
      </c>
      <c r="H1" t="s">
        <v>386</v>
      </c>
      <c r="I1" t="s">
        <v>387</v>
      </c>
      <c r="J1" t="s">
        <v>388</v>
      </c>
      <c r="K1" t="s">
        <v>389</v>
      </c>
      <c r="L1" t="s">
        <v>390</v>
      </c>
      <c r="M1" t="s">
        <v>391</v>
      </c>
      <c r="N1" t="s">
        <v>392</v>
      </c>
      <c r="O1" t="s">
        <v>393</v>
      </c>
      <c r="P1" t="s">
        <v>394</v>
      </c>
      <c r="Q1" t="s">
        <v>395</v>
      </c>
      <c r="R1" t="s">
        <v>396</v>
      </c>
      <c r="S1" t="s">
        <v>397</v>
      </c>
      <c r="T1" t="s">
        <v>398</v>
      </c>
      <c r="U1" t="s">
        <v>399</v>
      </c>
      <c r="V1" t="s">
        <v>400</v>
      </c>
      <c r="W1" t="s">
        <v>401</v>
      </c>
      <c r="X1" t="s">
        <v>402</v>
      </c>
      <c r="Y1" t="s">
        <v>403</v>
      </c>
      <c r="Z1" t="s">
        <v>404</v>
      </c>
      <c r="AA1" t="s">
        <v>405</v>
      </c>
      <c r="AB1" t="s">
        <v>406</v>
      </c>
      <c r="AC1" t="s">
        <v>407</v>
      </c>
      <c r="AD1" t="s">
        <v>408</v>
      </c>
      <c r="AE1" t="s">
        <v>409</v>
      </c>
      <c r="AF1" t="s">
        <v>410</v>
      </c>
      <c r="AG1" t="s">
        <v>411</v>
      </c>
      <c r="AH1" t="s">
        <v>412</v>
      </c>
      <c r="AI1" t="s">
        <v>413</v>
      </c>
      <c r="AJ1" t="s">
        <v>414</v>
      </c>
      <c r="AK1" t="s">
        <v>415</v>
      </c>
      <c r="AL1" t="s">
        <v>416</v>
      </c>
      <c r="AM1" t="s">
        <v>417</v>
      </c>
      <c r="AN1" t="s">
        <v>418</v>
      </c>
      <c r="AO1" t="s">
        <v>419</v>
      </c>
      <c r="AP1" t="s">
        <v>420</v>
      </c>
      <c r="AQ1" t="s">
        <v>421</v>
      </c>
      <c r="AR1" t="s">
        <v>422</v>
      </c>
      <c r="AS1" t="s">
        <v>423</v>
      </c>
      <c r="AT1" t="s">
        <v>424</v>
      </c>
      <c r="AU1" t="s">
        <v>425</v>
      </c>
      <c r="AV1" t="s">
        <v>426</v>
      </c>
      <c r="AW1" t="s">
        <v>427</v>
      </c>
      <c r="AX1" t="s">
        <v>428</v>
      </c>
      <c r="AY1" t="s">
        <v>429</v>
      </c>
      <c r="AZ1" t="s">
        <v>430</v>
      </c>
      <c r="BA1" t="s">
        <v>431</v>
      </c>
      <c r="BB1" t="s">
        <v>432</v>
      </c>
      <c r="BC1" t="s">
        <v>433</v>
      </c>
      <c r="BD1" t="s">
        <v>434</v>
      </c>
      <c r="BE1" t="s">
        <v>435</v>
      </c>
      <c r="BF1" t="s">
        <v>436</v>
      </c>
      <c r="BG1" t="s">
        <v>437</v>
      </c>
      <c r="BH1" t="s">
        <v>438</v>
      </c>
      <c r="BI1" t="s">
        <v>439</v>
      </c>
      <c r="BJ1" t="s">
        <v>440</v>
      </c>
      <c r="BK1" t="s">
        <v>441</v>
      </c>
      <c r="BL1" t="s">
        <v>442</v>
      </c>
      <c r="BM1" t="s">
        <v>443</v>
      </c>
      <c r="BN1" t="s">
        <v>444</v>
      </c>
      <c r="BO1" t="s">
        <v>445</v>
      </c>
      <c r="BP1" t="s">
        <v>446</v>
      </c>
      <c r="BQ1" t="s">
        <v>447</v>
      </c>
      <c r="BR1" t="s">
        <v>448</v>
      </c>
      <c r="BS1" t="s">
        <v>449</v>
      </c>
      <c r="BT1" t="s">
        <v>450</v>
      </c>
      <c r="BU1" t="s">
        <v>451</v>
      </c>
      <c r="BV1" t="s">
        <v>452</v>
      </c>
      <c r="BW1" t="s">
        <v>453</v>
      </c>
      <c r="BX1" t="s">
        <v>454</v>
      </c>
      <c r="BY1" t="s">
        <v>455</v>
      </c>
      <c r="BZ1" t="s">
        <v>456</v>
      </c>
      <c r="CA1" t="s">
        <v>457</v>
      </c>
      <c r="CB1" t="s">
        <v>458</v>
      </c>
      <c r="CC1" t="s">
        <v>459</v>
      </c>
      <c r="CD1" t="s">
        <v>460</v>
      </c>
      <c r="CE1" t="s">
        <v>461</v>
      </c>
      <c r="CF1" t="s">
        <v>462</v>
      </c>
      <c r="CG1" t="s">
        <v>463</v>
      </c>
      <c r="CH1" t="s">
        <v>464</v>
      </c>
      <c r="CI1" t="s">
        <v>465</v>
      </c>
      <c r="CJ1" t="s">
        <v>466</v>
      </c>
      <c r="CK1" t="s">
        <v>467</v>
      </c>
      <c r="CL1" t="s">
        <v>468</v>
      </c>
      <c r="CM1" t="s">
        <v>469</v>
      </c>
      <c r="CN1" t="s">
        <v>470</v>
      </c>
      <c r="CO1" t="s">
        <v>471</v>
      </c>
      <c r="CP1" t="s">
        <v>472</v>
      </c>
      <c r="CQ1" t="s">
        <v>473</v>
      </c>
      <c r="CR1" t="s">
        <v>474</v>
      </c>
      <c r="CS1" t="s">
        <v>475</v>
      </c>
      <c r="CT1" t="s">
        <v>476</v>
      </c>
    </row>
    <row r="2" spans="1:98" x14ac:dyDescent="0.3">
      <c r="A2" s="12" t="s">
        <v>477</v>
      </c>
      <c r="B2" s="12" t="s">
        <v>478</v>
      </c>
      <c r="C2" s="12" t="s">
        <v>479</v>
      </c>
      <c r="D2" s="12" t="s">
        <v>480</v>
      </c>
      <c r="E2" s="12" t="s">
        <v>481</v>
      </c>
      <c r="F2" s="12" t="s">
        <v>482</v>
      </c>
      <c r="G2" s="12" t="s">
        <v>483</v>
      </c>
      <c r="H2" s="12" t="s">
        <v>484</v>
      </c>
      <c r="I2" s="12" t="s">
        <v>485</v>
      </c>
      <c r="J2" s="12" t="s">
        <v>486</v>
      </c>
      <c r="K2" s="12" t="s">
        <v>487</v>
      </c>
      <c r="L2" s="12" t="s">
        <v>488</v>
      </c>
      <c r="M2" s="12" t="s">
        <v>489</v>
      </c>
      <c r="N2" s="12" t="s">
        <v>490</v>
      </c>
      <c r="O2" s="12" t="s">
        <v>491</v>
      </c>
      <c r="P2" s="12" t="s">
        <v>492</v>
      </c>
      <c r="Q2" s="12" t="s">
        <v>493</v>
      </c>
      <c r="R2" s="12" t="s">
        <v>494</v>
      </c>
      <c r="S2" s="12" t="s">
        <v>495</v>
      </c>
      <c r="T2" s="12" t="s">
        <v>496</v>
      </c>
      <c r="U2" s="12" t="s">
        <v>497</v>
      </c>
      <c r="V2" s="12" t="s">
        <v>498</v>
      </c>
      <c r="W2" s="12" t="s">
        <v>499</v>
      </c>
      <c r="X2" s="12" t="s">
        <v>500</v>
      </c>
      <c r="Y2" s="12" t="s">
        <v>501</v>
      </c>
      <c r="Z2" s="12" t="s">
        <v>502</v>
      </c>
      <c r="AA2" s="12" t="s">
        <v>503</v>
      </c>
      <c r="AB2" s="12" t="s">
        <v>504</v>
      </c>
      <c r="AC2" s="12" t="s">
        <v>505</v>
      </c>
      <c r="AD2" s="12" t="s">
        <v>506</v>
      </c>
      <c r="AE2" s="12" t="s">
        <v>507</v>
      </c>
      <c r="AF2" s="12" t="s">
        <v>508</v>
      </c>
      <c r="AG2" s="12" t="s">
        <v>509</v>
      </c>
      <c r="AH2" s="12" t="s">
        <v>510</v>
      </c>
      <c r="AI2" s="12" t="s">
        <v>511</v>
      </c>
      <c r="AJ2" s="12" t="s">
        <v>512</v>
      </c>
      <c r="AK2" s="12" t="s">
        <v>513</v>
      </c>
      <c r="AL2" s="12" t="s">
        <v>514</v>
      </c>
      <c r="AM2" s="12" t="s">
        <v>515</v>
      </c>
      <c r="AN2" s="12" t="s">
        <v>516</v>
      </c>
      <c r="AO2" s="12" t="s">
        <v>517</v>
      </c>
      <c r="AP2" s="12" t="s">
        <v>518</v>
      </c>
      <c r="AQ2" s="12" t="s">
        <v>519</v>
      </c>
      <c r="AR2" s="12" t="s">
        <v>520</v>
      </c>
      <c r="AS2" s="12" t="s">
        <v>521</v>
      </c>
      <c r="AT2" s="12" t="s">
        <v>522</v>
      </c>
      <c r="AU2" s="12" t="s">
        <v>523</v>
      </c>
      <c r="AV2" s="12" t="s">
        <v>524</v>
      </c>
      <c r="AW2" s="12" t="s">
        <v>525</v>
      </c>
      <c r="AX2" s="12" t="s">
        <v>526</v>
      </c>
      <c r="AY2" s="12" t="s">
        <v>527</v>
      </c>
      <c r="AZ2" s="12" t="s">
        <v>528</v>
      </c>
      <c r="BA2" s="12" t="s">
        <v>529</v>
      </c>
      <c r="BB2" s="12" t="s">
        <v>530</v>
      </c>
      <c r="BC2" s="12" t="s">
        <v>531</v>
      </c>
      <c r="BD2" s="12" t="s">
        <v>532</v>
      </c>
      <c r="BE2" s="12" t="s">
        <v>533</v>
      </c>
      <c r="BF2" s="12" t="s">
        <v>534</v>
      </c>
      <c r="BG2" s="12" t="s">
        <v>535</v>
      </c>
      <c r="BH2" s="12" t="s">
        <v>536</v>
      </c>
      <c r="BI2" s="12" t="s">
        <v>537</v>
      </c>
      <c r="BJ2" s="12" t="s">
        <v>538</v>
      </c>
      <c r="BK2" s="12" t="s">
        <v>539</v>
      </c>
      <c r="BL2" s="12" t="s">
        <v>540</v>
      </c>
      <c r="BM2" s="12" t="s">
        <v>541</v>
      </c>
      <c r="BN2" s="12" t="s">
        <v>542</v>
      </c>
      <c r="BO2" s="12" t="s">
        <v>543</v>
      </c>
      <c r="BP2" s="12" t="s">
        <v>544</v>
      </c>
      <c r="BQ2" s="12" t="s">
        <v>545</v>
      </c>
      <c r="BR2" s="12" t="s">
        <v>546</v>
      </c>
      <c r="BS2" s="12" t="s">
        <v>547</v>
      </c>
      <c r="BT2" s="12" t="s">
        <v>548</v>
      </c>
      <c r="BU2" s="12" t="s">
        <v>549</v>
      </c>
      <c r="BV2" s="12" t="s">
        <v>550</v>
      </c>
      <c r="BW2" s="12" t="s">
        <v>551</v>
      </c>
      <c r="BX2" s="12" t="s">
        <v>552</v>
      </c>
      <c r="BY2" s="12" t="s">
        <v>553</v>
      </c>
      <c r="BZ2" s="12" t="s">
        <v>554</v>
      </c>
      <c r="CA2" s="12" t="s">
        <v>555</v>
      </c>
      <c r="CB2" s="12" t="s">
        <v>556</v>
      </c>
      <c r="CC2" s="12" t="s">
        <v>557</v>
      </c>
      <c r="CD2" s="12" t="s">
        <v>558</v>
      </c>
      <c r="CE2" s="12" t="s">
        <v>559</v>
      </c>
      <c r="CF2" s="12" t="s">
        <v>560</v>
      </c>
      <c r="CG2" s="12" t="s">
        <v>561</v>
      </c>
      <c r="CH2" s="12" t="s">
        <v>562</v>
      </c>
      <c r="CI2" s="12" t="s">
        <v>563</v>
      </c>
      <c r="CJ2" s="12" t="s">
        <v>564</v>
      </c>
      <c r="CK2" s="12" t="s">
        <v>565</v>
      </c>
      <c r="CL2" s="12" t="s">
        <v>566</v>
      </c>
      <c r="CM2" s="12" t="s">
        <v>567</v>
      </c>
      <c r="CN2" s="12" t="s">
        <v>568</v>
      </c>
      <c r="CO2" s="12" t="s">
        <v>569</v>
      </c>
      <c r="CP2" s="12" t="s">
        <v>570</v>
      </c>
      <c r="CQ2" s="12" t="s">
        <v>571</v>
      </c>
      <c r="CR2" s="12" t="s">
        <v>572</v>
      </c>
      <c r="CS2" s="12" t="s">
        <v>573</v>
      </c>
      <c r="CT2" s="12" t="s">
        <v>574</v>
      </c>
    </row>
    <row r="3" spans="1:98" hidden="1" x14ac:dyDescent="0.3">
      <c r="A3" s="12" t="s">
        <v>25</v>
      </c>
      <c r="B3" s="12" t="s">
        <v>575</v>
      </c>
      <c r="C3" s="12" t="s">
        <v>576</v>
      </c>
      <c r="D3" s="12" t="s">
        <v>577</v>
      </c>
      <c r="E3" s="12" t="s">
        <v>578</v>
      </c>
      <c r="F3" s="12" t="s">
        <v>578</v>
      </c>
      <c r="G3" s="12" t="s">
        <v>578</v>
      </c>
      <c r="H3" s="12" t="s">
        <v>578</v>
      </c>
      <c r="I3" s="12" t="s">
        <v>578</v>
      </c>
      <c r="J3" s="12" t="s">
        <v>578</v>
      </c>
      <c r="K3" s="12" t="s">
        <v>578</v>
      </c>
      <c r="L3" s="12" t="s">
        <v>578</v>
      </c>
      <c r="M3" s="12" t="s">
        <v>578</v>
      </c>
      <c r="N3" s="12" t="s">
        <v>578</v>
      </c>
      <c r="O3" s="12" t="s">
        <v>578</v>
      </c>
      <c r="P3" s="12" t="s">
        <v>578</v>
      </c>
      <c r="Q3" s="12" t="s">
        <v>578</v>
      </c>
      <c r="R3" s="12" t="s">
        <v>578</v>
      </c>
      <c r="S3" s="12" t="s">
        <v>578</v>
      </c>
      <c r="T3" s="12" t="s">
        <v>578</v>
      </c>
      <c r="U3" s="12" t="s">
        <v>578</v>
      </c>
      <c r="V3" s="12" t="s">
        <v>578</v>
      </c>
      <c r="W3" s="12" t="s">
        <v>578</v>
      </c>
      <c r="X3" s="12" t="s">
        <v>578</v>
      </c>
      <c r="Y3" s="12" t="s">
        <v>578</v>
      </c>
      <c r="Z3" s="12" t="s">
        <v>578</v>
      </c>
      <c r="AA3" s="12" t="s">
        <v>578</v>
      </c>
      <c r="AB3" s="12" t="s">
        <v>578</v>
      </c>
      <c r="AC3" s="12" t="s">
        <v>578</v>
      </c>
      <c r="AD3" s="12" t="s">
        <v>578</v>
      </c>
      <c r="AE3" s="12" t="s">
        <v>578</v>
      </c>
      <c r="AF3" s="12" t="s">
        <v>578</v>
      </c>
      <c r="AG3" s="12" t="s">
        <v>578</v>
      </c>
      <c r="AH3" s="12" t="s">
        <v>578</v>
      </c>
      <c r="AI3" s="12" t="s">
        <v>578</v>
      </c>
      <c r="AJ3" s="12" t="s">
        <v>578</v>
      </c>
      <c r="AK3" s="12" t="s">
        <v>578</v>
      </c>
      <c r="AL3" s="12" t="s">
        <v>579</v>
      </c>
      <c r="AM3" s="12" t="s">
        <v>579</v>
      </c>
      <c r="AN3" s="12" t="s">
        <v>579</v>
      </c>
      <c r="AO3" s="12" t="s">
        <v>579</v>
      </c>
      <c r="AP3" s="12" t="s">
        <v>579</v>
      </c>
      <c r="AQ3" s="12" t="s">
        <v>579</v>
      </c>
      <c r="AR3" s="12" t="s">
        <v>579</v>
      </c>
      <c r="AS3" s="12" t="s">
        <v>579</v>
      </c>
      <c r="AT3" s="12" t="s">
        <v>579</v>
      </c>
      <c r="AU3" s="12" t="s">
        <v>579</v>
      </c>
      <c r="AV3" s="12" t="s">
        <v>579</v>
      </c>
      <c r="AW3" s="12" t="s">
        <v>579</v>
      </c>
      <c r="AX3" s="12" t="s">
        <v>579</v>
      </c>
      <c r="AY3" s="12" t="s">
        <v>580</v>
      </c>
      <c r="AZ3" s="12" t="s">
        <v>580</v>
      </c>
      <c r="BA3" s="12" t="s">
        <v>581</v>
      </c>
      <c r="BB3" s="12" t="s">
        <v>582</v>
      </c>
      <c r="BC3" s="12" t="s">
        <v>582</v>
      </c>
      <c r="BD3" s="12" t="s">
        <v>582</v>
      </c>
      <c r="BE3" s="12" t="s">
        <v>583</v>
      </c>
      <c r="BF3" s="12" t="s">
        <v>584</v>
      </c>
      <c r="BG3" s="12" t="s">
        <v>585</v>
      </c>
      <c r="BH3" s="12" t="s">
        <v>586</v>
      </c>
      <c r="BI3" s="12" t="s">
        <v>586</v>
      </c>
      <c r="BJ3" s="12" t="s">
        <v>586</v>
      </c>
      <c r="BK3" s="12" t="s">
        <v>587</v>
      </c>
      <c r="BL3" s="12" t="s">
        <v>587</v>
      </c>
      <c r="BM3" s="12" t="s">
        <v>588</v>
      </c>
      <c r="BN3" s="12" t="s">
        <v>588</v>
      </c>
      <c r="BO3" s="12" t="s">
        <v>589</v>
      </c>
      <c r="BP3" s="12" t="s">
        <v>590</v>
      </c>
      <c r="BQ3" s="12" t="s">
        <v>591</v>
      </c>
      <c r="BR3" s="12" t="s">
        <v>592</v>
      </c>
      <c r="BS3" s="12" t="s">
        <v>592</v>
      </c>
      <c r="BT3" s="12" t="s">
        <v>593</v>
      </c>
      <c r="BU3" s="12" t="s">
        <v>594</v>
      </c>
      <c r="BV3" s="12" t="s">
        <v>595</v>
      </c>
      <c r="BW3" s="12" t="s">
        <v>596</v>
      </c>
      <c r="BX3" s="12" t="s">
        <v>597</v>
      </c>
      <c r="BY3" s="12" t="s">
        <v>598</v>
      </c>
      <c r="BZ3" s="12" t="s">
        <v>599</v>
      </c>
      <c r="CA3" s="12" t="s">
        <v>600</v>
      </c>
      <c r="CB3" s="12" t="s">
        <v>601</v>
      </c>
      <c r="CC3" s="12" t="s">
        <v>602</v>
      </c>
      <c r="CD3" s="12" t="s">
        <v>603</v>
      </c>
      <c r="CE3" s="12" t="s">
        <v>604</v>
      </c>
      <c r="CF3" s="12" t="s">
        <v>605</v>
      </c>
      <c r="CG3" s="12" t="s">
        <v>606</v>
      </c>
      <c r="CH3" s="12" t="s">
        <v>607</v>
      </c>
      <c r="CI3" s="12" t="s">
        <v>608</v>
      </c>
      <c r="CJ3" s="12" t="s">
        <v>609</v>
      </c>
      <c r="CK3" s="12" t="s">
        <v>610</v>
      </c>
      <c r="CL3" s="12" t="s">
        <v>611</v>
      </c>
      <c r="CM3" s="12" t="s">
        <v>612</v>
      </c>
      <c r="CN3" s="12" t="s">
        <v>613</v>
      </c>
      <c r="CO3" s="12" t="s">
        <v>614</v>
      </c>
      <c r="CP3" s="12" t="s">
        <v>615</v>
      </c>
      <c r="CQ3" s="12" t="s">
        <v>616</v>
      </c>
      <c r="CR3" s="12" t="s">
        <v>617</v>
      </c>
      <c r="CS3" s="12" t="s">
        <v>618</v>
      </c>
      <c r="CT3" s="12" t="s">
        <v>619</v>
      </c>
    </row>
    <row r="4" spans="1:98" hidden="1" x14ac:dyDescent="0.3">
      <c r="A4" s="12" t="s">
        <v>25</v>
      </c>
      <c r="B4" s="12" t="s">
        <v>620</v>
      </c>
      <c r="C4" s="12" t="s">
        <v>621</v>
      </c>
      <c r="D4" s="12" t="s">
        <v>622</v>
      </c>
      <c r="E4" s="12" t="s">
        <v>578</v>
      </c>
      <c r="F4" s="12" t="s">
        <v>578</v>
      </c>
      <c r="G4" s="12" t="s">
        <v>578</v>
      </c>
      <c r="H4" s="12" t="s">
        <v>578</v>
      </c>
      <c r="I4" s="12" t="s">
        <v>578</v>
      </c>
      <c r="J4" s="12" t="s">
        <v>578</v>
      </c>
      <c r="K4" s="12" t="s">
        <v>578</v>
      </c>
      <c r="L4" s="12" t="s">
        <v>578</v>
      </c>
      <c r="M4" s="12" t="s">
        <v>578</v>
      </c>
      <c r="N4" s="12" t="s">
        <v>578</v>
      </c>
      <c r="O4" s="12" t="s">
        <v>578</v>
      </c>
      <c r="P4" s="12" t="s">
        <v>578</v>
      </c>
      <c r="Q4" s="12" t="s">
        <v>578</v>
      </c>
      <c r="R4" s="12" t="s">
        <v>578</v>
      </c>
      <c r="S4" s="12" t="s">
        <v>578</v>
      </c>
      <c r="T4" s="12" t="s">
        <v>578</v>
      </c>
      <c r="U4" s="12" t="s">
        <v>578</v>
      </c>
      <c r="V4" s="12" t="s">
        <v>578</v>
      </c>
      <c r="W4" s="12" t="s">
        <v>578</v>
      </c>
      <c r="X4" s="12" t="s">
        <v>578</v>
      </c>
      <c r="Y4" s="12" t="s">
        <v>578</v>
      </c>
      <c r="Z4" s="12" t="s">
        <v>578</v>
      </c>
      <c r="AA4" s="12" t="s">
        <v>578</v>
      </c>
      <c r="AB4" s="12" t="s">
        <v>578</v>
      </c>
      <c r="AC4" s="12" t="s">
        <v>578</v>
      </c>
      <c r="AD4" s="12" t="s">
        <v>578</v>
      </c>
      <c r="AE4" s="12" t="s">
        <v>578</v>
      </c>
      <c r="AF4" s="12" t="s">
        <v>578</v>
      </c>
      <c r="AG4" s="12" t="s">
        <v>578</v>
      </c>
      <c r="AH4" s="12" t="s">
        <v>578</v>
      </c>
      <c r="AI4" s="12" t="s">
        <v>578</v>
      </c>
      <c r="AJ4" s="12" t="s">
        <v>578</v>
      </c>
      <c r="AK4" s="12" t="s">
        <v>578</v>
      </c>
      <c r="AL4" s="12" t="s">
        <v>578</v>
      </c>
      <c r="AM4" s="12" t="s">
        <v>578</v>
      </c>
      <c r="AN4" s="12" t="s">
        <v>578</v>
      </c>
      <c r="AO4" s="12" t="s">
        <v>578</v>
      </c>
      <c r="AP4" s="12" t="s">
        <v>578</v>
      </c>
      <c r="AQ4" s="12" t="s">
        <v>578</v>
      </c>
      <c r="AR4" s="12" t="s">
        <v>578</v>
      </c>
      <c r="AS4" s="12" t="s">
        <v>578</v>
      </c>
      <c r="AT4" s="12" t="s">
        <v>578</v>
      </c>
      <c r="AU4" s="12" t="s">
        <v>578</v>
      </c>
      <c r="AV4" s="12" t="s">
        <v>578</v>
      </c>
      <c r="AW4" s="12" t="s">
        <v>578</v>
      </c>
      <c r="AX4" s="12" t="s">
        <v>578</v>
      </c>
      <c r="AY4" s="12" t="s">
        <v>578</v>
      </c>
      <c r="AZ4" s="12" t="s">
        <v>623</v>
      </c>
      <c r="BA4" s="12" t="s">
        <v>624</v>
      </c>
      <c r="BB4" s="12" t="s">
        <v>625</v>
      </c>
      <c r="BC4" s="12" t="s">
        <v>626</v>
      </c>
      <c r="BD4" s="12" t="s">
        <v>627</v>
      </c>
      <c r="BE4" s="12" t="s">
        <v>628</v>
      </c>
      <c r="BF4" s="12" t="s">
        <v>629</v>
      </c>
      <c r="BG4" s="12" t="s">
        <v>630</v>
      </c>
      <c r="BH4" s="12" t="s">
        <v>631</v>
      </c>
      <c r="BI4" s="12" t="s">
        <v>632</v>
      </c>
      <c r="BJ4" s="12" t="s">
        <v>633</v>
      </c>
      <c r="BK4" s="12" t="s">
        <v>634</v>
      </c>
      <c r="BL4" s="12" t="s">
        <v>635</v>
      </c>
      <c r="BM4" s="12" t="s">
        <v>636</v>
      </c>
      <c r="BN4" s="12" t="s">
        <v>637</v>
      </c>
      <c r="BO4" s="12" t="s">
        <v>638</v>
      </c>
      <c r="BP4" s="12" t="s">
        <v>639</v>
      </c>
      <c r="BQ4" s="12" t="s">
        <v>595</v>
      </c>
      <c r="BR4" s="12" t="s">
        <v>640</v>
      </c>
      <c r="BS4" s="12" t="s">
        <v>641</v>
      </c>
      <c r="BT4" s="12" t="s">
        <v>642</v>
      </c>
      <c r="BU4" s="12" t="s">
        <v>643</v>
      </c>
      <c r="BV4" s="12" t="s">
        <v>644</v>
      </c>
      <c r="BW4" s="12" t="s">
        <v>645</v>
      </c>
      <c r="BX4" s="12" t="s">
        <v>646</v>
      </c>
      <c r="BY4" s="12" t="s">
        <v>647</v>
      </c>
      <c r="BZ4" s="12" t="s">
        <v>648</v>
      </c>
      <c r="CA4" s="12" t="s">
        <v>649</v>
      </c>
      <c r="CB4" s="12" t="s">
        <v>650</v>
      </c>
      <c r="CC4" s="12" t="s">
        <v>651</v>
      </c>
      <c r="CD4" s="12" t="s">
        <v>652</v>
      </c>
      <c r="CE4" s="12" t="s">
        <v>653</v>
      </c>
      <c r="CF4" s="12" t="s">
        <v>654</v>
      </c>
      <c r="CG4" s="12" t="s">
        <v>655</v>
      </c>
      <c r="CH4" s="12" t="s">
        <v>656</v>
      </c>
      <c r="CI4" s="12" t="s">
        <v>657</v>
      </c>
      <c r="CJ4" s="12" t="s">
        <v>658</v>
      </c>
      <c r="CK4" s="12" t="s">
        <v>659</v>
      </c>
      <c r="CL4" s="12" t="s">
        <v>660</v>
      </c>
      <c r="CM4" s="12" t="s">
        <v>661</v>
      </c>
      <c r="CN4" s="12" t="s">
        <v>662</v>
      </c>
      <c r="CO4" s="12" t="s">
        <v>663</v>
      </c>
      <c r="CP4" s="12" t="s">
        <v>664</v>
      </c>
      <c r="CQ4" s="12" t="s">
        <v>665</v>
      </c>
      <c r="CR4" s="12" t="s">
        <v>666</v>
      </c>
      <c r="CS4" s="12" t="s">
        <v>667</v>
      </c>
      <c r="CT4" s="12" t="s">
        <v>668</v>
      </c>
    </row>
    <row r="5" spans="1:98" hidden="1" x14ac:dyDescent="0.3">
      <c r="A5" s="12" t="s">
        <v>25</v>
      </c>
      <c r="B5" s="12" t="s">
        <v>669</v>
      </c>
      <c r="C5" s="12" t="s">
        <v>670</v>
      </c>
      <c r="D5" s="12" t="s">
        <v>671</v>
      </c>
      <c r="E5" s="12" t="s">
        <v>578</v>
      </c>
      <c r="F5" s="12" t="s">
        <v>578</v>
      </c>
      <c r="G5" s="12" t="s">
        <v>578</v>
      </c>
      <c r="H5" s="12" t="s">
        <v>578</v>
      </c>
      <c r="I5" s="12" t="s">
        <v>578</v>
      </c>
      <c r="J5" s="12" t="s">
        <v>578</v>
      </c>
      <c r="K5" s="12" t="s">
        <v>578</v>
      </c>
      <c r="L5" s="12" t="s">
        <v>578</v>
      </c>
      <c r="M5" s="12" t="s">
        <v>578</v>
      </c>
      <c r="N5" s="12" t="s">
        <v>578</v>
      </c>
      <c r="O5" s="12" t="s">
        <v>578</v>
      </c>
      <c r="P5" s="12" t="s">
        <v>578</v>
      </c>
      <c r="Q5" s="12" t="s">
        <v>578</v>
      </c>
      <c r="R5" s="12" t="s">
        <v>578</v>
      </c>
      <c r="S5" s="12" t="s">
        <v>578</v>
      </c>
      <c r="T5" s="12" t="s">
        <v>578</v>
      </c>
      <c r="U5" s="12" t="s">
        <v>578</v>
      </c>
      <c r="V5" s="12" t="s">
        <v>578</v>
      </c>
      <c r="W5" s="12" t="s">
        <v>578</v>
      </c>
      <c r="X5" s="12" t="s">
        <v>578</v>
      </c>
      <c r="Y5" s="12" t="s">
        <v>578</v>
      </c>
      <c r="Z5" s="12" t="s">
        <v>578</v>
      </c>
      <c r="AA5" s="12" t="s">
        <v>578</v>
      </c>
      <c r="AB5" s="12" t="s">
        <v>578</v>
      </c>
      <c r="AC5" s="12" t="s">
        <v>578</v>
      </c>
      <c r="AD5" s="12" t="s">
        <v>578</v>
      </c>
      <c r="AE5" s="12" t="s">
        <v>578</v>
      </c>
      <c r="AF5" s="12" t="s">
        <v>578</v>
      </c>
      <c r="AG5" s="12" t="s">
        <v>578</v>
      </c>
      <c r="AH5" s="12" t="s">
        <v>578</v>
      </c>
      <c r="AI5" s="12" t="s">
        <v>578</v>
      </c>
      <c r="AJ5" s="12" t="s">
        <v>578</v>
      </c>
      <c r="AK5" s="12" t="s">
        <v>578</v>
      </c>
      <c r="AL5" s="12" t="s">
        <v>578</v>
      </c>
      <c r="AM5" s="12" t="s">
        <v>579</v>
      </c>
      <c r="AN5" s="12" t="s">
        <v>579</v>
      </c>
      <c r="AO5" s="12" t="s">
        <v>579</v>
      </c>
      <c r="AP5" s="12" t="s">
        <v>579</v>
      </c>
      <c r="AQ5" s="12" t="s">
        <v>579</v>
      </c>
      <c r="AR5" s="12" t="s">
        <v>579</v>
      </c>
      <c r="AS5" s="12" t="s">
        <v>672</v>
      </c>
      <c r="AT5" s="12" t="s">
        <v>581</v>
      </c>
      <c r="AU5" s="12" t="s">
        <v>625</v>
      </c>
      <c r="AV5" s="12" t="s">
        <v>625</v>
      </c>
      <c r="AW5" s="12" t="s">
        <v>673</v>
      </c>
      <c r="AX5" s="12" t="s">
        <v>673</v>
      </c>
      <c r="AY5" s="12" t="s">
        <v>674</v>
      </c>
      <c r="AZ5" s="12" t="s">
        <v>675</v>
      </c>
      <c r="BA5" s="12" t="s">
        <v>675</v>
      </c>
      <c r="BB5" s="12" t="s">
        <v>675</v>
      </c>
      <c r="BC5" s="12" t="s">
        <v>587</v>
      </c>
      <c r="BD5" s="12" t="s">
        <v>676</v>
      </c>
      <c r="BE5" s="12" t="s">
        <v>677</v>
      </c>
      <c r="BF5" s="12" t="s">
        <v>678</v>
      </c>
      <c r="BG5" s="12" t="s">
        <v>679</v>
      </c>
      <c r="BH5" s="12" t="s">
        <v>680</v>
      </c>
      <c r="BI5" s="12" t="s">
        <v>589</v>
      </c>
      <c r="BJ5" s="12" t="s">
        <v>681</v>
      </c>
      <c r="BK5" s="12" t="s">
        <v>682</v>
      </c>
      <c r="BL5" s="12" t="s">
        <v>683</v>
      </c>
      <c r="BM5" s="12" t="s">
        <v>684</v>
      </c>
      <c r="BN5" s="12" t="s">
        <v>685</v>
      </c>
      <c r="BO5" s="12" t="s">
        <v>686</v>
      </c>
      <c r="BP5" s="12" t="s">
        <v>687</v>
      </c>
      <c r="BQ5" s="12" t="s">
        <v>601</v>
      </c>
      <c r="BR5" s="12" t="s">
        <v>653</v>
      </c>
      <c r="BS5" s="12" t="s">
        <v>688</v>
      </c>
      <c r="BT5" s="12" t="s">
        <v>689</v>
      </c>
      <c r="BU5" s="12" t="s">
        <v>664</v>
      </c>
      <c r="BV5" s="12" t="s">
        <v>690</v>
      </c>
      <c r="BW5" s="12" t="s">
        <v>691</v>
      </c>
      <c r="BX5" s="12" t="s">
        <v>692</v>
      </c>
      <c r="BY5" s="12" t="s">
        <v>693</v>
      </c>
      <c r="BZ5" s="12" t="s">
        <v>694</v>
      </c>
      <c r="CA5" s="12" t="s">
        <v>695</v>
      </c>
      <c r="CB5" s="12" t="s">
        <v>696</v>
      </c>
      <c r="CC5" s="12" t="s">
        <v>697</v>
      </c>
      <c r="CD5" s="12" t="s">
        <v>698</v>
      </c>
      <c r="CE5" s="12" t="s">
        <v>699</v>
      </c>
      <c r="CF5" s="12" t="s">
        <v>700</v>
      </c>
      <c r="CG5" s="12" t="s">
        <v>701</v>
      </c>
      <c r="CH5" s="12" t="s">
        <v>702</v>
      </c>
      <c r="CI5" s="12" t="s">
        <v>703</v>
      </c>
      <c r="CJ5" s="12" t="s">
        <v>704</v>
      </c>
      <c r="CK5" s="12" t="s">
        <v>705</v>
      </c>
      <c r="CL5" s="12" t="s">
        <v>706</v>
      </c>
      <c r="CM5" s="12" t="s">
        <v>707</v>
      </c>
      <c r="CN5" s="12" t="s">
        <v>708</v>
      </c>
      <c r="CO5" s="12" t="s">
        <v>709</v>
      </c>
      <c r="CP5" s="12" t="s">
        <v>710</v>
      </c>
      <c r="CQ5" s="12" t="s">
        <v>711</v>
      </c>
      <c r="CR5" s="12" t="s">
        <v>712</v>
      </c>
      <c r="CS5" s="12" t="s">
        <v>713</v>
      </c>
      <c r="CT5" s="12" t="s">
        <v>714</v>
      </c>
    </row>
    <row r="6" spans="1:98" hidden="1" x14ac:dyDescent="0.3">
      <c r="A6" s="12" t="s">
        <v>25</v>
      </c>
      <c r="B6" s="12" t="s">
        <v>715</v>
      </c>
      <c r="C6" s="12" t="s">
        <v>716</v>
      </c>
      <c r="D6" s="12" t="s">
        <v>717</v>
      </c>
      <c r="E6" s="12" t="s">
        <v>578</v>
      </c>
      <c r="F6" s="12" t="s">
        <v>578</v>
      </c>
      <c r="G6" s="12" t="s">
        <v>578</v>
      </c>
      <c r="H6" s="12" t="s">
        <v>578</v>
      </c>
      <c r="I6" s="12" t="s">
        <v>578</v>
      </c>
      <c r="J6" s="12" t="s">
        <v>578</v>
      </c>
      <c r="K6" s="12" t="s">
        <v>578</v>
      </c>
      <c r="L6" s="12" t="s">
        <v>578</v>
      </c>
      <c r="M6" s="12" t="s">
        <v>578</v>
      </c>
      <c r="N6" s="12" t="s">
        <v>578</v>
      </c>
      <c r="O6" s="12" t="s">
        <v>578</v>
      </c>
      <c r="P6" s="12" t="s">
        <v>578</v>
      </c>
      <c r="Q6" s="12" t="s">
        <v>578</v>
      </c>
      <c r="R6" s="12" t="s">
        <v>578</v>
      </c>
      <c r="S6" s="12" t="s">
        <v>578</v>
      </c>
      <c r="T6" s="12" t="s">
        <v>578</v>
      </c>
      <c r="U6" s="12" t="s">
        <v>578</v>
      </c>
      <c r="V6" s="12" t="s">
        <v>578</v>
      </c>
      <c r="W6" s="12" t="s">
        <v>578</v>
      </c>
      <c r="X6" s="12" t="s">
        <v>578</v>
      </c>
      <c r="Y6" s="12" t="s">
        <v>578</v>
      </c>
      <c r="Z6" s="12" t="s">
        <v>578</v>
      </c>
      <c r="AA6" s="12" t="s">
        <v>578</v>
      </c>
      <c r="AB6" s="12" t="s">
        <v>578</v>
      </c>
      <c r="AC6" s="12" t="s">
        <v>578</v>
      </c>
      <c r="AD6" s="12" t="s">
        <v>578</v>
      </c>
      <c r="AE6" s="12" t="s">
        <v>578</v>
      </c>
      <c r="AF6" s="12" t="s">
        <v>578</v>
      </c>
      <c r="AG6" s="12" t="s">
        <v>578</v>
      </c>
      <c r="AH6" s="12" t="s">
        <v>578</v>
      </c>
      <c r="AI6" s="12" t="s">
        <v>578</v>
      </c>
      <c r="AJ6" s="12" t="s">
        <v>578</v>
      </c>
      <c r="AK6" s="12" t="s">
        <v>578</v>
      </c>
      <c r="AL6" s="12" t="s">
        <v>578</v>
      </c>
      <c r="AM6" s="12" t="s">
        <v>578</v>
      </c>
      <c r="AN6" s="12" t="s">
        <v>578</v>
      </c>
      <c r="AO6" s="12" t="s">
        <v>578</v>
      </c>
      <c r="AP6" s="12" t="s">
        <v>578</v>
      </c>
      <c r="AQ6" s="12" t="s">
        <v>578</v>
      </c>
      <c r="AR6" s="12" t="s">
        <v>578</v>
      </c>
      <c r="AS6" s="12" t="s">
        <v>579</v>
      </c>
      <c r="AT6" s="12" t="s">
        <v>579</v>
      </c>
      <c r="AU6" s="12" t="s">
        <v>579</v>
      </c>
      <c r="AV6" s="12" t="s">
        <v>579</v>
      </c>
      <c r="AW6" s="12" t="s">
        <v>579</v>
      </c>
      <c r="AX6" s="12" t="s">
        <v>579</v>
      </c>
      <c r="AY6" s="12" t="s">
        <v>579</v>
      </c>
      <c r="AZ6" s="12" t="s">
        <v>579</v>
      </c>
      <c r="BA6" s="12" t="s">
        <v>579</v>
      </c>
      <c r="BB6" s="12" t="s">
        <v>579</v>
      </c>
      <c r="BC6" s="12" t="s">
        <v>579</v>
      </c>
      <c r="BD6" s="12" t="s">
        <v>579</v>
      </c>
      <c r="BE6" s="12" t="s">
        <v>579</v>
      </c>
      <c r="BF6" s="12" t="s">
        <v>579</v>
      </c>
      <c r="BG6" s="12" t="s">
        <v>623</v>
      </c>
      <c r="BH6" s="12" t="s">
        <v>718</v>
      </c>
      <c r="BI6" s="12" t="s">
        <v>718</v>
      </c>
      <c r="BJ6" s="12" t="s">
        <v>719</v>
      </c>
      <c r="BK6" s="12" t="s">
        <v>720</v>
      </c>
      <c r="BL6" s="12" t="s">
        <v>721</v>
      </c>
      <c r="BM6" s="12" t="s">
        <v>722</v>
      </c>
      <c r="BN6" s="12" t="s">
        <v>723</v>
      </c>
      <c r="BO6" s="12" t="s">
        <v>724</v>
      </c>
      <c r="BP6" s="12" t="s">
        <v>725</v>
      </c>
      <c r="BQ6" s="12" t="s">
        <v>726</v>
      </c>
      <c r="BR6" s="12" t="s">
        <v>727</v>
      </c>
      <c r="BS6" s="12" t="s">
        <v>728</v>
      </c>
      <c r="BT6" s="12" t="s">
        <v>729</v>
      </c>
      <c r="BU6" s="12" t="s">
        <v>730</v>
      </c>
      <c r="BV6" s="12" t="s">
        <v>731</v>
      </c>
      <c r="BW6" s="12" t="s">
        <v>732</v>
      </c>
      <c r="BX6" s="12" t="s">
        <v>733</v>
      </c>
      <c r="BY6" s="12" t="s">
        <v>734</v>
      </c>
      <c r="BZ6" s="12" t="s">
        <v>735</v>
      </c>
      <c r="CA6" s="12" t="s">
        <v>736</v>
      </c>
      <c r="CB6" s="12" t="s">
        <v>737</v>
      </c>
      <c r="CC6" s="12" t="s">
        <v>738</v>
      </c>
      <c r="CD6" s="12" t="s">
        <v>739</v>
      </c>
      <c r="CE6" s="12" t="s">
        <v>740</v>
      </c>
      <c r="CF6" s="12" t="s">
        <v>741</v>
      </c>
      <c r="CG6" s="12" t="s">
        <v>741</v>
      </c>
      <c r="CH6" s="12" t="s">
        <v>742</v>
      </c>
      <c r="CI6" s="12" t="s">
        <v>743</v>
      </c>
      <c r="CJ6" s="12" t="s">
        <v>744</v>
      </c>
      <c r="CK6" s="12" t="s">
        <v>745</v>
      </c>
      <c r="CL6" s="12" t="s">
        <v>745</v>
      </c>
      <c r="CM6" s="12" t="s">
        <v>746</v>
      </c>
      <c r="CN6" s="12" t="s">
        <v>747</v>
      </c>
      <c r="CO6" s="12" t="s">
        <v>748</v>
      </c>
      <c r="CP6" s="12" t="s">
        <v>749</v>
      </c>
      <c r="CQ6" s="12" t="s">
        <v>749</v>
      </c>
      <c r="CR6" s="12" t="s">
        <v>750</v>
      </c>
      <c r="CS6" s="12" t="s">
        <v>750</v>
      </c>
      <c r="CT6" s="12" t="s">
        <v>751</v>
      </c>
    </row>
    <row r="7" spans="1:98" hidden="1" x14ac:dyDescent="0.3">
      <c r="A7" s="12" t="s">
        <v>25</v>
      </c>
      <c r="B7" s="12" t="s">
        <v>752</v>
      </c>
      <c r="C7" s="12" t="s">
        <v>753</v>
      </c>
      <c r="D7" s="12" t="s">
        <v>754</v>
      </c>
      <c r="E7" s="12" t="s">
        <v>578</v>
      </c>
      <c r="F7" s="12" t="s">
        <v>578</v>
      </c>
      <c r="G7" s="12" t="s">
        <v>578</v>
      </c>
      <c r="H7" s="12" t="s">
        <v>578</v>
      </c>
      <c r="I7" s="12" t="s">
        <v>578</v>
      </c>
      <c r="J7" s="12" t="s">
        <v>578</v>
      </c>
      <c r="K7" s="12" t="s">
        <v>578</v>
      </c>
      <c r="L7" s="12" t="s">
        <v>578</v>
      </c>
      <c r="M7" s="12" t="s">
        <v>578</v>
      </c>
      <c r="N7" s="12" t="s">
        <v>578</v>
      </c>
      <c r="O7" s="12" t="s">
        <v>578</v>
      </c>
      <c r="P7" s="12" t="s">
        <v>578</v>
      </c>
      <c r="Q7" s="12" t="s">
        <v>578</v>
      </c>
      <c r="R7" s="12" t="s">
        <v>578</v>
      </c>
      <c r="S7" s="12" t="s">
        <v>578</v>
      </c>
      <c r="T7" s="12" t="s">
        <v>578</v>
      </c>
      <c r="U7" s="12" t="s">
        <v>578</v>
      </c>
      <c r="V7" s="12" t="s">
        <v>578</v>
      </c>
      <c r="W7" s="12" t="s">
        <v>578</v>
      </c>
      <c r="X7" s="12" t="s">
        <v>578</v>
      </c>
      <c r="Y7" s="12" t="s">
        <v>578</v>
      </c>
      <c r="Z7" s="12" t="s">
        <v>578</v>
      </c>
      <c r="AA7" s="12" t="s">
        <v>578</v>
      </c>
      <c r="AB7" s="12" t="s">
        <v>578</v>
      </c>
      <c r="AC7" s="12" t="s">
        <v>578</v>
      </c>
      <c r="AD7" s="12" t="s">
        <v>578</v>
      </c>
      <c r="AE7" s="12" t="s">
        <v>578</v>
      </c>
      <c r="AF7" s="12" t="s">
        <v>578</v>
      </c>
      <c r="AG7" s="12" t="s">
        <v>578</v>
      </c>
      <c r="AH7" s="12" t="s">
        <v>578</v>
      </c>
      <c r="AI7" s="12" t="s">
        <v>578</v>
      </c>
      <c r="AJ7" s="12" t="s">
        <v>578</v>
      </c>
      <c r="AK7" s="12" t="s">
        <v>578</v>
      </c>
      <c r="AL7" s="12" t="s">
        <v>578</v>
      </c>
      <c r="AM7" s="12" t="s">
        <v>578</v>
      </c>
      <c r="AN7" s="12" t="s">
        <v>578</v>
      </c>
      <c r="AO7" s="12" t="s">
        <v>578</v>
      </c>
      <c r="AP7" s="12" t="s">
        <v>578</v>
      </c>
      <c r="AQ7" s="12" t="s">
        <v>578</v>
      </c>
      <c r="AR7" s="12" t="s">
        <v>578</v>
      </c>
      <c r="AS7" s="12" t="s">
        <v>578</v>
      </c>
      <c r="AT7" s="12" t="s">
        <v>578</v>
      </c>
      <c r="AU7" s="12" t="s">
        <v>578</v>
      </c>
      <c r="AV7" s="12" t="s">
        <v>578</v>
      </c>
      <c r="AW7" s="12" t="s">
        <v>578</v>
      </c>
      <c r="AX7" s="12" t="s">
        <v>578</v>
      </c>
      <c r="AY7" s="12" t="s">
        <v>578</v>
      </c>
      <c r="AZ7" s="12" t="s">
        <v>578</v>
      </c>
      <c r="BA7" s="12" t="s">
        <v>578</v>
      </c>
      <c r="BB7" s="12" t="s">
        <v>578</v>
      </c>
      <c r="BC7" s="12" t="s">
        <v>578</v>
      </c>
      <c r="BD7" s="12" t="s">
        <v>578</v>
      </c>
      <c r="BE7" s="12" t="s">
        <v>578</v>
      </c>
      <c r="BF7" s="12" t="s">
        <v>578</v>
      </c>
      <c r="BG7" s="12" t="s">
        <v>578</v>
      </c>
      <c r="BH7" s="12" t="s">
        <v>578</v>
      </c>
      <c r="BI7" s="12" t="s">
        <v>578</v>
      </c>
      <c r="BJ7" s="12" t="s">
        <v>578</v>
      </c>
      <c r="BK7" s="12" t="s">
        <v>579</v>
      </c>
      <c r="BL7" s="12" t="s">
        <v>623</v>
      </c>
      <c r="BM7" s="12" t="s">
        <v>623</v>
      </c>
      <c r="BN7" s="12" t="s">
        <v>672</v>
      </c>
      <c r="BO7" s="12" t="s">
        <v>672</v>
      </c>
      <c r="BP7" s="12" t="s">
        <v>672</v>
      </c>
      <c r="BQ7" s="12" t="s">
        <v>580</v>
      </c>
      <c r="BR7" s="12" t="s">
        <v>580</v>
      </c>
      <c r="BS7" s="12" t="s">
        <v>581</v>
      </c>
      <c r="BT7" s="12" t="s">
        <v>582</v>
      </c>
      <c r="BU7" s="12" t="s">
        <v>582</v>
      </c>
      <c r="BV7" s="12" t="s">
        <v>582</v>
      </c>
      <c r="BW7" s="12" t="s">
        <v>755</v>
      </c>
      <c r="BX7" s="12" t="s">
        <v>755</v>
      </c>
      <c r="BY7" s="12" t="s">
        <v>755</v>
      </c>
      <c r="BZ7" s="12" t="s">
        <v>624</v>
      </c>
      <c r="CA7" s="12" t="s">
        <v>756</v>
      </c>
      <c r="CB7" s="12" t="s">
        <v>584</v>
      </c>
      <c r="CC7" s="12" t="s">
        <v>673</v>
      </c>
      <c r="CD7" s="12" t="s">
        <v>674</v>
      </c>
      <c r="CE7" s="12" t="s">
        <v>674</v>
      </c>
      <c r="CF7" s="12" t="s">
        <v>674</v>
      </c>
      <c r="CG7" s="12" t="s">
        <v>674</v>
      </c>
      <c r="CH7" s="12" t="s">
        <v>674</v>
      </c>
      <c r="CI7" s="12" t="s">
        <v>674</v>
      </c>
      <c r="CJ7" s="12" t="s">
        <v>674</v>
      </c>
      <c r="CK7" s="12" t="s">
        <v>674</v>
      </c>
      <c r="CL7" s="12" t="s">
        <v>674</v>
      </c>
      <c r="CM7" s="12" t="s">
        <v>674</v>
      </c>
      <c r="CN7" s="12" t="s">
        <v>587</v>
      </c>
      <c r="CO7" s="12" t="s">
        <v>587</v>
      </c>
      <c r="CP7" s="12" t="s">
        <v>587</v>
      </c>
      <c r="CQ7" s="12" t="s">
        <v>587</v>
      </c>
      <c r="CR7" s="12" t="s">
        <v>757</v>
      </c>
      <c r="CS7" s="12" t="s">
        <v>757</v>
      </c>
      <c r="CT7" s="12" t="s">
        <v>757</v>
      </c>
    </row>
    <row r="8" spans="1:98" hidden="1" x14ac:dyDescent="0.3">
      <c r="A8" s="12" t="s">
        <v>25</v>
      </c>
      <c r="B8" s="12" t="s">
        <v>758</v>
      </c>
      <c r="C8" s="12" t="s">
        <v>759</v>
      </c>
      <c r="D8" s="12" t="s">
        <v>760</v>
      </c>
      <c r="E8" s="12" t="s">
        <v>578</v>
      </c>
      <c r="F8" s="12" t="s">
        <v>578</v>
      </c>
      <c r="G8" s="12" t="s">
        <v>578</v>
      </c>
      <c r="H8" s="12" t="s">
        <v>578</v>
      </c>
      <c r="I8" s="12" t="s">
        <v>578</v>
      </c>
      <c r="J8" s="12" t="s">
        <v>578</v>
      </c>
      <c r="K8" s="12" t="s">
        <v>578</v>
      </c>
      <c r="L8" s="12" t="s">
        <v>578</v>
      </c>
      <c r="M8" s="12" t="s">
        <v>578</v>
      </c>
      <c r="N8" s="12" t="s">
        <v>578</v>
      </c>
      <c r="O8" s="12" t="s">
        <v>578</v>
      </c>
      <c r="P8" s="12" t="s">
        <v>578</v>
      </c>
      <c r="Q8" s="12" t="s">
        <v>578</v>
      </c>
      <c r="R8" s="12" t="s">
        <v>578</v>
      </c>
      <c r="S8" s="12" t="s">
        <v>578</v>
      </c>
      <c r="T8" s="12" t="s">
        <v>578</v>
      </c>
      <c r="U8" s="12" t="s">
        <v>578</v>
      </c>
      <c r="V8" s="12" t="s">
        <v>578</v>
      </c>
      <c r="W8" s="12" t="s">
        <v>578</v>
      </c>
      <c r="X8" s="12" t="s">
        <v>578</v>
      </c>
      <c r="Y8" s="12" t="s">
        <v>578</v>
      </c>
      <c r="Z8" s="12" t="s">
        <v>578</v>
      </c>
      <c r="AA8" s="12" t="s">
        <v>578</v>
      </c>
      <c r="AB8" s="12" t="s">
        <v>578</v>
      </c>
      <c r="AC8" s="12" t="s">
        <v>578</v>
      </c>
      <c r="AD8" s="12" t="s">
        <v>578</v>
      </c>
      <c r="AE8" s="12" t="s">
        <v>578</v>
      </c>
      <c r="AF8" s="12" t="s">
        <v>578</v>
      </c>
      <c r="AG8" s="12" t="s">
        <v>578</v>
      </c>
      <c r="AH8" s="12" t="s">
        <v>578</v>
      </c>
      <c r="AI8" s="12" t="s">
        <v>578</v>
      </c>
      <c r="AJ8" s="12" t="s">
        <v>578</v>
      </c>
      <c r="AK8" s="12" t="s">
        <v>578</v>
      </c>
      <c r="AL8" s="12" t="s">
        <v>578</v>
      </c>
      <c r="AM8" s="12" t="s">
        <v>578</v>
      </c>
      <c r="AN8" s="12" t="s">
        <v>578</v>
      </c>
      <c r="AO8" s="12" t="s">
        <v>578</v>
      </c>
      <c r="AP8" s="12" t="s">
        <v>578</v>
      </c>
      <c r="AQ8" s="12" t="s">
        <v>578</v>
      </c>
      <c r="AR8" s="12" t="s">
        <v>578</v>
      </c>
      <c r="AS8" s="12" t="s">
        <v>578</v>
      </c>
      <c r="AT8" s="12" t="s">
        <v>578</v>
      </c>
      <c r="AU8" s="12" t="s">
        <v>578</v>
      </c>
      <c r="AV8" s="12" t="s">
        <v>578</v>
      </c>
      <c r="AW8" s="12" t="s">
        <v>578</v>
      </c>
      <c r="AX8" s="12" t="s">
        <v>578</v>
      </c>
      <c r="AY8" s="12" t="s">
        <v>578</v>
      </c>
      <c r="AZ8" s="12" t="s">
        <v>578</v>
      </c>
      <c r="BA8" s="12" t="s">
        <v>578</v>
      </c>
      <c r="BB8" s="12" t="s">
        <v>578</v>
      </c>
      <c r="BC8" s="12" t="s">
        <v>578</v>
      </c>
      <c r="BD8" s="12" t="s">
        <v>579</v>
      </c>
      <c r="BE8" s="12" t="s">
        <v>579</v>
      </c>
      <c r="BF8" s="12" t="s">
        <v>579</v>
      </c>
      <c r="BG8" s="12" t="s">
        <v>579</v>
      </c>
      <c r="BH8" s="12" t="s">
        <v>579</v>
      </c>
      <c r="BI8" s="12" t="s">
        <v>579</v>
      </c>
      <c r="BJ8" s="12" t="s">
        <v>579</v>
      </c>
      <c r="BK8" s="12" t="s">
        <v>579</v>
      </c>
      <c r="BL8" s="12" t="s">
        <v>579</v>
      </c>
      <c r="BM8" s="12" t="s">
        <v>579</v>
      </c>
      <c r="BN8" s="12" t="s">
        <v>672</v>
      </c>
      <c r="BO8" s="12" t="s">
        <v>672</v>
      </c>
      <c r="BP8" s="12" t="s">
        <v>672</v>
      </c>
      <c r="BQ8" s="12" t="s">
        <v>582</v>
      </c>
      <c r="BR8" s="12" t="s">
        <v>582</v>
      </c>
      <c r="BS8" s="12" t="s">
        <v>582</v>
      </c>
      <c r="BT8" s="12" t="s">
        <v>582</v>
      </c>
      <c r="BU8" s="12" t="s">
        <v>582</v>
      </c>
      <c r="BV8" s="12" t="s">
        <v>582</v>
      </c>
      <c r="BW8" s="12" t="s">
        <v>582</v>
      </c>
      <c r="BX8" s="12" t="s">
        <v>761</v>
      </c>
      <c r="BY8" s="12" t="s">
        <v>762</v>
      </c>
      <c r="BZ8" s="12" t="s">
        <v>762</v>
      </c>
      <c r="CA8" s="12" t="s">
        <v>762</v>
      </c>
      <c r="CB8" s="12" t="s">
        <v>762</v>
      </c>
      <c r="CC8" s="12" t="s">
        <v>674</v>
      </c>
      <c r="CD8" s="12" t="s">
        <v>674</v>
      </c>
      <c r="CE8" s="12" t="s">
        <v>674</v>
      </c>
      <c r="CF8" s="12" t="s">
        <v>674</v>
      </c>
      <c r="CG8" s="12" t="s">
        <v>585</v>
      </c>
      <c r="CH8" s="12" t="s">
        <v>585</v>
      </c>
      <c r="CI8" s="12" t="s">
        <v>626</v>
      </c>
      <c r="CJ8" s="12" t="s">
        <v>626</v>
      </c>
      <c r="CK8" s="12" t="s">
        <v>626</v>
      </c>
      <c r="CL8" s="12" t="s">
        <v>626</v>
      </c>
      <c r="CM8" s="12" t="s">
        <v>626</v>
      </c>
      <c r="CN8" s="12" t="s">
        <v>626</v>
      </c>
      <c r="CO8" s="12" t="s">
        <v>626</v>
      </c>
      <c r="CP8" s="12" t="s">
        <v>626</v>
      </c>
      <c r="CQ8" s="12" t="s">
        <v>626</v>
      </c>
      <c r="CR8" s="12" t="s">
        <v>587</v>
      </c>
      <c r="CS8" s="12" t="s">
        <v>587</v>
      </c>
      <c r="CT8" s="12" t="s">
        <v>587</v>
      </c>
    </row>
    <row r="9" spans="1:98" hidden="1" x14ac:dyDescent="0.3">
      <c r="A9" s="12" t="s">
        <v>25</v>
      </c>
      <c r="B9" s="12" t="s">
        <v>763</v>
      </c>
      <c r="C9" s="12" t="s">
        <v>764</v>
      </c>
      <c r="D9" s="12" t="s">
        <v>765</v>
      </c>
      <c r="E9" s="12" t="s">
        <v>578</v>
      </c>
      <c r="F9" s="12" t="s">
        <v>578</v>
      </c>
      <c r="G9" s="12" t="s">
        <v>578</v>
      </c>
      <c r="H9" s="12" t="s">
        <v>578</v>
      </c>
      <c r="I9" s="12" t="s">
        <v>578</v>
      </c>
      <c r="J9" s="12" t="s">
        <v>578</v>
      </c>
      <c r="K9" s="12" t="s">
        <v>578</v>
      </c>
      <c r="L9" s="12" t="s">
        <v>578</v>
      </c>
      <c r="M9" s="12" t="s">
        <v>578</v>
      </c>
      <c r="N9" s="12" t="s">
        <v>578</v>
      </c>
      <c r="O9" s="12" t="s">
        <v>578</v>
      </c>
      <c r="P9" s="12" t="s">
        <v>578</v>
      </c>
      <c r="Q9" s="12" t="s">
        <v>578</v>
      </c>
      <c r="R9" s="12" t="s">
        <v>578</v>
      </c>
      <c r="S9" s="12" t="s">
        <v>578</v>
      </c>
      <c r="T9" s="12" t="s">
        <v>578</v>
      </c>
      <c r="U9" s="12" t="s">
        <v>578</v>
      </c>
      <c r="V9" s="12" t="s">
        <v>578</v>
      </c>
      <c r="W9" s="12" t="s">
        <v>578</v>
      </c>
      <c r="X9" s="12" t="s">
        <v>578</v>
      </c>
      <c r="Y9" s="12" t="s">
        <v>578</v>
      </c>
      <c r="Z9" s="12" t="s">
        <v>578</v>
      </c>
      <c r="AA9" s="12" t="s">
        <v>578</v>
      </c>
      <c r="AB9" s="12" t="s">
        <v>578</v>
      </c>
      <c r="AC9" s="12" t="s">
        <v>578</v>
      </c>
      <c r="AD9" s="12" t="s">
        <v>578</v>
      </c>
      <c r="AE9" s="12" t="s">
        <v>578</v>
      </c>
      <c r="AF9" s="12" t="s">
        <v>578</v>
      </c>
      <c r="AG9" s="12" t="s">
        <v>578</v>
      </c>
      <c r="AH9" s="12" t="s">
        <v>578</v>
      </c>
      <c r="AI9" s="12" t="s">
        <v>578</v>
      </c>
      <c r="AJ9" s="12" t="s">
        <v>578</v>
      </c>
      <c r="AK9" s="12" t="s">
        <v>578</v>
      </c>
      <c r="AL9" s="12" t="s">
        <v>578</v>
      </c>
      <c r="AM9" s="12" t="s">
        <v>578</v>
      </c>
      <c r="AN9" s="12" t="s">
        <v>578</v>
      </c>
      <c r="AO9" s="12" t="s">
        <v>578</v>
      </c>
      <c r="AP9" s="12" t="s">
        <v>578</v>
      </c>
      <c r="AQ9" s="12" t="s">
        <v>578</v>
      </c>
      <c r="AR9" s="12" t="s">
        <v>578</v>
      </c>
      <c r="AS9" s="12" t="s">
        <v>578</v>
      </c>
      <c r="AT9" s="12" t="s">
        <v>579</v>
      </c>
      <c r="AU9" s="12" t="s">
        <v>579</v>
      </c>
      <c r="AV9" s="12" t="s">
        <v>579</v>
      </c>
      <c r="AW9" s="12" t="s">
        <v>623</v>
      </c>
      <c r="AX9" s="12" t="s">
        <v>755</v>
      </c>
      <c r="AY9" s="12" t="s">
        <v>625</v>
      </c>
      <c r="AZ9" s="12" t="s">
        <v>625</v>
      </c>
      <c r="BA9" s="12" t="s">
        <v>673</v>
      </c>
      <c r="BB9" s="12" t="s">
        <v>674</v>
      </c>
      <c r="BC9" s="12" t="s">
        <v>674</v>
      </c>
      <c r="BD9" s="12" t="s">
        <v>766</v>
      </c>
      <c r="BE9" s="12" t="s">
        <v>767</v>
      </c>
      <c r="BF9" s="12" t="s">
        <v>768</v>
      </c>
      <c r="BG9" s="12" t="s">
        <v>769</v>
      </c>
      <c r="BH9" s="12" t="s">
        <v>770</v>
      </c>
      <c r="BI9" s="12" t="s">
        <v>771</v>
      </c>
      <c r="BJ9" s="12" t="s">
        <v>772</v>
      </c>
      <c r="BK9" s="12" t="s">
        <v>773</v>
      </c>
      <c r="BL9" s="12" t="s">
        <v>774</v>
      </c>
      <c r="BM9" s="12" t="s">
        <v>775</v>
      </c>
      <c r="BN9" s="12" t="s">
        <v>776</v>
      </c>
      <c r="BO9" s="12" t="s">
        <v>777</v>
      </c>
      <c r="BP9" s="12" t="s">
        <v>777</v>
      </c>
      <c r="BQ9" s="12" t="s">
        <v>778</v>
      </c>
      <c r="BR9" s="12" t="s">
        <v>779</v>
      </c>
      <c r="BS9" s="12" t="s">
        <v>780</v>
      </c>
      <c r="BT9" s="12" t="s">
        <v>781</v>
      </c>
      <c r="BU9" s="12" t="s">
        <v>782</v>
      </c>
      <c r="BV9" s="12" t="s">
        <v>783</v>
      </c>
      <c r="BW9" s="12" t="s">
        <v>783</v>
      </c>
      <c r="BX9" s="12" t="s">
        <v>784</v>
      </c>
      <c r="BY9" s="12" t="s">
        <v>785</v>
      </c>
      <c r="BZ9" s="12" t="s">
        <v>786</v>
      </c>
      <c r="CA9" s="12" t="s">
        <v>786</v>
      </c>
      <c r="CB9" s="12" t="s">
        <v>787</v>
      </c>
      <c r="CC9" s="12" t="s">
        <v>788</v>
      </c>
      <c r="CD9" s="12" t="s">
        <v>789</v>
      </c>
      <c r="CE9" s="12" t="s">
        <v>790</v>
      </c>
      <c r="CF9" s="12" t="s">
        <v>791</v>
      </c>
      <c r="CG9" s="12" t="s">
        <v>791</v>
      </c>
      <c r="CH9" s="12" t="s">
        <v>792</v>
      </c>
      <c r="CI9" s="12" t="s">
        <v>793</v>
      </c>
      <c r="CJ9" s="12" t="s">
        <v>794</v>
      </c>
      <c r="CK9" s="12" t="s">
        <v>795</v>
      </c>
      <c r="CL9" s="12" t="s">
        <v>796</v>
      </c>
      <c r="CM9" s="12" t="s">
        <v>797</v>
      </c>
      <c r="CN9" s="12" t="s">
        <v>798</v>
      </c>
      <c r="CO9" s="12" t="s">
        <v>799</v>
      </c>
      <c r="CP9" s="12" t="s">
        <v>800</v>
      </c>
      <c r="CQ9" s="12" t="s">
        <v>801</v>
      </c>
      <c r="CR9" s="12" t="s">
        <v>802</v>
      </c>
      <c r="CS9" s="12" t="s">
        <v>803</v>
      </c>
      <c r="CT9" s="12" t="s">
        <v>804</v>
      </c>
    </row>
    <row r="10" spans="1:98" hidden="1" x14ac:dyDescent="0.3">
      <c r="A10" s="12" t="s">
        <v>25</v>
      </c>
      <c r="B10" s="12" t="s">
        <v>805</v>
      </c>
      <c r="C10" s="12" t="s">
        <v>806</v>
      </c>
      <c r="D10" s="12" t="s">
        <v>807</v>
      </c>
      <c r="E10" s="12" t="s">
        <v>578</v>
      </c>
      <c r="F10" s="12" t="s">
        <v>578</v>
      </c>
      <c r="G10" s="12" t="s">
        <v>578</v>
      </c>
      <c r="H10" s="12" t="s">
        <v>578</v>
      </c>
      <c r="I10" s="12" t="s">
        <v>578</v>
      </c>
      <c r="J10" s="12" t="s">
        <v>578</v>
      </c>
      <c r="K10" s="12" t="s">
        <v>578</v>
      </c>
      <c r="L10" s="12" t="s">
        <v>578</v>
      </c>
      <c r="M10" s="12" t="s">
        <v>578</v>
      </c>
      <c r="N10" s="12" t="s">
        <v>578</v>
      </c>
      <c r="O10" s="12" t="s">
        <v>578</v>
      </c>
      <c r="P10" s="12" t="s">
        <v>578</v>
      </c>
      <c r="Q10" s="12" t="s">
        <v>578</v>
      </c>
      <c r="R10" s="12" t="s">
        <v>578</v>
      </c>
      <c r="S10" s="12" t="s">
        <v>578</v>
      </c>
      <c r="T10" s="12" t="s">
        <v>578</v>
      </c>
      <c r="U10" s="12" t="s">
        <v>578</v>
      </c>
      <c r="V10" s="12" t="s">
        <v>578</v>
      </c>
      <c r="W10" s="12" t="s">
        <v>578</v>
      </c>
      <c r="X10" s="12" t="s">
        <v>578</v>
      </c>
      <c r="Y10" s="12" t="s">
        <v>578</v>
      </c>
      <c r="Z10" s="12" t="s">
        <v>578</v>
      </c>
      <c r="AA10" s="12" t="s">
        <v>578</v>
      </c>
      <c r="AB10" s="12" t="s">
        <v>578</v>
      </c>
      <c r="AC10" s="12" t="s">
        <v>578</v>
      </c>
      <c r="AD10" s="12" t="s">
        <v>578</v>
      </c>
      <c r="AE10" s="12" t="s">
        <v>578</v>
      </c>
      <c r="AF10" s="12" t="s">
        <v>578</v>
      </c>
      <c r="AG10" s="12" t="s">
        <v>578</v>
      </c>
      <c r="AH10" s="12" t="s">
        <v>578</v>
      </c>
      <c r="AI10" s="12" t="s">
        <v>578</v>
      </c>
      <c r="AJ10" s="12" t="s">
        <v>578</v>
      </c>
      <c r="AK10" s="12" t="s">
        <v>578</v>
      </c>
      <c r="AL10" s="12" t="s">
        <v>578</v>
      </c>
      <c r="AM10" s="12" t="s">
        <v>578</v>
      </c>
      <c r="AN10" s="12" t="s">
        <v>578</v>
      </c>
      <c r="AO10" s="12" t="s">
        <v>578</v>
      </c>
      <c r="AP10" s="12" t="s">
        <v>578</v>
      </c>
      <c r="AQ10" s="12" t="s">
        <v>578</v>
      </c>
      <c r="AR10" s="12" t="s">
        <v>579</v>
      </c>
      <c r="AS10" s="12" t="s">
        <v>579</v>
      </c>
      <c r="AT10" s="12" t="s">
        <v>579</v>
      </c>
      <c r="AU10" s="12" t="s">
        <v>579</v>
      </c>
      <c r="AV10" s="12" t="s">
        <v>579</v>
      </c>
      <c r="AW10" s="12" t="s">
        <v>579</v>
      </c>
      <c r="AX10" s="12" t="s">
        <v>579</v>
      </c>
      <c r="AY10" s="12" t="s">
        <v>579</v>
      </c>
      <c r="AZ10" s="12" t="s">
        <v>579</v>
      </c>
      <c r="BA10" s="12" t="s">
        <v>579</v>
      </c>
      <c r="BB10" s="12" t="s">
        <v>579</v>
      </c>
      <c r="BC10" s="12" t="s">
        <v>580</v>
      </c>
      <c r="BD10" s="12" t="s">
        <v>755</v>
      </c>
      <c r="BE10" s="12" t="s">
        <v>808</v>
      </c>
      <c r="BF10" s="12" t="s">
        <v>676</v>
      </c>
      <c r="BG10" s="12" t="s">
        <v>809</v>
      </c>
      <c r="BH10" s="12" t="s">
        <v>810</v>
      </c>
      <c r="BI10" s="12" t="s">
        <v>590</v>
      </c>
      <c r="BJ10" s="12" t="s">
        <v>811</v>
      </c>
      <c r="BK10" s="12" t="s">
        <v>812</v>
      </c>
      <c r="BL10" s="12" t="s">
        <v>813</v>
      </c>
      <c r="BM10" s="12" t="s">
        <v>814</v>
      </c>
      <c r="BN10" s="12" t="s">
        <v>815</v>
      </c>
      <c r="BO10" s="12" t="s">
        <v>816</v>
      </c>
      <c r="BP10" s="12" t="s">
        <v>817</v>
      </c>
      <c r="BQ10" s="12" t="s">
        <v>818</v>
      </c>
      <c r="BR10" s="12" t="s">
        <v>819</v>
      </c>
      <c r="BS10" s="12" t="s">
        <v>820</v>
      </c>
      <c r="BT10" s="12" t="s">
        <v>821</v>
      </c>
      <c r="BU10" s="12" t="s">
        <v>822</v>
      </c>
      <c r="BV10" s="12" t="s">
        <v>823</v>
      </c>
      <c r="BW10" s="12" t="s">
        <v>824</v>
      </c>
      <c r="BX10" s="12" t="s">
        <v>667</v>
      </c>
      <c r="BY10" s="12" t="s">
        <v>825</v>
      </c>
      <c r="BZ10" s="12" t="s">
        <v>826</v>
      </c>
      <c r="CA10" s="12" t="s">
        <v>827</v>
      </c>
      <c r="CB10" s="12" t="s">
        <v>828</v>
      </c>
      <c r="CC10" s="12" t="s">
        <v>829</v>
      </c>
      <c r="CD10" s="12" t="s">
        <v>830</v>
      </c>
      <c r="CE10" s="12" t="s">
        <v>831</v>
      </c>
      <c r="CF10" s="12" t="s">
        <v>832</v>
      </c>
      <c r="CG10" s="12" t="s">
        <v>833</v>
      </c>
      <c r="CH10" s="12" t="s">
        <v>834</v>
      </c>
      <c r="CI10" s="12" t="s">
        <v>835</v>
      </c>
      <c r="CJ10" s="12" t="s">
        <v>836</v>
      </c>
      <c r="CK10" s="12" t="s">
        <v>837</v>
      </c>
      <c r="CL10" s="12" t="s">
        <v>838</v>
      </c>
      <c r="CM10" s="12" t="s">
        <v>839</v>
      </c>
      <c r="CN10" s="12" t="s">
        <v>840</v>
      </c>
      <c r="CO10" s="12" t="s">
        <v>841</v>
      </c>
      <c r="CP10" s="12" t="s">
        <v>842</v>
      </c>
      <c r="CQ10" s="12" t="s">
        <v>843</v>
      </c>
      <c r="CR10" s="12" t="s">
        <v>844</v>
      </c>
      <c r="CS10" s="12" t="s">
        <v>845</v>
      </c>
      <c r="CT10" s="12" t="s">
        <v>846</v>
      </c>
    </row>
    <row r="11" spans="1:98" hidden="1" x14ac:dyDescent="0.3">
      <c r="A11" s="12" t="s">
        <v>847</v>
      </c>
      <c r="B11" s="12" t="s">
        <v>848</v>
      </c>
      <c r="C11" s="12" t="s">
        <v>849</v>
      </c>
      <c r="D11" s="12" t="s">
        <v>850</v>
      </c>
      <c r="E11" s="12" t="s">
        <v>578</v>
      </c>
      <c r="F11" s="12" t="s">
        <v>578</v>
      </c>
      <c r="G11" s="12" t="s">
        <v>578</v>
      </c>
      <c r="H11" s="12" t="s">
        <v>578</v>
      </c>
      <c r="I11" s="12" t="s">
        <v>578</v>
      </c>
      <c r="J11" s="12" t="s">
        <v>578</v>
      </c>
      <c r="K11" s="12" t="s">
        <v>578</v>
      </c>
      <c r="L11" s="12" t="s">
        <v>578</v>
      </c>
      <c r="M11" s="12" t="s">
        <v>578</v>
      </c>
      <c r="N11" s="12" t="s">
        <v>578</v>
      </c>
      <c r="O11" s="12" t="s">
        <v>578</v>
      </c>
      <c r="P11" s="12" t="s">
        <v>578</v>
      </c>
      <c r="Q11" s="12" t="s">
        <v>578</v>
      </c>
      <c r="R11" s="12" t="s">
        <v>578</v>
      </c>
      <c r="S11" s="12" t="s">
        <v>578</v>
      </c>
      <c r="T11" s="12" t="s">
        <v>578</v>
      </c>
      <c r="U11" s="12" t="s">
        <v>578</v>
      </c>
      <c r="V11" s="12" t="s">
        <v>578</v>
      </c>
      <c r="W11" s="12" t="s">
        <v>578</v>
      </c>
      <c r="X11" s="12" t="s">
        <v>578</v>
      </c>
      <c r="Y11" s="12" t="s">
        <v>578</v>
      </c>
      <c r="Z11" s="12" t="s">
        <v>578</v>
      </c>
      <c r="AA11" s="12" t="s">
        <v>578</v>
      </c>
      <c r="AB11" s="12" t="s">
        <v>578</v>
      </c>
      <c r="AC11" s="12" t="s">
        <v>578</v>
      </c>
      <c r="AD11" s="12" t="s">
        <v>578</v>
      </c>
      <c r="AE11" s="12" t="s">
        <v>578</v>
      </c>
      <c r="AF11" s="12" t="s">
        <v>578</v>
      </c>
      <c r="AG11" s="12" t="s">
        <v>578</v>
      </c>
      <c r="AH11" s="12" t="s">
        <v>578</v>
      </c>
      <c r="AI11" s="12" t="s">
        <v>578</v>
      </c>
      <c r="AJ11" s="12" t="s">
        <v>578</v>
      </c>
      <c r="AK11" s="12" t="s">
        <v>578</v>
      </c>
      <c r="AL11" s="12" t="s">
        <v>578</v>
      </c>
      <c r="AM11" s="12" t="s">
        <v>578</v>
      </c>
      <c r="AN11" s="12" t="s">
        <v>578</v>
      </c>
      <c r="AO11" s="12" t="s">
        <v>578</v>
      </c>
      <c r="AP11" s="12" t="s">
        <v>578</v>
      </c>
      <c r="AQ11" s="12" t="s">
        <v>578</v>
      </c>
      <c r="AR11" s="12" t="s">
        <v>578</v>
      </c>
      <c r="AS11" s="12" t="s">
        <v>578</v>
      </c>
      <c r="AT11" s="12" t="s">
        <v>578</v>
      </c>
      <c r="AU11" s="12" t="s">
        <v>578</v>
      </c>
      <c r="AV11" s="12" t="s">
        <v>578</v>
      </c>
      <c r="AW11" s="12" t="s">
        <v>578</v>
      </c>
      <c r="AX11" s="12" t="s">
        <v>578</v>
      </c>
      <c r="AY11" s="12" t="s">
        <v>578</v>
      </c>
      <c r="AZ11" s="12" t="s">
        <v>578</v>
      </c>
      <c r="BA11" s="12" t="s">
        <v>578</v>
      </c>
      <c r="BB11" s="12" t="s">
        <v>578</v>
      </c>
      <c r="BC11" s="12" t="s">
        <v>578</v>
      </c>
      <c r="BD11" s="12" t="s">
        <v>579</v>
      </c>
      <c r="BE11" s="12" t="s">
        <v>579</v>
      </c>
      <c r="BF11" s="12" t="s">
        <v>579</v>
      </c>
      <c r="BG11" s="12" t="s">
        <v>623</v>
      </c>
      <c r="BH11" s="12" t="s">
        <v>623</v>
      </c>
      <c r="BI11" s="12" t="s">
        <v>672</v>
      </c>
      <c r="BJ11" s="12" t="s">
        <v>580</v>
      </c>
      <c r="BK11" s="12" t="s">
        <v>851</v>
      </c>
      <c r="BL11" s="12" t="s">
        <v>761</v>
      </c>
      <c r="BM11" s="12" t="s">
        <v>674</v>
      </c>
      <c r="BN11" s="12" t="s">
        <v>852</v>
      </c>
      <c r="BO11" s="12" t="s">
        <v>718</v>
      </c>
      <c r="BP11" s="12" t="s">
        <v>718</v>
      </c>
      <c r="BQ11" s="12" t="s">
        <v>719</v>
      </c>
      <c r="BR11" s="12" t="s">
        <v>853</v>
      </c>
      <c r="BS11" s="12" t="s">
        <v>854</v>
      </c>
      <c r="BT11" s="12" t="s">
        <v>855</v>
      </c>
      <c r="BU11" s="12" t="s">
        <v>810</v>
      </c>
      <c r="BV11" s="12" t="s">
        <v>856</v>
      </c>
      <c r="BW11" s="12" t="s">
        <v>590</v>
      </c>
      <c r="BX11" s="12" t="s">
        <v>681</v>
      </c>
      <c r="BY11" s="12" t="s">
        <v>857</v>
      </c>
      <c r="BZ11" s="12" t="s">
        <v>858</v>
      </c>
      <c r="CA11" s="12" t="s">
        <v>859</v>
      </c>
      <c r="CB11" s="12" t="s">
        <v>859</v>
      </c>
      <c r="CC11" s="12" t="s">
        <v>859</v>
      </c>
      <c r="CD11" s="12" t="s">
        <v>860</v>
      </c>
      <c r="CE11" s="12" t="s">
        <v>861</v>
      </c>
      <c r="CF11" s="12" t="s">
        <v>862</v>
      </c>
      <c r="CG11" s="12" t="s">
        <v>862</v>
      </c>
      <c r="CH11" s="12" t="s">
        <v>862</v>
      </c>
      <c r="CI11" s="12" t="s">
        <v>863</v>
      </c>
      <c r="CJ11" s="12" t="s">
        <v>862</v>
      </c>
      <c r="CK11" s="12" t="s">
        <v>862</v>
      </c>
      <c r="CL11" s="12" t="s">
        <v>862</v>
      </c>
      <c r="CM11" s="12" t="s">
        <v>862</v>
      </c>
      <c r="CN11" s="12" t="s">
        <v>862</v>
      </c>
      <c r="CO11" s="12" t="s">
        <v>862</v>
      </c>
      <c r="CP11" s="12" t="s">
        <v>637</v>
      </c>
      <c r="CQ11" s="12" t="s">
        <v>637</v>
      </c>
      <c r="CR11" s="12" t="s">
        <v>637</v>
      </c>
      <c r="CS11" s="12" t="s">
        <v>637</v>
      </c>
      <c r="CT11" s="12" t="s">
        <v>864</v>
      </c>
    </row>
    <row r="12" spans="1:98" hidden="1" x14ac:dyDescent="0.3">
      <c r="A12" s="12" t="s">
        <v>865</v>
      </c>
      <c r="B12" s="12" t="s">
        <v>848</v>
      </c>
      <c r="C12" s="12" t="s">
        <v>866</v>
      </c>
      <c r="D12" s="12" t="s">
        <v>867</v>
      </c>
      <c r="E12" s="12" t="s">
        <v>578</v>
      </c>
      <c r="F12" s="12" t="s">
        <v>578</v>
      </c>
      <c r="G12" s="12" t="s">
        <v>578</v>
      </c>
      <c r="H12" s="12" t="s">
        <v>578</v>
      </c>
      <c r="I12" s="12" t="s">
        <v>672</v>
      </c>
      <c r="J12" s="12" t="s">
        <v>580</v>
      </c>
      <c r="K12" s="12" t="s">
        <v>580</v>
      </c>
      <c r="L12" s="12" t="s">
        <v>580</v>
      </c>
      <c r="M12" s="12" t="s">
        <v>580</v>
      </c>
      <c r="N12" s="12" t="s">
        <v>580</v>
      </c>
      <c r="O12" s="12" t="s">
        <v>580</v>
      </c>
      <c r="P12" s="12" t="s">
        <v>580</v>
      </c>
      <c r="Q12" s="12" t="s">
        <v>580</v>
      </c>
      <c r="R12" s="12" t="s">
        <v>580</v>
      </c>
      <c r="S12" s="12" t="s">
        <v>580</v>
      </c>
      <c r="T12" s="12" t="s">
        <v>580</v>
      </c>
      <c r="U12" s="12" t="s">
        <v>580</v>
      </c>
      <c r="V12" s="12" t="s">
        <v>580</v>
      </c>
      <c r="W12" s="12" t="s">
        <v>580</v>
      </c>
      <c r="X12" s="12" t="s">
        <v>580</v>
      </c>
      <c r="Y12" s="12" t="s">
        <v>580</v>
      </c>
      <c r="Z12" s="12" t="s">
        <v>580</v>
      </c>
      <c r="AA12" s="12" t="s">
        <v>580</v>
      </c>
      <c r="AB12" s="12" t="s">
        <v>580</v>
      </c>
      <c r="AC12" s="12" t="s">
        <v>580</v>
      </c>
      <c r="AD12" s="12" t="s">
        <v>580</v>
      </c>
      <c r="AE12" s="12" t="s">
        <v>580</v>
      </c>
      <c r="AF12" s="12" t="s">
        <v>580</v>
      </c>
      <c r="AG12" s="12" t="s">
        <v>580</v>
      </c>
      <c r="AH12" s="12" t="s">
        <v>580</v>
      </c>
      <c r="AI12" s="12" t="s">
        <v>580</v>
      </c>
      <c r="AJ12" s="12" t="s">
        <v>580</v>
      </c>
      <c r="AK12" s="12" t="s">
        <v>580</v>
      </c>
      <c r="AL12" s="12" t="s">
        <v>580</v>
      </c>
      <c r="AM12" s="12" t="s">
        <v>580</v>
      </c>
      <c r="AN12" s="12" t="s">
        <v>580</v>
      </c>
      <c r="AO12" s="12" t="s">
        <v>580</v>
      </c>
      <c r="AP12" s="12" t="s">
        <v>580</v>
      </c>
      <c r="AQ12" s="12" t="s">
        <v>580</v>
      </c>
      <c r="AR12" s="12" t="s">
        <v>851</v>
      </c>
      <c r="AS12" s="12" t="s">
        <v>851</v>
      </c>
      <c r="AT12" s="12" t="s">
        <v>868</v>
      </c>
      <c r="AU12" s="12" t="s">
        <v>586</v>
      </c>
      <c r="AV12" s="12" t="s">
        <v>586</v>
      </c>
      <c r="AW12" s="12" t="s">
        <v>676</v>
      </c>
      <c r="AX12" s="12" t="s">
        <v>869</v>
      </c>
      <c r="AY12" s="12" t="s">
        <v>628</v>
      </c>
      <c r="AZ12" s="12" t="s">
        <v>678</v>
      </c>
      <c r="BA12" s="12" t="s">
        <v>631</v>
      </c>
      <c r="BB12" s="12" t="s">
        <v>870</v>
      </c>
      <c r="BC12" s="12" t="s">
        <v>870</v>
      </c>
      <c r="BD12" s="12" t="s">
        <v>871</v>
      </c>
      <c r="BE12" s="12" t="s">
        <v>872</v>
      </c>
      <c r="BF12" s="12" t="s">
        <v>873</v>
      </c>
      <c r="BG12" s="12" t="s">
        <v>874</v>
      </c>
      <c r="BH12" s="12" t="s">
        <v>875</v>
      </c>
      <c r="BI12" s="12" t="s">
        <v>727</v>
      </c>
      <c r="BJ12" s="12" t="s">
        <v>876</v>
      </c>
      <c r="BK12" s="12" t="s">
        <v>877</v>
      </c>
      <c r="BL12" s="12" t="s">
        <v>878</v>
      </c>
      <c r="BM12" s="12" t="s">
        <v>879</v>
      </c>
      <c r="BN12" s="12" t="s">
        <v>879</v>
      </c>
      <c r="BO12" s="12" t="s">
        <v>880</v>
      </c>
      <c r="BP12" s="12" t="s">
        <v>881</v>
      </c>
      <c r="BQ12" s="12" t="s">
        <v>882</v>
      </c>
      <c r="BR12" s="12" t="s">
        <v>883</v>
      </c>
      <c r="BS12" s="12" t="s">
        <v>884</v>
      </c>
      <c r="BT12" s="12" t="s">
        <v>885</v>
      </c>
      <c r="BU12" s="12" t="s">
        <v>886</v>
      </c>
      <c r="BV12" s="12" t="s">
        <v>886</v>
      </c>
      <c r="BW12" s="12" t="s">
        <v>887</v>
      </c>
      <c r="BX12" s="12" t="s">
        <v>888</v>
      </c>
      <c r="BY12" s="12" t="s">
        <v>889</v>
      </c>
      <c r="BZ12" s="12" t="s">
        <v>890</v>
      </c>
      <c r="CA12" s="12" t="s">
        <v>891</v>
      </c>
      <c r="CB12" s="12" t="s">
        <v>892</v>
      </c>
      <c r="CC12" s="12" t="s">
        <v>893</v>
      </c>
      <c r="CD12" s="12" t="s">
        <v>894</v>
      </c>
      <c r="CE12" s="12" t="s">
        <v>895</v>
      </c>
      <c r="CF12" s="12" t="s">
        <v>896</v>
      </c>
      <c r="CG12" s="12" t="s">
        <v>897</v>
      </c>
      <c r="CH12" s="12" t="s">
        <v>897</v>
      </c>
      <c r="CI12" s="12" t="s">
        <v>898</v>
      </c>
      <c r="CJ12" s="12" t="s">
        <v>899</v>
      </c>
      <c r="CK12" s="12" t="s">
        <v>900</v>
      </c>
      <c r="CL12" s="12" t="s">
        <v>901</v>
      </c>
      <c r="CM12" s="12" t="s">
        <v>902</v>
      </c>
      <c r="CN12" s="12" t="s">
        <v>903</v>
      </c>
      <c r="CO12" s="12" t="s">
        <v>904</v>
      </c>
      <c r="CP12" s="12" t="s">
        <v>905</v>
      </c>
      <c r="CQ12" s="12" t="s">
        <v>906</v>
      </c>
      <c r="CR12" s="12" t="s">
        <v>907</v>
      </c>
      <c r="CS12" s="12" t="s">
        <v>908</v>
      </c>
      <c r="CT12" s="12" t="s">
        <v>909</v>
      </c>
    </row>
    <row r="13" spans="1:98" hidden="1" x14ac:dyDescent="0.3">
      <c r="A13" s="12" t="s">
        <v>910</v>
      </c>
      <c r="B13" s="12" t="s">
        <v>848</v>
      </c>
      <c r="C13" s="12" t="s">
        <v>911</v>
      </c>
      <c r="D13" s="12" t="s">
        <v>912</v>
      </c>
      <c r="E13" s="12" t="s">
        <v>578</v>
      </c>
      <c r="F13" s="12" t="s">
        <v>578</v>
      </c>
      <c r="G13" s="12" t="s">
        <v>578</v>
      </c>
      <c r="H13" s="12" t="s">
        <v>578</v>
      </c>
      <c r="I13" s="12" t="s">
        <v>578</v>
      </c>
      <c r="J13" s="12" t="s">
        <v>578</v>
      </c>
      <c r="K13" s="12" t="s">
        <v>578</v>
      </c>
      <c r="L13" s="12" t="s">
        <v>578</v>
      </c>
      <c r="M13" s="12" t="s">
        <v>578</v>
      </c>
      <c r="N13" s="12" t="s">
        <v>578</v>
      </c>
      <c r="O13" s="12" t="s">
        <v>578</v>
      </c>
      <c r="P13" s="12" t="s">
        <v>578</v>
      </c>
      <c r="Q13" s="12" t="s">
        <v>578</v>
      </c>
      <c r="R13" s="12" t="s">
        <v>578</v>
      </c>
      <c r="S13" s="12" t="s">
        <v>578</v>
      </c>
      <c r="T13" s="12" t="s">
        <v>578</v>
      </c>
      <c r="U13" s="12" t="s">
        <v>578</v>
      </c>
      <c r="V13" s="12" t="s">
        <v>578</v>
      </c>
      <c r="W13" s="12" t="s">
        <v>578</v>
      </c>
      <c r="X13" s="12" t="s">
        <v>578</v>
      </c>
      <c r="Y13" s="12" t="s">
        <v>578</v>
      </c>
      <c r="Z13" s="12" t="s">
        <v>578</v>
      </c>
      <c r="AA13" s="12" t="s">
        <v>578</v>
      </c>
      <c r="AB13" s="12" t="s">
        <v>578</v>
      </c>
      <c r="AC13" s="12" t="s">
        <v>578</v>
      </c>
      <c r="AD13" s="12" t="s">
        <v>578</v>
      </c>
      <c r="AE13" s="12" t="s">
        <v>578</v>
      </c>
      <c r="AF13" s="12" t="s">
        <v>578</v>
      </c>
      <c r="AG13" s="12" t="s">
        <v>578</v>
      </c>
      <c r="AH13" s="12" t="s">
        <v>578</v>
      </c>
      <c r="AI13" s="12" t="s">
        <v>578</v>
      </c>
      <c r="AJ13" s="12" t="s">
        <v>578</v>
      </c>
      <c r="AK13" s="12" t="s">
        <v>578</v>
      </c>
      <c r="AL13" s="12" t="s">
        <v>578</v>
      </c>
      <c r="AM13" s="12" t="s">
        <v>578</v>
      </c>
      <c r="AN13" s="12" t="s">
        <v>578</v>
      </c>
      <c r="AO13" s="12" t="s">
        <v>578</v>
      </c>
      <c r="AP13" s="12" t="s">
        <v>578</v>
      </c>
      <c r="AQ13" s="12" t="s">
        <v>578</v>
      </c>
      <c r="AR13" s="12" t="s">
        <v>578</v>
      </c>
      <c r="AS13" s="12" t="s">
        <v>578</v>
      </c>
      <c r="AT13" s="12" t="s">
        <v>578</v>
      </c>
      <c r="AU13" s="12" t="s">
        <v>579</v>
      </c>
      <c r="AV13" s="12" t="s">
        <v>579</v>
      </c>
      <c r="AW13" s="12" t="s">
        <v>578</v>
      </c>
      <c r="AX13" s="12" t="s">
        <v>578</v>
      </c>
      <c r="AY13" s="12" t="s">
        <v>578</v>
      </c>
      <c r="AZ13" s="12" t="s">
        <v>578</v>
      </c>
      <c r="BA13" s="12" t="s">
        <v>579</v>
      </c>
      <c r="BB13" s="12" t="s">
        <v>579</v>
      </c>
      <c r="BC13" s="12" t="s">
        <v>579</v>
      </c>
      <c r="BD13" s="12" t="s">
        <v>579</v>
      </c>
      <c r="BE13" s="12" t="s">
        <v>579</v>
      </c>
      <c r="BF13" s="12" t="s">
        <v>579</v>
      </c>
      <c r="BG13" s="12" t="s">
        <v>579</v>
      </c>
      <c r="BH13" s="12" t="s">
        <v>579</v>
      </c>
      <c r="BI13" s="12" t="s">
        <v>579</v>
      </c>
      <c r="BJ13" s="12" t="s">
        <v>579</v>
      </c>
      <c r="BK13" s="12" t="s">
        <v>672</v>
      </c>
      <c r="BL13" s="12" t="s">
        <v>672</v>
      </c>
      <c r="BM13" s="12" t="s">
        <v>581</v>
      </c>
      <c r="BN13" s="12" t="s">
        <v>581</v>
      </c>
      <c r="BO13" s="12" t="s">
        <v>851</v>
      </c>
      <c r="BP13" s="12" t="s">
        <v>851</v>
      </c>
      <c r="BQ13" s="12" t="s">
        <v>625</v>
      </c>
      <c r="BR13" s="12" t="s">
        <v>625</v>
      </c>
      <c r="BS13" s="12" t="s">
        <v>762</v>
      </c>
      <c r="BT13" s="12" t="s">
        <v>762</v>
      </c>
      <c r="BU13" s="12" t="s">
        <v>762</v>
      </c>
      <c r="BV13" s="12" t="s">
        <v>673</v>
      </c>
      <c r="BW13" s="12" t="s">
        <v>674</v>
      </c>
      <c r="BX13" s="12" t="s">
        <v>585</v>
      </c>
      <c r="BY13" s="12" t="s">
        <v>586</v>
      </c>
      <c r="BZ13" s="12" t="s">
        <v>676</v>
      </c>
      <c r="CA13" s="12" t="s">
        <v>913</v>
      </c>
      <c r="CB13" s="12" t="s">
        <v>869</v>
      </c>
      <c r="CC13" s="12" t="s">
        <v>869</v>
      </c>
      <c r="CD13" s="12" t="s">
        <v>869</v>
      </c>
      <c r="CE13" s="12" t="s">
        <v>869</v>
      </c>
      <c r="CF13" s="12" t="s">
        <v>869</v>
      </c>
      <c r="CG13" s="12" t="s">
        <v>869</v>
      </c>
      <c r="CH13" s="12" t="s">
        <v>869</v>
      </c>
      <c r="CI13" s="12" t="s">
        <v>869</v>
      </c>
      <c r="CJ13" s="12" t="s">
        <v>869</v>
      </c>
      <c r="CK13" s="12" t="s">
        <v>869</v>
      </c>
      <c r="CL13" s="12" t="s">
        <v>869</v>
      </c>
      <c r="CM13" s="12" t="s">
        <v>869</v>
      </c>
      <c r="CN13" s="12" t="s">
        <v>869</v>
      </c>
      <c r="CO13" s="12" t="s">
        <v>869</v>
      </c>
      <c r="CP13" s="12" t="s">
        <v>869</v>
      </c>
      <c r="CQ13" s="12" t="s">
        <v>869</v>
      </c>
      <c r="CR13" s="12" t="s">
        <v>869</v>
      </c>
      <c r="CS13" s="12" t="s">
        <v>869</v>
      </c>
      <c r="CT13" s="12" t="s">
        <v>869</v>
      </c>
    </row>
    <row r="14" spans="1:98" hidden="1" x14ac:dyDescent="0.3">
      <c r="A14" s="12" t="s">
        <v>914</v>
      </c>
      <c r="B14" s="12" t="s">
        <v>848</v>
      </c>
      <c r="C14" s="12" t="s">
        <v>915</v>
      </c>
      <c r="D14" s="12" t="s">
        <v>916</v>
      </c>
      <c r="E14" s="12" t="s">
        <v>578</v>
      </c>
      <c r="F14" s="12" t="s">
        <v>578</v>
      </c>
      <c r="G14" s="12" t="s">
        <v>578</v>
      </c>
      <c r="H14" s="12" t="s">
        <v>578</v>
      </c>
      <c r="I14" s="12" t="s">
        <v>578</v>
      </c>
      <c r="J14" s="12" t="s">
        <v>578</v>
      </c>
      <c r="K14" s="12" t="s">
        <v>578</v>
      </c>
      <c r="L14" s="12" t="s">
        <v>579</v>
      </c>
      <c r="M14" s="12" t="s">
        <v>672</v>
      </c>
      <c r="N14" s="12" t="s">
        <v>623</v>
      </c>
      <c r="O14" s="12" t="s">
        <v>672</v>
      </c>
      <c r="P14" s="12" t="s">
        <v>623</v>
      </c>
      <c r="Q14" s="12" t="s">
        <v>623</v>
      </c>
      <c r="R14" s="12" t="s">
        <v>672</v>
      </c>
      <c r="S14" s="12" t="s">
        <v>672</v>
      </c>
      <c r="T14" s="12" t="s">
        <v>580</v>
      </c>
      <c r="U14" s="12" t="s">
        <v>581</v>
      </c>
      <c r="V14" s="12" t="s">
        <v>581</v>
      </c>
      <c r="W14" s="12" t="s">
        <v>581</v>
      </c>
      <c r="X14" s="12" t="s">
        <v>581</v>
      </c>
      <c r="Y14" s="12" t="s">
        <v>581</v>
      </c>
      <c r="Z14" s="12" t="s">
        <v>581</v>
      </c>
      <c r="AA14" s="12" t="s">
        <v>581</v>
      </c>
      <c r="AB14" s="12" t="s">
        <v>581</v>
      </c>
      <c r="AC14" s="12" t="s">
        <v>581</v>
      </c>
      <c r="AD14" s="12" t="s">
        <v>581</v>
      </c>
      <c r="AE14" s="12" t="s">
        <v>581</v>
      </c>
      <c r="AF14" s="12" t="s">
        <v>581</v>
      </c>
      <c r="AG14" s="12" t="s">
        <v>581</v>
      </c>
      <c r="AH14" s="12" t="s">
        <v>581</v>
      </c>
      <c r="AI14" s="12" t="s">
        <v>581</v>
      </c>
      <c r="AJ14" s="12" t="s">
        <v>581</v>
      </c>
      <c r="AK14" s="12" t="s">
        <v>581</v>
      </c>
      <c r="AL14" s="12" t="s">
        <v>581</v>
      </c>
      <c r="AM14" s="12" t="s">
        <v>581</v>
      </c>
      <c r="AN14" s="12" t="s">
        <v>581</v>
      </c>
      <c r="AO14" s="12" t="s">
        <v>581</v>
      </c>
      <c r="AP14" s="12" t="s">
        <v>581</v>
      </c>
      <c r="AQ14" s="12" t="s">
        <v>761</v>
      </c>
      <c r="AR14" s="12" t="s">
        <v>761</v>
      </c>
      <c r="AS14" s="12" t="s">
        <v>761</v>
      </c>
      <c r="AT14" s="12" t="s">
        <v>583</v>
      </c>
      <c r="AU14" s="12" t="s">
        <v>583</v>
      </c>
      <c r="AV14" s="12" t="s">
        <v>868</v>
      </c>
      <c r="AW14" s="12" t="s">
        <v>868</v>
      </c>
      <c r="AX14" s="12" t="s">
        <v>868</v>
      </c>
      <c r="AY14" s="12" t="s">
        <v>762</v>
      </c>
      <c r="AZ14" s="12" t="s">
        <v>762</v>
      </c>
      <c r="BA14" s="12" t="s">
        <v>808</v>
      </c>
      <c r="BB14" s="12" t="s">
        <v>675</v>
      </c>
      <c r="BC14" s="12" t="s">
        <v>675</v>
      </c>
      <c r="BD14" s="12" t="s">
        <v>917</v>
      </c>
      <c r="BE14" s="12" t="s">
        <v>918</v>
      </c>
      <c r="BF14" s="12" t="s">
        <v>919</v>
      </c>
      <c r="BG14" s="12" t="s">
        <v>770</v>
      </c>
      <c r="BH14" s="12" t="s">
        <v>810</v>
      </c>
      <c r="BI14" s="12" t="s">
        <v>591</v>
      </c>
      <c r="BJ14" s="12" t="s">
        <v>920</v>
      </c>
      <c r="BK14" s="12" t="s">
        <v>921</v>
      </c>
      <c r="BL14" s="12" t="s">
        <v>922</v>
      </c>
      <c r="BM14" s="12" t="s">
        <v>645</v>
      </c>
      <c r="BN14" s="12" t="s">
        <v>923</v>
      </c>
      <c r="BO14" s="12" t="s">
        <v>924</v>
      </c>
      <c r="BP14" s="12" t="s">
        <v>925</v>
      </c>
      <c r="BQ14" s="12" t="s">
        <v>926</v>
      </c>
      <c r="BR14" s="12" t="s">
        <v>606</v>
      </c>
      <c r="BS14" s="12" t="s">
        <v>927</v>
      </c>
      <c r="BT14" s="12" t="s">
        <v>928</v>
      </c>
      <c r="BU14" s="12" t="s">
        <v>929</v>
      </c>
      <c r="BV14" s="12" t="s">
        <v>930</v>
      </c>
      <c r="BW14" s="12" t="s">
        <v>931</v>
      </c>
      <c r="BX14" s="12" t="s">
        <v>932</v>
      </c>
      <c r="BY14" s="12" t="s">
        <v>933</v>
      </c>
      <c r="BZ14" s="12" t="s">
        <v>934</v>
      </c>
      <c r="CA14" s="12" t="s">
        <v>935</v>
      </c>
      <c r="CB14" s="12" t="s">
        <v>831</v>
      </c>
      <c r="CC14" s="12" t="s">
        <v>936</v>
      </c>
      <c r="CD14" s="12" t="s">
        <v>937</v>
      </c>
      <c r="CE14" s="12" t="s">
        <v>938</v>
      </c>
      <c r="CF14" s="12" t="s">
        <v>939</v>
      </c>
      <c r="CG14" s="12" t="s">
        <v>940</v>
      </c>
      <c r="CH14" s="12" t="s">
        <v>941</v>
      </c>
      <c r="CI14" s="12" t="s">
        <v>942</v>
      </c>
      <c r="CJ14" s="12" t="s">
        <v>943</v>
      </c>
      <c r="CK14" s="12" t="s">
        <v>944</v>
      </c>
      <c r="CL14" s="12" t="s">
        <v>945</v>
      </c>
      <c r="CM14" s="12" t="s">
        <v>946</v>
      </c>
      <c r="CN14" s="12" t="s">
        <v>947</v>
      </c>
      <c r="CO14" s="12" t="s">
        <v>948</v>
      </c>
      <c r="CP14" s="12" t="s">
        <v>948</v>
      </c>
      <c r="CQ14" s="12" t="s">
        <v>949</v>
      </c>
      <c r="CR14" s="12" t="s">
        <v>949</v>
      </c>
      <c r="CS14" s="12" t="s">
        <v>615</v>
      </c>
      <c r="CT14" s="12" t="s">
        <v>615</v>
      </c>
    </row>
    <row r="15" spans="1:98" hidden="1" x14ac:dyDescent="0.3">
      <c r="A15" s="12" t="s">
        <v>950</v>
      </c>
      <c r="B15" s="12" t="s">
        <v>848</v>
      </c>
      <c r="C15" s="12" t="s">
        <v>951</v>
      </c>
      <c r="D15" s="12" t="s">
        <v>952</v>
      </c>
      <c r="E15" s="12" t="s">
        <v>578</v>
      </c>
      <c r="F15" s="12" t="s">
        <v>578</v>
      </c>
      <c r="G15" s="12" t="s">
        <v>578</v>
      </c>
      <c r="H15" s="12" t="s">
        <v>578</v>
      </c>
      <c r="I15" s="12" t="s">
        <v>578</v>
      </c>
      <c r="J15" s="12" t="s">
        <v>578</v>
      </c>
      <c r="K15" s="12" t="s">
        <v>578</v>
      </c>
      <c r="L15" s="12" t="s">
        <v>578</v>
      </c>
      <c r="M15" s="12" t="s">
        <v>578</v>
      </c>
      <c r="N15" s="12" t="s">
        <v>578</v>
      </c>
      <c r="O15" s="12" t="s">
        <v>579</v>
      </c>
      <c r="P15" s="12" t="s">
        <v>623</v>
      </c>
      <c r="Q15" s="12" t="s">
        <v>623</v>
      </c>
      <c r="R15" s="12" t="s">
        <v>623</v>
      </c>
      <c r="S15" s="12" t="s">
        <v>623</v>
      </c>
      <c r="T15" s="12" t="s">
        <v>623</v>
      </c>
      <c r="U15" s="12" t="s">
        <v>623</v>
      </c>
      <c r="V15" s="12" t="s">
        <v>623</v>
      </c>
      <c r="W15" s="12" t="s">
        <v>623</v>
      </c>
      <c r="X15" s="12" t="s">
        <v>623</v>
      </c>
      <c r="Y15" s="12" t="s">
        <v>623</v>
      </c>
      <c r="Z15" s="12" t="s">
        <v>623</v>
      </c>
      <c r="AA15" s="12" t="s">
        <v>623</v>
      </c>
      <c r="AB15" s="12" t="s">
        <v>623</v>
      </c>
      <c r="AC15" s="12" t="s">
        <v>623</v>
      </c>
      <c r="AD15" s="12" t="s">
        <v>623</v>
      </c>
      <c r="AE15" s="12" t="s">
        <v>623</v>
      </c>
      <c r="AF15" s="12" t="s">
        <v>623</v>
      </c>
      <c r="AG15" s="12" t="s">
        <v>623</v>
      </c>
      <c r="AH15" s="12" t="s">
        <v>623</v>
      </c>
      <c r="AI15" s="12" t="s">
        <v>623</v>
      </c>
      <c r="AJ15" s="12" t="s">
        <v>623</v>
      </c>
      <c r="AK15" s="12" t="s">
        <v>623</v>
      </c>
      <c r="AL15" s="12" t="s">
        <v>623</v>
      </c>
      <c r="AM15" s="12" t="s">
        <v>623</v>
      </c>
      <c r="AN15" s="12" t="s">
        <v>623</v>
      </c>
      <c r="AO15" s="12" t="s">
        <v>623</v>
      </c>
      <c r="AP15" s="12" t="s">
        <v>623</v>
      </c>
      <c r="AQ15" s="12" t="s">
        <v>672</v>
      </c>
      <c r="AR15" s="12" t="s">
        <v>672</v>
      </c>
      <c r="AS15" s="12" t="s">
        <v>672</v>
      </c>
      <c r="AT15" s="12" t="s">
        <v>672</v>
      </c>
      <c r="AU15" s="12" t="s">
        <v>581</v>
      </c>
      <c r="AV15" s="12" t="s">
        <v>581</v>
      </c>
      <c r="AW15" s="12" t="s">
        <v>582</v>
      </c>
      <c r="AX15" s="12" t="s">
        <v>582</v>
      </c>
      <c r="AY15" s="12" t="s">
        <v>582</v>
      </c>
      <c r="AZ15" s="12" t="s">
        <v>582</v>
      </c>
      <c r="BA15" s="12" t="s">
        <v>582</v>
      </c>
      <c r="BB15" s="12" t="s">
        <v>761</v>
      </c>
      <c r="BC15" s="12" t="s">
        <v>761</v>
      </c>
      <c r="BD15" s="12" t="s">
        <v>584</v>
      </c>
      <c r="BE15" s="12" t="s">
        <v>674</v>
      </c>
      <c r="BF15" s="12" t="s">
        <v>675</v>
      </c>
      <c r="BG15" s="12" t="s">
        <v>953</v>
      </c>
      <c r="BH15" s="12" t="s">
        <v>953</v>
      </c>
      <c r="BI15" s="12" t="s">
        <v>677</v>
      </c>
      <c r="BJ15" s="12" t="s">
        <v>629</v>
      </c>
      <c r="BK15" s="12" t="s">
        <v>954</v>
      </c>
      <c r="BL15" s="12" t="s">
        <v>955</v>
      </c>
      <c r="BM15" s="12" t="s">
        <v>861</v>
      </c>
      <c r="BN15" s="12" t="s">
        <v>873</v>
      </c>
      <c r="BO15" s="12" t="s">
        <v>594</v>
      </c>
      <c r="BP15" s="12" t="s">
        <v>594</v>
      </c>
      <c r="BQ15" s="12" t="s">
        <v>815</v>
      </c>
      <c r="BR15" s="12" t="s">
        <v>956</v>
      </c>
      <c r="BS15" s="12" t="s">
        <v>957</v>
      </c>
      <c r="BT15" s="12" t="s">
        <v>599</v>
      </c>
      <c r="BU15" s="12" t="s">
        <v>958</v>
      </c>
      <c r="BV15" s="12" t="s">
        <v>959</v>
      </c>
      <c r="BW15" s="12" t="s">
        <v>601</v>
      </c>
      <c r="BX15" s="12" t="s">
        <v>601</v>
      </c>
      <c r="BY15" s="12" t="s">
        <v>960</v>
      </c>
      <c r="BZ15" s="12" t="s">
        <v>820</v>
      </c>
      <c r="CA15" s="12" t="s">
        <v>820</v>
      </c>
      <c r="CB15" s="12" t="s">
        <v>961</v>
      </c>
      <c r="CC15" s="12" t="s">
        <v>961</v>
      </c>
      <c r="CD15" s="12" t="s">
        <v>962</v>
      </c>
      <c r="CE15" s="12" t="s">
        <v>963</v>
      </c>
      <c r="CF15" s="12" t="s">
        <v>733</v>
      </c>
      <c r="CG15" s="12" t="s">
        <v>964</v>
      </c>
      <c r="CH15" s="12" t="s">
        <v>964</v>
      </c>
      <c r="CI15" s="12" t="s">
        <v>964</v>
      </c>
      <c r="CJ15" s="12" t="s">
        <v>655</v>
      </c>
      <c r="CK15" s="12" t="s">
        <v>655</v>
      </c>
      <c r="CL15" s="12" t="s">
        <v>655</v>
      </c>
      <c r="CM15" s="12" t="s">
        <v>965</v>
      </c>
      <c r="CN15" s="12" t="s">
        <v>965</v>
      </c>
      <c r="CO15" s="12" t="s">
        <v>965</v>
      </c>
      <c r="CP15" s="12" t="s">
        <v>965</v>
      </c>
      <c r="CQ15" s="12" t="s">
        <v>966</v>
      </c>
      <c r="CR15" s="12" t="s">
        <v>967</v>
      </c>
      <c r="CS15" s="12" t="s">
        <v>967</v>
      </c>
      <c r="CT15" s="12" t="s">
        <v>967</v>
      </c>
    </row>
    <row r="16" spans="1:98" hidden="1" x14ac:dyDescent="0.3">
      <c r="A16" s="12" t="s">
        <v>968</v>
      </c>
      <c r="B16" s="12" t="s">
        <v>848</v>
      </c>
      <c r="C16" s="12" t="s">
        <v>969</v>
      </c>
      <c r="D16" s="12" t="s">
        <v>970</v>
      </c>
      <c r="E16" s="12" t="s">
        <v>578</v>
      </c>
      <c r="F16" s="12" t="s">
        <v>578</v>
      </c>
      <c r="G16" s="12" t="s">
        <v>578</v>
      </c>
      <c r="H16" s="12" t="s">
        <v>578</v>
      </c>
      <c r="I16" s="12" t="s">
        <v>578</v>
      </c>
      <c r="J16" s="12" t="s">
        <v>578</v>
      </c>
      <c r="K16" s="12" t="s">
        <v>578</v>
      </c>
      <c r="L16" s="12" t="s">
        <v>578</v>
      </c>
      <c r="M16" s="12" t="s">
        <v>578</v>
      </c>
      <c r="N16" s="12" t="s">
        <v>578</v>
      </c>
      <c r="O16" s="12" t="s">
        <v>578</v>
      </c>
      <c r="P16" s="12" t="s">
        <v>578</v>
      </c>
      <c r="Q16" s="12" t="s">
        <v>578</v>
      </c>
      <c r="R16" s="12" t="s">
        <v>578</v>
      </c>
      <c r="S16" s="12" t="s">
        <v>578</v>
      </c>
      <c r="T16" s="12" t="s">
        <v>578</v>
      </c>
      <c r="U16" s="12" t="s">
        <v>578</v>
      </c>
      <c r="V16" s="12" t="s">
        <v>578</v>
      </c>
      <c r="W16" s="12" t="s">
        <v>578</v>
      </c>
      <c r="X16" s="12" t="s">
        <v>578</v>
      </c>
      <c r="Y16" s="12" t="s">
        <v>578</v>
      </c>
      <c r="Z16" s="12" t="s">
        <v>578</v>
      </c>
      <c r="AA16" s="12" t="s">
        <v>578</v>
      </c>
      <c r="AB16" s="12" t="s">
        <v>578</v>
      </c>
      <c r="AC16" s="12" t="s">
        <v>578</v>
      </c>
      <c r="AD16" s="12" t="s">
        <v>578</v>
      </c>
      <c r="AE16" s="12" t="s">
        <v>578</v>
      </c>
      <c r="AF16" s="12" t="s">
        <v>578</v>
      </c>
      <c r="AG16" s="12" t="s">
        <v>578</v>
      </c>
      <c r="AH16" s="12" t="s">
        <v>578</v>
      </c>
      <c r="AI16" s="12" t="s">
        <v>578</v>
      </c>
      <c r="AJ16" s="12" t="s">
        <v>578</v>
      </c>
      <c r="AK16" s="12" t="s">
        <v>578</v>
      </c>
      <c r="AL16" s="12" t="s">
        <v>578</v>
      </c>
      <c r="AM16" s="12" t="s">
        <v>578</v>
      </c>
      <c r="AN16" s="12" t="s">
        <v>578</v>
      </c>
      <c r="AO16" s="12" t="s">
        <v>578</v>
      </c>
      <c r="AP16" s="12" t="s">
        <v>578</v>
      </c>
      <c r="AQ16" s="12" t="s">
        <v>578</v>
      </c>
      <c r="AR16" s="12" t="s">
        <v>578</v>
      </c>
      <c r="AS16" s="12" t="s">
        <v>579</v>
      </c>
      <c r="AT16" s="12" t="s">
        <v>579</v>
      </c>
      <c r="AU16" s="12" t="s">
        <v>579</v>
      </c>
      <c r="AV16" s="12" t="s">
        <v>579</v>
      </c>
      <c r="AW16" s="12" t="s">
        <v>579</v>
      </c>
      <c r="AX16" s="12" t="s">
        <v>579</v>
      </c>
      <c r="AY16" s="12" t="s">
        <v>623</v>
      </c>
      <c r="AZ16" s="12" t="s">
        <v>623</v>
      </c>
      <c r="BA16" s="12" t="s">
        <v>623</v>
      </c>
      <c r="BB16" s="12" t="s">
        <v>672</v>
      </c>
      <c r="BC16" s="12" t="s">
        <v>672</v>
      </c>
      <c r="BD16" s="12" t="s">
        <v>581</v>
      </c>
      <c r="BE16" s="12" t="s">
        <v>581</v>
      </c>
      <c r="BF16" s="12" t="s">
        <v>851</v>
      </c>
      <c r="BG16" s="12" t="s">
        <v>582</v>
      </c>
      <c r="BH16" s="12" t="s">
        <v>582</v>
      </c>
      <c r="BI16" s="12" t="s">
        <v>624</v>
      </c>
      <c r="BJ16" s="12" t="s">
        <v>624</v>
      </c>
      <c r="BK16" s="12" t="s">
        <v>624</v>
      </c>
      <c r="BL16" s="12" t="s">
        <v>584</v>
      </c>
      <c r="BM16" s="12" t="s">
        <v>586</v>
      </c>
      <c r="BN16" s="12" t="s">
        <v>869</v>
      </c>
      <c r="BO16" s="12" t="s">
        <v>869</v>
      </c>
      <c r="BP16" s="12" t="s">
        <v>971</v>
      </c>
      <c r="BQ16" s="12" t="s">
        <v>972</v>
      </c>
      <c r="BR16" s="12" t="s">
        <v>972</v>
      </c>
      <c r="BS16" s="12" t="s">
        <v>853</v>
      </c>
      <c r="BT16" s="12" t="s">
        <v>973</v>
      </c>
      <c r="BU16" s="12" t="s">
        <v>973</v>
      </c>
      <c r="BV16" s="12" t="s">
        <v>974</v>
      </c>
      <c r="BW16" s="12" t="s">
        <v>974</v>
      </c>
      <c r="BX16" s="12" t="s">
        <v>975</v>
      </c>
      <c r="BY16" s="12" t="s">
        <v>589</v>
      </c>
      <c r="BZ16" s="12" t="s">
        <v>856</v>
      </c>
      <c r="CA16" s="12" t="s">
        <v>976</v>
      </c>
      <c r="CB16" s="12" t="s">
        <v>977</v>
      </c>
      <c r="CC16" s="12" t="s">
        <v>636</v>
      </c>
      <c r="CD16" s="12" t="s">
        <v>978</v>
      </c>
      <c r="CE16" s="12" t="s">
        <v>979</v>
      </c>
      <c r="CF16" s="12" t="s">
        <v>980</v>
      </c>
      <c r="CG16" s="12" t="s">
        <v>723</v>
      </c>
      <c r="CH16" s="12" t="s">
        <v>723</v>
      </c>
      <c r="CI16" s="12" t="s">
        <v>920</v>
      </c>
      <c r="CJ16" s="12" t="s">
        <v>981</v>
      </c>
      <c r="CK16" s="12" t="s">
        <v>981</v>
      </c>
      <c r="CL16" s="12" t="s">
        <v>982</v>
      </c>
      <c r="CM16" s="12" t="s">
        <v>983</v>
      </c>
      <c r="CN16" s="12" t="s">
        <v>725</v>
      </c>
      <c r="CO16" s="12" t="s">
        <v>984</v>
      </c>
      <c r="CP16" s="12" t="s">
        <v>985</v>
      </c>
      <c r="CQ16" s="12" t="s">
        <v>684</v>
      </c>
      <c r="CR16" s="12" t="s">
        <v>986</v>
      </c>
      <c r="CS16" s="12" t="s">
        <v>987</v>
      </c>
      <c r="CT16" s="12" t="s">
        <v>987</v>
      </c>
    </row>
    <row r="17" spans="1:98" hidden="1" x14ac:dyDescent="0.3">
      <c r="A17" s="12" t="s">
        <v>988</v>
      </c>
      <c r="B17" s="12" t="s">
        <v>848</v>
      </c>
      <c r="C17" s="12" t="s">
        <v>989</v>
      </c>
      <c r="D17" s="12" t="s">
        <v>990</v>
      </c>
      <c r="E17" s="12" t="s">
        <v>578</v>
      </c>
      <c r="F17" s="12" t="s">
        <v>578</v>
      </c>
      <c r="G17" s="12" t="s">
        <v>578</v>
      </c>
      <c r="H17" s="12" t="s">
        <v>578</v>
      </c>
      <c r="I17" s="12" t="s">
        <v>579</v>
      </c>
      <c r="J17" s="12" t="s">
        <v>579</v>
      </c>
      <c r="K17" s="12" t="s">
        <v>579</v>
      </c>
      <c r="L17" s="12" t="s">
        <v>579</v>
      </c>
      <c r="M17" s="12" t="s">
        <v>623</v>
      </c>
      <c r="N17" s="12" t="s">
        <v>672</v>
      </c>
      <c r="O17" s="12" t="s">
        <v>580</v>
      </c>
      <c r="P17" s="12" t="s">
        <v>580</v>
      </c>
      <c r="Q17" s="12" t="s">
        <v>580</v>
      </c>
      <c r="R17" s="12" t="s">
        <v>580</v>
      </c>
      <c r="S17" s="12" t="s">
        <v>580</v>
      </c>
      <c r="T17" s="12" t="s">
        <v>580</v>
      </c>
      <c r="U17" s="12" t="s">
        <v>580</v>
      </c>
      <c r="V17" s="12" t="s">
        <v>580</v>
      </c>
      <c r="W17" s="12" t="s">
        <v>580</v>
      </c>
      <c r="X17" s="12" t="s">
        <v>580</v>
      </c>
      <c r="Y17" s="12" t="s">
        <v>580</v>
      </c>
      <c r="Z17" s="12" t="s">
        <v>580</v>
      </c>
      <c r="AA17" s="12" t="s">
        <v>580</v>
      </c>
      <c r="AB17" s="12" t="s">
        <v>580</v>
      </c>
      <c r="AC17" s="12" t="s">
        <v>580</v>
      </c>
      <c r="AD17" s="12" t="s">
        <v>580</v>
      </c>
      <c r="AE17" s="12" t="s">
        <v>580</v>
      </c>
      <c r="AF17" s="12" t="s">
        <v>580</v>
      </c>
      <c r="AG17" s="12" t="s">
        <v>580</v>
      </c>
      <c r="AH17" s="12" t="s">
        <v>580</v>
      </c>
      <c r="AI17" s="12" t="s">
        <v>580</v>
      </c>
      <c r="AJ17" s="12" t="s">
        <v>580</v>
      </c>
      <c r="AK17" s="12" t="s">
        <v>580</v>
      </c>
      <c r="AL17" s="12" t="s">
        <v>580</v>
      </c>
      <c r="AM17" s="12" t="s">
        <v>580</v>
      </c>
      <c r="AN17" s="12" t="s">
        <v>580</v>
      </c>
      <c r="AO17" s="12" t="s">
        <v>580</v>
      </c>
      <c r="AP17" s="12" t="s">
        <v>580</v>
      </c>
      <c r="AQ17" s="12" t="s">
        <v>582</v>
      </c>
      <c r="AR17" s="12" t="s">
        <v>582</v>
      </c>
      <c r="AS17" s="12" t="s">
        <v>761</v>
      </c>
      <c r="AT17" s="12" t="s">
        <v>761</v>
      </c>
      <c r="AU17" s="12" t="s">
        <v>624</v>
      </c>
      <c r="AV17" s="12" t="s">
        <v>624</v>
      </c>
      <c r="AW17" s="12" t="s">
        <v>624</v>
      </c>
      <c r="AX17" s="12" t="s">
        <v>583</v>
      </c>
      <c r="AY17" s="12" t="s">
        <v>583</v>
      </c>
      <c r="AZ17" s="12" t="s">
        <v>762</v>
      </c>
      <c r="BA17" s="12" t="s">
        <v>808</v>
      </c>
      <c r="BB17" s="12" t="s">
        <v>585</v>
      </c>
      <c r="BC17" s="12" t="s">
        <v>585</v>
      </c>
      <c r="BD17" s="12" t="s">
        <v>971</v>
      </c>
      <c r="BE17" s="12" t="s">
        <v>991</v>
      </c>
      <c r="BF17" s="12" t="s">
        <v>992</v>
      </c>
      <c r="BG17" s="12" t="s">
        <v>854</v>
      </c>
      <c r="BH17" s="12" t="s">
        <v>591</v>
      </c>
      <c r="BI17" s="12" t="s">
        <v>993</v>
      </c>
      <c r="BJ17" s="12" t="s">
        <v>993</v>
      </c>
      <c r="BK17" s="12" t="s">
        <v>993</v>
      </c>
      <c r="BL17" s="12" t="s">
        <v>994</v>
      </c>
      <c r="BM17" s="12" t="s">
        <v>995</v>
      </c>
      <c r="BN17" s="12" t="s">
        <v>995</v>
      </c>
      <c r="BO17" s="12" t="s">
        <v>961</v>
      </c>
      <c r="BP17" s="12" t="s">
        <v>735</v>
      </c>
      <c r="BQ17" s="12" t="s">
        <v>996</v>
      </c>
      <c r="BR17" s="12" t="s">
        <v>997</v>
      </c>
      <c r="BS17" s="12" t="s">
        <v>998</v>
      </c>
      <c r="BT17" s="12" t="s">
        <v>999</v>
      </c>
      <c r="BU17" s="12" t="s">
        <v>1000</v>
      </c>
      <c r="BV17" s="12" t="s">
        <v>1001</v>
      </c>
      <c r="BW17" s="12" t="s">
        <v>1002</v>
      </c>
      <c r="BX17" s="12" t="s">
        <v>1003</v>
      </c>
      <c r="BY17" s="12" t="s">
        <v>1004</v>
      </c>
      <c r="BZ17" s="12" t="s">
        <v>1005</v>
      </c>
      <c r="CA17" s="12" t="s">
        <v>1006</v>
      </c>
      <c r="CB17" s="12" t="s">
        <v>1007</v>
      </c>
      <c r="CC17" s="12" t="s">
        <v>1008</v>
      </c>
      <c r="CD17" s="12" t="s">
        <v>1009</v>
      </c>
      <c r="CE17" s="12" t="s">
        <v>1010</v>
      </c>
      <c r="CF17" s="12" t="s">
        <v>1011</v>
      </c>
      <c r="CG17" s="12" t="s">
        <v>785</v>
      </c>
      <c r="CH17" s="12" t="s">
        <v>1012</v>
      </c>
      <c r="CI17" s="12" t="s">
        <v>1013</v>
      </c>
      <c r="CJ17" s="12" t="s">
        <v>841</v>
      </c>
      <c r="CK17" s="12" t="s">
        <v>1014</v>
      </c>
      <c r="CL17" s="12" t="s">
        <v>1014</v>
      </c>
      <c r="CM17" s="12" t="s">
        <v>1015</v>
      </c>
      <c r="CN17" s="12" t="s">
        <v>1016</v>
      </c>
      <c r="CO17" s="12" t="s">
        <v>1017</v>
      </c>
      <c r="CP17" s="12" t="s">
        <v>1018</v>
      </c>
      <c r="CQ17" s="12" t="s">
        <v>1019</v>
      </c>
      <c r="CR17" s="12" t="s">
        <v>1019</v>
      </c>
      <c r="CS17" s="12" t="s">
        <v>1020</v>
      </c>
      <c r="CT17" s="12" t="s">
        <v>1021</v>
      </c>
    </row>
    <row r="18" spans="1:98" hidden="1" x14ac:dyDescent="0.3">
      <c r="A18" s="12" t="s">
        <v>1022</v>
      </c>
      <c r="B18" s="12" t="s">
        <v>848</v>
      </c>
      <c r="C18" s="12" t="s">
        <v>1023</v>
      </c>
      <c r="D18" s="12" t="s">
        <v>1024</v>
      </c>
      <c r="E18" s="12" t="s">
        <v>578</v>
      </c>
      <c r="F18" s="12" t="s">
        <v>578</v>
      </c>
      <c r="G18" s="12" t="s">
        <v>578</v>
      </c>
      <c r="H18" s="12" t="s">
        <v>578</v>
      </c>
      <c r="I18" s="12" t="s">
        <v>578</v>
      </c>
      <c r="J18" s="12" t="s">
        <v>578</v>
      </c>
      <c r="K18" s="12" t="s">
        <v>578</v>
      </c>
      <c r="L18" s="12" t="s">
        <v>578</v>
      </c>
      <c r="M18" s="12" t="s">
        <v>578</v>
      </c>
      <c r="N18" s="12" t="s">
        <v>578</v>
      </c>
      <c r="O18" s="12" t="s">
        <v>578</v>
      </c>
      <c r="P18" s="12" t="s">
        <v>578</v>
      </c>
      <c r="Q18" s="12" t="s">
        <v>578</v>
      </c>
      <c r="R18" s="12" t="s">
        <v>578</v>
      </c>
      <c r="S18" s="12" t="s">
        <v>578</v>
      </c>
      <c r="T18" s="12" t="s">
        <v>578</v>
      </c>
      <c r="U18" s="12" t="s">
        <v>578</v>
      </c>
      <c r="V18" s="12" t="s">
        <v>578</v>
      </c>
      <c r="W18" s="12" t="s">
        <v>578</v>
      </c>
      <c r="X18" s="12" t="s">
        <v>578</v>
      </c>
      <c r="Y18" s="12" t="s">
        <v>578</v>
      </c>
      <c r="Z18" s="12" t="s">
        <v>578</v>
      </c>
      <c r="AA18" s="12" t="s">
        <v>578</v>
      </c>
      <c r="AB18" s="12" t="s">
        <v>578</v>
      </c>
      <c r="AC18" s="12" t="s">
        <v>578</v>
      </c>
      <c r="AD18" s="12" t="s">
        <v>578</v>
      </c>
      <c r="AE18" s="12" t="s">
        <v>578</v>
      </c>
      <c r="AF18" s="12" t="s">
        <v>578</v>
      </c>
      <c r="AG18" s="12" t="s">
        <v>578</v>
      </c>
      <c r="AH18" s="12" t="s">
        <v>578</v>
      </c>
      <c r="AI18" s="12" t="s">
        <v>578</v>
      </c>
      <c r="AJ18" s="12" t="s">
        <v>578</v>
      </c>
      <c r="AK18" s="12" t="s">
        <v>578</v>
      </c>
      <c r="AL18" s="12" t="s">
        <v>578</v>
      </c>
      <c r="AM18" s="12" t="s">
        <v>578</v>
      </c>
      <c r="AN18" s="12" t="s">
        <v>578</v>
      </c>
      <c r="AO18" s="12" t="s">
        <v>578</v>
      </c>
      <c r="AP18" s="12" t="s">
        <v>578</v>
      </c>
      <c r="AQ18" s="12" t="s">
        <v>623</v>
      </c>
      <c r="AR18" s="12" t="s">
        <v>623</v>
      </c>
      <c r="AS18" s="12" t="s">
        <v>623</v>
      </c>
      <c r="AT18" s="12" t="s">
        <v>623</v>
      </c>
      <c r="AU18" s="12" t="s">
        <v>623</v>
      </c>
      <c r="AV18" s="12" t="s">
        <v>672</v>
      </c>
      <c r="AW18" s="12" t="s">
        <v>672</v>
      </c>
      <c r="AX18" s="12" t="s">
        <v>672</v>
      </c>
      <c r="AY18" s="12" t="s">
        <v>672</v>
      </c>
      <c r="AZ18" s="12" t="s">
        <v>580</v>
      </c>
      <c r="BA18" s="12" t="s">
        <v>851</v>
      </c>
      <c r="BB18" s="12" t="s">
        <v>761</v>
      </c>
      <c r="BC18" s="12" t="s">
        <v>761</v>
      </c>
      <c r="BD18" s="12" t="s">
        <v>756</v>
      </c>
      <c r="BE18" s="12" t="s">
        <v>673</v>
      </c>
      <c r="BF18" s="12" t="s">
        <v>673</v>
      </c>
      <c r="BG18" s="12" t="s">
        <v>869</v>
      </c>
      <c r="BH18" s="12" t="s">
        <v>766</v>
      </c>
      <c r="BI18" s="12" t="s">
        <v>917</v>
      </c>
      <c r="BJ18" s="12" t="s">
        <v>809</v>
      </c>
      <c r="BK18" s="12" t="s">
        <v>633</v>
      </c>
      <c r="BL18" s="12" t="s">
        <v>682</v>
      </c>
      <c r="BM18" s="12" t="s">
        <v>593</v>
      </c>
      <c r="BN18" s="12" t="s">
        <v>1025</v>
      </c>
      <c r="BO18" s="12" t="s">
        <v>1026</v>
      </c>
      <c r="BP18" s="12" t="s">
        <v>1026</v>
      </c>
      <c r="BQ18" s="12" t="s">
        <v>1027</v>
      </c>
      <c r="BR18" s="12" t="s">
        <v>1027</v>
      </c>
      <c r="BS18" s="12" t="s">
        <v>1028</v>
      </c>
      <c r="BT18" s="12" t="s">
        <v>1029</v>
      </c>
      <c r="BU18" s="12" t="s">
        <v>995</v>
      </c>
      <c r="BV18" s="12" t="s">
        <v>1030</v>
      </c>
      <c r="BW18" s="12" t="s">
        <v>1031</v>
      </c>
      <c r="BX18" s="12" t="s">
        <v>652</v>
      </c>
      <c r="BY18" s="12" t="s">
        <v>652</v>
      </c>
      <c r="BZ18" s="12" t="s">
        <v>878</v>
      </c>
      <c r="CA18" s="12" t="s">
        <v>1032</v>
      </c>
      <c r="CB18" s="12" t="s">
        <v>1033</v>
      </c>
      <c r="CC18" s="12" t="s">
        <v>1033</v>
      </c>
      <c r="CD18" s="12" t="s">
        <v>1034</v>
      </c>
      <c r="CE18" s="12" t="s">
        <v>1035</v>
      </c>
      <c r="CF18" s="12" t="s">
        <v>1036</v>
      </c>
      <c r="CG18" s="12" t="s">
        <v>1037</v>
      </c>
      <c r="CH18" s="12" t="s">
        <v>1037</v>
      </c>
      <c r="CI18" s="12" t="s">
        <v>1038</v>
      </c>
      <c r="CJ18" s="12" t="s">
        <v>1039</v>
      </c>
      <c r="CK18" s="12" t="s">
        <v>1039</v>
      </c>
      <c r="CL18" s="12" t="s">
        <v>823</v>
      </c>
      <c r="CM18" s="12" t="s">
        <v>1040</v>
      </c>
      <c r="CN18" s="12" t="s">
        <v>1041</v>
      </c>
      <c r="CO18" s="12" t="s">
        <v>738</v>
      </c>
      <c r="CP18" s="12" t="s">
        <v>738</v>
      </c>
      <c r="CQ18" s="12" t="s">
        <v>1042</v>
      </c>
      <c r="CR18" s="12" t="s">
        <v>1042</v>
      </c>
      <c r="CS18" s="12" t="s">
        <v>1042</v>
      </c>
      <c r="CT18" s="12" t="s">
        <v>662</v>
      </c>
    </row>
    <row r="19" spans="1:98" hidden="1" x14ac:dyDescent="0.3">
      <c r="A19" s="12" t="s">
        <v>25</v>
      </c>
      <c r="B19" s="12" t="s">
        <v>1043</v>
      </c>
      <c r="C19" s="12" t="s">
        <v>1044</v>
      </c>
      <c r="D19" s="12" t="s">
        <v>1045</v>
      </c>
      <c r="E19" s="12" t="s">
        <v>578</v>
      </c>
      <c r="F19" s="12" t="s">
        <v>578</v>
      </c>
      <c r="G19" s="12" t="s">
        <v>578</v>
      </c>
      <c r="H19" s="12" t="s">
        <v>578</v>
      </c>
      <c r="I19" s="12" t="s">
        <v>578</v>
      </c>
      <c r="J19" s="12" t="s">
        <v>578</v>
      </c>
      <c r="K19" s="12" t="s">
        <v>578</v>
      </c>
      <c r="L19" s="12" t="s">
        <v>578</v>
      </c>
      <c r="M19" s="12" t="s">
        <v>578</v>
      </c>
      <c r="N19" s="12" t="s">
        <v>578</v>
      </c>
      <c r="O19" s="12" t="s">
        <v>578</v>
      </c>
      <c r="P19" s="12" t="s">
        <v>578</v>
      </c>
      <c r="Q19" s="12" t="s">
        <v>578</v>
      </c>
      <c r="R19" s="12" t="s">
        <v>578</v>
      </c>
      <c r="S19" s="12" t="s">
        <v>578</v>
      </c>
      <c r="T19" s="12" t="s">
        <v>578</v>
      </c>
      <c r="U19" s="12" t="s">
        <v>578</v>
      </c>
      <c r="V19" s="12" t="s">
        <v>578</v>
      </c>
      <c r="W19" s="12" t="s">
        <v>578</v>
      </c>
      <c r="X19" s="12" t="s">
        <v>578</v>
      </c>
      <c r="Y19" s="12" t="s">
        <v>578</v>
      </c>
      <c r="Z19" s="12" t="s">
        <v>578</v>
      </c>
      <c r="AA19" s="12" t="s">
        <v>578</v>
      </c>
      <c r="AB19" s="12" t="s">
        <v>578</v>
      </c>
      <c r="AC19" s="12" t="s">
        <v>578</v>
      </c>
      <c r="AD19" s="12" t="s">
        <v>578</v>
      </c>
      <c r="AE19" s="12" t="s">
        <v>578</v>
      </c>
      <c r="AF19" s="12" t="s">
        <v>578</v>
      </c>
      <c r="AG19" s="12" t="s">
        <v>578</v>
      </c>
      <c r="AH19" s="12" t="s">
        <v>578</v>
      </c>
      <c r="AI19" s="12" t="s">
        <v>578</v>
      </c>
      <c r="AJ19" s="12" t="s">
        <v>578</v>
      </c>
      <c r="AK19" s="12" t="s">
        <v>578</v>
      </c>
      <c r="AL19" s="12" t="s">
        <v>578</v>
      </c>
      <c r="AM19" s="12" t="s">
        <v>623</v>
      </c>
      <c r="AN19" s="12" t="s">
        <v>623</v>
      </c>
      <c r="AO19" s="12" t="s">
        <v>672</v>
      </c>
      <c r="AP19" s="12" t="s">
        <v>672</v>
      </c>
      <c r="AQ19" s="12" t="s">
        <v>761</v>
      </c>
      <c r="AR19" s="12" t="s">
        <v>756</v>
      </c>
      <c r="AS19" s="12" t="s">
        <v>808</v>
      </c>
      <c r="AT19" s="12" t="s">
        <v>585</v>
      </c>
      <c r="AU19" s="12" t="s">
        <v>953</v>
      </c>
      <c r="AV19" s="12" t="s">
        <v>1046</v>
      </c>
      <c r="AW19" s="12" t="s">
        <v>631</v>
      </c>
      <c r="AX19" s="12" t="s">
        <v>771</v>
      </c>
      <c r="AY19" s="12" t="s">
        <v>637</v>
      </c>
      <c r="AZ19" s="12" t="s">
        <v>1047</v>
      </c>
      <c r="BA19" s="12" t="s">
        <v>1048</v>
      </c>
      <c r="BB19" s="12" t="s">
        <v>1049</v>
      </c>
      <c r="BC19" s="12" t="s">
        <v>687</v>
      </c>
      <c r="BD19" s="12" t="s">
        <v>1050</v>
      </c>
      <c r="BE19" s="12" t="s">
        <v>1051</v>
      </c>
      <c r="BF19" s="12" t="s">
        <v>1052</v>
      </c>
      <c r="BG19" s="12" t="s">
        <v>1053</v>
      </c>
      <c r="BH19" s="12" t="s">
        <v>1054</v>
      </c>
      <c r="BI19" s="12" t="s">
        <v>1055</v>
      </c>
      <c r="BJ19" s="12" t="s">
        <v>1056</v>
      </c>
      <c r="BK19" s="12" t="s">
        <v>1057</v>
      </c>
      <c r="BL19" s="12" t="s">
        <v>1058</v>
      </c>
      <c r="BM19" s="12" t="s">
        <v>1059</v>
      </c>
      <c r="BN19" s="12" t="s">
        <v>1060</v>
      </c>
      <c r="BO19" s="12" t="s">
        <v>1061</v>
      </c>
      <c r="BP19" s="12" t="s">
        <v>1062</v>
      </c>
      <c r="BQ19" s="12" t="s">
        <v>1063</v>
      </c>
      <c r="BR19" s="12" t="s">
        <v>1064</v>
      </c>
      <c r="BS19" s="12" t="s">
        <v>1065</v>
      </c>
      <c r="BT19" s="12" t="s">
        <v>1066</v>
      </c>
      <c r="BU19" s="12" t="s">
        <v>1067</v>
      </c>
      <c r="BV19" s="12" t="s">
        <v>1068</v>
      </c>
      <c r="BW19" s="12" t="s">
        <v>1069</v>
      </c>
      <c r="BX19" s="12" t="s">
        <v>1070</v>
      </c>
      <c r="BY19" s="12" t="s">
        <v>1071</v>
      </c>
      <c r="BZ19" s="12" t="s">
        <v>1072</v>
      </c>
      <c r="CA19" s="12" t="s">
        <v>1073</v>
      </c>
      <c r="CB19" s="12" t="s">
        <v>1074</v>
      </c>
      <c r="CC19" s="12" t="s">
        <v>1075</v>
      </c>
      <c r="CD19" s="12" t="s">
        <v>1076</v>
      </c>
      <c r="CE19" s="12" t="s">
        <v>1077</v>
      </c>
      <c r="CF19" s="12" t="s">
        <v>1078</v>
      </c>
      <c r="CG19" s="12" t="s">
        <v>1079</v>
      </c>
      <c r="CH19" s="12" t="s">
        <v>1080</v>
      </c>
      <c r="CI19" s="12" t="s">
        <v>1081</v>
      </c>
      <c r="CJ19" s="12" t="s">
        <v>1082</v>
      </c>
      <c r="CK19" s="12" t="s">
        <v>1083</v>
      </c>
      <c r="CL19" s="12" t="s">
        <v>1084</v>
      </c>
      <c r="CM19" s="12" t="s">
        <v>1085</v>
      </c>
      <c r="CN19" s="12" t="s">
        <v>1086</v>
      </c>
      <c r="CO19" s="12" t="s">
        <v>1087</v>
      </c>
      <c r="CP19" s="12" t="s">
        <v>1088</v>
      </c>
      <c r="CQ19" s="12" t="s">
        <v>1089</v>
      </c>
      <c r="CR19" s="12" t="s">
        <v>1090</v>
      </c>
      <c r="CS19" s="12" t="s">
        <v>1091</v>
      </c>
      <c r="CT19" s="12" t="s">
        <v>1092</v>
      </c>
    </row>
    <row r="20" spans="1:98" hidden="1" x14ac:dyDescent="0.3">
      <c r="A20" s="12" t="s">
        <v>25</v>
      </c>
      <c r="B20" s="12" t="s">
        <v>1093</v>
      </c>
      <c r="C20" s="12" t="s">
        <v>1094</v>
      </c>
      <c r="D20" s="12" t="s">
        <v>1095</v>
      </c>
      <c r="E20" s="12" t="s">
        <v>578</v>
      </c>
      <c r="F20" s="12" t="s">
        <v>578</v>
      </c>
      <c r="G20" s="12" t="s">
        <v>578</v>
      </c>
      <c r="H20" s="12" t="s">
        <v>578</v>
      </c>
      <c r="I20" s="12" t="s">
        <v>578</v>
      </c>
      <c r="J20" s="12" t="s">
        <v>578</v>
      </c>
      <c r="K20" s="12" t="s">
        <v>578</v>
      </c>
      <c r="L20" s="12" t="s">
        <v>578</v>
      </c>
      <c r="M20" s="12" t="s">
        <v>578</v>
      </c>
      <c r="N20" s="12" t="s">
        <v>578</v>
      </c>
      <c r="O20" s="12" t="s">
        <v>578</v>
      </c>
      <c r="P20" s="12" t="s">
        <v>578</v>
      </c>
      <c r="Q20" s="12" t="s">
        <v>578</v>
      </c>
      <c r="R20" s="12" t="s">
        <v>578</v>
      </c>
      <c r="S20" s="12" t="s">
        <v>578</v>
      </c>
      <c r="T20" s="12" t="s">
        <v>578</v>
      </c>
      <c r="U20" s="12" t="s">
        <v>578</v>
      </c>
      <c r="V20" s="12" t="s">
        <v>578</v>
      </c>
      <c r="W20" s="12" t="s">
        <v>578</v>
      </c>
      <c r="X20" s="12" t="s">
        <v>578</v>
      </c>
      <c r="Y20" s="12" t="s">
        <v>578</v>
      </c>
      <c r="Z20" s="12" t="s">
        <v>578</v>
      </c>
      <c r="AA20" s="12" t="s">
        <v>578</v>
      </c>
      <c r="AB20" s="12" t="s">
        <v>578</v>
      </c>
      <c r="AC20" s="12" t="s">
        <v>578</v>
      </c>
      <c r="AD20" s="12" t="s">
        <v>578</v>
      </c>
      <c r="AE20" s="12" t="s">
        <v>578</v>
      </c>
      <c r="AF20" s="12" t="s">
        <v>578</v>
      </c>
      <c r="AG20" s="12" t="s">
        <v>578</v>
      </c>
      <c r="AH20" s="12" t="s">
        <v>578</v>
      </c>
      <c r="AI20" s="12" t="s">
        <v>578</v>
      </c>
      <c r="AJ20" s="12" t="s">
        <v>578</v>
      </c>
      <c r="AK20" s="12" t="s">
        <v>578</v>
      </c>
      <c r="AL20" s="12" t="s">
        <v>578</v>
      </c>
      <c r="AM20" s="12" t="s">
        <v>578</v>
      </c>
      <c r="AN20" s="12" t="s">
        <v>578</v>
      </c>
      <c r="AO20" s="12" t="s">
        <v>578</v>
      </c>
      <c r="AP20" s="12" t="s">
        <v>578</v>
      </c>
      <c r="AQ20" s="12" t="s">
        <v>578</v>
      </c>
      <c r="AR20" s="12" t="s">
        <v>672</v>
      </c>
      <c r="AS20" s="12" t="s">
        <v>672</v>
      </c>
      <c r="AT20" s="12" t="s">
        <v>672</v>
      </c>
      <c r="AU20" s="12" t="s">
        <v>672</v>
      </c>
      <c r="AV20" s="12" t="s">
        <v>851</v>
      </c>
      <c r="AW20" s="12" t="s">
        <v>851</v>
      </c>
      <c r="AX20" s="12" t="s">
        <v>761</v>
      </c>
      <c r="AY20" s="12" t="s">
        <v>761</v>
      </c>
      <c r="AZ20" s="12" t="s">
        <v>761</v>
      </c>
      <c r="BA20" s="12" t="s">
        <v>583</v>
      </c>
      <c r="BB20" s="12" t="s">
        <v>583</v>
      </c>
      <c r="BC20" s="12" t="s">
        <v>583</v>
      </c>
      <c r="BD20" s="12" t="s">
        <v>762</v>
      </c>
      <c r="BE20" s="12" t="s">
        <v>762</v>
      </c>
      <c r="BF20" s="12" t="s">
        <v>626</v>
      </c>
      <c r="BG20" s="12" t="s">
        <v>869</v>
      </c>
      <c r="BH20" s="12" t="s">
        <v>869</v>
      </c>
      <c r="BI20" s="12" t="s">
        <v>869</v>
      </c>
      <c r="BJ20" s="12" t="s">
        <v>1096</v>
      </c>
      <c r="BK20" s="12" t="s">
        <v>1096</v>
      </c>
      <c r="BL20" s="12" t="s">
        <v>719</v>
      </c>
      <c r="BM20" s="12" t="s">
        <v>870</v>
      </c>
      <c r="BN20" s="12" t="s">
        <v>975</v>
      </c>
      <c r="BO20" s="12" t="s">
        <v>681</v>
      </c>
      <c r="BP20" s="12" t="s">
        <v>858</v>
      </c>
      <c r="BQ20" s="12" t="s">
        <v>980</v>
      </c>
      <c r="BR20" s="12" t="s">
        <v>981</v>
      </c>
      <c r="BS20" s="12" t="s">
        <v>1048</v>
      </c>
      <c r="BT20" s="12" t="s">
        <v>1097</v>
      </c>
      <c r="BU20" s="12" t="s">
        <v>597</v>
      </c>
      <c r="BV20" s="12" t="s">
        <v>1098</v>
      </c>
      <c r="BW20" s="12" t="s">
        <v>1099</v>
      </c>
      <c r="BX20" s="12" t="s">
        <v>652</v>
      </c>
      <c r="BY20" s="12" t="s">
        <v>925</v>
      </c>
      <c r="BZ20" s="12" t="s">
        <v>605</v>
      </c>
      <c r="CA20" s="12" t="s">
        <v>664</v>
      </c>
      <c r="CB20" s="12" t="s">
        <v>1100</v>
      </c>
      <c r="CC20" s="12" t="s">
        <v>749</v>
      </c>
      <c r="CD20" s="12" t="s">
        <v>827</v>
      </c>
      <c r="CE20" s="12" t="s">
        <v>1101</v>
      </c>
      <c r="CF20" s="12" t="s">
        <v>1102</v>
      </c>
      <c r="CG20" s="12" t="s">
        <v>1103</v>
      </c>
      <c r="CH20" s="12" t="s">
        <v>1104</v>
      </c>
      <c r="CI20" s="12" t="s">
        <v>1105</v>
      </c>
      <c r="CJ20" s="12" t="s">
        <v>1106</v>
      </c>
      <c r="CK20" s="12" t="s">
        <v>1107</v>
      </c>
      <c r="CL20" s="12" t="s">
        <v>1108</v>
      </c>
      <c r="CM20" s="12" t="s">
        <v>1109</v>
      </c>
      <c r="CN20" s="12" t="s">
        <v>1110</v>
      </c>
      <c r="CO20" s="12" t="s">
        <v>1111</v>
      </c>
      <c r="CP20" s="12" t="s">
        <v>1112</v>
      </c>
      <c r="CQ20" s="12" t="s">
        <v>1113</v>
      </c>
      <c r="CR20" s="12" t="s">
        <v>1114</v>
      </c>
      <c r="CS20" s="12" t="s">
        <v>1115</v>
      </c>
      <c r="CT20" s="12" t="s">
        <v>1116</v>
      </c>
    </row>
    <row r="21" spans="1:98" hidden="1" x14ac:dyDescent="0.3">
      <c r="A21" s="12" t="s">
        <v>25</v>
      </c>
      <c r="B21" s="12" t="s">
        <v>1117</v>
      </c>
      <c r="C21" s="12" t="s">
        <v>1118</v>
      </c>
      <c r="D21" s="12" t="s">
        <v>1119</v>
      </c>
      <c r="E21" s="12" t="s">
        <v>578</v>
      </c>
      <c r="F21" s="12" t="s">
        <v>578</v>
      </c>
      <c r="G21" s="12" t="s">
        <v>578</v>
      </c>
      <c r="H21" s="12" t="s">
        <v>578</v>
      </c>
      <c r="I21" s="12" t="s">
        <v>578</v>
      </c>
      <c r="J21" s="12" t="s">
        <v>578</v>
      </c>
      <c r="K21" s="12" t="s">
        <v>578</v>
      </c>
      <c r="L21" s="12" t="s">
        <v>578</v>
      </c>
      <c r="M21" s="12" t="s">
        <v>578</v>
      </c>
      <c r="N21" s="12" t="s">
        <v>578</v>
      </c>
      <c r="O21" s="12" t="s">
        <v>578</v>
      </c>
      <c r="P21" s="12" t="s">
        <v>578</v>
      </c>
      <c r="Q21" s="12" t="s">
        <v>578</v>
      </c>
      <c r="R21" s="12" t="s">
        <v>578</v>
      </c>
      <c r="S21" s="12" t="s">
        <v>578</v>
      </c>
      <c r="T21" s="12" t="s">
        <v>578</v>
      </c>
      <c r="U21" s="12" t="s">
        <v>578</v>
      </c>
      <c r="V21" s="12" t="s">
        <v>578</v>
      </c>
      <c r="W21" s="12" t="s">
        <v>578</v>
      </c>
      <c r="X21" s="12" t="s">
        <v>578</v>
      </c>
      <c r="Y21" s="12" t="s">
        <v>578</v>
      </c>
      <c r="Z21" s="12" t="s">
        <v>578</v>
      </c>
      <c r="AA21" s="12" t="s">
        <v>578</v>
      </c>
      <c r="AB21" s="12" t="s">
        <v>578</v>
      </c>
      <c r="AC21" s="12" t="s">
        <v>578</v>
      </c>
      <c r="AD21" s="12" t="s">
        <v>578</v>
      </c>
      <c r="AE21" s="12" t="s">
        <v>578</v>
      </c>
      <c r="AF21" s="12" t="s">
        <v>578</v>
      </c>
      <c r="AG21" s="12" t="s">
        <v>578</v>
      </c>
      <c r="AH21" s="12" t="s">
        <v>578</v>
      </c>
      <c r="AI21" s="12" t="s">
        <v>578</v>
      </c>
      <c r="AJ21" s="12" t="s">
        <v>578</v>
      </c>
      <c r="AK21" s="12" t="s">
        <v>578</v>
      </c>
      <c r="AL21" s="12" t="s">
        <v>578</v>
      </c>
      <c r="AM21" s="12" t="s">
        <v>578</v>
      </c>
      <c r="AN21" s="12" t="s">
        <v>578</v>
      </c>
      <c r="AO21" s="12" t="s">
        <v>578</v>
      </c>
      <c r="AP21" s="12" t="s">
        <v>578</v>
      </c>
      <c r="AQ21" s="12" t="s">
        <v>578</v>
      </c>
      <c r="AR21" s="12" t="s">
        <v>578</v>
      </c>
      <c r="AS21" s="12" t="s">
        <v>578</v>
      </c>
      <c r="AT21" s="12" t="s">
        <v>578</v>
      </c>
      <c r="AU21" s="12" t="s">
        <v>578</v>
      </c>
      <c r="AV21" s="12" t="s">
        <v>578</v>
      </c>
      <c r="AW21" s="12" t="s">
        <v>578</v>
      </c>
      <c r="AX21" s="12" t="s">
        <v>578</v>
      </c>
      <c r="AY21" s="12" t="s">
        <v>578</v>
      </c>
      <c r="AZ21" s="12" t="s">
        <v>578</v>
      </c>
      <c r="BA21" s="12" t="s">
        <v>578</v>
      </c>
      <c r="BB21" s="12" t="s">
        <v>578</v>
      </c>
      <c r="BC21" s="12" t="s">
        <v>578</v>
      </c>
      <c r="BD21" s="12" t="s">
        <v>578</v>
      </c>
      <c r="BE21" s="12" t="s">
        <v>578</v>
      </c>
      <c r="BF21" s="12" t="s">
        <v>578</v>
      </c>
      <c r="BG21" s="12" t="s">
        <v>579</v>
      </c>
      <c r="BH21" s="12" t="s">
        <v>579</v>
      </c>
      <c r="BI21" s="12" t="s">
        <v>579</v>
      </c>
      <c r="BJ21" s="12" t="s">
        <v>672</v>
      </c>
      <c r="BK21" s="12" t="s">
        <v>672</v>
      </c>
      <c r="BL21" s="12" t="s">
        <v>580</v>
      </c>
      <c r="BM21" s="12" t="s">
        <v>580</v>
      </c>
      <c r="BN21" s="12" t="s">
        <v>580</v>
      </c>
      <c r="BO21" s="12" t="s">
        <v>581</v>
      </c>
      <c r="BP21" s="12" t="s">
        <v>581</v>
      </c>
      <c r="BQ21" s="12" t="s">
        <v>761</v>
      </c>
      <c r="BR21" s="12" t="s">
        <v>624</v>
      </c>
      <c r="BS21" s="12" t="s">
        <v>624</v>
      </c>
      <c r="BT21" s="12" t="s">
        <v>583</v>
      </c>
      <c r="BU21" s="12" t="s">
        <v>756</v>
      </c>
      <c r="BV21" s="12" t="s">
        <v>756</v>
      </c>
      <c r="BW21" s="12" t="s">
        <v>585</v>
      </c>
      <c r="BX21" s="12" t="s">
        <v>587</v>
      </c>
      <c r="BY21" s="12" t="s">
        <v>587</v>
      </c>
      <c r="BZ21" s="12" t="s">
        <v>869</v>
      </c>
      <c r="CA21" s="12" t="s">
        <v>869</v>
      </c>
      <c r="CB21" s="12" t="s">
        <v>953</v>
      </c>
      <c r="CC21" s="12" t="s">
        <v>627</v>
      </c>
      <c r="CD21" s="12" t="s">
        <v>588</v>
      </c>
      <c r="CE21" s="12" t="s">
        <v>1046</v>
      </c>
      <c r="CF21" s="12" t="s">
        <v>629</v>
      </c>
      <c r="CG21" s="12" t="s">
        <v>918</v>
      </c>
      <c r="CH21" s="12" t="s">
        <v>918</v>
      </c>
      <c r="CI21" s="12" t="s">
        <v>972</v>
      </c>
      <c r="CJ21" s="12" t="s">
        <v>991</v>
      </c>
      <c r="CK21" s="12" t="s">
        <v>991</v>
      </c>
      <c r="CL21" s="12" t="s">
        <v>719</v>
      </c>
      <c r="CM21" s="12" t="s">
        <v>679</v>
      </c>
      <c r="CN21" s="12" t="s">
        <v>631</v>
      </c>
      <c r="CO21" s="12" t="s">
        <v>631</v>
      </c>
      <c r="CP21" s="12" t="s">
        <v>680</v>
      </c>
      <c r="CQ21" s="12" t="s">
        <v>870</v>
      </c>
      <c r="CR21" s="12" t="s">
        <v>870</v>
      </c>
      <c r="CS21" s="12" t="s">
        <v>975</v>
      </c>
      <c r="CT21" s="12" t="s">
        <v>1120</v>
      </c>
    </row>
    <row r="22" spans="1:98" hidden="1" x14ac:dyDescent="0.3">
      <c r="A22" s="12" t="s">
        <v>25</v>
      </c>
      <c r="B22" s="12" t="s">
        <v>1121</v>
      </c>
      <c r="C22" s="12" t="s">
        <v>1122</v>
      </c>
      <c r="D22" s="12" t="s">
        <v>1123</v>
      </c>
      <c r="E22" s="12" t="s">
        <v>578</v>
      </c>
      <c r="F22" s="12" t="s">
        <v>578</v>
      </c>
      <c r="G22" s="12" t="s">
        <v>578</v>
      </c>
      <c r="H22" s="12" t="s">
        <v>578</v>
      </c>
      <c r="I22" s="12" t="s">
        <v>578</v>
      </c>
      <c r="J22" s="12" t="s">
        <v>578</v>
      </c>
      <c r="K22" s="12" t="s">
        <v>578</v>
      </c>
      <c r="L22" s="12" t="s">
        <v>578</v>
      </c>
      <c r="M22" s="12" t="s">
        <v>578</v>
      </c>
      <c r="N22" s="12" t="s">
        <v>578</v>
      </c>
      <c r="O22" s="12" t="s">
        <v>578</v>
      </c>
      <c r="P22" s="12" t="s">
        <v>578</v>
      </c>
      <c r="Q22" s="12" t="s">
        <v>578</v>
      </c>
      <c r="R22" s="12" t="s">
        <v>578</v>
      </c>
      <c r="S22" s="12" t="s">
        <v>578</v>
      </c>
      <c r="T22" s="12" t="s">
        <v>578</v>
      </c>
      <c r="U22" s="12" t="s">
        <v>578</v>
      </c>
      <c r="V22" s="12" t="s">
        <v>578</v>
      </c>
      <c r="W22" s="12" t="s">
        <v>578</v>
      </c>
      <c r="X22" s="12" t="s">
        <v>578</v>
      </c>
      <c r="Y22" s="12" t="s">
        <v>578</v>
      </c>
      <c r="Z22" s="12" t="s">
        <v>578</v>
      </c>
      <c r="AA22" s="12" t="s">
        <v>578</v>
      </c>
      <c r="AB22" s="12" t="s">
        <v>578</v>
      </c>
      <c r="AC22" s="12" t="s">
        <v>578</v>
      </c>
      <c r="AD22" s="12" t="s">
        <v>578</v>
      </c>
      <c r="AE22" s="12" t="s">
        <v>578</v>
      </c>
      <c r="AF22" s="12" t="s">
        <v>578</v>
      </c>
      <c r="AG22" s="12" t="s">
        <v>578</v>
      </c>
      <c r="AH22" s="12" t="s">
        <v>578</v>
      </c>
      <c r="AI22" s="12" t="s">
        <v>578</v>
      </c>
      <c r="AJ22" s="12" t="s">
        <v>578</v>
      </c>
      <c r="AK22" s="12" t="s">
        <v>578</v>
      </c>
      <c r="AL22" s="12" t="s">
        <v>579</v>
      </c>
      <c r="AM22" s="12" t="s">
        <v>626</v>
      </c>
      <c r="AN22" s="12" t="s">
        <v>627</v>
      </c>
      <c r="AO22" s="12" t="s">
        <v>627</v>
      </c>
      <c r="AP22" s="12" t="s">
        <v>971</v>
      </c>
      <c r="AQ22" s="12" t="s">
        <v>1046</v>
      </c>
      <c r="AR22" s="12" t="s">
        <v>972</v>
      </c>
      <c r="AS22" s="12" t="s">
        <v>991</v>
      </c>
      <c r="AT22" s="12" t="s">
        <v>991</v>
      </c>
      <c r="AU22" s="12" t="s">
        <v>809</v>
      </c>
      <c r="AV22" s="12" t="s">
        <v>631</v>
      </c>
      <c r="AW22" s="12" t="s">
        <v>680</v>
      </c>
      <c r="AX22" s="12" t="s">
        <v>1124</v>
      </c>
      <c r="AY22" s="12" t="s">
        <v>1124</v>
      </c>
      <c r="AZ22" s="12" t="s">
        <v>1125</v>
      </c>
      <c r="BA22" s="12" t="s">
        <v>592</v>
      </c>
      <c r="BB22" s="12" t="s">
        <v>984</v>
      </c>
      <c r="BC22" s="12" t="s">
        <v>984</v>
      </c>
      <c r="BD22" s="12" t="s">
        <v>984</v>
      </c>
      <c r="BE22" s="12" t="s">
        <v>875</v>
      </c>
      <c r="BF22" s="12" t="s">
        <v>1126</v>
      </c>
      <c r="BG22" s="12" t="s">
        <v>1126</v>
      </c>
      <c r="BH22" s="12" t="s">
        <v>1127</v>
      </c>
      <c r="BI22" s="12" t="s">
        <v>1128</v>
      </c>
      <c r="BJ22" s="12" t="s">
        <v>1028</v>
      </c>
      <c r="BK22" s="12" t="s">
        <v>1129</v>
      </c>
      <c r="BL22" s="12" t="s">
        <v>958</v>
      </c>
      <c r="BM22" s="12" t="s">
        <v>729</v>
      </c>
      <c r="BN22" s="12" t="s">
        <v>650</v>
      </c>
      <c r="BO22" s="12" t="s">
        <v>1031</v>
      </c>
      <c r="BP22" s="12" t="s">
        <v>1130</v>
      </c>
      <c r="BQ22" s="12" t="s">
        <v>1131</v>
      </c>
      <c r="BR22" s="12" t="s">
        <v>735</v>
      </c>
      <c r="BS22" s="12" t="s">
        <v>1132</v>
      </c>
      <c r="BT22" s="12" t="s">
        <v>1133</v>
      </c>
      <c r="BU22" s="12" t="s">
        <v>1134</v>
      </c>
      <c r="BV22" s="12" t="s">
        <v>1135</v>
      </c>
      <c r="BW22" s="12" t="s">
        <v>1136</v>
      </c>
      <c r="BX22" s="12" t="s">
        <v>1137</v>
      </c>
      <c r="BY22" s="12" t="s">
        <v>1138</v>
      </c>
      <c r="BZ22" s="12" t="s">
        <v>1139</v>
      </c>
      <c r="CA22" s="12" t="s">
        <v>1140</v>
      </c>
      <c r="CB22" s="12" t="s">
        <v>1141</v>
      </c>
      <c r="CC22" s="12" t="s">
        <v>1142</v>
      </c>
      <c r="CD22" s="12" t="s">
        <v>1143</v>
      </c>
      <c r="CE22" s="12" t="s">
        <v>1144</v>
      </c>
      <c r="CF22" s="12" t="s">
        <v>1145</v>
      </c>
      <c r="CG22" s="12" t="s">
        <v>1146</v>
      </c>
      <c r="CH22" s="12" t="s">
        <v>1147</v>
      </c>
      <c r="CI22" s="12" t="s">
        <v>1148</v>
      </c>
      <c r="CJ22" s="12" t="s">
        <v>1149</v>
      </c>
      <c r="CK22" s="12" t="s">
        <v>1150</v>
      </c>
      <c r="CL22" s="12" t="s">
        <v>1151</v>
      </c>
      <c r="CM22" s="12" t="s">
        <v>1152</v>
      </c>
      <c r="CN22" s="12" t="s">
        <v>1153</v>
      </c>
      <c r="CO22" s="12" t="s">
        <v>1154</v>
      </c>
      <c r="CP22" s="12" t="s">
        <v>1155</v>
      </c>
      <c r="CQ22" s="12" t="s">
        <v>1156</v>
      </c>
      <c r="CR22" s="12" t="s">
        <v>1157</v>
      </c>
      <c r="CS22" s="12" t="s">
        <v>1158</v>
      </c>
      <c r="CT22" s="12" t="s">
        <v>1159</v>
      </c>
    </row>
    <row r="23" spans="1:98" hidden="1" x14ac:dyDescent="0.3">
      <c r="A23" s="12" t="s">
        <v>25</v>
      </c>
      <c r="B23" s="12" t="s">
        <v>1160</v>
      </c>
      <c r="C23" s="12" t="s">
        <v>1161</v>
      </c>
      <c r="D23" s="12" t="s">
        <v>1162</v>
      </c>
      <c r="E23" s="12" t="s">
        <v>578</v>
      </c>
      <c r="F23" s="12" t="s">
        <v>578</v>
      </c>
      <c r="G23" s="12" t="s">
        <v>578</v>
      </c>
      <c r="H23" s="12" t="s">
        <v>578</v>
      </c>
      <c r="I23" s="12" t="s">
        <v>578</v>
      </c>
      <c r="J23" s="12" t="s">
        <v>578</v>
      </c>
      <c r="K23" s="12" t="s">
        <v>578</v>
      </c>
      <c r="L23" s="12" t="s">
        <v>578</v>
      </c>
      <c r="M23" s="12" t="s">
        <v>578</v>
      </c>
      <c r="N23" s="12" t="s">
        <v>578</v>
      </c>
      <c r="O23" s="12" t="s">
        <v>578</v>
      </c>
      <c r="P23" s="12" t="s">
        <v>578</v>
      </c>
      <c r="Q23" s="12" t="s">
        <v>578</v>
      </c>
      <c r="R23" s="12" t="s">
        <v>578</v>
      </c>
      <c r="S23" s="12" t="s">
        <v>578</v>
      </c>
      <c r="T23" s="12" t="s">
        <v>578</v>
      </c>
      <c r="U23" s="12" t="s">
        <v>578</v>
      </c>
      <c r="V23" s="12" t="s">
        <v>578</v>
      </c>
      <c r="W23" s="12" t="s">
        <v>578</v>
      </c>
      <c r="X23" s="12" t="s">
        <v>578</v>
      </c>
      <c r="Y23" s="12" t="s">
        <v>578</v>
      </c>
      <c r="Z23" s="12" t="s">
        <v>578</v>
      </c>
      <c r="AA23" s="12" t="s">
        <v>578</v>
      </c>
      <c r="AB23" s="12" t="s">
        <v>578</v>
      </c>
      <c r="AC23" s="12" t="s">
        <v>578</v>
      </c>
      <c r="AD23" s="12" t="s">
        <v>578</v>
      </c>
      <c r="AE23" s="12" t="s">
        <v>578</v>
      </c>
      <c r="AF23" s="12" t="s">
        <v>578</v>
      </c>
      <c r="AG23" s="12" t="s">
        <v>578</v>
      </c>
      <c r="AH23" s="12" t="s">
        <v>578</v>
      </c>
      <c r="AI23" s="12" t="s">
        <v>578</v>
      </c>
      <c r="AJ23" s="12" t="s">
        <v>578</v>
      </c>
      <c r="AK23" s="12" t="s">
        <v>578</v>
      </c>
      <c r="AL23" s="12" t="s">
        <v>578</v>
      </c>
      <c r="AM23" s="12" t="s">
        <v>578</v>
      </c>
      <c r="AN23" s="12" t="s">
        <v>578</v>
      </c>
      <c r="AO23" s="12" t="s">
        <v>578</v>
      </c>
      <c r="AP23" s="12" t="s">
        <v>578</v>
      </c>
      <c r="AQ23" s="12" t="s">
        <v>578</v>
      </c>
      <c r="AR23" s="12" t="s">
        <v>578</v>
      </c>
      <c r="AS23" s="12" t="s">
        <v>578</v>
      </c>
      <c r="AT23" s="12" t="s">
        <v>578</v>
      </c>
      <c r="AU23" s="12" t="s">
        <v>578</v>
      </c>
      <c r="AV23" s="12" t="s">
        <v>578</v>
      </c>
      <c r="AW23" s="12" t="s">
        <v>578</v>
      </c>
      <c r="AX23" s="12" t="s">
        <v>578</v>
      </c>
      <c r="AY23" s="12" t="s">
        <v>672</v>
      </c>
      <c r="AZ23" s="12" t="s">
        <v>672</v>
      </c>
      <c r="BA23" s="12" t="s">
        <v>672</v>
      </c>
      <c r="BB23" s="12" t="s">
        <v>672</v>
      </c>
      <c r="BC23" s="12" t="s">
        <v>672</v>
      </c>
      <c r="BD23" s="12" t="s">
        <v>672</v>
      </c>
      <c r="BE23" s="12" t="s">
        <v>672</v>
      </c>
      <c r="BF23" s="12" t="s">
        <v>581</v>
      </c>
      <c r="BG23" s="12" t="s">
        <v>755</v>
      </c>
      <c r="BH23" s="12" t="s">
        <v>624</v>
      </c>
      <c r="BI23" s="12" t="s">
        <v>756</v>
      </c>
      <c r="BJ23" s="12" t="s">
        <v>673</v>
      </c>
      <c r="BK23" s="12" t="s">
        <v>675</v>
      </c>
      <c r="BL23" s="12" t="s">
        <v>757</v>
      </c>
      <c r="BM23" s="12" t="s">
        <v>913</v>
      </c>
      <c r="BN23" s="12" t="s">
        <v>627</v>
      </c>
      <c r="BO23" s="12" t="s">
        <v>718</v>
      </c>
      <c r="BP23" s="12" t="s">
        <v>718</v>
      </c>
      <c r="BQ23" s="12" t="s">
        <v>1096</v>
      </c>
      <c r="BR23" s="12" t="s">
        <v>678</v>
      </c>
      <c r="BS23" s="12" t="s">
        <v>678</v>
      </c>
      <c r="BT23" s="12" t="s">
        <v>678</v>
      </c>
      <c r="BU23" s="12" t="s">
        <v>991</v>
      </c>
      <c r="BV23" s="12" t="s">
        <v>630</v>
      </c>
      <c r="BW23" s="12" t="s">
        <v>679</v>
      </c>
      <c r="BX23" s="12" t="s">
        <v>769</v>
      </c>
      <c r="BY23" s="12" t="s">
        <v>919</v>
      </c>
      <c r="BZ23" s="12" t="s">
        <v>634</v>
      </c>
      <c r="CA23" s="12" t="s">
        <v>721</v>
      </c>
      <c r="CB23" s="12" t="s">
        <v>638</v>
      </c>
      <c r="CC23" s="12" t="s">
        <v>724</v>
      </c>
      <c r="CD23" s="12" t="s">
        <v>1163</v>
      </c>
      <c r="CE23" s="12" t="s">
        <v>1164</v>
      </c>
      <c r="CF23" s="12" t="s">
        <v>821</v>
      </c>
      <c r="CG23" s="12" t="s">
        <v>822</v>
      </c>
      <c r="CH23" s="12" t="s">
        <v>1165</v>
      </c>
      <c r="CI23" s="12" t="s">
        <v>1166</v>
      </c>
      <c r="CJ23" s="12" t="s">
        <v>1167</v>
      </c>
      <c r="CK23" s="12" t="s">
        <v>1168</v>
      </c>
      <c r="CL23" s="12" t="s">
        <v>698</v>
      </c>
      <c r="CM23" s="12" t="s">
        <v>1169</v>
      </c>
      <c r="CN23" s="12" t="s">
        <v>1170</v>
      </c>
      <c r="CO23" s="12" t="s">
        <v>1171</v>
      </c>
      <c r="CP23" s="12" t="s">
        <v>1172</v>
      </c>
      <c r="CQ23" s="12" t="s">
        <v>1173</v>
      </c>
      <c r="CR23" s="12" t="s">
        <v>1174</v>
      </c>
      <c r="CS23" s="12" t="s">
        <v>1175</v>
      </c>
      <c r="CT23" s="12" t="s">
        <v>1176</v>
      </c>
    </row>
    <row r="24" spans="1:98" hidden="1" x14ac:dyDescent="0.3">
      <c r="A24" s="12" t="s">
        <v>25</v>
      </c>
      <c r="B24" s="12" t="s">
        <v>1177</v>
      </c>
      <c r="C24" s="12" t="s">
        <v>1178</v>
      </c>
      <c r="D24" s="12" t="s">
        <v>1179</v>
      </c>
      <c r="E24" s="12" t="s">
        <v>578</v>
      </c>
      <c r="F24" s="12" t="s">
        <v>578</v>
      </c>
      <c r="G24" s="12" t="s">
        <v>578</v>
      </c>
      <c r="H24" s="12" t="s">
        <v>578</v>
      </c>
      <c r="I24" s="12" t="s">
        <v>578</v>
      </c>
      <c r="J24" s="12" t="s">
        <v>578</v>
      </c>
      <c r="K24" s="12" t="s">
        <v>578</v>
      </c>
      <c r="L24" s="12" t="s">
        <v>578</v>
      </c>
      <c r="M24" s="12" t="s">
        <v>578</v>
      </c>
      <c r="N24" s="12" t="s">
        <v>578</v>
      </c>
      <c r="O24" s="12" t="s">
        <v>578</v>
      </c>
      <c r="P24" s="12" t="s">
        <v>578</v>
      </c>
      <c r="Q24" s="12" t="s">
        <v>578</v>
      </c>
      <c r="R24" s="12" t="s">
        <v>578</v>
      </c>
      <c r="S24" s="12" t="s">
        <v>578</v>
      </c>
      <c r="T24" s="12" t="s">
        <v>578</v>
      </c>
      <c r="U24" s="12" t="s">
        <v>578</v>
      </c>
      <c r="V24" s="12" t="s">
        <v>578</v>
      </c>
      <c r="W24" s="12" t="s">
        <v>578</v>
      </c>
      <c r="X24" s="12" t="s">
        <v>578</v>
      </c>
      <c r="Y24" s="12" t="s">
        <v>578</v>
      </c>
      <c r="Z24" s="12" t="s">
        <v>578</v>
      </c>
      <c r="AA24" s="12" t="s">
        <v>578</v>
      </c>
      <c r="AB24" s="12" t="s">
        <v>578</v>
      </c>
      <c r="AC24" s="12" t="s">
        <v>578</v>
      </c>
      <c r="AD24" s="12" t="s">
        <v>578</v>
      </c>
      <c r="AE24" s="12" t="s">
        <v>578</v>
      </c>
      <c r="AF24" s="12" t="s">
        <v>578</v>
      </c>
      <c r="AG24" s="12" t="s">
        <v>578</v>
      </c>
      <c r="AH24" s="12" t="s">
        <v>578</v>
      </c>
      <c r="AI24" s="12" t="s">
        <v>578</v>
      </c>
      <c r="AJ24" s="12" t="s">
        <v>578</v>
      </c>
      <c r="AK24" s="12" t="s">
        <v>578</v>
      </c>
      <c r="AL24" s="12" t="s">
        <v>578</v>
      </c>
      <c r="AM24" s="12" t="s">
        <v>578</v>
      </c>
      <c r="AN24" s="12" t="s">
        <v>578</v>
      </c>
      <c r="AO24" s="12" t="s">
        <v>578</v>
      </c>
      <c r="AP24" s="12" t="s">
        <v>578</v>
      </c>
      <c r="AQ24" s="12" t="s">
        <v>578</v>
      </c>
      <c r="AR24" s="12" t="s">
        <v>578</v>
      </c>
      <c r="AS24" s="12" t="s">
        <v>578</v>
      </c>
      <c r="AT24" s="12" t="s">
        <v>578</v>
      </c>
      <c r="AU24" s="12" t="s">
        <v>578</v>
      </c>
      <c r="AV24" s="12" t="s">
        <v>578</v>
      </c>
      <c r="AW24" s="12" t="s">
        <v>578</v>
      </c>
      <c r="AX24" s="12" t="s">
        <v>578</v>
      </c>
      <c r="AY24" s="12" t="s">
        <v>578</v>
      </c>
      <c r="AZ24" s="12" t="s">
        <v>578</v>
      </c>
      <c r="BA24" s="12" t="s">
        <v>578</v>
      </c>
      <c r="BB24" s="12" t="s">
        <v>578</v>
      </c>
      <c r="BC24" s="12" t="s">
        <v>578</v>
      </c>
      <c r="BD24" s="12" t="s">
        <v>578</v>
      </c>
      <c r="BE24" s="12" t="s">
        <v>578</v>
      </c>
      <c r="BF24" s="12" t="s">
        <v>578</v>
      </c>
      <c r="BG24" s="12" t="s">
        <v>578</v>
      </c>
      <c r="BH24" s="12" t="s">
        <v>623</v>
      </c>
      <c r="BI24" s="12" t="s">
        <v>623</v>
      </c>
      <c r="BJ24" s="12" t="s">
        <v>581</v>
      </c>
      <c r="BK24" s="12" t="s">
        <v>581</v>
      </c>
      <c r="BL24" s="12" t="s">
        <v>851</v>
      </c>
      <c r="BM24" s="12" t="s">
        <v>756</v>
      </c>
      <c r="BN24" s="12" t="s">
        <v>673</v>
      </c>
      <c r="BO24" s="12" t="s">
        <v>808</v>
      </c>
      <c r="BP24" s="12" t="s">
        <v>808</v>
      </c>
      <c r="BQ24" s="12" t="s">
        <v>808</v>
      </c>
      <c r="BR24" s="12" t="s">
        <v>587</v>
      </c>
      <c r="BS24" s="12" t="s">
        <v>676</v>
      </c>
      <c r="BT24" s="12" t="s">
        <v>627</v>
      </c>
      <c r="BU24" s="12" t="s">
        <v>627</v>
      </c>
      <c r="BV24" s="12" t="s">
        <v>767</v>
      </c>
      <c r="BW24" s="12" t="s">
        <v>767</v>
      </c>
      <c r="BX24" s="12" t="s">
        <v>918</v>
      </c>
      <c r="BY24" s="12" t="s">
        <v>630</v>
      </c>
      <c r="BZ24" s="12" t="s">
        <v>809</v>
      </c>
      <c r="CA24" s="12" t="s">
        <v>769</v>
      </c>
      <c r="CB24" s="12" t="s">
        <v>680</v>
      </c>
      <c r="CC24" s="12" t="s">
        <v>1180</v>
      </c>
      <c r="CD24" s="12" t="s">
        <v>1180</v>
      </c>
      <c r="CE24" s="12" t="s">
        <v>973</v>
      </c>
      <c r="CF24" s="12" t="s">
        <v>955</v>
      </c>
      <c r="CG24" s="12" t="s">
        <v>770</v>
      </c>
      <c r="CH24" s="12" t="s">
        <v>854</v>
      </c>
      <c r="CI24" s="12" t="s">
        <v>975</v>
      </c>
      <c r="CJ24" s="12" t="s">
        <v>975</v>
      </c>
      <c r="CK24" s="12" t="s">
        <v>1120</v>
      </c>
      <c r="CL24" s="12" t="s">
        <v>720</v>
      </c>
      <c r="CM24" s="12" t="s">
        <v>720</v>
      </c>
      <c r="CN24" s="12" t="s">
        <v>720</v>
      </c>
      <c r="CO24" s="12" t="s">
        <v>720</v>
      </c>
      <c r="CP24" s="12" t="s">
        <v>720</v>
      </c>
      <c r="CQ24" s="12" t="s">
        <v>720</v>
      </c>
      <c r="CR24" s="12" t="s">
        <v>720</v>
      </c>
      <c r="CS24" s="12" t="s">
        <v>635</v>
      </c>
      <c r="CT24" s="12" t="s">
        <v>855</v>
      </c>
    </row>
    <row r="25" spans="1:98" hidden="1" x14ac:dyDescent="0.3">
      <c r="A25" s="12" t="s">
        <v>25</v>
      </c>
      <c r="B25" s="12" t="s">
        <v>1181</v>
      </c>
      <c r="C25" s="12" t="s">
        <v>1182</v>
      </c>
      <c r="D25" s="12" t="s">
        <v>1183</v>
      </c>
      <c r="E25" s="12" t="s">
        <v>578</v>
      </c>
      <c r="F25" s="12" t="s">
        <v>578</v>
      </c>
      <c r="G25" s="12" t="s">
        <v>578</v>
      </c>
      <c r="H25" s="12" t="s">
        <v>578</v>
      </c>
      <c r="I25" s="12" t="s">
        <v>578</v>
      </c>
      <c r="J25" s="12" t="s">
        <v>578</v>
      </c>
      <c r="K25" s="12" t="s">
        <v>578</v>
      </c>
      <c r="L25" s="12" t="s">
        <v>578</v>
      </c>
      <c r="M25" s="12" t="s">
        <v>578</v>
      </c>
      <c r="N25" s="12" t="s">
        <v>578</v>
      </c>
      <c r="O25" s="12" t="s">
        <v>578</v>
      </c>
      <c r="P25" s="12" t="s">
        <v>578</v>
      </c>
      <c r="Q25" s="12" t="s">
        <v>578</v>
      </c>
      <c r="R25" s="12" t="s">
        <v>578</v>
      </c>
      <c r="S25" s="12" t="s">
        <v>578</v>
      </c>
      <c r="T25" s="12" t="s">
        <v>578</v>
      </c>
      <c r="U25" s="12" t="s">
        <v>578</v>
      </c>
      <c r="V25" s="12" t="s">
        <v>578</v>
      </c>
      <c r="W25" s="12" t="s">
        <v>578</v>
      </c>
      <c r="X25" s="12" t="s">
        <v>578</v>
      </c>
      <c r="Y25" s="12" t="s">
        <v>578</v>
      </c>
      <c r="Z25" s="12" t="s">
        <v>578</v>
      </c>
      <c r="AA25" s="12" t="s">
        <v>578</v>
      </c>
      <c r="AB25" s="12" t="s">
        <v>578</v>
      </c>
      <c r="AC25" s="12" t="s">
        <v>578</v>
      </c>
      <c r="AD25" s="12" t="s">
        <v>578</v>
      </c>
      <c r="AE25" s="12" t="s">
        <v>578</v>
      </c>
      <c r="AF25" s="12" t="s">
        <v>578</v>
      </c>
      <c r="AG25" s="12" t="s">
        <v>578</v>
      </c>
      <c r="AH25" s="12" t="s">
        <v>578</v>
      </c>
      <c r="AI25" s="12" t="s">
        <v>578</v>
      </c>
      <c r="AJ25" s="12" t="s">
        <v>578</v>
      </c>
      <c r="AK25" s="12" t="s">
        <v>578</v>
      </c>
      <c r="AL25" s="12" t="s">
        <v>578</v>
      </c>
      <c r="AM25" s="12" t="s">
        <v>578</v>
      </c>
      <c r="AN25" s="12" t="s">
        <v>578</v>
      </c>
      <c r="AO25" s="12" t="s">
        <v>578</v>
      </c>
      <c r="AP25" s="12" t="s">
        <v>579</v>
      </c>
      <c r="AQ25" s="12" t="s">
        <v>579</v>
      </c>
      <c r="AR25" s="12" t="s">
        <v>579</v>
      </c>
      <c r="AS25" s="12" t="s">
        <v>579</v>
      </c>
      <c r="AT25" s="12" t="s">
        <v>579</v>
      </c>
      <c r="AU25" s="12" t="s">
        <v>851</v>
      </c>
      <c r="AV25" s="12" t="s">
        <v>851</v>
      </c>
      <c r="AW25" s="12" t="s">
        <v>851</v>
      </c>
      <c r="AX25" s="12" t="s">
        <v>851</v>
      </c>
      <c r="AY25" s="12" t="s">
        <v>851</v>
      </c>
      <c r="AZ25" s="12" t="s">
        <v>851</v>
      </c>
      <c r="BA25" s="12" t="s">
        <v>761</v>
      </c>
      <c r="BB25" s="12" t="s">
        <v>761</v>
      </c>
      <c r="BC25" s="12" t="s">
        <v>625</v>
      </c>
      <c r="BD25" s="12" t="s">
        <v>913</v>
      </c>
      <c r="BE25" s="12" t="s">
        <v>913</v>
      </c>
      <c r="BF25" s="12" t="s">
        <v>913</v>
      </c>
      <c r="BG25" s="12" t="s">
        <v>971</v>
      </c>
      <c r="BH25" s="12" t="s">
        <v>971</v>
      </c>
      <c r="BI25" s="12" t="s">
        <v>630</v>
      </c>
      <c r="BJ25" s="12" t="s">
        <v>630</v>
      </c>
      <c r="BK25" s="12" t="s">
        <v>974</v>
      </c>
      <c r="BL25" s="12" t="s">
        <v>635</v>
      </c>
      <c r="BM25" s="12" t="s">
        <v>635</v>
      </c>
      <c r="BN25" s="12" t="s">
        <v>1184</v>
      </c>
      <c r="BO25" s="12" t="s">
        <v>1184</v>
      </c>
      <c r="BP25" s="12" t="s">
        <v>977</v>
      </c>
      <c r="BQ25" s="12" t="s">
        <v>977</v>
      </c>
      <c r="BR25" s="12" t="s">
        <v>591</v>
      </c>
      <c r="BS25" s="12" t="s">
        <v>591</v>
      </c>
      <c r="BT25" s="12" t="s">
        <v>591</v>
      </c>
      <c r="BU25" s="12" t="s">
        <v>1185</v>
      </c>
      <c r="BV25" s="12" t="s">
        <v>1185</v>
      </c>
      <c r="BW25" s="12" t="s">
        <v>1186</v>
      </c>
      <c r="BX25" s="12" t="s">
        <v>647</v>
      </c>
      <c r="BY25" s="12" t="s">
        <v>1187</v>
      </c>
      <c r="BZ25" s="12" t="s">
        <v>1188</v>
      </c>
      <c r="CA25" s="12" t="s">
        <v>663</v>
      </c>
      <c r="CB25" s="12" t="s">
        <v>1140</v>
      </c>
      <c r="CC25" s="12" t="s">
        <v>1189</v>
      </c>
      <c r="CD25" s="12" t="s">
        <v>1190</v>
      </c>
      <c r="CE25" s="12" t="s">
        <v>1191</v>
      </c>
      <c r="CF25" s="12" t="s">
        <v>1192</v>
      </c>
      <c r="CG25" s="12" t="s">
        <v>1193</v>
      </c>
      <c r="CH25" s="12" t="s">
        <v>1194</v>
      </c>
      <c r="CI25" s="12" t="s">
        <v>1195</v>
      </c>
      <c r="CJ25" s="12" t="s">
        <v>1196</v>
      </c>
      <c r="CK25" s="12" t="s">
        <v>1197</v>
      </c>
      <c r="CL25" s="12" t="s">
        <v>1198</v>
      </c>
      <c r="CM25" s="12" t="s">
        <v>1199</v>
      </c>
      <c r="CN25" s="12" t="s">
        <v>1199</v>
      </c>
      <c r="CO25" s="12" t="s">
        <v>1199</v>
      </c>
      <c r="CP25" s="12" t="s">
        <v>1200</v>
      </c>
      <c r="CQ25" s="12" t="s">
        <v>1201</v>
      </c>
      <c r="CR25" s="12" t="s">
        <v>1202</v>
      </c>
      <c r="CS25" s="12" t="s">
        <v>1203</v>
      </c>
      <c r="CT25" s="12" t="s">
        <v>1204</v>
      </c>
    </row>
    <row r="26" spans="1:98" hidden="1" x14ac:dyDescent="0.3">
      <c r="A26" s="12" t="s">
        <v>25</v>
      </c>
      <c r="B26" s="12" t="s">
        <v>1205</v>
      </c>
      <c r="C26" s="12" t="s">
        <v>1206</v>
      </c>
      <c r="D26" s="12" t="s">
        <v>1207</v>
      </c>
      <c r="E26" s="12" t="s">
        <v>578</v>
      </c>
      <c r="F26" s="12" t="s">
        <v>578</v>
      </c>
      <c r="G26" s="12" t="s">
        <v>578</v>
      </c>
      <c r="H26" s="12" t="s">
        <v>578</v>
      </c>
      <c r="I26" s="12" t="s">
        <v>578</v>
      </c>
      <c r="J26" s="12" t="s">
        <v>578</v>
      </c>
      <c r="K26" s="12" t="s">
        <v>578</v>
      </c>
      <c r="L26" s="12" t="s">
        <v>578</v>
      </c>
      <c r="M26" s="12" t="s">
        <v>578</v>
      </c>
      <c r="N26" s="12" t="s">
        <v>578</v>
      </c>
      <c r="O26" s="12" t="s">
        <v>578</v>
      </c>
      <c r="P26" s="12" t="s">
        <v>578</v>
      </c>
      <c r="Q26" s="12" t="s">
        <v>578</v>
      </c>
      <c r="R26" s="12" t="s">
        <v>579</v>
      </c>
      <c r="S26" s="12" t="s">
        <v>579</v>
      </c>
      <c r="T26" s="12" t="s">
        <v>579</v>
      </c>
      <c r="U26" s="12" t="s">
        <v>579</v>
      </c>
      <c r="V26" s="12" t="s">
        <v>579</v>
      </c>
      <c r="W26" s="12" t="s">
        <v>579</v>
      </c>
      <c r="X26" s="12" t="s">
        <v>579</v>
      </c>
      <c r="Y26" s="12" t="s">
        <v>579</v>
      </c>
      <c r="Z26" s="12" t="s">
        <v>579</v>
      </c>
      <c r="AA26" s="12" t="s">
        <v>579</v>
      </c>
      <c r="AB26" s="12" t="s">
        <v>579</v>
      </c>
      <c r="AC26" s="12" t="s">
        <v>579</v>
      </c>
      <c r="AD26" s="12" t="s">
        <v>579</v>
      </c>
      <c r="AE26" s="12" t="s">
        <v>579</v>
      </c>
      <c r="AF26" s="12" t="s">
        <v>579</v>
      </c>
      <c r="AG26" s="12" t="s">
        <v>579</v>
      </c>
      <c r="AH26" s="12" t="s">
        <v>579</v>
      </c>
      <c r="AI26" s="12" t="s">
        <v>579</v>
      </c>
      <c r="AJ26" s="12" t="s">
        <v>579</v>
      </c>
      <c r="AK26" s="12" t="s">
        <v>579</v>
      </c>
      <c r="AL26" s="12" t="s">
        <v>579</v>
      </c>
      <c r="AM26" s="12" t="s">
        <v>579</v>
      </c>
      <c r="AN26" s="12" t="s">
        <v>579</v>
      </c>
      <c r="AO26" s="12" t="s">
        <v>579</v>
      </c>
      <c r="AP26" s="12" t="s">
        <v>579</v>
      </c>
      <c r="AQ26" s="12" t="s">
        <v>579</v>
      </c>
      <c r="AR26" s="12" t="s">
        <v>623</v>
      </c>
      <c r="AS26" s="12" t="s">
        <v>755</v>
      </c>
      <c r="AT26" s="12" t="s">
        <v>868</v>
      </c>
      <c r="AU26" s="12" t="s">
        <v>626</v>
      </c>
      <c r="AV26" s="12" t="s">
        <v>954</v>
      </c>
      <c r="AW26" s="12" t="s">
        <v>1208</v>
      </c>
      <c r="AX26" s="12" t="s">
        <v>982</v>
      </c>
      <c r="AY26" s="12" t="s">
        <v>985</v>
      </c>
      <c r="AZ26" s="12" t="s">
        <v>1209</v>
      </c>
      <c r="BA26" s="12" t="s">
        <v>727</v>
      </c>
      <c r="BB26" s="12" t="s">
        <v>1210</v>
      </c>
      <c r="BC26" s="12" t="s">
        <v>1210</v>
      </c>
      <c r="BD26" s="12" t="s">
        <v>1211</v>
      </c>
      <c r="BE26" s="12" t="s">
        <v>929</v>
      </c>
      <c r="BF26" s="12" t="s">
        <v>1212</v>
      </c>
      <c r="BG26" s="12" t="s">
        <v>1103</v>
      </c>
      <c r="BH26" s="12" t="s">
        <v>1213</v>
      </c>
      <c r="BI26" s="12" t="s">
        <v>1191</v>
      </c>
      <c r="BJ26" s="12" t="s">
        <v>790</v>
      </c>
      <c r="BK26" s="12" t="s">
        <v>1214</v>
      </c>
      <c r="BL26" s="12" t="s">
        <v>1215</v>
      </c>
      <c r="BM26" s="12" t="s">
        <v>1216</v>
      </c>
      <c r="BN26" s="12" t="s">
        <v>1217</v>
      </c>
      <c r="BO26" s="12" t="s">
        <v>1218</v>
      </c>
      <c r="BP26" s="12" t="s">
        <v>1219</v>
      </c>
      <c r="BQ26" s="12" t="s">
        <v>1220</v>
      </c>
      <c r="BR26" s="12" t="s">
        <v>1221</v>
      </c>
      <c r="BS26" s="12" t="s">
        <v>1222</v>
      </c>
      <c r="BT26" s="12" t="s">
        <v>1223</v>
      </c>
      <c r="BU26" s="12" t="s">
        <v>1224</v>
      </c>
      <c r="BV26" s="12" t="s">
        <v>1225</v>
      </c>
      <c r="BW26" s="12" t="s">
        <v>1226</v>
      </c>
      <c r="BX26" s="12" t="s">
        <v>1227</v>
      </c>
      <c r="BY26" s="12" t="s">
        <v>1228</v>
      </c>
      <c r="BZ26" s="12" t="s">
        <v>1229</v>
      </c>
      <c r="CA26" s="12" t="s">
        <v>1230</v>
      </c>
      <c r="CB26" s="12" t="s">
        <v>1231</v>
      </c>
      <c r="CC26" s="12" t="s">
        <v>1232</v>
      </c>
      <c r="CD26" s="12" t="s">
        <v>1233</v>
      </c>
      <c r="CE26" s="12" t="s">
        <v>1234</v>
      </c>
      <c r="CF26" s="12" t="s">
        <v>1235</v>
      </c>
      <c r="CG26" s="12" t="s">
        <v>1236</v>
      </c>
      <c r="CH26" s="12" t="s">
        <v>1237</v>
      </c>
      <c r="CI26" s="12" t="s">
        <v>1238</v>
      </c>
      <c r="CJ26" s="12" t="s">
        <v>1239</v>
      </c>
      <c r="CK26" s="12" t="s">
        <v>1240</v>
      </c>
      <c r="CL26" s="12" t="s">
        <v>1241</v>
      </c>
      <c r="CM26" s="12" t="s">
        <v>1242</v>
      </c>
      <c r="CN26" s="12" t="s">
        <v>1243</v>
      </c>
      <c r="CO26" s="12" t="s">
        <v>1244</v>
      </c>
      <c r="CP26" s="12" t="s">
        <v>1245</v>
      </c>
      <c r="CQ26" s="12" t="s">
        <v>1246</v>
      </c>
      <c r="CR26" s="12" t="s">
        <v>1247</v>
      </c>
      <c r="CS26" s="12" t="s">
        <v>1248</v>
      </c>
      <c r="CT26" s="12" t="s">
        <v>1249</v>
      </c>
    </row>
    <row r="27" spans="1:98" hidden="1" x14ac:dyDescent="0.3">
      <c r="A27" s="12" t="s">
        <v>25</v>
      </c>
      <c r="B27" s="12" t="s">
        <v>1250</v>
      </c>
      <c r="C27" s="12" t="s">
        <v>1251</v>
      </c>
      <c r="D27" s="12" t="s">
        <v>1252</v>
      </c>
      <c r="E27" s="12" t="s">
        <v>578</v>
      </c>
      <c r="F27" s="12" t="s">
        <v>578</v>
      </c>
      <c r="G27" s="12" t="s">
        <v>578</v>
      </c>
      <c r="H27" s="12" t="s">
        <v>578</v>
      </c>
      <c r="I27" s="12" t="s">
        <v>578</v>
      </c>
      <c r="J27" s="12" t="s">
        <v>578</v>
      </c>
      <c r="K27" s="12" t="s">
        <v>578</v>
      </c>
      <c r="L27" s="12" t="s">
        <v>578</v>
      </c>
      <c r="M27" s="12" t="s">
        <v>578</v>
      </c>
      <c r="N27" s="12" t="s">
        <v>578</v>
      </c>
      <c r="O27" s="12" t="s">
        <v>578</v>
      </c>
      <c r="P27" s="12" t="s">
        <v>578</v>
      </c>
      <c r="Q27" s="12" t="s">
        <v>578</v>
      </c>
      <c r="R27" s="12" t="s">
        <v>578</v>
      </c>
      <c r="S27" s="12" t="s">
        <v>578</v>
      </c>
      <c r="T27" s="12" t="s">
        <v>578</v>
      </c>
      <c r="U27" s="12" t="s">
        <v>578</v>
      </c>
      <c r="V27" s="12" t="s">
        <v>578</v>
      </c>
      <c r="W27" s="12" t="s">
        <v>578</v>
      </c>
      <c r="X27" s="12" t="s">
        <v>578</v>
      </c>
      <c r="Y27" s="12" t="s">
        <v>578</v>
      </c>
      <c r="Z27" s="12" t="s">
        <v>578</v>
      </c>
      <c r="AA27" s="12" t="s">
        <v>578</v>
      </c>
      <c r="AB27" s="12" t="s">
        <v>578</v>
      </c>
      <c r="AC27" s="12" t="s">
        <v>578</v>
      </c>
      <c r="AD27" s="12" t="s">
        <v>578</v>
      </c>
      <c r="AE27" s="12" t="s">
        <v>578</v>
      </c>
      <c r="AF27" s="12" t="s">
        <v>578</v>
      </c>
      <c r="AG27" s="12" t="s">
        <v>578</v>
      </c>
      <c r="AH27" s="12" t="s">
        <v>578</v>
      </c>
      <c r="AI27" s="12" t="s">
        <v>578</v>
      </c>
      <c r="AJ27" s="12" t="s">
        <v>578</v>
      </c>
      <c r="AK27" s="12" t="s">
        <v>578</v>
      </c>
      <c r="AL27" s="12" t="s">
        <v>578</v>
      </c>
      <c r="AM27" s="12" t="s">
        <v>578</v>
      </c>
      <c r="AN27" s="12" t="s">
        <v>578</v>
      </c>
      <c r="AO27" s="12" t="s">
        <v>578</v>
      </c>
      <c r="AP27" s="12" t="s">
        <v>578</v>
      </c>
      <c r="AQ27" s="12" t="s">
        <v>578</v>
      </c>
      <c r="AR27" s="12" t="s">
        <v>578</v>
      </c>
      <c r="AS27" s="12" t="s">
        <v>578</v>
      </c>
      <c r="AT27" s="12" t="s">
        <v>578</v>
      </c>
      <c r="AU27" s="12" t="s">
        <v>578</v>
      </c>
      <c r="AV27" s="12" t="s">
        <v>578</v>
      </c>
      <c r="AW27" s="12" t="s">
        <v>578</v>
      </c>
      <c r="AX27" s="12" t="s">
        <v>578</v>
      </c>
      <c r="AY27" s="12" t="s">
        <v>578</v>
      </c>
      <c r="AZ27" s="12" t="s">
        <v>578</v>
      </c>
      <c r="BA27" s="12" t="s">
        <v>578</v>
      </c>
      <c r="BB27" s="12" t="s">
        <v>578</v>
      </c>
      <c r="BC27" s="12" t="s">
        <v>578</v>
      </c>
      <c r="BD27" s="12" t="s">
        <v>578</v>
      </c>
      <c r="BE27" s="12" t="s">
        <v>578</v>
      </c>
      <c r="BF27" s="12" t="s">
        <v>578</v>
      </c>
      <c r="BG27" s="12" t="s">
        <v>579</v>
      </c>
      <c r="BH27" s="12" t="s">
        <v>579</v>
      </c>
      <c r="BI27" s="12" t="s">
        <v>623</v>
      </c>
      <c r="BJ27" s="12" t="s">
        <v>623</v>
      </c>
      <c r="BK27" s="12" t="s">
        <v>623</v>
      </c>
      <c r="BL27" s="12" t="s">
        <v>623</v>
      </c>
      <c r="BM27" s="12" t="s">
        <v>623</v>
      </c>
      <c r="BN27" s="12" t="s">
        <v>581</v>
      </c>
      <c r="BO27" s="12" t="s">
        <v>851</v>
      </c>
      <c r="BP27" s="12" t="s">
        <v>851</v>
      </c>
      <c r="BQ27" s="12" t="s">
        <v>851</v>
      </c>
      <c r="BR27" s="12" t="s">
        <v>851</v>
      </c>
      <c r="BS27" s="12" t="s">
        <v>851</v>
      </c>
      <c r="BT27" s="12" t="s">
        <v>851</v>
      </c>
      <c r="BU27" s="12" t="s">
        <v>851</v>
      </c>
      <c r="BV27" s="12" t="s">
        <v>761</v>
      </c>
      <c r="BW27" s="12" t="s">
        <v>868</v>
      </c>
      <c r="BX27" s="12" t="s">
        <v>868</v>
      </c>
      <c r="BY27" s="12" t="s">
        <v>584</v>
      </c>
      <c r="BZ27" s="12" t="s">
        <v>584</v>
      </c>
      <c r="CA27" s="12" t="s">
        <v>586</v>
      </c>
      <c r="CB27" s="12" t="s">
        <v>676</v>
      </c>
      <c r="CC27" s="12" t="s">
        <v>676</v>
      </c>
      <c r="CD27" s="12" t="s">
        <v>676</v>
      </c>
      <c r="CE27" s="12" t="s">
        <v>676</v>
      </c>
      <c r="CF27" s="12" t="s">
        <v>917</v>
      </c>
      <c r="CG27" s="12" t="s">
        <v>917</v>
      </c>
      <c r="CH27" s="12" t="s">
        <v>917</v>
      </c>
      <c r="CI27" s="12" t="s">
        <v>917</v>
      </c>
      <c r="CJ27" s="12" t="s">
        <v>917</v>
      </c>
      <c r="CK27" s="12" t="s">
        <v>917</v>
      </c>
      <c r="CL27" s="12" t="s">
        <v>917</v>
      </c>
      <c r="CM27" s="12" t="s">
        <v>917</v>
      </c>
      <c r="CN27" s="12" t="s">
        <v>917</v>
      </c>
      <c r="CO27" s="12" t="s">
        <v>917</v>
      </c>
      <c r="CP27" s="12" t="s">
        <v>679</v>
      </c>
      <c r="CQ27" s="12" t="s">
        <v>679</v>
      </c>
      <c r="CR27" s="12" t="s">
        <v>679</v>
      </c>
      <c r="CS27" s="12" t="s">
        <v>679</v>
      </c>
      <c r="CT27" s="12" t="s">
        <v>679</v>
      </c>
    </row>
    <row r="28" spans="1:98" hidden="1" x14ac:dyDescent="0.3">
      <c r="A28" s="12" t="s">
        <v>25</v>
      </c>
      <c r="B28" s="12" t="s">
        <v>1253</v>
      </c>
      <c r="C28" s="12" t="s">
        <v>1254</v>
      </c>
      <c r="D28" s="12" t="s">
        <v>1255</v>
      </c>
      <c r="E28" s="12" t="s">
        <v>578</v>
      </c>
      <c r="F28" s="12" t="s">
        <v>578</v>
      </c>
      <c r="G28" s="12" t="s">
        <v>578</v>
      </c>
      <c r="H28" s="12" t="s">
        <v>578</v>
      </c>
      <c r="I28" s="12" t="s">
        <v>578</v>
      </c>
      <c r="J28" s="12" t="s">
        <v>578</v>
      </c>
      <c r="K28" s="12" t="s">
        <v>578</v>
      </c>
      <c r="L28" s="12" t="s">
        <v>578</v>
      </c>
      <c r="M28" s="12" t="s">
        <v>578</v>
      </c>
      <c r="N28" s="12" t="s">
        <v>578</v>
      </c>
      <c r="O28" s="12" t="s">
        <v>578</v>
      </c>
      <c r="P28" s="12" t="s">
        <v>578</v>
      </c>
      <c r="Q28" s="12" t="s">
        <v>578</v>
      </c>
      <c r="R28" s="12" t="s">
        <v>578</v>
      </c>
      <c r="S28" s="12" t="s">
        <v>578</v>
      </c>
      <c r="T28" s="12" t="s">
        <v>578</v>
      </c>
      <c r="U28" s="12" t="s">
        <v>578</v>
      </c>
      <c r="V28" s="12" t="s">
        <v>578</v>
      </c>
      <c r="W28" s="12" t="s">
        <v>578</v>
      </c>
      <c r="X28" s="12" t="s">
        <v>578</v>
      </c>
      <c r="Y28" s="12" t="s">
        <v>578</v>
      </c>
      <c r="Z28" s="12" t="s">
        <v>578</v>
      </c>
      <c r="AA28" s="12" t="s">
        <v>578</v>
      </c>
      <c r="AB28" s="12" t="s">
        <v>578</v>
      </c>
      <c r="AC28" s="12" t="s">
        <v>578</v>
      </c>
      <c r="AD28" s="12" t="s">
        <v>578</v>
      </c>
      <c r="AE28" s="12" t="s">
        <v>578</v>
      </c>
      <c r="AF28" s="12" t="s">
        <v>578</v>
      </c>
      <c r="AG28" s="12" t="s">
        <v>578</v>
      </c>
      <c r="AH28" s="12" t="s">
        <v>578</v>
      </c>
      <c r="AI28" s="12" t="s">
        <v>578</v>
      </c>
      <c r="AJ28" s="12" t="s">
        <v>578</v>
      </c>
      <c r="AK28" s="12" t="s">
        <v>578</v>
      </c>
      <c r="AL28" s="12" t="s">
        <v>578</v>
      </c>
      <c r="AM28" s="12" t="s">
        <v>578</v>
      </c>
      <c r="AN28" s="12" t="s">
        <v>578</v>
      </c>
      <c r="AO28" s="12" t="s">
        <v>578</v>
      </c>
      <c r="AP28" s="12" t="s">
        <v>578</v>
      </c>
      <c r="AQ28" s="12" t="s">
        <v>578</v>
      </c>
      <c r="AR28" s="12" t="s">
        <v>578</v>
      </c>
      <c r="AS28" s="12" t="s">
        <v>578</v>
      </c>
      <c r="AT28" s="12" t="s">
        <v>578</v>
      </c>
      <c r="AU28" s="12" t="s">
        <v>578</v>
      </c>
      <c r="AV28" s="12" t="s">
        <v>578</v>
      </c>
      <c r="AW28" s="12" t="s">
        <v>579</v>
      </c>
      <c r="AX28" s="12" t="s">
        <v>579</v>
      </c>
      <c r="AY28" s="12" t="s">
        <v>579</v>
      </c>
      <c r="AZ28" s="12" t="s">
        <v>579</v>
      </c>
      <c r="BA28" s="12" t="s">
        <v>579</v>
      </c>
      <c r="BB28" s="12" t="s">
        <v>579</v>
      </c>
      <c r="BC28" s="12" t="s">
        <v>579</v>
      </c>
      <c r="BD28" s="12" t="s">
        <v>579</v>
      </c>
      <c r="BE28" s="12" t="s">
        <v>579</v>
      </c>
      <c r="BF28" s="12" t="s">
        <v>579</v>
      </c>
      <c r="BG28" s="12" t="s">
        <v>579</v>
      </c>
      <c r="BH28" s="12" t="s">
        <v>579</v>
      </c>
      <c r="BI28" s="12" t="s">
        <v>579</v>
      </c>
      <c r="BJ28" s="12" t="s">
        <v>579</v>
      </c>
      <c r="BK28" s="12" t="s">
        <v>623</v>
      </c>
      <c r="BL28" s="12" t="s">
        <v>623</v>
      </c>
      <c r="BM28" s="12" t="s">
        <v>623</v>
      </c>
      <c r="BN28" s="12" t="s">
        <v>623</v>
      </c>
      <c r="BO28" s="12" t="s">
        <v>623</v>
      </c>
      <c r="BP28" s="12" t="s">
        <v>623</v>
      </c>
      <c r="BQ28" s="12" t="s">
        <v>623</v>
      </c>
      <c r="BR28" s="12" t="s">
        <v>672</v>
      </c>
      <c r="BS28" s="12" t="s">
        <v>672</v>
      </c>
      <c r="BT28" s="12" t="s">
        <v>580</v>
      </c>
      <c r="BU28" s="12" t="s">
        <v>580</v>
      </c>
      <c r="BV28" s="12" t="s">
        <v>580</v>
      </c>
      <c r="BW28" s="12" t="s">
        <v>580</v>
      </c>
      <c r="BX28" s="12" t="s">
        <v>581</v>
      </c>
      <c r="BY28" s="12" t="s">
        <v>581</v>
      </c>
      <c r="BZ28" s="12" t="s">
        <v>581</v>
      </c>
      <c r="CA28" s="12" t="s">
        <v>581</v>
      </c>
      <c r="CB28" s="12" t="s">
        <v>581</v>
      </c>
      <c r="CC28" s="12" t="s">
        <v>581</v>
      </c>
      <c r="CD28" s="12" t="s">
        <v>581</v>
      </c>
      <c r="CE28" s="12" t="s">
        <v>581</v>
      </c>
      <c r="CF28" s="12" t="s">
        <v>581</v>
      </c>
      <c r="CG28" s="12" t="s">
        <v>581</v>
      </c>
      <c r="CH28" s="12" t="s">
        <v>581</v>
      </c>
      <c r="CI28" s="12" t="s">
        <v>581</v>
      </c>
      <c r="CJ28" s="12" t="s">
        <v>581</v>
      </c>
      <c r="CK28" s="12" t="s">
        <v>581</v>
      </c>
      <c r="CL28" s="12" t="s">
        <v>581</v>
      </c>
      <c r="CM28" s="12" t="s">
        <v>581</v>
      </c>
      <c r="CN28" s="12" t="s">
        <v>581</v>
      </c>
      <c r="CO28" s="12" t="s">
        <v>581</v>
      </c>
      <c r="CP28" s="12" t="s">
        <v>581</v>
      </c>
      <c r="CQ28" s="12" t="s">
        <v>851</v>
      </c>
      <c r="CR28" s="12" t="s">
        <v>851</v>
      </c>
      <c r="CS28" s="12" t="s">
        <v>582</v>
      </c>
      <c r="CT28" s="12" t="s">
        <v>582</v>
      </c>
    </row>
    <row r="29" spans="1:98" hidden="1" x14ac:dyDescent="0.3">
      <c r="A29" s="12" t="s">
        <v>25</v>
      </c>
      <c r="B29" s="12" t="s">
        <v>1256</v>
      </c>
      <c r="C29" s="12" t="s">
        <v>1257</v>
      </c>
      <c r="D29" s="12" t="s">
        <v>1258</v>
      </c>
      <c r="E29" s="12" t="s">
        <v>578</v>
      </c>
      <c r="F29" s="12" t="s">
        <v>578</v>
      </c>
      <c r="G29" s="12" t="s">
        <v>578</v>
      </c>
      <c r="H29" s="12" t="s">
        <v>578</v>
      </c>
      <c r="I29" s="12" t="s">
        <v>578</v>
      </c>
      <c r="J29" s="12" t="s">
        <v>578</v>
      </c>
      <c r="K29" s="12" t="s">
        <v>578</v>
      </c>
      <c r="L29" s="12" t="s">
        <v>578</v>
      </c>
      <c r="M29" s="12" t="s">
        <v>578</v>
      </c>
      <c r="N29" s="12" t="s">
        <v>578</v>
      </c>
      <c r="O29" s="12" t="s">
        <v>578</v>
      </c>
      <c r="P29" s="12" t="s">
        <v>578</v>
      </c>
      <c r="Q29" s="12" t="s">
        <v>578</v>
      </c>
      <c r="R29" s="12" t="s">
        <v>578</v>
      </c>
      <c r="S29" s="12" t="s">
        <v>578</v>
      </c>
      <c r="T29" s="12" t="s">
        <v>578</v>
      </c>
      <c r="U29" s="12" t="s">
        <v>578</v>
      </c>
      <c r="V29" s="12" t="s">
        <v>578</v>
      </c>
      <c r="W29" s="12" t="s">
        <v>578</v>
      </c>
      <c r="X29" s="12" t="s">
        <v>578</v>
      </c>
      <c r="Y29" s="12" t="s">
        <v>578</v>
      </c>
      <c r="Z29" s="12" t="s">
        <v>578</v>
      </c>
      <c r="AA29" s="12" t="s">
        <v>578</v>
      </c>
      <c r="AB29" s="12" t="s">
        <v>578</v>
      </c>
      <c r="AC29" s="12" t="s">
        <v>578</v>
      </c>
      <c r="AD29" s="12" t="s">
        <v>578</v>
      </c>
      <c r="AE29" s="12" t="s">
        <v>578</v>
      </c>
      <c r="AF29" s="12" t="s">
        <v>578</v>
      </c>
      <c r="AG29" s="12" t="s">
        <v>578</v>
      </c>
      <c r="AH29" s="12" t="s">
        <v>578</v>
      </c>
      <c r="AI29" s="12" t="s">
        <v>578</v>
      </c>
      <c r="AJ29" s="12" t="s">
        <v>578</v>
      </c>
      <c r="AK29" s="12" t="s">
        <v>578</v>
      </c>
      <c r="AL29" s="12" t="s">
        <v>578</v>
      </c>
      <c r="AM29" s="12" t="s">
        <v>578</v>
      </c>
      <c r="AN29" s="12" t="s">
        <v>578</v>
      </c>
      <c r="AO29" s="12" t="s">
        <v>578</v>
      </c>
      <c r="AP29" s="12" t="s">
        <v>578</v>
      </c>
      <c r="AQ29" s="12" t="s">
        <v>578</v>
      </c>
      <c r="AR29" s="12" t="s">
        <v>578</v>
      </c>
      <c r="AS29" s="12" t="s">
        <v>578</v>
      </c>
      <c r="AT29" s="12" t="s">
        <v>578</v>
      </c>
      <c r="AU29" s="12" t="s">
        <v>578</v>
      </c>
      <c r="AV29" s="12" t="s">
        <v>578</v>
      </c>
      <c r="AW29" s="12" t="s">
        <v>578</v>
      </c>
      <c r="AX29" s="12" t="s">
        <v>578</v>
      </c>
      <c r="AY29" s="12" t="s">
        <v>578</v>
      </c>
      <c r="AZ29" s="12" t="s">
        <v>578</v>
      </c>
      <c r="BA29" s="12" t="s">
        <v>578</v>
      </c>
      <c r="BB29" s="12" t="s">
        <v>623</v>
      </c>
      <c r="BC29" s="12" t="s">
        <v>623</v>
      </c>
      <c r="BD29" s="12" t="s">
        <v>672</v>
      </c>
      <c r="BE29" s="12" t="s">
        <v>624</v>
      </c>
      <c r="BF29" s="12" t="s">
        <v>624</v>
      </c>
      <c r="BG29" s="12" t="s">
        <v>583</v>
      </c>
      <c r="BH29" s="12" t="s">
        <v>583</v>
      </c>
      <c r="BI29" s="12" t="s">
        <v>625</v>
      </c>
      <c r="BJ29" s="12" t="s">
        <v>625</v>
      </c>
      <c r="BK29" s="12" t="s">
        <v>762</v>
      </c>
      <c r="BL29" s="12" t="s">
        <v>674</v>
      </c>
      <c r="BM29" s="12" t="s">
        <v>587</v>
      </c>
      <c r="BN29" s="12" t="s">
        <v>913</v>
      </c>
      <c r="BO29" s="12" t="s">
        <v>953</v>
      </c>
      <c r="BP29" s="12" t="s">
        <v>852</v>
      </c>
      <c r="BQ29" s="12" t="s">
        <v>1259</v>
      </c>
      <c r="BR29" s="12" t="s">
        <v>919</v>
      </c>
      <c r="BS29" s="12" t="s">
        <v>589</v>
      </c>
      <c r="BT29" s="12" t="s">
        <v>1184</v>
      </c>
      <c r="BU29" s="12" t="s">
        <v>772</v>
      </c>
      <c r="BV29" s="12" t="s">
        <v>1260</v>
      </c>
      <c r="BW29" s="12" t="s">
        <v>811</v>
      </c>
      <c r="BX29" s="12" t="s">
        <v>638</v>
      </c>
      <c r="BY29" s="12" t="s">
        <v>1261</v>
      </c>
      <c r="BZ29" s="12" t="s">
        <v>683</v>
      </c>
      <c r="CA29" s="12" t="s">
        <v>1262</v>
      </c>
      <c r="CB29" s="12" t="s">
        <v>1263</v>
      </c>
      <c r="CC29" s="12" t="s">
        <v>814</v>
      </c>
      <c r="CD29" s="12" t="s">
        <v>875</v>
      </c>
      <c r="CE29" s="12" t="s">
        <v>686</v>
      </c>
      <c r="CF29" s="12" t="s">
        <v>1264</v>
      </c>
      <c r="CG29" s="12" t="s">
        <v>1265</v>
      </c>
      <c r="CH29" s="12" t="s">
        <v>1266</v>
      </c>
      <c r="CI29" s="12" t="s">
        <v>1164</v>
      </c>
      <c r="CJ29" s="12" t="s">
        <v>1267</v>
      </c>
      <c r="CK29" s="12" t="s">
        <v>924</v>
      </c>
      <c r="CL29" s="12" t="s">
        <v>1268</v>
      </c>
      <c r="CM29" s="12" t="s">
        <v>1269</v>
      </c>
      <c r="CN29" s="12" t="s">
        <v>926</v>
      </c>
      <c r="CO29" s="12" t="s">
        <v>996</v>
      </c>
      <c r="CP29" s="12" t="s">
        <v>739</v>
      </c>
      <c r="CQ29" s="12" t="s">
        <v>1270</v>
      </c>
      <c r="CR29" s="12" t="s">
        <v>665</v>
      </c>
      <c r="CS29" s="12" t="s">
        <v>1271</v>
      </c>
      <c r="CT29" s="12" t="s">
        <v>1272</v>
      </c>
    </row>
    <row r="30" spans="1:98" hidden="1" x14ac:dyDescent="0.3">
      <c r="A30" s="12" t="s">
        <v>25</v>
      </c>
      <c r="B30" s="12" t="s">
        <v>1273</v>
      </c>
      <c r="C30" s="12" t="s">
        <v>1274</v>
      </c>
      <c r="D30" s="12" t="s">
        <v>1275</v>
      </c>
      <c r="E30" s="12" t="s">
        <v>578</v>
      </c>
      <c r="F30" s="12" t="s">
        <v>578</v>
      </c>
      <c r="G30" s="12" t="s">
        <v>578</v>
      </c>
      <c r="H30" s="12" t="s">
        <v>578</v>
      </c>
      <c r="I30" s="12" t="s">
        <v>578</v>
      </c>
      <c r="J30" s="12" t="s">
        <v>578</v>
      </c>
      <c r="K30" s="12" t="s">
        <v>578</v>
      </c>
      <c r="L30" s="12" t="s">
        <v>578</v>
      </c>
      <c r="M30" s="12" t="s">
        <v>578</v>
      </c>
      <c r="N30" s="12" t="s">
        <v>578</v>
      </c>
      <c r="O30" s="12" t="s">
        <v>578</v>
      </c>
      <c r="P30" s="12" t="s">
        <v>578</v>
      </c>
      <c r="Q30" s="12" t="s">
        <v>578</v>
      </c>
      <c r="R30" s="12" t="s">
        <v>578</v>
      </c>
      <c r="S30" s="12" t="s">
        <v>578</v>
      </c>
      <c r="T30" s="12" t="s">
        <v>578</v>
      </c>
      <c r="U30" s="12" t="s">
        <v>578</v>
      </c>
      <c r="V30" s="12" t="s">
        <v>578</v>
      </c>
      <c r="W30" s="12" t="s">
        <v>578</v>
      </c>
      <c r="X30" s="12" t="s">
        <v>578</v>
      </c>
      <c r="Y30" s="12" t="s">
        <v>578</v>
      </c>
      <c r="Z30" s="12" t="s">
        <v>578</v>
      </c>
      <c r="AA30" s="12" t="s">
        <v>578</v>
      </c>
      <c r="AB30" s="12" t="s">
        <v>578</v>
      </c>
      <c r="AC30" s="12" t="s">
        <v>578</v>
      </c>
      <c r="AD30" s="12" t="s">
        <v>578</v>
      </c>
      <c r="AE30" s="12" t="s">
        <v>578</v>
      </c>
      <c r="AF30" s="12" t="s">
        <v>578</v>
      </c>
      <c r="AG30" s="12" t="s">
        <v>578</v>
      </c>
      <c r="AH30" s="12" t="s">
        <v>578</v>
      </c>
      <c r="AI30" s="12" t="s">
        <v>578</v>
      </c>
      <c r="AJ30" s="12" t="s">
        <v>578</v>
      </c>
      <c r="AK30" s="12" t="s">
        <v>578</v>
      </c>
      <c r="AL30" s="12" t="s">
        <v>578</v>
      </c>
      <c r="AM30" s="12" t="s">
        <v>578</v>
      </c>
      <c r="AN30" s="12" t="s">
        <v>578</v>
      </c>
      <c r="AO30" s="12" t="s">
        <v>578</v>
      </c>
      <c r="AP30" s="12" t="s">
        <v>578</v>
      </c>
      <c r="AQ30" s="12" t="s">
        <v>578</v>
      </c>
      <c r="AR30" s="12" t="s">
        <v>578</v>
      </c>
      <c r="AS30" s="12" t="s">
        <v>578</v>
      </c>
      <c r="AT30" s="12" t="s">
        <v>578</v>
      </c>
      <c r="AU30" s="12" t="s">
        <v>578</v>
      </c>
      <c r="AV30" s="12" t="s">
        <v>623</v>
      </c>
      <c r="AW30" s="12" t="s">
        <v>623</v>
      </c>
      <c r="AX30" s="12" t="s">
        <v>672</v>
      </c>
      <c r="AY30" s="12" t="s">
        <v>672</v>
      </c>
      <c r="AZ30" s="12" t="s">
        <v>672</v>
      </c>
      <c r="BA30" s="12" t="s">
        <v>581</v>
      </c>
      <c r="BB30" s="12" t="s">
        <v>582</v>
      </c>
      <c r="BC30" s="12" t="s">
        <v>583</v>
      </c>
      <c r="BD30" s="12" t="s">
        <v>868</v>
      </c>
      <c r="BE30" s="12" t="s">
        <v>808</v>
      </c>
      <c r="BF30" s="12" t="s">
        <v>587</v>
      </c>
      <c r="BG30" s="12" t="s">
        <v>757</v>
      </c>
      <c r="BH30" s="12" t="s">
        <v>676</v>
      </c>
      <c r="BI30" s="12" t="s">
        <v>628</v>
      </c>
      <c r="BJ30" s="12" t="s">
        <v>1180</v>
      </c>
      <c r="BK30" s="12" t="s">
        <v>636</v>
      </c>
      <c r="BL30" s="12" t="s">
        <v>858</v>
      </c>
      <c r="BM30" s="12" t="s">
        <v>1276</v>
      </c>
      <c r="BN30" s="12" t="s">
        <v>812</v>
      </c>
      <c r="BO30" s="12" t="s">
        <v>1277</v>
      </c>
      <c r="BP30" s="12" t="s">
        <v>1278</v>
      </c>
      <c r="BQ30" s="12" t="s">
        <v>1279</v>
      </c>
      <c r="BR30" s="12" t="s">
        <v>596</v>
      </c>
      <c r="BS30" s="12" t="s">
        <v>1280</v>
      </c>
      <c r="BT30" s="12" t="s">
        <v>1281</v>
      </c>
      <c r="BU30" s="12" t="s">
        <v>1282</v>
      </c>
      <c r="BV30" s="12" t="s">
        <v>963</v>
      </c>
      <c r="BW30" s="12" t="s">
        <v>1283</v>
      </c>
      <c r="BX30" s="12" t="s">
        <v>1284</v>
      </c>
      <c r="BY30" s="12" t="s">
        <v>1285</v>
      </c>
      <c r="BZ30" s="12" t="s">
        <v>1286</v>
      </c>
      <c r="CA30" s="12" t="s">
        <v>1287</v>
      </c>
      <c r="CB30" s="12" t="s">
        <v>1288</v>
      </c>
      <c r="CC30" s="12" t="s">
        <v>1289</v>
      </c>
      <c r="CD30" s="12" t="s">
        <v>1290</v>
      </c>
      <c r="CE30" s="12" t="s">
        <v>1291</v>
      </c>
      <c r="CF30" s="12" t="s">
        <v>1292</v>
      </c>
      <c r="CG30" s="12" t="s">
        <v>1293</v>
      </c>
      <c r="CH30" s="12" t="s">
        <v>1294</v>
      </c>
      <c r="CI30" s="12" t="s">
        <v>1295</v>
      </c>
      <c r="CJ30" s="12" t="s">
        <v>1296</v>
      </c>
      <c r="CK30" s="12" t="s">
        <v>1297</v>
      </c>
      <c r="CL30" s="12" t="s">
        <v>1298</v>
      </c>
      <c r="CM30" s="12" t="s">
        <v>1299</v>
      </c>
      <c r="CN30" s="12" t="s">
        <v>1012</v>
      </c>
      <c r="CO30" s="12" t="s">
        <v>1300</v>
      </c>
      <c r="CP30" s="12" t="s">
        <v>1301</v>
      </c>
      <c r="CQ30" s="12" t="s">
        <v>1302</v>
      </c>
      <c r="CR30" s="12" t="s">
        <v>1303</v>
      </c>
      <c r="CS30" s="12" t="s">
        <v>1304</v>
      </c>
      <c r="CT30" s="12" t="s">
        <v>1305</v>
      </c>
    </row>
    <row r="31" spans="1:98" hidden="1" x14ac:dyDescent="0.3">
      <c r="A31" s="12" t="s">
        <v>25</v>
      </c>
      <c r="B31" s="12" t="s">
        <v>1306</v>
      </c>
      <c r="C31" s="12" t="s">
        <v>1307</v>
      </c>
      <c r="D31" s="12" t="s">
        <v>1308</v>
      </c>
      <c r="E31" s="12" t="s">
        <v>578</v>
      </c>
      <c r="F31" s="12" t="s">
        <v>578</v>
      </c>
      <c r="G31" s="12" t="s">
        <v>578</v>
      </c>
      <c r="H31" s="12" t="s">
        <v>578</v>
      </c>
      <c r="I31" s="12" t="s">
        <v>578</v>
      </c>
      <c r="J31" s="12" t="s">
        <v>578</v>
      </c>
      <c r="K31" s="12" t="s">
        <v>578</v>
      </c>
      <c r="L31" s="12" t="s">
        <v>578</v>
      </c>
      <c r="M31" s="12" t="s">
        <v>578</v>
      </c>
      <c r="N31" s="12" t="s">
        <v>578</v>
      </c>
      <c r="O31" s="12" t="s">
        <v>578</v>
      </c>
      <c r="P31" s="12" t="s">
        <v>578</v>
      </c>
      <c r="Q31" s="12" t="s">
        <v>578</v>
      </c>
      <c r="R31" s="12" t="s">
        <v>578</v>
      </c>
      <c r="S31" s="12" t="s">
        <v>578</v>
      </c>
      <c r="T31" s="12" t="s">
        <v>578</v>
      </c>
      <c r="U31" s="12" t="s">
        <v>578</v>
      </c>
      <c r="V31" s="12" t="s">
        <v>578</v>
      </c>
      <c r="W31" s="12" t="s">
        <v>578</v>
      </c>
      <c r="X31" s="12" t="s">
        <v>578</v>
      </c>
      <c r="Y31" s="12" t="s">
        <v>578</v>
      </c>
      <c r="Z31" s="12" t="s">
        <v>578</v>
      </c>
      <c r="AA31" s="12" t="s">
        <v>578</v>
      </c>
      <c r="AB31" s="12" t="s">
        <v>578</v>
      </c>
      <c r="AC31" s="12" t="s">
        <v>578</v>
      </c>
      <c r="AD31" s="12" t="s">
        <v>578</v>
      </c>
      <c r="AE31" s="12" t="s">
        <v>578</v>
      </c>
      <c r="AF31" s="12" t="s">
        <v>578</v>
      </c>
      <c r="AG31" s="12" t="s">
        <v>578</v>
      </c>
      <c r="AH31" s="12" t="s">
        <v>578</v>
      </c>
      <c r="AI31" s="12" t="s">
        <v>578</v>
      </c>
      <c r="AJ31" s="12" t="s">
        <v>578</v>
      </c>
      <c r="AK31" s="12" t="s">
        <v>578</v>
      </c>
      <c r="AL31" s="12" t="s">
        <v>578</v>
      </c>
      <c r="AM31" s="12" t="s">
        <v>578</v>
      </c>
      <c r="AN31" s="12" t="s">
        <v>579</v>
      </c>
      <c r="AO31" s="12" t="s">
        <v>579</v>
      </c>
      <c r="AP31" s="12" t="s">
        <v>579</v>
      </c>
      <c r="AQ31" s="12" t="s">
        <v>623</v>
      </c>
      <c r="AR31" s="12" t="s">
        <v>623</v>
      </c>
      <c r="AS31" s="12" t="s">
        <v>623</v>
      </c>
      <c r="AT31" s="12" t="s">
        <v>623</v>
      </c>
      <c r="AU31" s="12" t="s">
        <v>580</v>
      </c>
      <c r="AV31" s="12" t="s">
        <v>580</v>
      </c>
      <c r="AW31" s="12" t="s">
        <v>868</v>
      </c>
      <c r="AX31" s="12" t="s">
        <v>868</v>
      </c>
      <c r="AY31" s="12" t="s">
        <v>675</v>
      </c>
      <c r="AZ31" s="12" t="s">
        <v>757</v>
      </c>
      <c r="BA31" s="12" t="s">
        <v>766</v>
      </c>
      <c r="BB31" s="12" t="s">
        <v>628</v>
      </c>
      <c r="BC31" s="12" t="s">
        <v>809</v>
      </c>
      <c r="BD31" s="12" t="s">
        <v>1309</v>
      </c>
      <c r="BE31" s="12" t="s">
        <v>1309</v>
      </c>
      <c r="BF31" s="12" t="s">
        <v>1310</v>
      </c>
      <c r="BG31" s="12" t="s">
        <v>985</v>
      </c>
      <c r="BH31" s="12" t="s">
        <v>1311</v>
      </c>
      <c r="BI31" s="12" t="s">
        <v>1312</v>
      </c>
      <c r="BJ31" s="12" t="s">
        <v>1165</v>
      </c>
      <c r="BK31" s="12" t="s">
        <v>1313</v>
      </c>
      <c r="BL31" s="12" t="s">
        <v>1314</v>
      </c>
      <c r="BM31" s="12" t="s">
        <v>1315</v>
      </c>
      <c r="BN31" s="12" t="s">
        <v>1316</v>
      </c>
      <c r="BO31" s="12" t="s">
        <v>1317</v>
      </c>
      <c r="BP31" s="12" t="s">
        <v>1318</v>
      </c>
      <c r="BQ31" s="12" t="s">
        <v>1319</v>
      </c>
      <c r="BR31" s="12" t="s">
        <v>1320</v>
      </c>
      <c r="BS31" s="12" t="s">
        <v>1321</v>
      </c>
      <c r="BT31" s="12" t="s">
        <v>1322</v>
      </c>
      <c r="BU31" s="12" t="s">
        <v>1323</v>
      </c>
      <c r="BV31" s="12" t="s">
        <v>1324</v>
      </c>
      <c r="BW31" s="12" t="s">
        <v>1325</v>
      </c>
      <c r="BX31" s="12" t="s">
        <v>1326</v>
      </c>
      <c r="BY31" s="12" t="s">
        <v>1327</v>
      </c>
      <c r="BZ31" s="12" t="s">
        <v>1328</v>
      </c>
      <c r="CA31" s="12" t="s">
        <v>1329</v>
      </c>
      <c r="CB31" s="12" t="s">
        <v>1330</v>
      </c>
      <c r="CC31" s="12" t="s">
        <v>1331</v>
      </c>
      <c r="CD31" s="12" t="s">
        <v>1332</v>
      </c>
      <c r="CE31" s="12" t="s">
        <v>1333</v>
      </c>
      <c r="CF31" s="12" t="s">
        <v>1334</v>
      </c>
      <c r="CG31" s="12" t="s">
        <v>1335</v>
      </c>
      <c r="CH31" s="12" t="s">
        <v>1336</v>
      </c>
      <c r="CI31" s="12" t="s">
        <v>1337</v>
      </c>
      <c r="CJ31" s="12" t="s">
        <v>1338</v>
      </c>
      <c r="CK31" s="12" t="s">
        <v>1339</v>
      </c>
      <c r="CL31" s="12" t="s">
        <v>1340</v>
      </c>
      <c r="CM31" s="12" t="s">
        <v>1341</v>
      </c>
      <c r="CN31" s="12" t="s">
        <v>1342</v>
      </c>
      <c r="CO31" s="12" t="s">
        <v>1343</v>
      </c>
      <c r="CP31" s="12" t="s">
        <v>1344</v>
      </c>
      <c r="CQ31" s="12" t="s">
        <v>1345</v>
      </c>
      <c r="CR31" s="12" t="s">
        <v>1346</v>
      </c>
      <c r="CS31" s="12" t="s">
        <v>1347</v>
      </c>
      <c r="CT31" s="12" t="s">
        <v>1348</v>
      </c>
    </row>
    <row r="32" spans="1:98" hidden="1" x14ac:dyDescent="0.3">
      <c r="A32" s="12" t="s">
        <v>25</v>
      </c>
      <c r="B32" s="12" t="s">
        <v>1349</v>
      </c>
      <c r="C32" s="12" t="s">
        <v>1350</v>
      </c>
      <c r="D32" s="12" t="s">
        <v>1351</v>
      </c>
      <c r="E32" s="12" t="s">
        <v>578</v>
      </c>
      <c r="F32" s="12" t="s">
        <v>578</v>
      </c>
      <c r="G32" s="12" t="s">
        <v>578</v>
      </c>
      <c r="H32" s="12" t="s">
        <v>578</v>
      </c>
      <c r="I32" s="12" t="s">
        <v>578</v>
      </c>
      <c r="J32" s="12" t="s">
        <v>578</v>
      </c>
      <c r="K32" s="12" t="s">
        <v>578</v>
      </c>
      <c r="L32" s="12" t="s">
        <v>578</v>
      </c>
      <c r="M32" s="12" t="s">
        <v>578</v>
      </c>
      <c r="N32" s="12" t="s">
        <v>578</v>
      </c>
      <c r="O32" s="12" t="s">
        <v>578</v>
      </c>
      <c r="P32" s="12" t="s">
        <v>578</v>
      </c>
      <c r="Q32" s="12" t="s">
        <v>578</v>
      </c>
      <c r="R32" s="12" t="s">
        <v>578</v>
      </c>
      <c r="S32" s="12" t="s">
        <v>578</v>
      </c>
      <c r="T32" s="12" t="s">
        <v>578</v>
      </c>
      <c r="U32" s="12" t="s">
        <v>578</v>
      </c>
      <c r="V32" s="12" t="s">
        <v>578</v>
      </c>
      <c r="W32" s="12" t="s">
        <v>578</v>
      </c>
      <c r="X32" s="12" t="s">
        <v>578</v>
      </c>
      <c r="Y32" s="12" t="s">
        <v>578</v>
      </c>
      <c r="Z32" s="12" t="s">
        <v>578</v>
      </c>
      <c r="AA32" s="12" t="s">
        <v>578</v>
      </c>
      <c r="AB32" s="12" t="s">
        <v>578</v>
      </c>
      <c r="AC32" s="12" t="s">
        <v>578</v>
      </c>
      <c r="AD32" s="12" t="s">
        <v>578</v>
      </c>
      <c r="AE32" s="12" t="s">
        <v>578</v>
      </c>
      <c r="AF32" s="12" t="s">
        <v>578</v>
      </c>
      <c r="AG32" s="12" t="s">
        <v>578</v>
      </c>
      <c r="AH32" s="12" t="s">
        <v>578</v>
      </c>
      <c r="AI32" s="12" t="s">
        <v>578</v>
      </c>
      <c r="AJ32" s="12" t="s">
        <v>578</v>
      </c>
      <c r="AK32" s="12" t="s">
        <v>578</v>
      </c>
      <c r="AL32" s="12" t="s">
        <v>578</v>
      </c>
      <c r="AM32" s="12" t="s">
        <v>578</v>
      </c>
      <c r="AN32" s="12" t="s">
        <v>578</v>
      </c>
      <c r="AO32" s="12" t="s">
        <v>578</v>
      </c>
      <c r="AP32" s="12" t="s">
        <v>578</v>
      </c>
      <c r="AQ32" s="12" t="s">
        <v>578</v>
      </c>
      <c r="AR32" s="12" t="s">
        <v>578</v>
      </c>
      <c r="AS32" s="12" t="s">
        <v>578</v>
      </c>
      <c r="AT32" s="12" t="s">
        <v>578</v>
      </c>
      <c r="AU32" s="12" t="s">
        <v>578</v>
      </c>
      <c r="AV32" s="12" t="s">
        <v>578</v>
      </c>
      <c r="AW32" s="12" t="s">
        <v>578</v>
      </c>
      <c r="AX32" s="12" t="s">
        <v>578</v>
      </c>
      <c r="AY32" s="12" t="s">
        <v>578</v>
      </c>
      <c r="AZ32" s="12" t="s">
        <v>579</v>
      </c>
      <c r="BA32" s="12" t="s">
        <v>579</v>
      </c>
      <c r="BB32" s="12" t="s">
        <v>583</v>
      </c>
      <c r="BC32" s="12" t="s">
        <v>583</v>
      </c>
      <c r="BD32" s="12" t="s">
        <v>677</v>
      </c>
      <c r="BE32" s="12" t="s">
        <v>588</v>
      </c>
      <c r="BF32" s="12" t="s">
        <v>954</v>
      </c>
      <c r="BG32" s="12" t="s">
        <v>679</v>
      </c>
      <c r="BH32" s="12" t="s">
        <v>769</v>
      </c>
      <c r="BI32" s="12" t="s">
        <v>770</v>
      </c>
      <c r="BJ32" s="12" t="s">
        <v>720</v>
      </c>
      <c r="BK32" s="12" t="s">
        <v>810</v>
      </c>
      <c r="BL32" s="12" t="s">
        <v>1352</v>
      </c>
      <c r="BM32" s="12" t="s">
        <v>721</v>
      </c>
      <c r="BN32" s="12" t="s">
        <v>857</v>
      </c>
      <c r="BO32" s="12" t="s">
        <v>637</v>
      </c>
      <c r="BP32" s="12" t="s">
        <v>1208</v>
      </c>
      <c r="BQ32" s="12" t="s">
        <v>1353</v>
      </c>
      <c r="BR32" s="12" t="s">
        <v>811</v>
      </c>
      <c r="BS32" s="12" t="s">
        <v>593</v>
      </c>
      <c r="BT32" s="12" t="s">
        <v>1276</v>
      </c>
      <c r="BU32" s="12" t="s">
        <v>1354</v>
      </c>
      <c r="BV32" s="12" t="s">
        <v>1355</v>
      </c>
      <c r="BW32" s="12" t="s">
        <v>1047</v>
      </c>
      <c r="BX32" s="12" t="s">
        <v>723</v>
      </c>
      <c r="BY32" s="12" t="s">
        <v>873</v>
      </c>
      <c r="BZ32" s="12" t="s">
        <v>1356</v>
      </c>
      <c r="CA32" s="12" t="s">
        <v>1356</v>
      </c>
      <c r="CB32" s="12" t="s">
        <v>1356</v>
      </c>
      <c r="CC32" s="12" t="s">
        <v>1356</v>
      </c>
      <c r="CD32" s="12" t="s">
        <v>1356</v>
      </c>
      <c r="CE32" s="12" t="s">
        <v>1356</v>
      </c>
      <c r="CF32" s="12" t="s">
        <v>812</v>
      </c>
      <c r="CG32" s="12" t="s">
        <v>812</v>
      </c>
      <c r="CH32" s="12" t="s">
        <v>812</v>
      </c>
      <c r="CI32" s="12" t="s">
        <v>812</v>
      </c>
      <c r="CJ32" s="12" t="s">
        <v>812</v>
      </c>
      <c r="CK32" s="12" t="s">
        <v>812</v>
      </c>
      <c r="CL32" s="12" t="s">
        <v>812</v>
      </c>
      <c r="CM32" s="12" t="s">
        <v>812</v>
      </c>
      <c r="CN32" s="12" t="s">
        <v>1357</v>
      </c>
      <c r="CO32" s="12" t="s">
        <v>1358</v>
      </c>
      <c r="CP32" s="12" t="s">
        <v>1358</v>
      </c>
      <c r="CQ32" s="12" t="s">
        <v>1358</v>
      </c>
      <c r="CR32" s="12" t="s">
        <v>1358</v>
      </c>
      <c r="CS32" s="12" t="s">
        <v>1358</v>
      </c>
      <c r="CT32" s="12" t="s">
        <v>1358</v>
      </c>
    </row>
    <row r="33" spans="1:98" hidden="1" x14ac:dyDescent="0.3">
      <c r="A33" s="12" t="s">
        <v>25</v>
      </c>
      <c r="B33" s="12" t="s">
        <v>1359</v>
      </c>
      <c r="C33" s="12" t="s">
        <v>1360</v>
      </c>
      <c r="D33" s="12" t="s">
        <v>1361</v>
      </c>
      <c r="E33" s="12" t="s">
        <v>578</v>
      </c>
      <c r="F33" s="12" t="s">
        <v>578</v>
      </c>
      <c r="G33" s="12" t="s">
        <v>578</v>
      </c>
      <c r="H33" s="12" t="s">
        <v>578</v>
      </c>
      <c r="I33" s="12" t="s">
        <v>578</v>
      </c>
      <c r="J33" s="12" t="s">
        <v>578</v>
      </c>
      <c r="K33" s="12" t="s">
        <v>578</v>
      </c>
      <c r="L33" s="12" t="s">
        <v>578</v>
      </c>
      <c r="M33" s="12" t="s">
        <v>578</v>
      </c>
      <c r="N33" s="12" t="s">
        <v>578</v>
      </c>
      <c r="O33" s="12" t="s">
        <v>578</v>
      </c>
      <c r="P33" s="12" t="s">
        <v>578</v>
      </c>
      <c r="Q33" s="12" t="s">
        <v>578</v>
      </c>
      <c r="R33" s="12" t="s">
        <v>578</v>
      </c>
      <c r="S33" s="12" t="s">
        <v>578</v>
      </c>
      <c r="T33" s="12" t="s">
        <v>578</v>
      </c>
      <c r="U33" s="12" t="s">
        <v>578</v>
      </c>
      <c r="V33" s="12" t="s">
        <v>578</v>
      </c>
      <c r="W33" s="12" t="s">
        <v>578</v>
      </c>
      <c r="X33" s="12" t="s">
        <v>578</v>
      </c>
      <c r="Y33" s="12" t="s">
        <v>578</v>
      </c>
      <c r="Z33" s="12" t="s">
        <v>578</v>
      </c>
      <c r="AA33" s="12" t="s">
        <v>578</v>
      </c>
      <c r="AB33" s="12" t="s">
        <v>578</v>
      </c>
      <c r="AC33" s="12" t="s">
        <v>578</v>
      </c>
      <c r="AD33" s="12" t="s">
        <v>578</v>
      </c>
      <c r="AE33" s="12" t="s">
        <v>578</v>
      </c>
      <c r="AF33" s="12" t="s">
        <v>578</v>
      </c>
      <c r="AG33" s="12" t="s">
        <v>578</v>
      </c>
      <c r="AH33" s="12" t="s">
        <v>578</v>
      </c>
      <c r="AI33" s="12" t="s">
        <v>578</v>
      </c>
      <c r="AJ33" s="12" t="s">
        <v>578</v>
      </c>
      <c r="AK33" s="12" t="s">
        <v>578</v>
      </c>
      <c r="AL33" s="12" t="s">
        <v>578</v>
      </c>
      <c r="AM33" s="12" t="s">
        <v>578</v>
      </c>
      <c r="AN33" s="12" t="s">
        <v>578</v>
      </c>
      <c r="AO33" s="12" t="s">
        <v>578</v>
      </c>
      <c r="AP33" s="12" t="s">
        <v>578</v>
      </c>
      <c r="AQ33" s="12" t="s">
        <v>578</v>
      </c>
      <c r="AR33" s="12" t="s">
        <v>578</v>
      </c>
      <c r="AS33" s="12" t="s">
        <v>578</v>
      </c>
      <c r="AT33" s="12" t="s">
        <v>578</v>
      </c>
      <c r="AU33" s="12" t="s">
        <v>578</v>
      </c>
      <c r="AV33" s="12" t="s">
        <v>578</v>
      </c>
      <c r="AW33" s="12" t="s">
        <v>578</v>
      </c>
      <c r="AX33" s="12" t="s">
        <v>578</v>
      </c>
      <c r="AY33" s="12" t="s">
        <v>580</v>
      </c>
      <c r="AZ33" s="12" t="s">
        <v>580</v>
      </c>
      <c r="BA33" s="12" t="s">
        <v>580</v>
      </c>
      <c r="BB33" s="12" t="s">
        <v>582</v>
      </c>
      <c r="BC33" s="12" t="s">
        <v>582</v>
      </c>
      <c r="BD33" s="12" t="s">
        <v>626</v>
      </c>
      <c r="BE33" s="12" t="s">
        <v>1046</v>
      </c>
      <c r="BF33" s="12" t="s">
        <v>630</v>
      </c>
      <c r="BG33" s="12" t="s">
        <v>809</v>
      </c>
      <c r="BH33" s="12" t="s">
        <v>955</v>
      </c>
      <c r="BI33" s="12" t="s">
        <v>871</v>
      </c>
      <c r="BJ33" s="12" t="s">
        <v>591</v>
      </c>
      <c r="BK33" s="12" t="s">
        <v>1354</v>
      </c>
      <c r="BL33" s="12" t="s">
        <v>1186</v>
      </c>
      <c r="BM33" s="12" t="s">
        <v>1362</v>
      </c>
      <c r="BN33" s="12" t="s">
        <v>684</v>
      </c>
      <c r="BO33" s="12" t="s">
        <v>1163</v>
      </c>
      <c r="BP33" s="12" t="s">
        <v>1363</v>
      </c>
      <c r="BQ33" s="12" t="s">
        <v>686</v>
      </c>
      <c r="BR33" s="12" t="s">
        <v>1364</v>
      </c>
      <c r="BS33" s="12" t="s">
        <v>1365</v>
      </c>
      <c r="BT33" s="12" t="s">
        <v>1366</v>
      </c>
      <c r="BU33" s="12" t="s">
        <v>1099</v>
      </c>
      <c r="BV33" s="12" t="s">
        <v>1367</v>
      </c>
      <c r="BW33" s="12" t="s">
        <v>1368</v>
      </c>
      <c r="BX33" s="12" t="s">
        <v>1369</v>
      </c>
      <c r="BY33" s="12" t="s">
        <v>1370</v>
      </c>
      <c r="BZ33" s="12" t="s">
        <v>1371</v>
      </c>
      <c r="CA33" s="12" t="s">
        <v>1372</v>
      </c>
      <c r="CB33" s="12" t="s">
        <v>1373</v>
      </c>
      <c r="CC33" s="12" t="s">
        <v>1374</v>
      </c>
      <c r="CD33" s="12" t="s">
        <v>1375</v>
      </c>
      <c r="CE33" s="12" t="s">
        <v>1376</v>
      </c>
      <c r="CF33" s="12" t="s">
        <v>1377</v>
      </c>
      <c r="CG33" s="12" t="s">
        <v>1378</v>
      </c>
      <c r="CH33" s="12" t="s">
        <v>1379</v>
      </c>
      <c r="CI33" s="12" t="s">
        <v>998</v>
      </c>
      <c r="CJ33" s="12" t="s">
        <v>748</v>
      </c>
      <c r="CK33" s="12" t="s">
        <v>1380</v>
      </c>
      <c r="CL33" s="12" t="s">
        <v>1381</v>
      </c>
      <c r="CM33" s="12" t="s">
        <v>1382</v>
      </c>
      <c r="CN33" s="12" t="s">
        <v>1383</v>
      </c>
      <c r="CO33" s="12" t="s">
        <v>1384</v>
      </c>
      <c r="CP33" s="12" t="s">
        <v>1385</v>
      </c>
      <c r="CQ33" s="12" t="s">
        <v>1386</v>
      </c>
      <c r="CR33" s="12" t="s">
        <v>949</v>
      </c>
      <c r="CS33" s="12" t="s">
        <v>1387</v>
      </c>
      <c r="CT33" s="12" t="s">
        <v>1388</v>
      </c>
    </row>
    <row r="34" spans="1:98" hidden="1" x14ac:dyDescent="0.3">
      <c r="A34" s="12" t="s">
        <v>25</v>
      </c>
      <c r="B34" s="12" t="s">
        <v>1389</v>
      </c>
      <c r="C34" s="12" t="s">
        <v>1390</v>
      </c>
      <c r="D34" s="12" t="s">
        <v>1391</v>
      </c>
      <c r="E34" s="12" t="s">
        <v>578</v>
      </c>
      <c r="F34" s="12" t="s">
        <v>578</v>
      </c>
      <c r="G34" s="12" t="s">
        <v>578</v>
      </c>
      <c r="H34" s="12" t="s">
        <v>578</v>
      </c>
      <c r="I34" s="12" t="s">
        <v>578</v>
      </c>
      <c r="J34" s="12" t="s">
        <v>578</v>
      </c>
      <c r="K34" s="12" t="s">
        <v>578</v>
      </c>
      <c r="L34" s="12" t="s">
        <v>578</v>
      </c>
      <c r="M34" s="12" t="s">
        <v>578</v>
      </c>
      <c r="N34" s="12" t="s">
        <v>578</v>
      </c>
      <c r="O34" s="12" t="s">
        <v>578</v>
      </c>
      <c r="P34" s="12" t="s">
        <v>578</v>
      </c>
      <c r="Q34" s="12" t="s">
        <v>578</v>
      </c>
      <c r="R34" s="12" t="s">
        <v>578</v>
      </c>
      <c r="S34" s="12" t="s">
        <v>578</v>
      </c>
      <c r="T34" s="12" t="s">
        <v>578</v>
      </c>
      <c r="U34" s="12" t="s">
        <v>578</v>
      </c>
      <c r="V34" s="12" t="s">
        <v>578</v>
      </c>
      <c r="W34" s="12" t="s">
        <v>578</v>
      </c>
      <c r="X34" s="12" t="s">
        <v>578</v>
      </c>
      <c r="Y34" s="12" t="s">
        <v>578</v>
      </c>
      <c r="Z34" s="12" t="s">
        <v>578</v>
      </c>
      <c r="AA34" s="12" t="s">
        <v>578</v>
      </c>
      <c r="AB34" s="12" t="s">
        <v>578</v>
      </c>
      <c r="AC34" s="12" t="s">
        <v>578</v>
      </c>
      <c r="AD34" s="12" t="s">
        <v>578</v>
      </c>
      <c r="AE34" s="12" t="s">
        <v>578</v>
      </c>
      <c r="AF34" s="12" t="s">
        <v>578</v>
      </c>
      <c r="AG34" s="12" t="s">
        <v>578</v>
      </c>
      <c r="AH34" s="12" t="s">
        <v>578</v>
      </c>
      <c r="AI34" s="12" t="s">
        <v>578</v>
      </c>
      <c r="AJ34" s="12" t="s">
        <v>578</v>
      </c>
      <c r="AK34" s="12" t="s">
        <v>578</v>
      </c>
      <c r="AL34" s="12" t="s">
        <v>578</v>
      </c>
      <c r="AM34" s="12" t="s">
        <v>578</v>
      </c>
      <c r="AN34" s="12" t="s">
        <v>578</v>
      </c>
      <c r="AO34" s="12" t="s">
        <v>578</v>
      </c>
      <c r="AP34" s="12" t="s">
        <v>578</v>
      </c>
      <c r="AQ34" s="12" t="s">
        <v>578</v>
      </c>
      <c r="AR34" s="12" t="s">
        <v>578</v>
      </c>
      <c r="AS34" s="12" t="s">
        <v>578</v>
      </c>
      <c r="AT34" s="12" t="s">
        <v>578</v>
      </c>
      <c r="AU34" s="12" t="s">
        <v>578</v>
      </c>
      <c r="AV34" s="12" t="s">
        <v>578</v>
      </c>
      <c r="AW34" s="12" t="s">
        <v>578</v>
      </c>
      <c r="AX34" s="12" t="s">
        <v>578</v>
      </c>
      <c r="AY34" s="12" t="s">
        <v>578</v>
      </c>
      <c r="AZ34" s="12" t="s">
        <v>578</v>
      </c>
      <c r="BA34" s="12" t="s">
        <v>579</v>
      </c>
      <c r="BB34" s="12" t="s">
        <v>623</v>
      </c>
      <c r="BC34" s="12" t="s">
        <v>623</v>
      </c>
      <c r="BD34" s="12" t="s">
        <v>623</v>
      </c>
      <c r="BE34" s="12" t="s">
        <v>623</v>
      </c>
      <c r="BF34" s="12" t="s">
        <v>672</v>
      </c>
      <c r="BG34" s="12" t="s">
        <v>762</v>
      </c>
      <c r="BH34" s="12" t="s">
        <v>762</v>
      </c>
      <c r="BI34" s="12" t="s">
        <v>675</v>
      </c>
      <c r="BJ34" s="12" t="s">
        <v>627</v>
      </c>
      <c r="BK34" s="12" t="s">
        <v>588</v>
      </c>
      <c r="BL34" s="12" t="s">
        <v>633</v>
      </c>
      <c r="BM34" s="12" t="s">
        <v>720</v>
      </c>
      <c r="BN34" s="12" t="s">
        <v>860</v>
      </c>
      <c r="BO34" s="12" t="s">
        <v>1353</v>
      </c>
      <c r="BP34" s="12" t="s">
        <v>639</v>
      </c>
      <c r="BQ34" s="12" t="s">
        <v>1185</v>
      </c>
      <c r="BR34" s="12" t="s">
        <v>983</v>
      </c>
      <c r="BS34" s="12" t="s">
        <v>987</v>
      </c>
      <c r="BT34" s="12" t="s">
        <v>1392</v>
      </c>
      <c r="BU34" s="12" t="s">
        <v>1049</v>
      </c>
      <c r="BV34" s="12" t="s">
        <v>1393</v>
      </c>
      <c r="BW34" s="12" t="s">
        <v>1394</v>
      </c>
      <c r="BX34" s="12" t="s">
        <v>1395</v>
      </c>
      <c r="BY34" s="12" t="s">
        <v>687</v>
      </c>
      <c r="BZ34" s="12" t="s">
        <v>1396</v>
      </c>
      <c r="CA34" s="12" t="s">
        <v>1397</v>
      </c>
      <c r="CB34" s="12" t="s">
        <v>1030</v>
      </c>
      <c r="CC34" s="12" t="s">
        <v>1398</v>
      </c>
      <c r="CD34" s="12" t="s">
        <v>1399</v>
      </c>
      <c r="CE34" s="12" t="s">
        <v>925</v>
      </c>
      <c r="CF34" s="12" t="s">
        <v>925</v>
      </c>
      <c r="CG34" s="12" t="s">
        <v>604</v>
      </c>
      <c r="CH34" s="12" t="s">
        <v>1400</v>
      </c>
      <c r="CI34" s="12" t="s">
        <v>1400</v>
      </c>
      <c r="CJ34" s="12" t="s">
        <v>1401</v>
      </c>
      <c r="CK34" s="12" t="s">
        <v>1402</v>
      </c>
      <c r="CL34" s="12" t="s">
        <v>1042</v>
      </c>
      <c r="CM34" s="12" t="s">
        <v>1403</v>
      </c>
      <c r="CN34" s="12" t="s">
        <v>1404</v>
      </c>
      <c r="CO34" s="12" t="s">
        <v>1405</v>
      </c>
      <c r="CP34" s="12" t="s">
        <v>1406</v>
      </c>
      <c r="CQ34" s="12" t="s">
        <v>1407</v>
      </c>
      <c r="CR34" s="12" t="s">
        <v>665</v>
      </c>
      <c r="CS34" s="12" t="s">
        <v>1408</v>
      </c>
      <c r="CT34" s="12" t="s">
        <v>1409</v>
      </c>
    </row>
    <row r="35" spans="1:98" hidden="1" x14ac:dyDescent="0.3">
      <c r="A35" s="12" t="s">
        <v>25</v>
      </c>
      <c r="B35" s="12" t="s">
        <v>1410</v>
      </c>
      <c r="C35" s="12" t="s">
        <v>1411</v>
      </c>
      <c r="D35" s="12" t="s">
        <v>1412</v>
      </c>
      <c r="E35" s="12" t="s">
        <v>578</v>
      </c>
      <c r="F35" s="12" t="s">
        <v>578</v>
      </c>
      <c r="G35" s="12" t="s">
        <v>578</v>
      </c>
      <c r="H35" s="12" t="s">
        <v>578</v>
      </c>
      <c r="I35" s="12" t="s">
        <v>578</v>
      </c>
      <c r="J35" s="12" t="s">
        <v>578</v>
      </c>
      <c r="K35" s="12" t="s">
        <v>578</v>
      </c>
      <c r="L35" s="12" t="s">
        <v>578</v>
      </c>
      <c r="M35" s="12" t="s">
        <v>578</v>
      </c>
      <c r="N35" s="12" t="s">
        <v>578</v>
      </c>
      <c r="O35" s="12" t="s">
        <v>578</v>
      </c>
      <c r="P35" s="12" t="s">
        <v>578</v>
      </c>
      <c r="Q35" s="12" t="s">
        <v>578</v>
      </c>
      <c r="R35" s="12" t="s">
        <v>578</v>
      </c>
      <c r="S35" s="12" t="s">
        <v>578</v>
      </c>
      <c r="T35" s="12" t="s">
        <v>578</v>
      </c>
      <c r="U35" s="12" t="s">
        <v>578</v>
      </c>
      <c r="V35" s="12" t="s">
        <v>578</v>
      </c>
      <c r="W35" s="12" t="s">
        <v>578</v>
      </c>
      <c r="X35" s="12" t="s">
        <v>578</v>
      </c>
      <c r="Y35" s="12" t="s">
        <v>578</v>
      </c>
      <c r="Z35" s="12" t="s">
        <v>578</v>
      </c>
      <c r="AA35" s="12" t="s">
        <v>578</v>
      </c>
      <c r="AB35" s="12" t="s">
        <v>578</v>
      </c>
      <c r="AC35" s="12" t="s">
        <v>578</v>
      </c>
      <c r="AD35" s="12" t="s">
        <v>578</v>
      </c>
      <c r="AE35" s="12" t="s">
        <v>578</v>
      </c>
      <c r="AF35" s="12" t="s">
        <v>578</v>
      </c>
      <c r="AG35" s="12" t="s">
        <v>578</v>
      </c>
      <c r="AH35" s="12" t="s">
        <v>578</v>
      </c>
      <c r="AI35" s="12" t="s">
        <v>578</v>
      </c>
      <c r="AJ35" s="12" t="s">
        <v>578</v>
      </c>
      <c r="AK35" s="12" t="s">
        <v>578</v>
      </c>
      <c r="AL35" s="12" t="s">
        <v>578</v>
      </c>
      <c r="AM35" s="12" t="s">
        <v>578</v>
      </c>
      <c r="AN35" s="12" t="s">
        <v>578</v>
      </c>
      <c r="AO35" s="12" t="s">
        <v>578</v>
      </c>
      <c r="AP35" s="12" t="s">
        <v>578</v>
      </c>
      <c r="AQ35" s="12" t="s">
        <v>578</v>
      </c>
      <c r="AR35" s="12" t="s">
        <v>578</v>
      </c>
      <c r="AS35" s="12" t="s">
        <v>578</v>
      </c>
      <c r="AT35" s="12" t="s">
        <v>578</v>
      </c>
      <c r="AU35" s="12" t="s">
        <v>578</v>
      </c>
      <c r="AV35" s="12" t="s">
        <v>578</v>
      </c>
      <c r="AW35" s="12" t="s">
        <v>578</v>
      </c>
      <c r="AX35" s="12" t="s">
        <v>578</v>
      </c>
      <c r="AY35" s="12" t="s">
        <v>578</v>
      </c>
      <c r="AZ35" s="12" t="s">
        <v>578</v>
      </c>
      <c r="BA35" s="12" t="s">
        <v>578</v>
      </c>
      <c r="BB35" s="12" t="s">
        <v>578</v>
      </c>
      <c r="BC35" s="12" t="s">
        <v>578</v>
      </c>
      <c r="BD35" s="12" t="s">
        <v>578</v>
      </c>
      <c r="BE35" s="12" t="s">
        <v>578</v>
      </c>
      <c r="BF35" s="12" t="s">
        <v>578</v>
      </c>
      <c r="BG35" s="12" t="s">
        <v>578</v>
      </c>
      <c r="BH35" s="12" t="s">
        <v>578</v>
      </c>
      <c r="BI35" s="12" t="s">
        <v>578</v>
      </c>
      <c r="BJ35" s="12" t="s">
        <v>578</v>
      </c>
      <c r="BK35" s="12" t="s">
        <v>579</v>
      </c>
      <c r="BL35" s="12" t="s">
        <v>672</v>
      </c>
      <c r="BM35" s="12" t="s">
        <v>672</v>
      </c>
      <c r="BN35" s="12" t="s">
        <v>672</v>
      </c>
      <c r="BO35" s="12" t="s">
        <v>672</v>
      </c>
      <c r="BP35" s="12" t="s">
        <v>580</v>
      </c>
      <c r="BQ35" s="12" t="s">
        <v>580</v>
      </c>
      <c r="BR35" s="12" t="s">
        <v>581</v>
      </c>
      <c r="BS35" s="12" t="s">
        <v>581</v>
      </c>
      <c r="BT35" s="12" t="s">
        <v>851</v>
      </c>
      <c r="BU35" s="12" t="s">
        <v>851</v>
      </c>
      <c r="BV35" s="12" t="s">
        <v>851</v>
      </c>
      <c r="BW35" s="12" t="s">
        <v>851</v>
      </c>
      <c r="BX35" s="12" t="s">
        <v>851</v>
      </c>
      <c r="BY35" s="12" t="s">
        <v>851</v>
      </c>
      <c r="BZ35" s="12" t="s">
        <v>582</v>
      </c>
      <c r="CA35" s="12" t="s">
        <v>582</v>
      </c>
      <c r="CB35" s="12" t="s">
        <v>582</v>
      </c>
      <c r="CC35" s="12" t="s">
        <v>582</v>
      </c>
      <c r="CD35" s="12" t="s">
        <v>582</v>
      </c>
      <c r="CE35" s="12" t="s">
        <v>582</v>
      </c>
      <c r="CF35" s="12" t="s">
        <v>582</v>
      </c>
      <c r="CG35" s="12" t="s">
        <v>755</v>
      </c>
      <c r="CH35" s="12" t="s">
        <v>755</v>
      </c>
      <c r="CI35" s="12" t="s">
        <v>624</v>
      </c>
      <c r="CJ35" s="12" t="s">
        <v>583</v>
      </c>
      <c r="CK35" s="12" t="s">
        <v>769</v>
      </c>
      <c r="CL35" s="12" t="s">
        <v>769</v>
      </c>
      <c r="CM35" s="12" t="s">
        <v>769</v>
      </c>
      <c r="CN35" s="12" t="s">
        <v>1413</v>
      </c>
      <c r="CO35" s="12" t="s">
        <v>919</v>
      </c>
      <c r="CP35" s="12" t="s">
        <v>955</v>
      </c>
      <c r="CQ35" s="12" t="s">
        <v>770</v>
      </c>
      <c r="CR35" s="12" t="s">
        <v>1120</v>
      </c>
      <c r="CS35" s="12" t="s">
        <v>976</v>
      </c>
      <c r="CT35" s="12" t="s">
        <v>721</v>
      </c>
    </row>
    <row r="36" spans="1:98" hidden="1" x14ac:dyDescent="0.3">
      <c r="A36" s="12" t="s">
        <v>25</v>
      </c>
      <c r="B36" s="12" t="s">
        <v>1414</v>
      </c>
      <c r="C36" s="12" t="s">
        <v>1415</v>
      </c>
      <c r="D36" s="12" t="s">
        <v>1416</v>
      </c>
      <c r="E36" s="12" t="s">
        <v>578</v>
      </c>
      <c r="F36" s="12" t="s">
        <v>578</v>
      </c>
      <c r="G36" s="12" t="s">
        <v>578</v>
      </c>
      <c r="H36" s="12" t="s">
        <v>578</v>
      </c>
      <c r="I36" s="12" t="s">
        <v>578</v>
      </c>
      <c r="J36" s="12" t="s">
        <v>579</v>
      </c>
      <c r="K36" s="12" t="s">
        <v>579</v>
      </c>
      <c r="L36" s="12" t="s">
        <v>579</v>
      </c>
      <c r="M36" s="12" t="s">
        <v>579</v>
      </c>
      <c r="N36" s="12" t="s">
        <v>579</v>
      </c>
      <c r="O36" s="12" t="s">
        <v>579</v>
      </c>
      <c r="P36" s="12" t="s">
        <v>579</v>
      </c>
      <c r="Q36" s="12" t="s">
        <v>579</v>
      </c>
      <c r="R36" s="12" t="s">
        <v>579</v>
      </c>
      <c r="S36" s="12" t="s">
        <v>579</v>
      </c>
      <c r="T36" s="12" t="s">
        <v>579</v>
      </c>
      <c r="U36" s="12" t="s">
        <v>579</v>
      </c>
      <c r="V36" s="12" t="s">
        <v>579</v>
      </c>
      <c r="W36" s="12" t="s">
        <v>579</v>
      </c>
      <c r="X36" s="12" t="s">
        <v>579</v>
      </c>
      <c r="Y36" s="12" t="s">
        <v>579</v>
      </c>
      <c r="Z36" s="12" t="s">
        <v>579</v>
      </c>
      <c r="AA36" s="12" t="s">
        <v>579</v>
      </c>
      <c r="AB36" s="12" t="s">
        <v>579</v>
      </c>
      <c r="AC36" s="12" t="s">
        <v>579</v>
      </c>
      <c r="AD36" s="12" t="s">
        <v>579</v>
      </c>
      <c r="AE36" s="12" t="s">
        <v>579</v>
      </c>
      <c r="AF36" s="12" t="s">
        <v>579</v>
      </c>
      <c r="AG36" s="12" t="s">
        <v>579</v>
      </c>
      <c r="AH36" s="12" t="s">
        <v>579</v>
      </c>
      <c r="AI36" s="12" t="s">
        <v>579</v>
      </c>
      <c r="AJ36" s="12" t="s">
        <v>579</v>
      </c>
      <c r="AK36" s="12" t="s">
        <v>579</v>
      </c>
      <c r="AL36" s="12" t="s">
        <v>579</v>
      </c>
      <c r="AM36" s="12" t="s">
        <v>579</v>
      </c>
      <c r="AN36" s="12" t="s">
        <v>579</v>
      </c>
      <c r="AO36" s="12" t="s">
        <v>579</v>
      </c>
      <c r="AP36" s="12" t="s">
        <v>579</v>
      </c>
      <c r="AQ36" s="12" t="s">
        <v>579</v>
      </c>
      <c r="AR36" s="12" t="s">
        <v>579</v>
      </c>
      <c r="AS36" s="12" t="s">
        <v>579</v>
      </c>
      <c r="AT36" s="12" t="s">
        <v>579</v>
      </c>
      <c r="AU36" s="12" t="s">
        <v>579</v>
      </c>
      <c r="AV36" s="12" t="s">
        <v>579</v>
      </c>
      <c r="AW36" s="12" t="s">
        <v>579</v>
      </c>
      <c r="AX36" s="12" t="s">
        <v>579</v>
      </c>
      <c r="AY36" s="12" t="s">
        <v>623</v>
      </c>
      <c r="AZ36" s="12" t="s">
        <v>623</v>
      </c>
      <c r="BA36" s="12" t="s">
        <v>623</v>
      </c>
      <c r="BB36" s="12" t="s">
        <v>672</v>
      </c>
      <c r="BC36" s="12" t="s">
        <v>672</v>
      </c>
      <c r="BD36" s="12" t="s">
        <v>581</v>
      </c>
      <c r="BE36" s="12" t="s">
        <v>582</v>
      </c>
      <c r="BF36" s="12" t="s">
        <v>582</v>
      </c>
      <c r="BG36" s="12" t="s">
        <v>582</v>
      </c>
      <c r="BH36" s="12" t="s">
        <v>627</v>
      </c>
      <c r="BI36" s="12" t="s">
        <v>917</v>
      </c>
      <c r="BJ36" s="12" t="s">
        <v>677</v>
      </c>
      <c r="BK36" s="12" t="s">
        <v>630</v>
      </c>
      <c r="BL36" s="12" t="s">
        <v>719</v>
      </c>
      <c r="BM36" s="12" t="s">
        <v>590</v>
      </c>
      <c r="BN36" s="12" t="s">
        <v>681</v>
      </c>
      <c r="BO36" s="12" t="s">
        <v>857</v>
      </c>
      <c r="BP36" s="12" t="s">
        <v>859</v>
      </c>
      <c r="BQ36" s="12" t="s">
        <v>859</v>
      </c>
      <c r="BR36" s="12" t="s">
        <v>860</v>
      </c>
      <c r="BS36" s="12" t="s">
        <v>860</v>
      </c>
      <c r="BT36" s="12" t="s">
        <v>862</v>
      </c>
      <c r="BU36" s="12" t="s">
        <v>1260</v>
      </c>
      <c r="BV36" s="12" t="s">
        <v>1208</v>
      </c>
      <c r="BW36" s="12" t="s">
        <v>1208</v>
      </c>
      <c r="BX36" s="12" t="s">
        <v>592</v>
      </c>
      <c r="BY36" s="12" t="s">
        <v>1353</v>
      </c>
      <c r="BZ36" s="12" t="s">
        <v>1353</v>
      </c>
      <c r="CA36" s="12" t="s">
        <v>1353</v>
      </c>
      <c r="CB36" s="12" t="s">
        <v>1353</v>
      </c>
      <c r="CC36" s="12" t="s">
        <v>811</v>
      </c>
      <c r="CD36" s="12" t="s">
        <v>1417</v>
      </c>
      <c r="CE36" s="12" t="s">
        <v>1418</v>
      </c>
      <c r="CF36" s="12" t="s">
        <v>1418</v>
      </c>
      <c r="CG36" s="12" t="s">
        <v>593</v>
      </c>
      <c r="CH36" s="12" t="s">
        <v>980</v>
      </c>
      <c r="CI36" s="12" t="s">
        <v>980</v>
      </c>
      <c r="CJ36" s="12" t="s">
        <v>980</v>
      </c>
      <c r="CK36" s="12" t="s">
        <v>980</v>
      </c>
      <c r="CL36" s="12" t="s">
        <v>980</v>
      </c>
      <c r="CM36" s="12" t="s">
        <v>980</v>
      </c>
      <c r="CN36" s="12" t="s">
        <v>980</v>
      </c>
      <c r="CO36" s="12" t="s">
        <v>980</v>
      </c>
      <c r="CP36" s="12" t="s">
        <v>980</v>
      </c>
      <c r="CQ36" s="12" t="s">
        <v>980</v>
      </c>
      <c r="CR36" s="12" t="s">
        <v>980</v>
      </c>
      <c r="CS36" s="12" t="s">
        <v>980</v>
      </c>
      <c r="CT36" s="12" t="s">
        <v>980</v>
      </c>
    </row>
    <row r="37" spans="1:98" hidden="1" x14ac:dyDescent="0.3">
      <c r="A37" s="12" t="s">
        <v>25</v>
      </c>
      <c r="B37" s="12" t="s">
        <v>1419</v>
      </c>
      <c r="C37" s="12" t="s">
        <v>1420</v>
      </c>
      <c r="D37" s="12" t="s">
        <v>1421</v>
      </c>
      <c r="E37" s="12" t="s">
        <v>578</v>
      </c>
      <c r="F37" s="12" t="s">
        <v>578</v>
      </c>
      <c r="G37" s="12" t="s">
        <v>578</v>
      </c>
      <c r="H37" s="12" t="s">
        <v>578</v>
      </c>
      <c r="I37" s="12" t="s">
        <v>578</v>
      </c>
      <c r="J37" s="12" t="s">
        <v>578</v>
      </c>
      <c r="K37" s="12" t="s">
        <v>578</v>
      </c>
      <c r="L37" s="12" t="s">
        <v>578</v>
      </c>
      <c r="M37" s="12" t="s">
        <v>578</v>
      </c>
      <c r="N37" s="12" t="s">
        <v>578</v>
      </c>
      <c r="O37" s="12" t="s">
        <v>578</v>
      </c>
      <c r="P37" s="12" t="s">
        <v>578</v>
      </c>
      <c r="Q37" s="12" t="s">
        <v>578</v>
      </c>
      <c r="R37" s="12" t="s">
        <v>578</v>
      </c>
      <c r="S37" s="12" t="s">
        <v>578</v>
      </c>
      <c r="T37" s="12" t="s">
        <v>578</v>
      </c>
      <c r="U37" s="12" t="s">
        <v>578</v>
      </c>
      <c r="V37" s="12" t="s">
        <v>578</v>
      </c>
      <c r="W37" s="12" t="s">
        <v>578</v>
      </c>
      <c r="X37" s="12" t="s">
        <v>578</v>
      </c>
      <c r="Y37" s="12" t="s">
        <v>578</v>
      </c>
      <c r="Z37" s="12" t="s">
        <v>578</v>
      </c>
      <c r="AA37" s="12" t="s">
        <v>578</v>
      </c>
      <c r="AB37" s="12" t="s">
        <v>578</v>
      </c>
      <c r="AC37" s="12" t="s">
        <v>578</v>
      </c>
      <c r="AD37" s="12" t="s">
        <v>578</v>
      </c>
      <c r="AE37" s="12" t="s">
        <v>578</v>
      </c>
      <c r="AF37" s="12" t="s">
        <v>578</v>
      </c>
      <c r="AG37" s="12" t="s">
        <v>578</v>
      </c>
      <c r="AH37" s="12" t="s">
        <v>578</v>
      </c>
      <c r="AI37" s="12" t="s">
        <v>578</v>
      </c>
      <c r="AJ37" s="12" t="s">
        <v>578</v>
      </c>
      <c r="AK37" s="12" t="s">
        <v>578</v>
      </c>
      <c r="AL37" s="12" t="s">
        <v>578</v>
      </c>
      <c r="AM37" s="12" t="s">
        <v>578</v>
      </c>
      <c r="AN37" s="12" t="s">
        <v>578</v>
      </c>
      <c r="AO37" s="12" t="s">
        <v>578</v>
      </c>
      <c r="AP37" s="12" t="s">
        <v>578</v>
      </c>
      <c r="AQ37" s="12" t="s">
        <v>578</v>
      </c>
      <c r="AR37" s="12" t="s">
        <v>578</v>
      </c>
      <c r="AS37" s="12" t="s">
        <v>578</v>
      </c>
      <c r="AT37" s="12" t="s">
        <v>578</v>
      </c>
      <c r="AU37" s="12" t="s">
        <v>578</v>
      </c>
      <c r="AV37" s="12" t="s">
        <v>578</v>
      </c>
      <c r="AW37" s="12" t="s">
        <v>579</v>
      </c>
      <c r="AX37" s="12" t="s">
        <v>579</v>
      </c>
      <c r="AY37" s="12" t="s">
        <v>623</v>
      </c>
      <c r="AZ37" s="12" t="s">
        <v>623</v>
      </c>
      <c r="BA37" s="12" t="s">
        <v>623</v>
      </c>
      <c r="BB37" s="12" t="s">
        <v>623</v>
      </c>
      <c r="BC37" s="12" t="s">
        <v>623</v>
      </c>
      <c r="BD37" s="12" t="s">
        <v>623</v>
      </c>
      <c r="BE37" s="12" t="s">
        <v>623</v>
      </c>
      <c r="BF37" s="12" t="s">
        <v>623</v>
      </c>
      <c r="BG37" s="12" t="s">
        <v>580</v>
      </c>
      <c r="BH37" s="12" t="s">
        <v>624</v>
      </c>
      <c r="BI37" s="12" t="s">
        <v>624</v>
      </c>
      <c r="BJ37" s="12" t="s">
        <v>868</v>
      </c>
      <c r="BK37" s="12" t="s">
        <v>675</v>
      </c>
      <c r="BL37" s="12" t="s">
        <v>913</v>
      </c>
      <c r="BM37" s="12" t="s">
        <v>588</v>
      </c>
      <c r="BN37" s="12" t="s">
        <v>769</v>
      </c>
      <c r="BO37" s="12" t="s">
        <v>973</v>
      </c>
      <c r="BP37" s="12" t="s">
        <v>720</v>
      </c>
      <c r="BQ37" s="12" t="s">
        <v>720</v>
      </c>
      <c r="BR37" s="12" t="s">
        <v>857</v>
      </c>
      <c r="BS37" s="12" t="s">
        <v>857</v>
      </c>
      <c r="BT37" s="12" t="s">
        <v>683</v>
      </c>
      <c r="BU37" s="12" t="s">
        <v>683</v>
      </c>
      <c r="BV37" s="12" t="s">
        <v>1422</v>
      </c>
      <c r="BW37" s="12" t="s">
        <v>1423</v>
      </c>
      <c r="BX37" s="12" t="s">
        <v>1424</v>
      </c>
      <c r="BY37" s="12" t="s">
        <v>1425</v>
      </c>
      <c r="BZ37" s="12" t="s">
        <v>606</v>
      </c>
      <c r="CA37" s="12" t="s">
        <v>1426</v>
      </c>
      <c r="CB37" s="12" t="s">
        <v>1427</v>
      </c>
      <c r="CC37" s="12" t="s">
        <v>1427</v>
      </c>
      <c r="CD37" s="12" t="s">
        <v>1428</v>
      </c>
      <c r="CE37" s="12" t="s">
        <v>1428</v>
      </c>
      <c r="CF37" s="12" t="s">
        <v>782</v>
      </c>
      <c r="CG37" s="12" t="s">
        <v>782</v>
      </c>
      <c r="CH37" s="12" t="s">
        <v>782</v>
      </c>
      <c r="CI37" s="12" t="s">
        <v>782</v>
      </c>
      <c r="CJ37" s="12" t="s">
        <v>1429</v>
      </c>
      <c r="CK37" s="12" t="s">
        <v>1429</v>
      </c>
      <c r="CL37" s="12" t="s">
        <v>614</v>
      </c>
      <c r="CM37" s="12" t="s">
        <v>614</v>
      </c>
      <c r="CN37" s="12" t="s">
        <v>1430</v>
      </c>
      <c r="CO37" s="12" t="s">
        <v>1430</v>
      </c>
      <c r="CP37" s="12" t="s">
        <v>1431</v>
      </c>
      <c r="CQ37" s="12" t="s">
        <v>1431</v>
      </c>
      <c r="CR37" s="12" t="s">
        <v>1431</v>
      </c>
      <c r="CS37" s="12" t="s">
        <v>1432</v>
      </c>
      <c r="CT37" s="12" t="s">
        <v>1433</v>
      </c>
    </row>
    <row r="38" spans="1:98" hidden="1" x14ac:dyDescent="0.3">
      <c r="A38" s="12" t="s">
        <v>1434</v>
      </c>
      <c r="B38" s="12" t="s">
        <v>1435</v>
      </c>
      <c r="C38" s="12" t="s">
        <v>1436</v>
      </c>
      <c r="D38" s="12" t="s">
        <v>1437</v>
      </c>
      <c r="E38" s="12" t="s">
        <v>578</v>
      </c>
      <c r="F38" s="12" t="s">
        <v>578</v>
      </c>
      <c r="G38" s="12" t="s">
        <v>578</v>
      </c>
      <c r="H38" s="12" t="s">
        <v>578</v>
      </c>
      <c r="I38" s="12" t="s">
        <v>578</v>
      </c>
      <c r="J38" s="12" t="s">
        <v>578</v>
      </c>
      <c r="K38" s="12" t="s">
        <v>578</v>
      </c>
      <c r="L38" s="12" t="s">
        <v>578</v>
      </c>
      <c r="M38" s="12" t="s">
        <v>578</v>
      </c>
      <c r="N38" s="12" t="s">
        <v>578</v>
      </c>
      <c r="O38" s="12" t="s">
        <v>578</v>
      </c>
      <c r="P38" s="12" t="s">
        <v>578</v>
      </c>
      <c r="Q38" s="12" t="s">
        <v>578</v>
      </c>
      <c r="R38" s="12" t="s">
        <v>578</v>
      </c>
      <c r="S38" s="12" t="s">
        <v>578</v>
      </c>
      <c r="T38" s="12" t="s">
        <v>578</v>
      </c>
      <c r="U38" s="12" t="s">
        <v>578</v>
      </c>
      <c r="V38" s="12" t="s">
        <v>578</v>
      </c>
      <c r="W38" s="12" t="s">
        <v>578</v>
      </c>
      <c r="X38" s="12" t="s">
        <v>578</v>
      </c>
      <c r="Y38" s="12" t="s">
        <v>578</v>
      </c>
      <c r="Z38" s="12" t="s">
        <v>578</v>
      </c>
      <c r="AA38" s="12" t="s">
        <v>578</v>
      </c>
      <c r="AB38" s="12" t="s">
        <v>578</v>
      </c>
      <c r="AC38" s="12" t="s">
        <v>578</v>
      </c>
      <c r="AD38" s="12" t="s">
        <v>578</v>
      </c>
      <c r="AE38" s="12" t="s">
        <v>578</v>
      </c>
      <c r="AF38" s="12" t="s">
        <v>578</v>
      </c>
      <c r="AG38" s="12" t="s">
        <v>578</v>
      </c>
      <c r="AH38" s="12" t="s">
        <v>578</v>
      </c>
      <c r="AI38" s="12" t="s">
        <v>578</v>
      </c>
      <c r="AJ38" s="12" t="s">
        <v>578</v>
      </c>
      <c r="AK38" s="12" t="s">
        <v>578</v>
      </c>
      <c r="AL38" s="12" t="s">
        <v>578</v>
      </c>
      <c r="AM38" s="12" t="s">
        <v>578</v>
      </c>
      <c r="AN38" s="12" t="s">
        <v>578</v>
      </c>
      <c r="AO38" s="12" t="s">
        <v>578</v>
      </c>
      <c r="AP38" s="12" t="s">
        <v>578</v>
      </c>
      <c r="AQ38" s="12" t="s">
        <v>578</v>
      </c>
      <c r="AR38" s="12" t="s">
        <v>578</v>
      </c>
      <c r="AS38" s="12" t="s">
        <v>578</v>
      </c>
      <c r="AT38" s="12" t="s">
        <v>578</v>
      </c>
      <c r="AU38" s="12" t="s">
        <v>578</v>
      </c>
      <c r="AV38" s="12" t="s">
        <v>578</v>
      </c>
      <c r="AW38" s="12" t="s">
        <v>579</v>
      </c>
      <c r="AX38" s="12" t="s">
        <v>623</v>
      </c>
      <c r="AY38" s="12" t="s">
        <v>580</v>
      </c>
      <c r="AZ38" s="12" t="s">
        <v>582</v>
      </c>
      <c r="BA38" s="12" t="s">
        <v>582</v>
      </c>
      <c r="BB38" s="12" t="s">
        <v>674</v>
      </c>
      <c r="BC38" s="12" t="s">
        <v>674</v>
      </c>
      <c r="BD38" s="12" t="s">
        <v>953</v>
      </c>
      <c r="BE38" s="12" t="s">
        <v>953</v>
      </c>
      <c r="BF38" s="12" t="s">
        <v>718</v>
      </c>
      <c r="BG38" s="12" t="s">
        <v>769</v>
      </c>
      <c r="BH38" s="12" t="s">
        <v>589</v>
      </c>
      <c r="BI38" s="12" t="s">
        <v>772</v>
      </c>
      <c r="BJ38" s="12" t="s">
        <v>1418</v>
      </c>
      <c r="BK38" s="12" t="s">
        <v>639</v>
      </c>
      <c r="BL38" s="12" t="s">
        <v>984</v>
      </c>
      <c r="BM38" s="12" t="s">
        <v>645</v>
      </c>
      <c r="BN38" s="12" t="s">
        <v>776</v>
      </c>
      <c r="BO38" s="12" t="s">
        <v>1099</v>
      </c>
      <c r="BP38" s="12" t="s">
        <v>1438</v>
      </c>
      <c r="BQ38" s="12" t="s">
        <v>1439</v>
      </c>
      <c r="BR38" s="12" t="s">
        <v>1402</v>
      </c>
      <c r="BS38" s="12" t="s">
        <v>1402</v>
      </c>
      <c r="BT38" s="12" t="s">
        <v>1165</v>
      </c>
      <c r="BU38" s="12" t="s">
        <v>1378</v>
      </c>
      <c r="BV38" s="12" t="s">
        <v>780</v>
      </c>
      <c r="BW38" s="12" t="s">
        <v>1440</v>
      </c>
      <c r="BX38" s="12" t="s">
        <v>1441</v>
      </c>
      <c r="BY38" s="12" t="s">
        <v>1441</v>
      </c>
      <c r="BZ38" s="12" t="s">
        <v>1442</v>
      </c>
      <c r="CA38" s="12" t="s">
        <v>1443</v>
      </c>
      <c r="CB38" s="12" t="s">
        <v>1444</v>
      </c>
      <c r="CC38" s="12" t="s">
        <v>1110</v>
      </c>
      <c r="CD38" s="12" t="s">
        <v>1110</v>
      </c>
      <c r="CE38" s="12" t="s">
        <v>696</v>
      </c>
      <c r="CF38" s="12" t="s">
        <v>786</v>
      </c>
      <c r="CG38" s="12" t="s">
        <v>1445</v>
      </c>
      <c r="CH38" s="12" t="s">
        <v>1445</v>
      </c>
      <c r="CI38" s="12" t="s">
        <v>1446</v>
      </c>
      <c r="CJ38" s="12" t="s">
        <v>1447</v>
      </c>
      <c r="CK38" s="12" t="s">
        <v>1447</v>
      </c>
      <c r="CL38" s="12" t="s">
        <v>1448</v>
      </c>
      <c r="CM38" s="12" t="s">
        <v>1449</v>
      </c>
      <c r="CN38" s="12" t="s">
        <v>1450</v>
      </c>
      <c r="CO38" s="12" t="s">
        <v>1451</v>
      </c>
      <c r="CP38" s="12" t="s">
        <v>1452</v>
      </c>
      <c r="CQ38" s="12" t="s">
        <v>1453</v>
      </c>
      <c r="CR38" s="12" t="s">
        <v>1216</v>
      </c>
      <c r="CS38" s="12" t="s">
        <v>1454</v>
      </c>
      <c r="CT38" s="12" t="s">
        <v>1455</v>
      </c>
    </row>
    <row r="39" spans="1:98" hidden="1" x14ac:dyDescent="0.3">
      <c r="A39" s="12" t="s">
        <v>1456</v>
      </c>
      <c r="B39" s="12" t="s">
        <v>1435</v>
      </c>
      <c r="C39" s="12" t="s">
        <v>1457</v>
      </c>
      <c r="D39" s="12" t="s">
        <v>1458</v>
      </c>
      <c r="E39" s="12" t="s">
        <v>578</v>
      </c>
      <c r="F39" s="12" t="s">
        <v>578</v>
      </c>
      <c r="G39" s="12" t="s">
        <v>578</v>
      </c>
      <c r="H39" s="12" t="s">
        <v>578</v>
      </c>
      <c r="I39" s="12" t="s">
        <v>578</v>
      </c>
      <c r="J39" s="12" t="s">
        <v>578</v>
      </c>
      <c r="K39" s="12" t="s">
        <v>579</v>
      </c>
      <c r="L39" s="12" t="s">
        <v>579</v>
      </c>
      <c r="M39" s="12" t="s">
        <v>579</v>
      </c>
      <c r="N39" s="12" t="s">
        <v>579</v>
      </c>
      <c r="O39" s="12" t="s">
        <v>579</v>
      </c>
      <c r="P39" s="12" t="s">
        <v>579</v>
      </c>
      <c r="Q39" s="12" t="s">
        <v>579</v>
      </c>
      <c r="R39" s="12" t="s">
        <v>579</v>
      </c>
      <c r="S39" s="12" t="s">
        <v>623</v>
      </c>
      <c r="T39" s="12" t="s">
        <v>623</v>
      </c>
      <c r="U39" s="12" t="s">
        <v>580</v>
      </c>
      <c r="V39" s="12" t="s">
        <v>580</v>
      </c>
      <c r="W39" s="12" t="s">
        <v>580</v>
      </c>
      <c r="X39" s="12" t="s">
        <v>580</v>
      </c>
      <c r="Y39" s="12" t="s">
        <v>580</v>
      </c>
      <c r="Z39" s="12" t="s">
        <v>580</v>
      </c>
      <c r="AA39" s="12" t="s">
        <v>580</v>
      </c>
      <c r="AB39" s="12" t="s">
        <v>580</v>
      </c>
      <c r="AC39" s="12" t="s">
        <v>580</v>
      </c>
      <c r="AD39" s="12" t="s">
        <v>580</v>
      </c>
      <c r="AE39" s="12" t="s">
        <v>581</v>
      </c>
      <c r="AF39" s="12" t="s">
        <v>581</v>
      </c>
      <c r="AG39" s="12" t="s">
        <v>581</v>
      </c>
      <c r="AH39" s="12" t="s">
        <v>581</v>
      </c>
      <c r="AI39" s="12" t="s">
        <v>851</v>
      </c>
      <c r="AJ39" s="12" t="s">
        <v>851</v>
      </c>
      <c r="AK39" s="12" t="s">
        <v>851</v>
      </c>
      <c r="AL39" s="12" t="s">
        <v>851</v>
      </c>
      <c r="AM39" s="12" t="s">
        <v>582</v>
      </c>
      <c r="AN39" s="12" t="s">
        <v>582</v>
      </c>
      <c r="AO39" s="12" t="s">
        <v>582</v>
      </c>
      <c r="AP39" s="12" t="s">
        <v>582</v>
      </c>
      <c r="AQ39" s="12" t="s">
        <v>755</v>
      </c>
      <c r="AR39" s="12" t="s">
        <v>755</v>
      </c>
      <c r="AS39" s="12" t="s">
        <v>755</v>
      </c>
      <c r="AT39" s="12" t="s">
        <v>761</v>
      </c>
      <c r="AU39" s="12" t="s">
        <v>625</v>
      </c>
      <c r="AV39" s="12" t="s">
        <v>868</v>
      </c>
      <c r="AW39" s="12" t="s">
        <v>585</v>
      </c>
      <c r="AX39" s="12" t="s">
        <v>585</v>
      </c>
      <c r="AY39" s="12" t="s">
        <v>913</v>
      </c>
      <c r="AZ39" s="12" t="s">
        <v>852</v>
      </c>
      <c r="BA39" s="12" t="s">
        <v>852</v>
      </c>
      <c r="BB39" s="12" t="s">
        <v>718</v>
      </c>
      <c r="BC39" s="12" t="s">
        <v>918</v>
      </c>
      <c r="BD39" s="12" t="s">
        <v>633</v>
      </c>
      <c r="BE39" s="12" t="s">
        <v>633</v>
      </c>
      <c r="BF39" s="12" t="s">
        <v>1120</v>
      </c>
      <c r="BG39" s="12" t="s">
        <v>862</v>
      </c>
      <c r="BH39" s="12" t="s">
        <v>862</v>
      </c>
      <c r="BI39" s="12" t="s">
        <v>640</v>
      </c>
      <c r="BJ39" s="12" t="s">
        <v>1027</v>
      </c>
      <c r="BK39" s="12" t="s">
        <v>1459</v>
      </c>
      <c r="BL39" s="12" t="s">
        <v>821</v>
      </c>
      <c r="BM39" s="12" t="s">
        <v>821</v>
      </c>
      <c r="BN39" s="12" t="s">
        <v>1460</v>
      </c>
      <c r="BO39" s="12" t="s">
        <v>1461</v>
      </c>
      <c r="BP39" s="12" t="s">
        <v>1461</v>
      </c>
      <c r="BQ39" s="12" t="s">
        <v>1462</v>
      </c>
      <c r="BR39" s="12" t="s">
        <v>1462</v>
      </c>
      <c r="BS39" s="12" t="s">
        <v>1463</v>
      </c>
      <c r="BT39" s="12" t="s">
        <v>1463</v>
      </c>
      <c r="BU39" s="12" t="s">
        <v>1464</v>
      </c>
      <c r="BV39" s="12" t="s">
        <v>834</v>
      </c>
      <c r="BW39" s="12" t="s">
        <v>834</v>
      </c>
      <c r="BX39" s="12" t="s">
        <v>1465</v>
      </c>
      <c r="BY39" s="12" t="s">
        <v>1466</v>
      </c>
      <c r="BZ39" s="12" t="s">
        <v>1467</v>
      </c>
      <c r="CA39" s="12" t="s">
        <v>1467</v>
      </c>
      <c r="CB39" s="12" t="s">
        <v>1468</v>
      </c>
      <c r="CC39" s="12" t="s">
        <v>1468</v>
      </c>
      <c r="CD39" s="12" t="s">
        <v>841</v>
      </c>
      <c r="CE39" s="12" t="s">
        <v>1019</v>
      </c>
      <c r="CF39" s="12" t="s">
        <v>1469</v>
      </c>
      <c r="CG39" s="12" t="s">
        <v>1470</v>
      </c>
      <c r="CH39" s="12" t="s">
        <v>1470</v>
      </c>
      <c r="CI39" s="12" t="s">
        <v>1471</v>
      </c>
      <c r="CJ39" s="12" t="s">
        <v>1471</v>
      </c>
      <c r="CK39" s="12" t="s">
        <v>1472</v>
      </c>
      <c r="CL39" s="12" t="s">
        <v>1473</v>
      </c>
      <c r="CM39" s="12" t="s">
        <v>1474</v>
      </c>
      <c r="CN39" s="12" t="s">
        <v>1475</v>
      </c>
      <c r="CO39" s="12" t="s">
        <v>1476</v>
      </c>
      <c r="CP39" s="12" t="s">
        <v>1476</v>
      </c>
      <c r="CQ39" s="12" t="s">
        <v>1477</v>
      </c>
      <c r="CR39" s="12" t="s">
        <v>790</v>
      </c>
      <c r="CS39" s="12" t="s">
        <v>1478</v>
      </c>
      <c r="CT39" s="12" t="s">
        <v>1479</v>
      </c>
    </row>
    <row r="40" spans="1:98" hidden="1" x14ac:dyDescent="0.3">
      <c r="A40" s="12" t="s">
        <v>1480</v>
      </c>
      <c r="B40" s="12" t="s">
        <v>1435</v>
      </c>
      <c r="C40" s="12" t="s">
        <v>1481</v>
      </c>
      <c r="D40" s="12" t="s">
        <v>1482</v>
      </c>
      <c r="E40" s="12" t="s">
        <v>578</v>
      </c>
      <c r="F40" s="12" t="s">
        <v>578</v>
      </c>
      <c r="G40" s="12" t="s">
        <v>578</v>
      </c>
      <c r="H40" s="12" t="s">
        <v>578</v>
      </c>
      <c r="I40" s="12" t="s">
        <v>578</v>
      </c>
      <c r="J40" s="12" t="s">
        <v>578</v>
      </c>
      <c r="K40" s="12" t="s">
        <v>578</v>
      </c>
      <c r="L40" s="12" t="s">
        <v>578</v>
      </c>
      <c r="M40" s="12" t="s">
        <v>578</v>
      </c>
      <c r="N40" s="12" t="s">
        <v>578</v>
      </c>
      <c r="O40" s="12" t="s">
        <v>578</v>
      </c>
      <c r="P40" s="12" t="s">
        <v>578</v>
      </c>
      <c r="Q40" s="12" t="s">
        <v>578</v>
      </c>
      <c r="R40" s="12" t="s">
        <v>578</v>
      </c>
      <c r="S40" s="12" t="s">
        <v>578</v>
      </c>
      <c r="T40" s="12" t="s">
        <v>578</v>
      </c>
      <c r="U40" s="12" t="s">
        <v>578</v>
      </c>
      <c r="V40" s="12" t="s">
        <v>578</v>
      </c>
      <c r="W40" s="12" t="s">
        <v>578</v>
      </c>
      <c r="X40" s="12" t="s">
        <v>578</v>
      </c>
      <c r="Y40" s="12" t="s">
        <v>578</v>
      </c>
      <c r="Z40" s="12" t="s">
        <v>578</v>
      </c>
      <c r="AA40" s="12" t="s">
        <v>578</v>
      </c>
      <c r="AB40" s="12" t="s">
        <v>578</v>
      </c>
      <c r="AC40" s="12" t="s">
        <v>578</v>
      </c>
      <c r="AD40" s="12" t="s">
        <v>578</v>
      </c>
      <c r="AE40" s="12" t="s">
        <v>578</v>
      </c>
      <c r="AF40" s="12" t="s">
        <v>578</v>
      </c>
      <c r="AG40" s="12" t="s">
        <v>578</v>
      </c>
      <c r="AH40" s="12" t="s">
        <v>578</v>
      </c>
      <c r="AI40" s="12" t="s">
        <v>578</v>
      </c>
      <c r="AJ40" s="12" t="s">
        <v>578</v>
      </c>
      <c r="AK40" s="12" t="s">
        <v>578</v>
      </c>
      <c r="AL40" s="12" t="s">
        <v>578</v>
      </c>
      <c r="AM40" s="12" t="s">
        <v>578</v>
      </c>
      <c r="AN40" s="12" t="s">
        <v>578</v>
      </c>
      <c r="AO40" s="12" t="s">
        <v>578</v>
      </c>
      <c r="AP40" s="12" t="s">
        <v>578</v>
      </c>
      <c r="AQ40" s="12" t="s">
        <v>578</v>
      </c>
      <c r="AR40" s="12" t="s">
        <v>578</v>
      </c>
      <c r="AS40" s="12" t="s">
        <v>578</v>
      </c>
      <c r="AT40" s="12" t="s">
        <v>578</v>
      </c>
      <c r="AU40" s="12" t="s">
        <v>578</v>
      </c>
      <c r="AV40" s="12" t="s">
        <v>578</v>
      </c>
      <c r="AW40" s="12" t="s">
        <v>578</v>
      </c>
      <c r="AX40" s="12" t="s">
        <v>578</v>
      </c>
      <c r="AY40" s="12" t="s">
        <v>578</v>
      </c>
      <c r="AZ40" s="12" t="s">
        <v>578</v>
      </c>
      <c r="BA40" s="12" t="s">
        <v>578</v>
      </c>
      <c r="BB40" s="12" t="s">
        <v>578</v>
      </c>
      <c r="BC40" s="12" t="s">
        <v>578</v>
      </c>
      <c r="BD40" s="12" t="s">
        <v>623</v>
      </c>
      <c r="BE40" s="12" t="s">
        <v>623</v>
      </c>
      <c r="BF40" s="12" t="s">
        <v>623</v>
      </c>
      <c r="BG40" s="12" t="s">
        <v>623</v>
      </c>
      <c r="BH40" s="12" t="s">
        <v>755</v>
      </c>
      <c r="BI40" s="12" t="s">
        <v>761</v>
      </c>
      <c r="BJ40" s="12" t="s">
        <v>761</v>
      </c>
      <c r="BK40" s="12" t="s">
        <v>624</v>
      </c>
      <c r="BL40" s="12" t="s">
        <v>624</v>
      </c>
      <c r="BM40" s="12" t="s">
        <v>868</v>
      </c>
      <c r="BN40" s="12" t="s">
        <v>868</v>
      </c>
      <c r="BO40" s="12" t="s">
        <v>868</v>
      </c>
      <c r="BP40" s="12" t="s">
        <v>868</v>
      </c>
      <c r="BQ40" s="12" t="s">
        <v>868</v>
      </c>
      <c r="BR40" s="12" t="s">
        <v>868</v>
      </c>
      <c r="BS40" s="12" t="s">
        <v>868</v>
      </c>
      <c r="BT40" s="12" t="s">
        <v>868</v>
      </c>
      <c r="BU40" s="12" t="s">
        <v>868</v>
      </c>
      <c r="BV40" s="12" t="s">
        <v>868</v>
      </c>
      <c r="BW40" s="12" t="s">
        <v>868</v>
      </c>
      <c r="BX40" s="12" t="s">
        <v>868</v>
      </c>
      <c r="BY40" s="12" t="s">
        <v>868</v>
      </c>
      <c r="BZ40" s="12" t="s">
        <v>868</v>
      </c>
      <c r="CA40" s="12" t="s">
        <v>868</v>
      </c>
      <c r="CB40" s="12" t="s">
        <v>868</v>
      </c>
      <c r="CC40" s="12" t="s">
        <v>868</v>
      </c>
      <c r="CD40" s="12" t="s">
        <v>868</v>
      </c>
      <c r="CE40" s="12" t="s">
        <v>868</v>
      </c>
      <c r="CF40" s="12" t="s">
        <v>868</v>
      </c>
      <c r="CG40" s="12" t="s">
        <v>868</v>
      </c>
      <c r="CH40" s="12" t="s">
        <v>868</v>
      </c>
      <c r="CI40" s="12" t="s">
        <v>868</v>
      </c>
      <c r="CJ40" s="12" t="s">
        <v>868</v>
      </c>
      <c r="CK40" s="12" t="s">
        <v>868</v>
      </c>
      <c r="CL40" s="12" t="s">
        <v>868</v>
      </c>
      <c r="CM40" s="12" t="s">
        <v>868</v>
      </c>
      <c r="CN40" s="12" t="s">
        <v>868</v>
      </c>
      <c r="CO40" s="12" t="s">
        <v>868</v>
      </c>
      <c r="CP40" s="12" t="s">
        <v>868</v>
      </c>
      <c r="CQ40" s="12" t="s">
        <v>868</v>
      </c>
      <c r="CR40" s="12" t="s">
        <v>1483</v>
      </c>
      <c r="CS40" s="12" t="s">
        <v>1483</v>
      </c>
      <c r="CT40" s="12" t="s">
        <v>1483</v>
      </c>
    </row>
    <row r="41" spans="1:98" hidden="1" x14ac:dyDescent="0.3">
      <c r="A41" s="12" t="s">
        <v>1484</v>
      </c>
      <c r="B41" s="12" t="s">
        <v>1435</v>
      </c>
      <c r="C41" s="12" t="s">
        <v>1485</v>
      </c>
      <c r="D41" s="12" t="s">
        <v>1486</v>
      </c>
      <c r="E41" s="12" t="s">
        <v>578</v>
      </c>
      <c r="F41" s="12" t="s">
        <v>578</v>
      </c>
      <c r="G41" s="12" t="s">
        <v>578</v>
      </c>
      <c r="H41" s="12" t="s">
        <v>578</v>
      </c>
      <c r="I41" s="12" t="s">
        <v>578</v>
      </c>
      <c r="J41" s="12" t="s">
        <v>578</v>
      </c>
      <c r="K41" s="12" t="s">
        <v>578</v>
      </c>
      <c r="L41" s="12" t="s">
        <v>578</v>
      </c>
      <c r="M41" s="12" t="s">
        <v>578</v>
      </c>
      <c r="N41" s="12" t="s">
        <v>578</v>
      </c>
      <c r="O41" s="12" t="s">
        <v>578</v>
      </c>
      <c r="P41" s="12" t="s">
        <v>578</v>
      </c>
      <c r="Q41" s="12" t="s">
        <v>578</v>
      </c>
      <c r="R41" s="12" t="s">
        <v>578</v>
      </c>
      <c r="S41" s="12" t="s">
        <v>578</v>
      </c>
      <c r="T41" s="12" t="s">
        <v>578</v>
      </c>
      <c r="U41" s="12" t="s">
        <v>578</v>
      </c>
      <c r="V41" s="12" t="s">
        <v>578</v>
      </c>
      <c r="W41" s="12" t="s">
        <v>578</v>
      </c>
      <c r="X41" s="12" t="s">
        <v>578</v>
      </c>
      <c r="Y41" s="12" t="s">
        <v>578</v>
      </c>
      <c r="Z41" s="12" t="s">
        <v>578</v>
      </c>
      <c r="AA41" s="12" t="s">
        <v>578</v>
      </c>
      <c r="AB41" s="12" t="s">
        <v>578</v>
      </c>
      <c r="AC41" s="12" t="s">
        <v>578</v>
      </c>
      <c r="AD41" s="12" t="s">
        <v>578</v>
      </c>
      <c r="AE41" s="12" t="s">
        <v>578</v>
      </c>
      <c r="AF41" s="12" t="s">
        <v>578</v>
      </c>
      <c r="AG41" s="12" t="s">
        <v>578</v>
      </c>
      <c r="AH41" s="12" t="s">
        <v>578</v>
      </c>
      <c r="AI41" s="12" t="s">
        <v>578</v>
      </c>
      <c r="AJ41" s="12" t="s">
        <v>578</v>
      </c>
      <c r="AK41" s="12" t="s">
        <v>578</v>
      </c>
      <c r="AL41" s="12" t="s">
        <v>578</v>
      </c>
      <c r="AM41" s="12" t="s">
        <v>578</v>
      </c>
      <c r="AN41" s="12" t="s">
        <v>578</v>
      </c>
      <c r="AO41" s="12" t="s">
        <v>578</v>
      </c>
      <c r="AP41" s="12" t="s">
        <v>578</v>
      </c>
      <c r="AQ41" s="12" t="s">
        <v>578</v>
      </c>
      <c r="AR41" s="12" t="s">
        <v>578</v>
      </c>
      <c r="AS41" s="12" t="s">
        <v>578</v>
      </c>
      <c r="AT41" s="12" t="s">
        <v>578</v>
      </c>
      <c r="AU41" s="12" t="s">
        <v>578</v>
      </c>
      <c r="AV41" s="12" t="s">
        <v>578</v>
      </c>
      <c r="AW41" s="12" t="s">
        <v>578</v>
      </c>
      <c r="AX41" s="12" t="s">
        <v>578</v>
      </c>
      <c r="AY41" s="12" t="s">
        <v>578</v>
      </c>
      <c r="AZ41" s="12" t="s">
        <v>578</v>
      </c>
      <c r="BA41" s="12" t="s">
        <v>578</v>
      </c>
      <c r="BB41" s="12" t="s">
        <v>578</v>
      </c>
      <c r="BC41" s="12" t="s">
        <v>578</v>
      </c>
      <c r="BD41" s="12" t="s">
        <v>580</v>
      </c>
      <c r="BE41" s="12" t="s">
        <v>580</v>
      </c>
      <c r="BF41" s="12" t="s">
        <v>580</v>
      </c>
      <c r="BG41" s="12" t="s">
        <v>582</v>
      </c>
      <c r="BH41" s="12" t="s">
        <v>755</v>
      </c>
      <c r="BI41" s="12" t="s">
        <v>762</v>
      </c>
      <c r="BJ41" s="12" t="s">
        <v>673</v>
      </c>
      <c r="BK41" s="12" t="s">
        <v>673</v>
      </c>
      <c r="BL41" s="12" t="s">
        <v>808</v>
      </c>
      <c r="BM41" s="12" t="s">
        <v>675</v>
      </c>
      <c r="BN41" s="12" t="s">
        <v>675</v>
      </c>
      <c r="BO41" s="12" t="s">
        <v>585</v>
      </c>
      <c r="BP41" s="12" t="s">
        <v>917</v>
      </c>
      <c r="BQ41" s="12" t="s">
        <v>971</v>
      </c>
      <c r="BR41" s="12" t="s">
        <v>718</v>
      </c>
      <c r="BS41" s="12" t="s">
        <v>633</v>
      </c>
      <c r="BT41" s="12" t="s">
        <v>975</v>
      </c>
      <c r="BU41" s="12" t="s">
        <v>859</v>
      </c>
      <c r="BV41" s="12" t="s">
        <v>862</v>
      </c>
      <c r="BW41" s="12" t="s">
        <v>1354</v>
      </c>
      <c r="BX41" s="12" t="s">
        <v>1487</v>
      </c>
      <c r="BY41" s="12" t="s">
        <v>1048</v>
      </c>
      <c r="BZ41" s="12" t="s">
        <v>1048</v>
      </c>
      <c r="CA41" s="12" t="s">
        <v>1488</v>
      </c>
      <c r="CB41" s="12" t="s">
        <v>1488</v>
      </c>
      <c r="CC41" s="12" t="s">
        <v>1489</v>
      </c>
      <c r="CD41" s="12" t="s">
        <v>1489</v>
      </c>
      <c r="CE41" s="12" t="s">
        <v>922</v>
      </c>
      <c r="CF41" s="12" t="s">
        <v>685</v>
      </c>
      <c r="CG41" s="12" t="s">
        <v>644</v>
      </c>
      <c r="CH41" s="12" t="s">
        <v>1363</v>
      </c>
      <c r="CI41" s="12" t="s">
        <v>1049</v>
      </c>
      <c r="CJ41" s="12" t="s">
        <v>1049</v>
      </c>
      <c r="CK41" s="12" t="s">
        <v>1049</v>
      </c>
      <c r="CL41" s="12" t="s">
        <v>1490</v>
      </c>
      <c r="CM41" s="12" t="s">
        <v>1490</v>
      </c>
      <c r="CN41" s="12" t="s">
        <v>1491</v>
      </c>
      <c r="CO41" s="12" t="s">
        <v>1492</v>
      </c>
      <c r="CP41" s="12" t="s">
        <v>1492</v>
      </c>
      <c r="CQ41" s="12" t="s">
        <v>1493</v>
      </c>
      <c r="CR41" s="12" t="s">
        <v>956</v>
      </c>
      <c r="CS41" s="12" t="s">
        <v>1494</v>
      </c>
      <c r="CT41" s="12" t="s">
        <v>1495</v>
      </c>
    </row>
    <row r="42" spans="1:98" hidden="1" x14ac:dyDescent="0.3">
      <c r="A42" s="12" t="s">
        <v>1496</v>
      </c>
      <c r="B42" s="12" t="s">
        <v>1435</v>
      </c>
      <c r="C42" s="12" t="s">
        <v>1497</v>
      </c>
      <c r="D42" s="12" t="s">
        <v>1498</v>
      </c>
      <c r="E42" s="12" t="s">
        <v>578</v>
      </c>
      <c r="F42" s="12" t="s">
        <v>578</v>
      </c>
      <c r="G42" s="12" t="s">
        <v>578</v>
      </c>
      <c r="H42" s="12" t="s">
        <v>578</v>
      </c>
      <c r="I42" s="12" t="s">
        <v>578</v>
      </c>
      <c r="J42" s="12" t="s">
        <v>578</v>
      </c>
      <c r="K42" s="12" t="s">
        <v>578</v>
      </c>
      <c r="L42" s="12" t="s">
        <v>578</v>
      </c>
      <c r="M42" s="12" t="s">
        <v>578</v>
      </c>
      <c r="N42" s="12" t="s">
        <v>578</v>
      </c>
      <c r="O42" s="12" t="s">
        <v>578</v>
      </c>
      <c r="P42" s="12" t="s">
        <v>578</v>
      </c>
      <c r="Q42" s="12" t="s">
        <v>578</v>
      </c>
      <c r="R42" s="12" t="s">
        <v>578</v>
      </c>
      <c r="S42" s="12" t="s">
        <v>578</v>
      </c>
      <c r="T42" s="12" t="s">
        <v>578</v>
      </c>
      <c r="U42" s="12" t="s">
        <v>578</v>
      </c>
      <c r="V42" s="12" t="s">
        <v>578</v>
      </c>
      <c r="W42" s="12" t="s">
        <v>578</v>
      </c>
      <c r="X42" s="12" t="s">
        <v>578</v>
      </c>
      <c r="Y42" s="12" t="s">
        <v>578</v>
      </c>
      <c r="Z42" s="12" t="s">
        <v>578</v>
      </c>
      <c r="AA42" s="12" t="s">
        <v>578</v>
      </c>
      <c r="AB42" s="12" t="s">
        <v>578</v>
      </c>
      <c r="AC42" s="12" t="s">
        <v>578</v>
      </c>
      <c r="AD42" s="12" t="s">
        <v>578</v>
      </c>
      <c r="AE42" s="12" t="s">
        <v>578</v>
      </c>
      <c r="AF42" s="12" t="s">
        <v>578</v>
      </c>
      <c r="AG42" s="12" t="s">
        <v>578</v>
      </c>
      <c r="AH42" s="12" t="s">
        <v>578</v>
      </c>
      <c r="AI42" s="12" t="s">
        <v>578</v>
      </c>
      <c r="AJ42" s="12" t="s">
        <v>578</v>
      </c>
      <c r="AK42" s="12" t="s">
        <v>578</v>
      </c>
      <c r="AL42" s="12" t="s">
        <v>578</v>
      </c>
      <c r="AM42" s="12" t="s">
        <v>578</v>
      </c>
      <c r="AN42" s="12" t="s">
        <v>578</v>
      </c>
      <c r="AO42" s="12" t="s">
        <v>578</v>
      </c>
      <c r="AP42" s="12" t="s">
        <v>578</v>
      </c>
      <c r="AQ42" s="12" t="s">
        <v>578</v>
      </c>
      <c r="AR42" s="12" t="s">
        <v>578</v>
      </c>
      <c r="AS42" s="12" t="s">
        <v>578</v>
      </c>
      <c r="AT42" s="12" t="s">
        <v>578</v>
      </c>
      <c r="AU42" s="12" t="s">
        <v>578</v>
      </c>
      <c r="AV42" s="12" t="s">
        <v>578</v>
      </c>
      <c r="AW42" s="12" t="s">
        <v>578</v>
      </c>
      <c r="AX42" s="12" t="s">
        <v>578</v>
      </c>
      <c r="AY42" s="12" t="s">
        <v>578</v>
      </c>
      <c r="AZ42" s="12" t="s">
        <v>578</v>
      </c>
      <c r="BA42" s="12" t="s">
        <v>578</v>
      </c>
      <c r="BB42" s="12" t="s">
        <v>579</v>
      </c>
      <c r="BC42" s="12" t="s">
        <v>579</v>
      </c>
      <c r="BD42" s="12" t="s">
        <v>579</v>
      </c>
      <c r="BE42" s="12" t="s">
        <v>579</v>
      </c>
      <c r="BF42" s="12" t="s">
        <v>623</v>
      </c>
      <c r="BG42" s="12" t="s">
        <v>851</v>
      </c>
      <c r="BH42" s="12" t="s">
        <v>755</v>
      </c>
      <c r="BI42" s="12" t="s">
        <v>583</v>
      </c>
      <c r="BJ42" s="12" t="s">
        <v>583</v>
      </c>
      <c r="BK42" s="12" t="s">
        <v>583</v>
      </c>
      <c r="BL42" s="12" t="s">
        <v>673</v>
      </c>
      <c r="BM42" s="12" t="s">
        <v>673</v>
      </c>
      <c r="BN42" s="12" t="s">
        <v>673</v>
      </c>
      <c r="BO42" s="12" t="s">
        <v>808</v>
      </c>
      <c r="BP42" s="12" t="s">
        <v>808</v>
      </c>
      <c r="BQ42" s="12" t="s">
        <v>627</v>
      </c>
      <c r="BR42" s="12" t="s">
        <v>768</v>
      </c>
      <c r="BS42" s="12" t="s">
        <v>630</v>
      </c>
      <c r="BT42" s="12" t="s">
        <v>973</v>
      </c>
      <c r="BU42" s="12" t="s">
        <v>770</v>
      </c>
      <c r="BV42" s="12" t="s">
        <v>634</v>
      </c>
      <c r="BW42" s="12" t="s">
        <v>1184</v>
      </c>
      <c r="BX42" s="12" t="s">
        <v>857</v>
      </c>
      <c r="BY42" s="12" t="s">
        <v>857</v>
      </c>
      <c r="BZ42" s="12" t="s">
        <v>857</v>
      </c>
      <c r="CA42" s="12" t="s">
        <v>978</v>
      </c>
      <c r="CB42" s="12" t="s">
        <v>862</v>
      </c>
      <c r="CC42" s="12" t="s">
        <v>864</v>
      </c>
      <c r="CD42" s="12" t="s">
        <v>864</v>
      </c>
      <c r="CE42" s="12" t="s">
        <v>1499</v>
      </c>
      <c r="CF42" s="12" t="s">
        <v>872</v>
      </c>
      <c r="CG42" s="12" t="s">
        <v>872</v>
      </c>
      <c r="CH42" s="12" t="s">
        <v>1353</v>
      </c>
      <c r="CI42" s="12" t="s">
        <v>1500</v>
      </c>
      <c r="CJ42" s="12" t="s">
        <v>1500</v>
      </c>
      <c r="CK42" s="12" t="s">
        <v>1417</v>
      </c>
      <c r="CL42" s="12" t="s">
        <v>1417</v>
      </c>
      <c r="CM42" s="12" t="s">
        <v>1417</v>
      </c>
      <c r="CN42" s="12" t="s">
        <v>1417</v>
      </c>
      <c r="CO42" s="12" t="s">
        <v>1501</v>
      </c>
      <c r="CP42" s="12" t="s">
        <v>1501</v>
      </c>
      <c r="CQ42" s="12" t="s">
        <v>1501</v>
      </c>
      <c r="CR42" s="12" t="s">
        <v>1501</v>
      </c>
      <c r="CS42" s="12" t="s">
        <v>1501</v>
      </c>
      <c r="CT42" s="12" t="s">
        <v>1501</v>
      </c>
    </row>
    <row r="43" spans="1:98" hidden="1" x14ac:dyDescent="0.3">
      <c r="A43" s="12" t="s">
        <v>1502</v>
      </c>
      <c r="B43" s="12" t="s">
        <v>1435</v>
      </c>
      <c r="C43" s="12" t="s">
        <v>1503</v>
      </c>
      <c r="D43" s="12" t="s">
        <v>1504</v>
      </c>
      <c r="E43" s="12" t="s">
        <v>578</v>
      </c>
      <c r="F43" s="12" t="s">
        <v>578</v>
      </c>
      <c r="G43" s="12" t="s">
        <v>578</v>
      </c>
      <c r="H43" s="12" t="s">
        <v>578</v>
      </c>
      <c r="I43" s="12" t="s">
        <v>578</v>
      </c>
      <c r="J43" s="12" t="s">
        <v>578</v>
      </c>
      <c r="K43" s="12" t="s">
        <v>578</v>
      </c>
      <c r="L43" s="12" t="s">
        <v>578</v>
      </c>
      <c r="M43" s="12" t="s">
        <v>578</v>
      </c>
      <c r="N43" s="12" t="s">
        <v>578</v>
      </c>
      <c r="O43" s="12" t="s">
        <v>578</v>
      </c>
      <c r="P43" s="12" t="s">
        <v>578</v>
      </c>
      <c r="Q43" s="12" t="s">
        <v>578</v>
      </c>
      <c r="R43" s="12" t="s">
        <v>578</v>
      </c>
      <c r="S43" s="12" t="s">
        <v>578</v>
      </c>
      <c r="T43" s="12" t="s">
        <v>578</v>
      </c>
      <c r="U43" s="12" t="s">
        <v>578</v>
      </c>
      <c r="V43" s="12" t="s">
        <v>578</v>
      </c>
      <c r="W43" s="12" t="s">
        <v>578</v>
      </c>
      <c r="X43" s="12" t="s">
        <v>578</v>
      </c>
      <c r="Y43" s="12" t="s">
        <v>578</v>
      </c>
      <c r="Z43" s="12" t="s">
        <v>578</v>
      </c>
      <c r="AA43" s="12" t="s">
        <v>578</v>
      </c>
      <c r="AB43" s="12" t="s">
        <v>578</v>
      </c>
      <c r="AC43" s="12" t="s">
        <v>578</v>
      </c>
      <c r="AD43" s="12" t="s">
        <v>578</v>
      </c>
      <c r="AE43" s="12" t="s">
        <v>578</v>
      </c>
      <c r="AF43" s="12" t="s">
        <v>578</v>
      </c>
      <c r="AG43" s="12" t="s">
        <v>578</v>
      </c>
      <c r="AH43" s="12" t="s">
        <v>578</v>
      </c>
      <c r="AI43" s="12" t="s">
        <v>578</v>
      </c>
      <c r="AJ43" s="12" t="s">
        <v>578</v>
      </c>
      <c r="AK43" s="12" t="s">
        <v>578</v>
      </c>
      <c r="AL43" s="12" t="s">
        <v>578</v>
      </c>
      <c r="AM43" s="12" t="s">
        <v>578</v>
      </c>
      <c r="AN43" s="12" t="s">
        <v>578</v>
      </c>
      <c r="AO43" s="12" t="s">
        <v>578</v>
      </c>
      <c r="AP43" s="12" t="s">
        <v>578</v>
      </c>
      <c r="AQ43" s="12" t="s">
        <v>578</v>
      </c>
      <c r="AR43" s="12" t="s">
        <v>578</v>
      </c>
      <c r="AS43" s="12" t="s">
        <v>578</v>
      </c>
      <c r="AT43" s="12" t="s">
        <v>578</v>
      </c>
      <c r="AU43" s="12" t="s">
        <v>578</v>
      </c>
      <c r="AV43" s="12" t="s">
        <v>578</v>
      </c>
      <c r="AW43" s="12" t="s">
        <v>578</v>
      </c>
      <c r="AX43" s="12" t="s">
        <v>578</v>
      </c>
      <c r="AY43" s="12" t="s">
        <v>578</v>
      </c>
      <c r="AZ43" s="12" t="s">
        <v>578</v>
      </c>
      <c r="BA43" s="12" t="s">
        <v>578</v>
      </c>
      <c r="BB43" s="12" t="s">
        <v>578</v>
      </c>
      <c r="BC43" s="12" t="s">
        <v>578</v>
      </c>
      <c r="BD43" s="12" t="s">
        <v>578</v>
      </c>
      <c r="BE43" s="12" t="s">
        <v>578</v>
      </c>
      <c r="BF43" s="12" t="s">
        <v>579</v>
      </c>
      <c r="BG43" s="12" t="s">
        <v>579</v>
      </c>
      <c r="BH43" s="12" t="s">
        <v>672</v>
      </c>
      <c r="BI43" s="12" t="s">
        <v>672</v>
      </c>
      <c r="BJ43" s="12" t="s">
        <v>672</v>
      </c>
      <c r="BK43" s="12" t="s">
        <v>580</v>
      </c>
      <c r="BL43" s="12" t="s">
        <v>851</v>
      </c>
      <c r="BM43" s="12" t="s">
        <v>761</v>
      </c>
      <c r="BN43" s="12" t="s">
        <v>587</v>
      </c>
      <c r="BO43" s="12" t="s">
        <v>917</v>
      </c>
      <c r="BP43" s="12" t="s">
        <v>917</v>
      </c>
      <c r="BQ43" s="12" t="s">
        <v>976</v>
      </c>
      <c r="BR43" s="12" t="s">
        <v>863</v>
      </c>
      <c r="BS43" s="12" t="s">
        <v>593</v>
      </c>
      <c r="BT43" s="12" t="s">
        <v>1356</v>
      </c>
      <c r="BU43" s="12" t="s">
        <v>1505</v>
      </c>
      <c r="BV43" s="12" t="s">
        <v>1185</v>
      </c>
      <c r="BW43" s="12" t="s">
        <v>1026</v>
      </c>
      <c r="BX43" s="12" t="s">
        <v>1263</v>
      </c>
      <c r="BY43" s="12" t="s">
        <v>984</v>
      </c>
      <c r="BZ43" s="12" t="s">
        <v>984</v>
      </c>
      <c r="CA43" s="12" t="s">
        <v>1489</v>
      </c>
      <c r="CB43" s="12" t="s">
        <v>1506</v>
      </c>
      <c r="CC43" s="12" t="s">
        <v>1127</v>
      </c>
      <c r="CD43" s="12" t="s">
        <v>1127</v>
      </c>
      <c r="CE43" s="12" t="s">
        <v>1507</v>
      </c>
      <c r="CF43" s="12" t="s">
        <v>1209</v>
      </c>
      <c r="CG43" s="12" t="s">
        <v>1508</v>
      </c>
      <c r="CH43" s="12" t="s">
        <v>1363</v>
      </c>
      <c r="CI43" s="12" t="s">
        <v>1509</v>
      </c>
      <c r="CJ43" s="12" t="s">
        <v>1509</v>
      </c>
      <c r="CK43" s="12" t="s">
        <v>1510</v>
      </c>
      <c r="CL43" s="12" t="s">
        <v>1511</v>
      </c>
      <c r="CM43" s="12" t="s">
        <v>1128</v>
      </c>
      <c r="CN43" s="12" t="s">
        <v>956</v>
      </c>
      <c r="CO43" s="12" t="s">
        <v>956</v>
      </c>
      <c r="CP43" s="12" t="s">
        <v>956</v>
      </c>
      <c r="CQ43" s="12" t="s">
        <v>956</v>
      </c>
      <c r="CR43" s="12" t="s">
        <v>1128</v>
      </c>
      <c r="CS43" s="12" t="s">
        <v>1128</v>
      </c>
      <c r="CT43" s="12" t="s">
        <v>1128</v>
      </c>
    </row>
    <row r="44" spans="1:98" hidden="1" x14ac:dyDescent="0.3">
      <c r="A44" s="12" t="s">
        <v>1512</v>
      </c>
      <c r="B44" s="12" t="s">
        <v>1435</v>
      </c>
      <c r="C44" s="12" t="s">
        <v>1513</v>
      </c>
      <c r="D44" s="12" t="s">
        <v>1514</v>
      </c>
      <c r="E44" s="12" t="s">
        <v>578</v>
      </c>
      <c r="F44" s="12" t="s">
        <v>578</v>
      </c>
      <c r="G44" s="12" t="s">
        <v>578</v>
      </c>
      <c r="H44" s="12" t="s">
        <v>578</v>
      </c>
      <c r="I44" s="12" t="s">
        <v>578</v>
      </c>
      <c r="J44" s="12" t="s">
        <v>578</v>
      </c>
      <c r="K44" s="12" t="s">
        <v>578</v>
      </c>
      <c r="L44" s="12" t="s">
        <v>578</v>
      </c>
      <c r="M44" s="12" t="s">
        <v>578</v>
      </c>
      <c r="N44" s="12" t="s">
        <v>578</v>
      </c>
      <c r="O44" s="12" t="s">
        <v>578</v>
      </c>
      <c r="P44" s="12" t="s">
        <v>578</v>
      </c>
      <c r="Q44" s="12" t="s">
        <v>578</v>
      </c>
      <c r="R44" s="12" t="s">
        <v>578</v>
      </c>
      <c r="S44" s="12" t="s">
        <v>578</v>
      </c>
      <c r="T44" s="12" t="s">
        <v>578</v>
      </c>
      <c r="U44" s="12" t="s">
        <v>578</v>
      </c>
      <c r="V44" s="12" t="s">
        <v>578</v>
      </c>
      <c r="W44" s="12" t="s">
        <v>578</v>
      </c>
      <c r="X44" s="12" t="s">
        <v>578</v>
      </c>
      <c r="Y44" s="12" t="s">
        <v>578</v>
      </c>
      <c r="Z44" s="12" t="s">
        <v>578</v>
      </c>
      <c r="AA44" s="12" t="s">
        <v>578</v>
      </c>
      <c r="AB44" s="12" t="s">
        <v>578</v>
      </c>
      <c r="AC44" s="12" t="s">
        <v>578</v>
      </c>
      <c r="AD44" s="12" t="s">
        <v>578</v>
      </c>
      <c r="AE44" s="12" t="s">
        <v>578</v>
      </c>
      <c r="AF44" s="12" t="s">
        <v>578</v>
      </c>
      <c r="AG44" s="12" t="s">
        <v>578</v>
      </c>
      <c r="AH44" s="12" t="s">
        <v>578</v>
      </c>
      <c r="AI44" s="12" t="s">
        <v>578</v>
      </c>
      <c r="AJ44" s="12" t="s">
        <v>578</v>
      </c>
      <c r="AK44" s="12" t="s">
        <v>578</v>
      </c>
      <c r="AL44" s="12" t="s">
        <v>578</v>
      </c>
      <c r="AM44" s="12" t="s">
        <v>578</v>
      </c>
      <c r="AN44" s="12" t="s">
        <v>578</v>
      </c>
      <c r="AO44" s="12" t="s">
        <v>578</v>
      </c>
      <c r="AP44" s="12" t="s">
        <v>578</v>
      </c>
      <c r="AQ44" s="12" t="s">
        <v>578</v>
      </c>
      <c r="AR44" s="12" t="s">
        <v>578</v>
      </c>
      <c r="AS44" s="12" t="s">
        <v>578</v>
      </c>
      <c r="AT44" s="12" t="s">
        <v>578</v>
      </c>
      <c r="AU44" s="12" t="s">
        <v>578</v>
      </c>
      <c r="AV44" s="12" t="s">
        <v>578</v>
      </c>
      <c r="AW44" s="12" t="s">
        <v>578</v>
      </c>
      <c r="AX44" s="12" t="s">
        <v>578</v>
      </c>
      <c r="AY44" s="12" t="s">
        <v>578</v>
      </c>
      <c r="AZ44" s="12" t="s">
        <v>578</v>
      </c>
      <c r="BA44" s="12" t="s">
        <v>578</v>
      </c>
      <c r="BB44" s="12" t="s">
        <v>578</v>
      </c>
      <c r="BC44" s="12" t="s">
        <v>578</v>
      </c>
      <c r="BD44" s="12" t="s">
        <v>578</v>
      </c>
      <c r="BE44" s="12" t="s">
        <v>578</v>
      </c>
      <c r="BF44" s="12" t="s">
        <v>578</v>
      </c>
      <c r="BG44" s="12" t="s">
        <v>581</v>
      </c>
      <c r="BH44" s="12" t="s">
        <v>582</v>
      </c>
      <c r="BI44" s="12" t="s">
        <v>625</v>
      </c>
      <c r="BJ44" s="12" t="s">
        <v>756</v>
      </c>
      <c r="BK44" s="12" t="s">
        <v>762</v>
      </c>
      <c r="BL44" s="12" t="s">
        <v>585</v>
      </c>
      <c r="BM44" s="12" t="s">
        <v>869</v>
      </c>
      <c r="BN44" s="12" t="s">
        <v>1046</v>
      </c>
      <c r="BO44" s="12" t="s">
        <v>630</v>
      </c>
      <c r="BP44" s="12" t="s">
        <v>770</v>
      </c>
      <c r="BQ44" s="12" t="s">
        <v>1120</v>
      </c>
      <c r="BR44" s="12" t="s">
        <v>682</v>
      </c>
      <c r="BS44" s="12" t="s">
        <v>592</v>
      </c>
      <c r="BT44" s="12" t="s">
        <v>980</v>
      </c>
      <c r="BU44" s="12" t="s">
        <v>1354</v>
      </c>
      <c r="BV44" s="12" t="s">
        <v>1515</v>
      </c>
      <c r="BW44" s="12" t="s">
        <v>1516</v>
      </c>
      <c r="BX44" s="12" t="s">
        <v>1422</v>
      </c>
      <c r="BY44" s="12" t="s">
        <v>987</v>
      </c>
      <c r="BZ44" s="12" t="s">
        <v>1517</v>
      </c>
      <c r="CA44" s="12" t="s">
        <v>1494</v>
      </c>
      <c r="CB44" s="12" t="s">
        <v>1364</v>
      </c>
      <c r="CC44" s="12" t="s">
        <v>1518</v>
      </c>
      <c r="CD44" s="12" t="s">
        <v>1518</v>
      </c>
      <c r="CE44" s="12" t="s">
        <v>1519</v>
      </c>
      <c r="CF44" s="12" t="s">
        <v>820</v>
      </c>
      <c r="CG44" s="12" t="s">
        <v>733</v>
      </c>
      <c r="CH44" s="12" t="s">
        <v>1520</v>
      </c>
      <c r="CI44" s="12" t="s">
        <v>1521</v>
      </c>
      <c r="CJ44" s="12" t="s">
        <v>1038</v>
      </c>
      <c r="CK44" s="12" t="s">
        <v>1373</v>
      </c>
      <c r="CL44" s="12" t="s">
        <v>1285</v>
      </c>
      <c r="CM44" s="12" t="s">
        <v>1522</v>
      </c>
      <c r="CN44" s="12" t="s">
        <v>1523</v>
      </c>
      <c r="CO44" s="12" t="s">
        <v>1379</v>
      </c>
      <c r="CP44" s="12" t="s">
        <v>1524</v>
      </c>
      <c r="CQ44" s="12" t="s">
        <v>1525</v>
      </c>
      <c r="CR44" s="12" t="s">
        <v>1526</v>
      </c>
      <c r="CS44" s="12" t="s">
        <v>1527</v>
      </c>
      <c r="CT44" s="12" t="s">
        <v>1483</v>
      </c>
    </row>
    <row r="45" spans="1:98" hidden="1" x14ac:dyDescent="0.3">
      <c r="A45" s="12" t="s">
        <v>1528</v>
      </c>
      <c r="B45" s="12" t="s">
        <v>1435</v>
      </c>
      <c r="C45" s="12" t="s">
        <v>1529</v>
      </c>
      <c r="D45" s="12" t="s">
        <v>1530</v>
      </c>
      <c r="E45" s="12" t="s">
        <v>578</v>
      </c>
      <c r="F45" s="12" t="s">
        <v>578</v>
      </c>
      <c r="G45" s="12" t="s">
        <v>578</v>
      </c>
      <c r="H45" s="12" t="s">
        <v>578</v>
      </c>
      <c r="I45" s="12" t="s">
        <v>579</v>
      </c>
      <c r="J45" s="12" t="s">
        <v>579</v>
      </c>
      <c r="K45" s="12" t="s">
        <v>579</v>
      </c>
      <c r="L45" s="12" t="s">
        <v>579</v>
      </c>
      <c r="M45" s="12" t="s">
        <v>579</v>
      </c>
      <c r="N45" s="12" t="s">
        <v>672</v>
      </c>
      <c r="O45" s="12" t="s">
        <v>672</v>
      </c>
      <c r="P45" s="12" t="s">
        <v>672</v>
      </c>
      <c r="Q45" s="12" t="s">
        <v>672</v>
      </c>
      <c r="R45" s="12" t="s">
        <v>672</v>
      </c>
      <c r="S45" s="12" t="s">
        <v>672</v>
      </c>
      <c r="T45" s="12" t="s">
        <v>672</v>
      </c>
      <c r="U45" s="12" t="s">
        <v>672</v>
      </c>
      <c r="V45" s="12" t="s">
        <v>672</v>
      </c>
      <c r="W45" s="12" t="s">
        <v>672</v>
      </c>
      <c r="X45" s="12" t="s">
        <v>672</v>
      </c>
      <c r="Y45" s="12" t="s">
        <v>672</v>
      </c>
      <c r="Z45" s="12" t="s">
        <v>672</v>
      </c>
      <c r="AA45" s="12" t="s">
        <v>672</v>
      </c>
      <c r="AB45" s="12" t="s">
        <v>672</v>
      </c>
      <c r="AC45" s="12" t="s">
        <v>672</v>
      </c>
      <c r="AD45" s="12" t="s">
        <v>672</v>
      </c>
      <c r="AE45" s="12" t="s">
        <v>672</v>
      </c>
      <c r="AF45" s="12" t="s">
        <v>672</v>
      </c>
      <c r="AG45" s="12" t="s">
        <v>672</v>
      </c>
      <c r="AH45" s="12" t="s">
        <v>672</v>
      </c>
      <c r="AI45" s="12" t="s">
        <v>672</v>
      </c>
      <c r="AJ45" s="12" t="s">
        <v>672</v>
      </c>
      <c r="AK45" s="12" t="s">
        <v>672</v>
      </c>
      <c r="AL45" s="12" t="s">
        <v>580</v>
      </c>
      <c r="AM45" s="12" t="s">
        <v>580</v>
      </c>
      <c r="AN45" s="12" t="s">
        <v>580</v>
      </c>
      <c r="AO45" s="12" t="s">
        <v>851</v>
      </c>
      <c r="AP45" s="12" t="s">
        <v>851</v>
      </c>
      <c r="AQ45" s="12" t="s">
        <v>583</v>
      </c>
      <c r="AR45" s="12" t="s">
        <v>762</v>
      </c>
      <c r="AS45" s="12" t="s">
        <v>808</v>
      </c>
      <c r="AT45" s="12" t="s">
        <v>675</v>
      </c>
      <c r="AU45" s="12" t="s">
        <v>675</v>
      </c>
      <c r="AV45" s="12" t="s">
        <v>586</v>
      </c>
      <c r="AW45" s="12" t="s">
        <v>757</v>
      </c>
      <c r="AX45" s="12" t="s">
        <v>869</v>
      </c>
      <c r="AY45" s="12" t="s">
        <v>953</v>
      </c>
      <c r="AZ45" s="12" t="s">
        <v>767</v>
      </c>
      <c r="BA45" s="12" t="s">
        <v>971</v>
      </c>
      <c r="BB45" s="12" t="s">
        <v>1046</v>
      </c>
      <c r="BC45" s="12" t="s">
        <v>629</v>
      </c>
      <c r="BD45" s="12" t="s">
        <v>589</v>
      </c>
      <c r="BE45" s="12" t="s">
        <v>771</v>
      </c>
      <c r="BF45" s="12" t="s">
        <v>637</v>
      </c>
      <c r="BG45" s="12" t="s">
        <v>1531</v>
      </c>
      <c r="BH45" s="12" t="s">
        <v>1532</v>
      </c>
      <c r="BI45" s="12" t="s">
        <v>922</v>
      </c>
      <c r="BJ45" s="12" t="s">
        <v>956</v>
      </c>
      <c r="BK45" s="12" t="s">
        <v>728</v>
      </c>
      <c r="BL45" s="12" t="s">
        <v>650</v>
      </c>
      <c r="BM45" s="12" t="s">
        <v>1533</v>
      </c>
      <c r="BN45" s="12" t="s">
        <v>1371</v>
      </c>
      <c r="BO45" s="12" t="s">
        <v>1534</v>
      </c>
      <c r="BP45" s="12" t="s">
        <v>1139</v>
      </c>
      <c r="BQ45" s="12" t="s">
        <v>1291</v>
      </c>
      <c r="BR45" s="12" t="s">
        <v>1535</v>
      </c>
      <c r="BS45" s="12" t="s">
        <v>1536</v>
      </c>
      <c r="BT45" s="12" t="s">
        <v>1537</v>
      </c>
      <c r="BU45" s="12" t="s">
        <v>1538</v>
      </c>
      <c r="BV45" s="12" t="s">
        <v>1539</v>
      </c>
      <c r="BW45" s="12" t="s">
        <v>1540</v>
      </c>
      <c r="BX45" s="12" t="s">
        <v>1541</v>
      </c>
      <c r="BY45" s="12" t="s">
        <v>1542</v>
      </c>
      <c r="BZ45" s="12" t="s">
        <v>1543</v>
      </c>
      <c r="CA45" s="12" t="s">
        <v>1544</v>
      </c>
      <c r="CB45" s="12" t="s">
        <v>1545</v>
      </c>
      <c r="CC45" s="12" t="s">
        <v>1546</v>
      </c>
      <c r="CD45" s="12" t="s">
        <v>1547</v>
      </c>
      <c r="CE45" s="12" t="s">
        <v>1548</v>
      </c>
      <c r="CF45" s="12" t="s">
        <v>1549</v>
      </c>
      <c r="CG45" s="12" t="s">
        <v>1550</v>
      </c>
      <c r="CH45" s="12" t="s">
        <v>1551</v>
      </c>
      <c r="CI45" s="12" t="s">
        <v>244</v>
      </c>
      <c r="CJ45" s="12" t="s">
        <v>1552</v>
      </c>
      <c r="CK45" s="12" t="s">
        <v>1553</v>
      </c>
      <c r="CL45" s="12" t="s">
        <v>1554</v>
      </c>
      <c r="CM45" s="12" t="s">
        <v>1555</v>
      </c>
      <c r="CN45" s="12" t="s">
        <v>1556</v>
      </c>
      <c r="CO45" s="12" t="s">
        <v>1557</v>
      </c>
      <c r="CP45" s="12" t="s">
        <v>1558</v>
      </c>
      <c r="CQ45" s="12" t="s">
        <v>1559</v>
      </c>
      <c r="CR45" s="12" t="s">
        <v>1560</v>
      </c>
      <c r="CS45" s="12" t="s">
        <v>1561</v>
      </c>
      <c r="CT45" s="12" t="s">
        <v>1562</v>
      </c>
    </row>
    <row r="46" spans="1:98" hidden="1" x14ac:dyDescent="0.3">
      <c r="A46" s="12" t="s">
        <v>1563</v>
      </c>
      <c r="B46" s="12" t="s">
        <v>1435</v>
      </c>
      <c r="C46" s="12" t="s">
        <v>1564</v>
      </c>
      <c r="D46" s="12" t="s">
        <v>1565</v>
      </c>
      <c r="E46" s="12" t="s">
        <v>578</v>
      </c>
      <c r="F46" s="12" t="s">
        <v>578</v>
      </c>
      <c r="G46" s="12" t="s">
        <v>578</v>
      </c>
      <c r="H46" s="12" t="s">
        <v>578</v>
      </c>
      <c r="I46" s="12" t="s">
        <v>578</v>
      </c>
      <c r="J46" s="12" t="s">
        <v>578</v>
      </c>
      <c r="K46" s="12" t="s">
        <v>578</v>
      </c>
      <c r="L46" s="12" t="s">
        <v>578</v>
      </c>
      <c r="M46" s="12" t="s">
        <v>578</v>
      </c>
      <c r="N46" s="12" t="s">
        <v>578</v>
      </c>
      <c r="O46" s="12" t="s">
        <v>578</v>
      </c>
      <c r="P46" s="12" t="s">
        <v>578</v>
      </c>
      <c r="Q46" s="12" t="s">
        <v>578</v>
      </c>
      <c r="R46" s="12" t="s">
        <v>578</v>
      </c>
      <c r="S46" s="12" t="s">
        <v>578</v>
      </c>
      <c r="T46" s="12" t="s">
        <v>578</v>
      </c>
      <c r="U46" s="12" t="s">
        <v>578</v>
      </c>
      <c r="V46" s="12" t="s">
        <v>578</v>
      </c>
      <c r="W46" s="12" t="s">
        <v>578</v>
      </c>
      <c r="X46" s="12" t="s">
        <v>578</v>
      </c>
      <c r="Y46" s="12" t="s">
        <v>578</v>
      </c>
      <c r="Z46" s="12" t="s">
        <v>578</v>
      </c>
      <c r="AA46" s="12" t="s">
        <v>578</v>
      </c>
      <c r="AB46" s="12" t="s">
        <v>578</v>
      </c>
      <c r="AC46" s="12" t="s">
        <v>578</v>
      </c>
      <c r="AD46" s="12" t="s">
        <v>578</v>
      </c>
      <c r="AE46" s="12" t="s">
        <v>578</v>
      </c>
      <c r="AF46" s="12" t="s">
        <v>578</v>
      </c>
      <c r="AG46" s="12" t="s">
        <v>578</v>
      </c>
      <c r="AH46" s="12" t="s">
        <v>578</v>
      </c>
      <c r="AI46" s="12" t="s">
        <v>578</v>
      </c>
      <c r="AJ46" s="12" t="s">
        <v>578</v>
      </c>
      <c r="AK46" s="12" t="s">
        <v>578</v>
      </c>
      <c r="AL46" s="12" t="s">
        <v>578</v>
      </c>
      <c r="AM46" s="12" t="s">
        <v>578</v>
      </c>
      <c r="AN46" s="12" t="s">
        <v>578</v>
      </c>
      <c r="AO46" s="12" t="s">
        <v>578</v>
      </c>
      <c r="AP46" s="12" t="s">
        <v>578</v>
      </c>
      <c r="AQ46" s="12" t="s">
        <v>578</v>
      </c>
      <c r="AR46" s="12" t="s">
        <v>578</v>
      </c>
      <c r="AS46" s="12" t="s">
        <v>578</v>
      </c>
      <c r="AT46" s="12" t="s">
        <v>578</v>
      </c>
      <c r="AU46" s="12" t="s">
        <v>578</v>
      </c>
      <c r="AV46" s="12" t="s">
        <v>578</v>
      </c>
      <c r="AW46" s="12" t="s">
        <v>578</v>
      </c>
      <c r="AX46" s="12" t="s">
        <v>578</v>
      </c>
      <c r="AY46" s="12" t="s">
        <v>578</v>
      </c>
      <c r="AZ46" s="12" t="s">
        <v>578</v>
      </c>
      <c r="BA46" s="12" t="s">
        <v>578</v>
      </c>
      <c r="BB46" s="12" t="s">
        <v>578</v>
      </c>
      <c r="BC46" s="12" t="s">
        <v>578</v>
      </c>
      <c r="BD46" s="12" t="s">
        <v>578</v>
      </c>
      <c r="BE46" s="12" t="s">
        <v>578</v>
      </c>
      <c r="BF46" s="12" t="s">
        <v>579</v>
      </c>
      <c r="BG46" s="12" t="s">
        <v>579</v>
      </c>
      <c r="BH46" s="12" t="s">
        <v>579</v>
      </c>
      <c r="BI46" s="12" t="s">
        <v>579</v>
      </c>
      <c r="BJ46" s="12" t="s">
        <v>623</v>
      </c>
      <c r="BK46" s="12" t="s">
        <v>623</v>
      </c>
      <c r="BL46" s="12" t="s">
        <v>623</v>
      </c>
      <c r="BM46" s="12" t="s">
        <v>672</v>
      </c>
      <c r="BN46" s="12" t="s">
        <v>672</v>
      </c>
      <c r="BO46" s="12" t="s">
        <v>672</v>
      </c>
      <c r="BP46" s="12" t="s">
        <v>581</v>
      </c>
      <c r="BQ46" s="12" t="s">
        <v>581</v>
      </c>
      <c r="BR46" s="12" t="s">
        <v>761</v>
      </c>
      <c r="BS46" s="12" t="s">
        <v>583</v>
      </c>
      <c r="BT46" s="12" t="s">
        <v>583</v>
      </c>
      <c r="BU46" s="12" t="s">
        <v>808</v>
      </c>
      <c r="BV46" s="12" t="s">
        <v>585</v>
      </c>
      <c r="BW46" s="12" t="s">
        <v>585</v>
      </c>
      <c r="BX46" s="12" t="s">
        <v>586</v>
      </c>
      <c r="BY46" s="12" t="s">
        <v>586</v>
      </c>
      <c r="BZ46" s="12" t="s">
        <v>586</v>
      </c>
      <c r="CA46" s="12" t="s">
        <v>586</v>
      </c>
      <c r="CB46" s="12" t="s">
        <v>586</v>
      </c>
      <c r="CC46" s="12" t="s">
        <v>586</v>
      </c>
      <c r="CD46" s="12" t="s">
        <v>757</v>
      </c>
      <c r="CE46" s="12" t="s">
        <v>757</v>
      </c>
      <c r="CF46" s="12" t="s">
        <v>757</v>
      </c>
      <c r="CG46" s="12" t="s">
        <v>757</v>
      </c>
      <c r="CH46" s="12" t="s">
        <v>757</v>
      </c>
      <c r="CI46" s="12" t="s">
        <v>757</v>
      </c>
      <c r="CJ46" s="12" t="s">
        <v>757</v>
      </c>
      <c r="CK46" s="12" t="s">
        <v>676</v>
      </c>
      <c r="CL46" s="12" t="s">
        <v>676</v>
      </c>
      <c r="CM46" s="12" t="s">
        <v>676</v>
      </c>
      <c r="CN46" s="12" t="s">
        <v>676</v>
      </c>
      <c r="CO46" s="12" t="s">
        <v>676</v>
      </c>
      <c r="CP46" s="12" t="s">
        <v>676</v>
      </c>
      <c r="CQ46" s="12" t="s">
        <v>676</v>
      </c>
      <c r="CR46" s="12" t="s">
        <v>676</v>
      </c>
      <c r="CS46" s="12" t="s">
        <v>676</v>
      </c>
      <c r="CT46" s="12" t="s">
        <v>676</v>
      </c>
    </row>
    <row r="47" spans="1:98" hidden="1" x14ac:dyDescent="0.3">
      <c r="A47" s="12" t="s">
        <v>1566</v>
      </c>
      <c r="B47" s="12" t="s">
        <v>1435</v>
      </c>
      <c r="C47" s="12" t="s">
        <v>1567</v>
      </c>
      <c r="D47" s="12" t="s">
        <v>1568</v>
      </c>
      <c r="E47" s="12" t="s">
        <v>578</v>
      </c>
      <c r="F47" s="12" t="s">
        <v>578</v>
      </c>
      <c r="G47" s="12" t="s">
        <v>578</v>
      </c>
      <c r="H47" s="12" t="s">
        <v>578</v>
      </c>
      <c r="I47" s="12" t="s">
        <v>578</v>
      </c>
      <c r="J47" s="12" t="s">
        <v>578</v>
      </c>
      <c r="K47" s="12" t="s">
        <v>578</v>
      </c>
      <c r="L47" s="12" t="s">
        <v>578</v>
      </c>
      <c r="M47" s="12" t="s">
        <v>578</v>
      </c>
      <c r="N47" s="12" t="s">
        <v>578</v>
      </c>
      <c r="O47" s="12" t="s">
        <v>578</v>
      </c>
      <c r="P47" s="12" t="s">
        <v>578</v>
      </c>
      <c r="Q47" s="12" t="s">
        <v>578</v>
      </c>
      <c r="R47" s="12" t="s">
        <v>578</v>
      </c>
      <c r="S47" s="12" t="s">
        <v>578</v>
      </c>
      <c r="T47" s="12" t="s">
        <v>578</v>
      </c>
      <c r="U47" s="12" t="s">
        <v>578</v>
      </c>
      <c r="V47" s="12" t="s">
        <v>578</v>
      </c>
      <c r="W47" s="12" t="s">
        <v>578</v>
      </c>
      <c r="X47" s="12" t="s">
        <v>578</v>
      </c>
      <c r="Y47" s="12" t="s">
        <v>578</v>
      </c>
      <c r="Z47" s="12" t="s">
        <v>578</v>
      </c>
      <c r="AA47" s="12" t="s">
        <v>578</v>
      </c>
      <c r="AB47" s="12" t="s">
        <v>578</v>
      </c>
      <c r="AC47" s="12" t="s">
        <v>578</v>
      </c>
      <c r="AD47" s="12" t="s">
        <v>578</v>
      </c>
      <c r="AE47" s="12" t="s">
        <v>578</v>
      </c>
      <c r="AF47" s="12" t="s">
        <v>578</v>
      </c>
      <c r="AG47" s="12" t="s">
        <v>578</v>
      </c>
      <c r="AH47" s="12" t="s">
        <v>578</v>
      </c>
      <c r="AI47" s="12" t="s">
        <v>578</v>
      </c>
      <c r="AJ47" s="12" t="s">
        <v>578</v>
      </c>
      <c r="AK47" s="12" t="s">
        <v>578</v>
      </c>
      <c r="AL47" s="12" t="s">
        <v>578</v>
      </c>
      <c r="AM47" s="12" t="s">
        <v>578</v>
      </c>
      <c r="AN47" s="12" t="s">
        <v>578</v>
      </c>
      <c r="AO47" s="12" t="s">
        <v>578</v>
      </c>
      <c r="AP47" s="12" t="s">
        <v>579</v>
      </c>
      <c r="AQ47" s="12" t="s">
        <v>579</v>
      </c>
      <c r="AR47" s="12" t="s">
        <v>579</v>
      </c>
      <c r="AS47" s="12" t="s">
        <v>579</v>
      </c>
      <c r="AT47" s="12" t="s">
        <v>579</v>
      </c>
      <c r="AU47" s="12" t="s">
        <v>579</v>
      </c>
      <c r="AV47" s="12" t="s">
        <v>623</v>
      </c>
      <c r="AW47" s="12" t="s">
        <v>623</v>
      </c>
      <c r="AX47" s="12" t="s">
        <v>672</v>
      </c>
      <c r="AY47" s="12" t="s">
        <v>580</v>
      </c>
      <c r="AZ47" s="12" t="s">
        <v>580</v>
      </c>
      <c r="BA47" s="12" t="s">
        <v>580</v>
      </c>
      <c r="BB47" s="12" t="s">
        <v>755</v>
      </c>
      <c r="BC47" s="12" t="s">
        <v>761</v>
      </c>
      <c r="BD47" s="12" t="s">
        <v>673</v>
      </c>
      <c r="BE47" s="12" t="s">
        <v>673</v>
      </c>
      <c r="BF47" s="12" t="s">
        <v>587</v>
      </c>
      <c r="BG47" s="12" t="s">
        <v>954</v>
      </c>
      <c r="BH47" s="12" t="s">
        <v>589</v>
      </c>
      <c r="BI47" s="12" t="s">
        <v>591</v>
      </c>
      <c r="BJ47" s="12" t="s">
        <v>993</v>
      </c>
      <c r="BK47" s="12" t="s">
        <v>683</v>
      </c>
      <c r="BL47" s="12" t="s">
        <v>1569</v>
      </c>
      <c r="BM47" s="12" t="s">
        <v>1570</v>
      </c>
      <c r="BN47" s="12" t="s">
        <v>1571</v>
      </c>
      <c r="BO47" s="12" t="s">
        <v>834</v>
      </c>
      <c r="BP47" s="12" t="s">
        <v>1302</v>
      </c>
      <c r="BQ47" s="12" t="s">
        <v>1572</v>
      </c>
      <c r="BR47" s="12" t="s">
        <v>1573</v>
      </c>
      <c r="BS47" s="12" t="s">
        <v>1574</v>
      </c>
      <c r="BT47" s="12" t="s">
        <v>1575</v>
      </c>
      <c r="BU47" s="12" t="s">
        <v>1576</v>
      </c>
      <c r="BV47" s="12" t="s">
        <v>1577</v>
      </c>
      <c r="BW47" s="12" t="s">
        <v>1578</v>
      </c>
      <c r="BX47" s="12" t="s">
        <v>1579</v>
      </c>
      <c r="BY47" s="12" t="s">
        <v>1580</v>
      </c>
      <c r="BZ47" s="12" t="s">
        <v>1580</v>
      </c>
      <c r="CA47" s="12" t="s">
        <v>1581</v>
      </c>
      <c r="CB47" s="12" t="s">
        <v>1582</v>
      </c>
      <c r="CC47" s="12" t="s">
        <v>1583</v>
      </c>
      <c r="CD47" s="12" t="s">
        <v>1584</v>
      </c>
      <c r="CE47" s="12" t="s">
        <v>1585</v>
      </c>
      <c r="CF47" s="12" t="s">
        <v>1586</v>
      </c>
      <c r="CG47" s="12" t="s">
        <v>1587</v>
      </c>
      <c r="CH47" s="12" t="s">
        <v>1588</v>
      </c>
      <c r="CI47" s="12" t="s">
        <v>1589</v>
      </c>
      <c r="CJ47" s="12" t="s">
        <v>1590</v>
      </c>
      <c r="CK47" s="12" t="s">
        <v>1591</v>
      </c>
      <c r="CL47" s="12" t="s">
        <v>1592</v>
      </c>
      <c r="CM47" s="12" t="s">
        <v>1593</v>
      </c>
      <c r="CN47" s="12" t="s">
        <v>1594</v>
      </c>
      <c r="CO47" s="12" t="s">
        <v>1595</v>
      </c>
      <c r="CP47" s="12" t="s">
        <v>1596</v>
      </c>
      <c r="CQ47" s="12" t="s">
        <v>1597</v>
      </c>
      <c r="CR47" s="12" t="s">
        <v>1598</v>
      </c>
      <c r="CS47" s="12" t="s">
        <v>1599</v>
      </c>
      <c r="CT47" s="12" t="s">
        <v>1600</v>
      </c>
    </row>
    <row r="48" spans="1:98" hidden="1" x14ac:dyDescent="0.3">
      <c r="A48" s="12" t="s">
        <v>1601</v>
      </c>
      <c r="B48" s="12" t="s">
        <v>1435</v>
      </c>
      <c r="C48" s="12" t="s">
        <v>1567</v>
      </c>
      <c r="D48" s="12" t="s">
        <v>1602</v>
      </c>
      <c r="E48" s="12" t="s">
        <v>578</v>
      </c>
      <c r="F48" s="12" t="s">
        <v>578</v>
      </c>
      <c r="G48" s="12" t="s">
        <v>578</v>
      </c>
      <c r="H48" s="12" t="s">
        <v>578</v>
      </c>
      <c r="I48" s="12" t="s">
        <v>578</v>
      </c>
      <c r="J48" s="12" t="s">
        <v>578</v>
      </c>
      <c r="K48" s="12" t="s">
        <v>578</v>
      </c>
      <c r="L48" s="12" t="s">
        <v>578</v>
      </c>
      <c r="M48" s="12" t="s">
        <v>578</v>
      </c>
      <c r="N48" s="12" t="s">
        <v>578</v>
      </c>
      <c r="O48" s="12" t="s">
        <v>578</v>
      </c>
      <c r="P48" s="12" t="s">
        <v>578</v>
      </c>
      <c r="Q48" s="12" t="s">
        <v>578</v>
      </c>
      <c r="R48" s="12" t="s">
        <v>578</v>
      </c>
      <c r="S48" s="12" t="s">
        <v>578</v>
      </c>
      <c r="T48" s="12" t="s">
        <v>578</v>
      </c>
      <c r="U48" s="12" t="s">
        <v>578</v>
      </c>
      <c r="V48" s="12" t="s">
        <v>578</v>
      </c>
      <c r="W48" s="12" t="s">
        <v>578</v>
      </c>
      <c r="X48" s="12" t="s">
        <v>578</v>
      </c>
      <c r="Y48" s="12" t="s">
        <v>578</v>
      </c>
      <c r="Z48" s="12" t="s">
        <v>578</v>
      </c>
      <c r="AA48" s="12" t="s">
        <v>578</v>
      </c>
      <c r="AB48" s="12" t="s">
        <v>578</v>
      </c>
      <c r="AC48" s="12" t="s">
        <v>578</v>
      </c>
      <c r="AD48" s="12" t="s">
        <v>578</v>
      </c>
      <c r="AE48" s="12" t="s">
        <v>578</v>
      </c>
      <c r="AF48" s="12" t="s">
        <v>578</v>
      </c>
      <c r="AG48" s="12" t="s">
        <v>578</v>
      </c>
      <c r="AH48" s="12" t="s">
        <v>578</v>
      </c>
      <c r="AI48" s="12" t="s">
        <v>578</v>
      </c>
      <c r="AJ48" s="12" t="s">
        <v>578</v>
      </c>
      <c r="AK48" s="12" t="s">
        <v>578</v>
      </c>
      <c r="AL48" s="12" t="s">
        <v>578</v>
      </c>
      <c r="AM48" s="12" t="s">
        <v>578</v>
      </c>
      <c r="AN48" s="12" t="s">
        <v>578</v>
      </c>
      <c r="AO48" s="12" t="s">
        <v>578</v>
      </c>
      <c r="AP48" s="12" t="s">
        <v>578</v>
      </c>
      <c r="AQ48" s="12" t="s">
        <v>578</v>
      </c>
      <c r="AR48" s="12" t="s">
        <v>578</v>
      </c>
      <c r="AS48" s="12" t="s">
        <v>578</v>
      </c>
      <c r="AT48" s="12" t="s">
        <v>578</v>
      </c>
      <c r="AU48" s="12" t="s">
        <v>578</v>
      </c>
      <c r="AV48" s="12" t="s">
        <v>578</v>
      </c>
      <c r="AW48" s="12" t="s">
        <v>578</v>
      </c>
      <c r="AX48" s="12" t="s">
        <v>578</v>
      </c>
      <c r="AY48" s="12" t="s">
        <v>578</v>
      </c>
      <c r="AZ48" s="12" t="s">
        <v>578</v>
      </c>
      <c r="BA48" s="12" t="s">
        <v>578</v>
      </c>
      <c r="BB48" s="12" t="s">
        <v>578</v>
      </c>
      <c r="BC48" s="12" t="s">
        <v>578</v>
      </c>
      <c r="BD48" s="12" t="s">
        <v>623</v>
      </c>
      <c r="BE48" s="12" t="s">
        <v>623</v>
      </c>
      <c r="BF48" s="12" t="s">
        <v>623</v>
      </c>
      <c r="BG48" s="12" t="s">
        <v>582</v>
      </c>
      <c r="BH48" s="12" t="s">
        <v>582</v>
      </c>
      <c r="BI48" s="12" t="s">
        <v>755</v>
      </c>
      <c r="BJ48" s="12" t="s">
        <v>584</v>
      </c>
      <c r="BK48" s="12" t="s">
        <v>675</v>
      </c>
      <c r="BL48" s="12" t="s">
        <v>676</v>
      </c>
      <c r="BM48" s="12" t="s">
        <v>809</v>
      </c>
      <c r="BN48" s="12" t="s">
        <v>973</v>
      </c>
      <c r="BO48" s="12" t="s">
        <v>975</v>
      </c>
      <c r="BP48" s="12" t="s">
        <v>975</v>
      </c>
      <c r="BQ48" s="12" t="s">
        <v>1125</v>
      </c>
      <c r="BR48" s="12" t="s">
        <v>1125</v>
      </c>
      <c r="BS48" s="12" t="s">
        <v>873</v>
      </c>
      <c r="BT48" s="12" t="s">
        <v>1603</v>
      </c>
      <c r="BU48" s="12" t="s">
        <v>1603</v>
      </c>
      <c r="BV48" s="12" t="s">
        <v>921</v>
      </c>
      <c r="BW48" s="12" t="s">
        <v>1422</v>
      </c>
      <c r="BX48" s="12" t="s">
        <v>1604</v>
      </c>
      <c r="BY48" s="12" t="s">
        <v>1605</v>
      </c>
      <c r="BZ48" s="12" t="s">
        <v>1605</v>
      </c>
      <c r="CA48" s="12" t="s">
        <v>816</v>
      </c>
      <c r="CB48" s="12" t="s">
        <v>816</v>
      </c>
      <c r="CC48" s="12" t="s">
        <v>1606</v>
      </c>
      <c r="CD48" s="12" t="s">
        <v>1606</v>
      </c>
      <c r="CE48" s="12" t="s">
        <v>1459</v>
      </c>
      <c r="CF48" s="12" t="s">
        <v>1129</v>
      </c>
      <c r="CG48" s="12" t="s">
        <v>1607</v>
      </c>
      <c r="CH48" s="12" t="s">
        <v>1098</v>
      </c>
      <c r="CI48" s="12" t="s">
        <v>1266</v>
      </c>
      <c r="CJ48" s="12" t="s">
        <v>1266</v>
      </c>
      <c r="CK48" s="12" t="s">
        <v>647</v>
      </c>
      <c r="CL48" s="12" t="s">
        <v>958</v>
      </c>
      <c r="CM48" s="12" t="s">
        <v>876</v>
      </c>
      <c r="CN48" s="12" t="s">
        <v>1608</v>
      </c>
      <c r="CO48" s="12" t="s">
        <v>1609</v>
      </c>
      <c r="CP48" s="12" t="s">
        <v>1610</v>
      </c>
      <c r="CQ48" s="12" t="s">
        <v>1611</v>
      </c>
      <c r="CR48" s="12" t="s">
        <v>1612</v>
      </c>
      <c r="CS48" s="12" t="s">
        <v>1365</v>
      </c>
      <c r="CT48" s="12" t="s">
        <v>1613</v>
      </c>
    </row>
    <row r="49" spans="1:98" hidden="1" x14ac:dyDescent="0.3">
      <c r="A49" s="12" t="s">
        <v>25</v>
      </c>
      <c r="B49" s="12" t="s">
        <v>1614</v>
      </c>
      <c r="C49" s="12" t="s">
        <v>1615</v>
      </c>
      <c r="D49" s="12" t="s">
        <v>1616</v>
      </c>
      <c r="E49" s="12" t="s">
        <v>578</v>
      </c>
      <c r="F49" s="12" t="s">
        <v>578</v>
      </c>
      <c r="G49" s="12" t="s">
        <v>578</v>
      </c>
      <c r="H49" s="12" t="s">
        <v>578</v>
      </c>
      <c r="I49" s="12" t="s">
        <v>578</v>
      </c>
      <c r="J49" s="12" t="s">
        <v>578</v>
      </c>
      <c r="K49" s="12" t="s">
        <v>578</v>
      </c>
      <c r="L49" s="12" t="s">
        <v>578</v>
      </c>
      <c r="M49" s="12" t="s">
        <v>578</v>
      </c>
      <c r="N49" s="12" t="s">
        <v>578</v>
      </c>
      <c r="O49" s="12" t="s">
        <v>578</v>
      </c>
      <c r="P49" s="12" t="s">
        <v>578</v>
      </c>
      <c r="Q49" s="12" t="s">
        <v>578</v>
      </c>
      <c r="R49" s="12" t="s">
        <v>578</v>
      </c>
      <c r="S49" s="12" t="s">
        <v>578</v>
      </c>
      <c r="T49" s="12" t="s">
        <v>578</v>
      </c>
      <c r="U49" s="12" t="s">
        <v>578</v>
      </c>
      <c r="V49" s="12" t="s">
        <v>578</v>
      </c>
      <c r="W49" s="12" t="s">
        <v>578</v>
      </c>
      <c r="X49" s="12" t="s">
        <v>578</v>
      </c>
      <c r="Y49" s="12" t="s">
        <v>578</v>
      </c>
      <c r="Z49" s="12" t="s">
        <v>578</v>
      </c>
      <c r="AA49" s="12" t="s">
        <v>578</v>
      </c>
      <c r="AB49" s="12" t="s">
        <v>578</v>
      </c>
      <c r="AC49" s="12" t="s">
        <v>578</v>
      </c>
      <c r="AD49" s="12" t="s">
        <v>578</v>
      </c>
      <c r="AE49" s="12" t="s">
        <v>578</v>
      </c>
      <c r="AF49" s="12" t="s">
        <v>578</v>
      </c>
      <c r="AG49" s="12" t="s">
        <v>578</v>
      </c>
      <c r="AH49" s="12" t="s">
        <v>578</v>
      </c>
      <c r="AI49" s="12" t="s">
        <v>578</v>
      </c>
      <c r="AJ49" s="12" t="s">
        <v>578</v>
      </c>
      <c r="AK49" s="12" t="s">
        <v>578</v>
      </c>
      <c r="AL49" s="12" t="s">
        <v>578</v>
      </c>
      <c r="AM49" s="12" t="s">
        <v>578</v>
      </c>
      <c r="AN49" s="12" t="s">
        <v>578</v>
      </c>
      <c r="AO49" s="12" t="s">
        <v>578</v>
      </c>
      <c r="AP49" s="12" t="s">
        <v>578</v>
      </c>
      <c r="AQ49" s="12" t="s">
        <v>578</v>
      </c>
      <c r="AR49" s="12" t="s">
        <v>578</v>
      </c>
      <c r="AS49" s="12" t="s">
        <v>578</v>
      </c>
      <c r="AT49" s="12" t="s">
        <v>578</v>
      </c>
      <c r="AU49" s="12" t="s">
        <v>578</v>
      </c>
      <c r="AV49" s="12" t="s">
        <v>578</v>
      </c>
      <c r="AW49" s="12" t="s">
        <v>578</v>
      </c>
      <c r="AX49" s="12" t="s">
        <v>578</v>
      </c>
      <c r="AY49" s="12" t="s">
        <v>578</v>
      </c>
      <c r="AZ49" s="12" t="s">
        <v>578</v>
      </c>
      <c r="BA49" s="12" t="s">
        <v>578</v>
      </c>
      <c r="BB49" s="12" t="s">
        <v>578</v>
      </c>
      <c r="BC49" s="12" t="s">
        <v>578</v>
      </c>
      <c r="BD49" s="12" t="s">
        <v>578</v>
      </c>
      <c r="BE49" s="12" t="s">
        <v>578</v>
      </c>
      <c r="BF49" s="12" t="s">
        <v>579</v>
      </c>
      <c r="BG49" s="12" t="s">
        <v>579</v>
      </c>
      <c r="BH49" s="12" t="s">
        <v>579</v>
      </c>
      <c r="BI49" s="12" t="s">
        <v>579</v>
      </c>
      <c r="BJ49" s="12" t="s">
        <v>579</v>
      </c>
      <c r="BK49" s="12" t="s">
        <v>672</v>
      </c>
      <c r="BL49" s="12" t="s">
        <v>672</v>
      </c>
      <c r="BM49" s="12" t="s">
        <v>672</v>
      </c>
      <c r="BN49" s="12" t="s">
        <v>672</v>
      </c>
      <c r="BO49" s="12" t="s">
        <v>672</v>
      </c>
      <c r="BP49" s="12" t="s">
        <v>672</v>
      </c>
      <c r="BQ49" s="12" t="s">
        <v>672</v>
      </c>
      <c r="BR49" s="12" t="s">
        <v>672</v>
      </c>
      <c r="BS49" s="12" t="s">
        <v>672</v>
      </c>
      <c r="BT49" s="12" t="s">
        <v>672</v>
      </c>
      <c r="BU49" s="12" t="s">
        <v>672</v>
      </c>
      <c r="BV49" s="12" t="s">
        <v>672</v>
      </c>
      <c r="BW49" s="12" t="s">
        <v>672</v>
      </c>
      <c r="BX49" s="12" t="s">
        <v>672</v>
      </c>
      <c r="BY49" s="12" t="s">
        <v>755</v>
      </c>
      <c r="BZ49" s="12" t="s">
        <v>755</v>
      </c>
      <c r="CA49" s="12" t="s">
        <v>755</v>
      </c>
      <c r="CB49" s="12" t="s">
        <v>755</v>
      </c>
      <c r="CC49" s="12" t="s">
        <v>755</v>
      </c>
      <c r="CD49" s="12" t="s">
        <v>755</v>
      </c>
      <c r="CE49" s="12" t="s">
        <v>755</v>
      </c>
      <c r="CF49" s="12" t="s">
        <v>755</v>
      </c>
      <c r="CG49" s="12" t="s">
        <v>755</v>
      </c>
      <c r="CH49" s="12" t="s">
        <v>755</v>
      </c>
      <c r="CI49" s="12" t="s">
        <v>583</v>
      </c>
      <c r="CJ49" s="12" t="s">
        <v>583</v>
      </c>
      <c r="CK49" s="12" t="s">
        <v>625</v>
      </c>
      <c r="CL49" s="12" t="s">
        <v>625</v>
      </c>
      <c r="CM49" s="12" t="s">
        <v>625</v>
      </c>
      <c r="CN49" s="12" t="s">
        <v>625</v>
      </c>
      <c r="CO49" s="12" t="s">
        <v>625</v>
      </c>
      <c r="CP49" s="12" t="s">
        <v>625</v>
      </c>
      <c r="CQ49" s="12" t="s">
        <v>756</v>
      </c>
      <c r="CR49" s="12" t="s">
        <v>756</v>
      </c>
      <c r="CS49" s="12" t="s">
        <v>584</v>
      </c>
      <c r="CT49" s="12" t="s">
        <v>584</v>
      </c>
    </row>
    <row r="50" spans="1:98" hidden="1" x14ac:dyDescent="0.3">
      <c r="A50" s="12" t="s">
        <v>25</v>
      </c>
      <c r="B50" s="12" t="s">
        <v>1617</v>
      </c>
      <c r="C50" s="12" t="s">
        <v>1618</v>
      </c>
      <c r="D50" s="12" t="s">
        <v>1619</v>
      </c>
      <c r="E50" s="12" t="s">
        <v>578</v>
      </c>
      <c r="F50" s="12" t="s">
        <v>578</v>
      </c>
      <c r="G50" s="12" t="s">
        <v>578</v>
      </c>
      <c r="H50" s="12" t="s">
        <v>578</v>
      </c>
      <c r="I50" s="12" t="s">
        <v>578</v>
      </c>
      <c r="J50" s="12" t="s">
        <v>578</v>
      </c>
      <c r="K50" s="12" t="s">
        <v>578</v>
      </c>
      <c r="L50" s="12" t="s">
        <v>578</v>
      </c>
      <c r="M50" s="12" t="s">
        <v>578</v>
      </c>
      <c r="N50" s="12" t="s">
        <v>578</v>
      </c>
      <c r="O50" s="12" t="s">
        <v>578</v>
      </c>
      <c r="P50" s="12" t="s">
        <v>578</v>
      </c>
      <c r="Q50" s="12" t="s">
        <v>578</v>
      </c>
      <c r="R50" s="12" t="s">
        <v>578</v>
      </c>
      <c r="S50" s="12" t="s">
        <v>578</v>
      </c>
      <c r="T50" s="12" t="s">
        <v>578</v>
      </c>
      <c r="U50" s="12" t="s">
        <v>578</v>
      </c>
      <c r="V50" s="12" t="s">
        <v>578</v>
      </c>
      <c r="W50" s="12" t="s">
        <v>578</v>
      </c>
      <c r="X50" s="12" t="s">
        <v>578</v>
      </c>
      <c r="Y50" s="12" t="s">
        <v>578</v>
      </c>
      <c r="Z50" s="12" t="s">
        <v>578</v>
      </c>
      <c r="AA50" s="12" t="s">
        <v>578</v>
      </c>
      <c r="AB50" s="12" t="s">
        <v>578</v>
      </c>
      <c r="AC50" s="12" t="s">
        <v>578</v>
      </c>
      <c r="AD50" s="12" t="s">
        <v>578</v>
      </c>
      <c r="AE50" s="12" t="s">
        <v>578</v>
      </c>
      <c r="AF50" s="12" t="s">
        <v>578</v>
      </c>
      <c r="AG50" s="12" t="s">
        <v>578</v>
      </c>
      <c r="AH50" s="12" t="s">
        <v>578</v>
      </c>
      <c r="AI50" s="12" t="s">
        <v>578</v>
      </c>
      <c r="AJ50" s="12" t="s">
        <v>578</v>
      </c>
      <c r="AK50" s="12" t="s">
        <v>578</v>
      </c>
      <c r="AL50" s="12" t="s">
        <v>578</v>
      </c>
      <c r="AM50" s="12" t="s">
        <v>578</v>
      </c>
      <c r="AN50" s="12" t="s">
        <v>578</v>
      </c>
      <c r="AO50" s="12" t="s">
        <v>578</v>
      </c>
      <c r="AP50" s="12" t="s">
        <v>578</v>
      </c>
      <c r="AQ50" s="12" t="s">
        <v>578</v>
      </c>
      <c r="AR50" s="12" t="s">
        <v>578</v>
      </c>
      <c r="AS50" s="12" t="s">
        <v>578</v>
      </c>
      <c r="AT50" s="12" t="s">
        <v>578</v>
      </c>
      <c r="AU50" s="12" t="s">
        <v>578</v>
      </c>
      <c r="AV50" s="12" t="s">
        <v>578</v>
      </c>
      <c r="AW50" s="12" t="s">
        <v>578</v>
      </c>
      <c r="AX50" s="12" t="s">
        <v>578</v>
      </c>
      <c r="AY50" s="12" t="s">
        <v>578</v>
      </c>
      <c r="AZ50" s="12" t="s">
        <v>578</v>
      </c>
      <c r="BA50" s="12" t="s">
        <v>578</v>
      </c>
      <c r="BB50" s="12" t="s">
        <v>578</v>
      </c>
      <c r="BC50" s="12" t="s">
        <v>578</v>
      </c>
      <c r="BD50" s="12" t="s">
        <v>578</v>
      </c>
      <c r="BE50" s="12" t="s">
        <v>578</v>
      </c>
      <c r="BF50" s="12" t="s">
        <v>578</v>
      </c>
      <c r="BG50" s="12" t="s">
        <v>578</v>
      </c>
      <c r="BH50" s="12" t="s">
        <v>578</v>
      </c>
      <c r="BI50" s="12" t="s">
        <v>578</v>
      </c>
      <c r="BJ50" s="12" t="s">
        <v>579</v>
      </c>
      <c r="BK50" s="12" t="s">
        <v>579</v>
      </c>
      <c r="BL50" s="12" t="s">
        <v>579</v>
      </c>
      <c r="BM50" s="12" t="s">
        <v>579</v>
      </c>
      <c r="BN50" s="12" t="s">
        <v>579</v>
      </c>
      <c r="BO50" s="12" t="s">
        <v>672</v>
      </c>
      <c r="BP50" s="12" t="s">
        <v>672</v>
      </c>
      <c r="BQ50" s="12" t="s">
        <v>672</v>
      </c>
      <c r="BR50" s="12" t="s">
        <v>672</v>
      </c>
      <c r="BS50" s="12" t="s">
        <v>672</v>
      </c>
      <c r="BT50" s="12" t="s">
        <v>672</v>
      </c>
      <c r="BU50" s="12" t="s">
        <v>581</v>
      </c>
      <c r="BV50" s="12" t="s">
        <v>582</v>
      </c>
      <c r="BW50" s="12" t="s">
        <v>582</v>
      </c>
      <c r="BX50" s="12" t="s">
        <v>755</v>
      </c>
      <c r="BY50" s="12" t="s">
        <v>755</v>
      </c>
      <c r="BZ50" s="12" t="s">
        <v>761</v>
      </c>
      <c r="CA50" s="12" t="s">
        <v>761</v>
      </c>
      <c r="CB50" s="12" t="s">
        <v>761</v>
      </c>
      <c r="CC50" s="12" t="s">
        <v>624</v>
      </c>
      <c r="CD50" s="12" t="s">
        <v>624</v>
      </c>
      <c r="CE50" s="12" t="s">
        <v>583</v>
      </c>
      <c r="CF50" s="12" t="s">
        <v>583</v>
      </c>
      <c r="CG50" s="12" t="s">
        <v>583</v>
      </c>
      <c r="CH50" s="12" t="s">
        <v>808</v>
      </c>
      <c r="CI50" s="12" t="s">
        <v>626</v>
      </c>
      <c r="CJ50" s="12" t="s">
        <v>626</v>
      </c>
      <c r="CK50" s="12" t="s">
        <v>626</v>
      </c>
      <c r="CL50" s="12" t="s">
        <v>913</v>
      </c>
      <c r="CM50" s="12" t="s">
        <v>913</v>
      </c>
      <c r="CN50" s="12" t="s">
        <v>627</v>
      </c>
      <c r="CO50" s="12" t="s">
        <v>627</v>
      </c>
      <c r="CP50" s="12" t="s">
        <v>627</v>
      </c>
      <c r="CQ50" s="12" t="s">
        <v>627</v>
      </c>
      <c r="CR50" s="12" t="s">
        <v>627</v>
      </c>
      <c r="CS50" s="12" t="s">
        <v>627</v>
      </c>
      <c r="CT50" s="12" t="s">
        <v>588</v>
      </c>
    </row>
    <row r="51" spans="1:98" hidden="1" x14ac:dyDescent="0.3">
      <c r="A51" s="12" t="s">
        <v>25</v>
      </c>
      <c r="B51" s="12" t="s">
        <v>1620</v>
      </c>
      <c r="C51" s="12" t="s">
        <v>1621</v>
      </c>
      <c r="D51" s="12" t="s">
        <v>1622</v>
      </c>
      <c r="E51" s="12" t="s">
        <v>578</v>
      </c>
      <c r="F51" s="12" t="s">
        <v>578</v>
      </c>
      <c r="G51" s="12" t="s">
        <v>578</v>
      </c>
      <c r="H51" s="12" t="s">
        <v>578</v>
      </c>
      <c r="I51" s="12" t="s">
        <v>578</v>
      </c>
      <c r="J51" s="12" t="s">
        <v>578</v>
      </c>
      <c r="K51" s="12" t="s">
        <v>578</v>
      </c>
      <c r="L51" s="12" t="s">
        <v>578</v>
      </c>
      <c r="M51" s="12" t="s">
        <v>578</v>
      </c>
      <c r="N51" s="12" t="s">
        <v>578</v>
      </c>
      <c r="O51" s="12" t="s">
        <v>578</v>
      </c>
      <c r="P51" s="12" t="s">
        <v>578</v>
      </c>
      <c r="Q51" s="12" t="s">
        <v>578</v>
      </c>
      <c r="R51" s="12" t="s">
        <v>578</v>
      </c>
      <c r="S51" s="12" t="s">
        <v>578</v>
      </c>
      <c r="T51" s="12" t="s">
        <v>578</v>
      </c>
      <c r="U51" s="12" t="s">
        <v>578</v>
      </c>
      <c r="V51" s="12" t="s">
        <v>578</v>
      </c>
      <c r="W51" s="12" t="s">
        <v>578</v>
      </c>
      <c r="X51" s="12" t="s">
        <v>578</v>
      </c>
      <c r="Y51" s="12" t="s">
        <v>578</v>
      </c>
      <c r="Z51" s="12" t="s">
        <v>578</v>
      </c>
      <c r="AA51" s="12" t="s">
        <v>578</v>
      </c>
      <c r="AB51" s="12" t="s">
        <v>578</v>
      </c>
      <c r="AC51" s="12" t="s">
        <v>578</v>
      </c>
      <c r="AD51" s="12" t="s">
        <v>578</v>
      </c>
      <c r="AE51" s="12" t="s">
        <v>578</v>
      </c>
      <c r="AF51" s="12" t="s">
        <v>578</v>
      </c>
      <c r="AG51" s="12" t="s">
        <v>578</v>
      </c>
      <c r="AH51" s="12" t="s">
        <v>578</v>
      </c>
      <c r="AI51" s="12" t="s">
        <v>578</v>
      </c>
      <c r="AJ51" s="12" t="s">
        <v>578</v>
      </c>
      <c r="AK51" s="12" t="s">
        <v>578</v>
      </c>
      <c r="AL51" s="12" t="s">
        <v>578</v>
      </c>
      <c r="AM51" s="12" t="s">
        <v>578</v>
      </c>
      <c r="AN51" s="12" t="s">
        <v>578</v>
      </c>
      <c r="AO51" s="12" t="s">
        <v>578</v>
      </c>
      <c r="AP51" s="12" t="s">
        <v>578</v>
      </c>
      <c r="AQ51" s="12" t="s">
        <v>578</v>
      </c>
      <c r="AR51" s="12" t="s">
        <v>578</v>
      </c>
      <c r="AS51" s="12" t="s">
        <v>578</v>
      </c>
      <c r="AT51" s="12" t="s">
        <v>579</v>
      </c>
      <c r="AU51" s="12" t="s">
        <v>579</v>
      </c>
      <c r="AV51" s="12" t="s">
        <v>580</v>
      </c>
      <c r="AW51" s="12" t="s">
        <v>580</v>
      </c>
      <c r="AX51" s="12" t="s">
        <v>580</v>
      </c>
      <c r="AY51" s="12" t="s">
        <v>755</v>
      </c>
      <c r="AZ51" s="12" t="s">
        <v>755</v>
      </c>
      <c r="BA51" s="12" t="s">
        <v>868</v>
      </c>
      <c r="BB51" s="12" t="s">
        <v>626</v>
      </c>
      <c r="BC51" s="12" t="s">
        <v>626</v>
      </c>
      <c r="BD51" s="12" t="s">
        <v>1259</v>
      </c>
      <c r="BE51" s="12" t="s">
        <v>919</v>
      </c>
      <c r="BF51" s="12" t="s">
        <v>589</v>
      </c>
      <c r="BG51" s="12" t="s">
        <v>1623</v>
      </c>
      <c r="BH51" s="12" t="s">
        <v>684</v>
      </c>
      <c r="BI51" s="12" t="s">
        <v>1624</v>
      </c>
      <c r="BJ51" s="12" t="s">
        <v>1624</v>
      </c>
      <c r="BK51" s="12" t="s">
        <v>1625</v>
      </c>
      <c r="BL51" s="12" t="s">
        <v>1626</v>
      </c>
      <c r="BM51" s="12" t="s">
        <v>1627</v>
      </c>
      <c r="BN51" s="12" t="s">
        <v>1628</v>
      </c>
      <c r="BO51" s="12" t="s">
        <v>1629</v>
      </c>
      <c r="BP51" s="12" t="s">
        <v>1630</v>
      </c>
      <c r="BQ51" s="12" t="s">
        <v>1631</v>
      </c>
      <c r="BR51" s="12" t="s">
        <v>1632</v>
      </c>
      <c r="BS51" s="12" t="s">
        <v>1633</v>
      </c>
      <c r="BT51" s="12" t="s">
        <v>1634</v>
      </c>
      <c r="BU51" s="12" t="s">
        <v>1635</v>
      </c>
      <c r="BV51" s="12" t="s">
        <v>1636</v>
      </c>
      <c r="BW51" s="12" t="s">
        <v>801</v>
      </c>
      <c r="BX51" s="12" t="s">
        <v>1637</v>
      </c>
      <c r="BY51" s="12" t="s">
        <v>1638</v>
      </c>
      <c r="BZ51" s="12" t="s">
        <v>1639</v>
      </c>
      <c r="CA51" s="12" t="s">
        <v>1640</v>
      </c>
      <c r="CB51" s="12" t="s">
        <v>1641</v>
      </c>
      <c r="CC51" s="12" t="s">
        <v>1642</v>
      </c>
      <c r="CD51" s="12" t="s">
        <v>1643</v>
      </c>
      <c r="CE51" s="12" t="s">
        <v>1644</v>
      </c>
      <c r="CF51" s="12" t="s">
        <v>1645</v>
      </c>
      <c r="CG51" s="12" t="s">
        <v>1646</v>
      </c>
      <c r="CH51" s="12" t="s">
        <v>1647</v>
      </c>
      <c r="CI51" s="12" t="s">
        <v>1648</v>
      </c>
      <c r="CJ51" s="12" t="s">
        <v>1649</v>
      </c>
      <c r="CK51" s="12" t="s">
        <v>1650</v>
      </c>
      <c r="CL51" s="12" t="s">
        <v>1651</v>
      </c>
      <c r="CM51" s="12" t="s">
        <v>1652</v>
      </c>
      <c r="CN51" s="12" t="s">
        <v>1653</v>
      </c>
      <c r="CO51" s="12" t="s">
        <v>1654</v>
      </c>
      <c r="CP51" s="12" t="s">
        <v>1655</v>
      </c>
      <c r="CQ51" s="12" t="s">
        <v>1656</v>
      </c>
      <c r="CR51" s="12" t="s">
        <v>1657</v>
      </c>
      <c r="CS51" s="12" t="s">
        <v>1658</v>
      </c>
      <c r="CT51" s="12" t="s">
        <v>1659</v>
      </c>
    </row>
    <row r="52" spans="1:98" hidden="1" x14ac:dyDescent="0.3">
      <c r="A52" s="12" t="s">
        <v>1660</v>
      </c>
      <c r="B52" s="12" t="s">
        <v>1661</v>
      </c>
      <c r="C52" s="12" t="s">
        <v>1662</v>
      </c>
      <c r="D52" s="12" t="s">
        <v>1663</v>
      </c>
      <c r="E52" s="12" t="s">
        <v>579</v>
      </c>
      <c r="F52" s="12" t="s">
        <v>761</v>
      </c>
      <c r="G52" s="12" t="s">
        <v>762</v>
      </c>
      <c r="H52" s="12" t="s">
        <v>718</v>
      </c>
      <c r="I52" s="12" t="s">
        <v>680</v>
      </c>
      <c r="J52" s="12" t="s">
        <v>634</v>
      </c>
      <c r="K52" s="12" t="s">
        <v>1664</v>
      </c>
      <c r="L52" s="12" t="s">
        <v>1185</v>
      </c>
      <c r="M52" s="12" t="s">
        <v>985</v>
      </c>
      <c r="N52" s="12" t="s">
        <v>596</v>
      </c>
      <c r="O52" s="12" t="s">
        <v>1665</v>
      </c>
      <c r="P52" s="12" t="s">
        <v>1666</v>
      </c>
      <c r="Q52" s="12" t="s">
        <v>1667</v>
      </c>
      <c r="R52" s="12" t="s">
        <v>1668</v>
      </c>
      <c r="S52" s="12" t="s">
        <v>1669</v>
      </c>
      <c r="T52" s="12" t="s">
        <v>1670</v>
      </c>
      <c r="U52" s="12" t="s">
        <v>608</v>
      </c>
      <c r="V52" s="12" t="s">
        <v>1671</v>
      </c>
      <c r="W52" s="12" t="s">
        <v>1672</v>
      </c>
      <c r="X52" s="12" t="s">
        <v>1673</v>
      </c>
      <c r="Y52" s="12" t="s">
        <v>1052</v>
      </c>
      <c r="Z52" s="12" t="s">
        <v>1674</v>
      </c>
      <c r="AA52" s="12" t="s">
        <v>1675</v>
      </c>
      <c r="AB52" s="12" t="s">
        <v>936</v>
      </c>
      <c r="AC52" s="12" t="s">
        <v>1676</v>
      </c>
      <c r="AD52" s="12" t="s">
        <v>1677</v>
      </c>
      <c r="AE52" s="12" t="s">
        <v>1678</v>
      </c>
      <c r="AF52" s="12" t="s">
        <v>1679</v>
      </c>
      <c r="AG52" s="12" t="s">
        <v>692</v>
      </c>
      <c r="AH52" s="12" t="s">
        <v>942</v>
      </c>
      <c r="AI52" s="12" t="s">
        <v>1680</v>
      </c>
      <c r="AJ52" s="12" t="s">
        <v>1681</v>
      </c>
      <c r="AK52" s="12" t="s">
        <v>1681</v>
      </c>
      <c r="AL52" s="12" t="s">
        <v>1681</v>
      </c>
      <c r="AM52" s="12" t="s">
        <v>1681</v>
      </c>
      <c r="AN52" s="12" t="s">
        <v>1681</v>
      </c>
      <c r="AO52" s="12" t="s">
        <v>1681</v>
      </c>
      <c r="AP52" s="12" t="s">
        <v>1682</v>
      </c>
      <c r="AQ52" s="12" t="s">
        <v>1682</v>
      </c>
      <c r="AR52" s="12" t="s">
        <v>1682</v>
      </c>
      <c r="AS52" s="12" t="s">
        <v>1682</v>
      </c>
      <c r="AT52" s="12" t="s">
        <v>1682</v>
      </c>
      <c r="AU52" s="12" t="s">
        <v>1682</v>
      </c>
      <c r="AV52" s="12" t="s">
        <v>1682</v>
      </c>
      <c r="AW52" s="12" t="s">
        <v>1682</v>
      </c>
      <c r="AX52" s="12" t="s">
        <v>1682</v>
      </c>
      <c r="AY52" s="12" t="s">
        <v>1682</v>
      </c>
      <c r="AZ52" s="12" t="s">
        <v>1682</v>
      </c>
      <c r="BA52" s="12" t="s">
        <v>1682</v>
      </c>
      <c r="BB52" s="12" t="s">
        <v>1682</v>
      </c>
      <c r="BC52" s="12" t="s">
        <v>1682</v>
      </c>
      <c r="BD52" s="12" t="s">
        <v>1682</v>
      </c>
      <c r="BE52" s="12" t="s">
        <v>1682</v>
      </c>
      <c r="BF52" s="12" t="s">
        <v>1682</v>
      </c>
      <c r="BG52" s="12" t="s">
        <v>1682</v>
      </c>
      <c r="BH52" s="12" t="s">
        <v>1682</v>
      </c>
      <c r="BI52" s="12" t="s">
        <v>1682</v>
      </c>
      <c r="BJ52" s="12" t="s">
        <v>1682</v>
      </c>
      <c r="BK52" s="12" t="s">
        <v>1682</v>
      </c>
      <c r="BL52" s="12" t="s">
        <v>1682</v>
      </c>
      <c r="BM52" s="12" t="s">
        <v>1682</v>
      </c>
      <c r="BN52" s="12" t="s">
        <v>1682</v>
      </c>
      <c r="BO52" s="12" t="s">
        <v>1682</v>
      </c>
      <c r="BP52" s="12" t="s">
        <v>1682</v>
      </c>
      <c r="BQ52" s="12" t="s">
        <v>1682</v>
      </c>
      <c r="BR52" s="12" t="s">
        <v>1682</v>
      </c>
      <c r="BS52" s="12" t="s">
        <v>1682</v>
      </c>
      <c r="BT52" s="12" t="s">
        <v>1682</v>
      </c>
      <c r="BU52" s="12" t="s">
        <v>1682</v>
      </c>
      <c r="BV52" s="12" t="s">
        <v>1682</v>
      </c>
      <c r="BW52" s="12" t="s">
        <v>1682</v>
      </c>
      <c r="BX52" s="12" t="s">
        <v>1682</v>
      </c>
      <c r="BY52" s="12" t="s">
        <v>1682</v>
      </c>
      <c r="BZ52" s="12" t="s">
        <v>1682</v>
      </c>
      <c r="CA52" s="12" t="s">
        <v>1682</v>
      </c>
      <c r="CB52" s="12" t="s">
        <v>1682</v>
      </c>
      <c r="CC52" s="12" t="s">
        <v>1682</v>
      </c>
      <c r="CD52" s="12" t="s">
        <v>1682</v>
      </c>
      <c r="CE52" s="12" t="s">
        <v>1102</v>
      </c>
      <c r="CF52" s="12" t="s">
        <v>1102</v>
      </c>
      <c r="CG52" s="12" t="s">
        <v>1102</v>
      </c>
      <c r="CH52" s="12" t="s">
        <v>1102</v>
      </c>
      <c r="CI52" s="12" t="s">
        <v>1102</v>
      </c>
      <c r="CJ52" s="12" t="s">
        <v>1102</v>
      </c>
      <c r="CK52" s="12" t="s">
        <v>1102</v>
      </c>
      <c r="CL52" s="12" t="s">
        <v>1102</v>
      </c>
      <c r="CM52" s="12" t="s">
        <v>1102</v>
      </c>
      <c r="CN52" s="12" t="s">
        <v>1102</v>
      </c>
      <c r="CO52" s="12" t="s">
        <v>1102</v>
      </c>
      <c r="CP52" s="12" t="s">
        <v>1102</v>
      </c>
      <c r="CQ52" s="12" t="s">
        <v>1102</v>
      </c>
      <c r="CR52" s="12" t="s">
        <v>1102</v>
      </c>
      <c r="CS52" s="12" t="s">
        <v>1102</v>
      </c>
      <c r="CT52" s="12" t="s">
        <v>1102</v>
      </c>
    </row>
    <row r="53" spans="1:98" hidden="1" x14ac:dyDescent="0.3">
      <c r="A53" s="12" t="s">
        <v>1683</v>
      </c>
      <c r="B53" s="12" t="s">
        <v>1661</v>
      </c>
      <c r="C53" s="12" t="s">
        <v>1684</v>
      </c>
      <c r="D53" s="12" t="s">
        <v>1685</v>
      </c>
      <c r="E53" s="12" t="s">
        <v>756</v>
      </c>
      <c r="F53" s="12" t="s">
        <v>586</v>
      </c>
      <c r="G53" s="12" t="s">
        <v>971</v>
      </c>
      <c r="H53" s="12" t="s">
        <v>1046</v>
      </c>
      <c r="I53" s="12" t="s">
        <v>770</v>
      </c>
      <c r="J53" s="12" t="s">
        <v>856</v>
      </c>
      <c r="K53" s="12" t="s">
        <v>857</v>
      </c>
      <c r="L53" s="12" t="s">
        <v>979</v>
      </c>
      <c r="M53" s="12" t="s">
        <v>1353</v>
      </c>
      <c r="N53" s="12" t="s">
        <v>683</v>
      </c>
      <c r="O53" s="12" t="s">
        <v>1686</v>
      </c>
      <c r="P53" s="12" t="s">
        <v>1279</v>
      </c>
      <c r="Q53" s="12" t="s">
        <v>642</v>
      </c>
      <c r="R53" s="12" t="s">
        <v>1127</v>
      </c>
      <c r="S53" s="12" t="s">
        <v>1491</v>
      </c>
      <c r="T53" s="12" t="s">
        <v>1687</v>
      </c>
      <c r="U53" s="12" t="s">
        <v>1665</v>
      </c>
      <c r="V53" s="12" t="s">
        <v>1609</v>
      </c>
      <c r="W53" s="12" t="s">
        <v>1612</v>
      </c>
      <c r="X53" s="12" t="s">
        <v>959</v>
      </c>
      <c r="Y53" s="12" t="s">
        <v>1519</v>
      </c>
      <c r="Z53" s="12" t="s">
        <v>1688</v>
      </c>
      <c r="AA53" s="12" t="s">
        <v>1689</v>
      </c>
      <c r="AB53" s="12" t="s">
        <v>1312</v>
      </c>
      <c r="AC53" s="12" t="s">
        <v>1690</v>
      </c>
      <c r="AD53" s="12" t="s">
        <v>1691</v>
      </c>
      <c r="AE53" s="12" t="s">
        <v>1692</v>
      </c>
      <c r="AF53" s="12" t="s">
        <v>777</v>
      </c>
      <c r="AG53" s="12" t="s">
        <v>1693</v>
      </c>
      <c r="AH53" s="12" t="s">
        <v>1694</v>
      </c>
      <c r="AI53" s="12" t="s">
        <v>960</v>
      </c>
      <c r="AJ53" s="12" t="s">
        <v>1367</v>
      </c>
      <c r="AK53" s="12" t="s">
        <v>1367</v>
      </c>
      <c r="AL53" s="12" t="s">
        <v>1367</v>
      </c>
      <c r="AM53" s="12" t="s">
        <v>652</v>
      </c>
      <c r="AN53" s="12" t="s">
        <v>652</v>
      </c>
      <c r="AO53" s="12" t="s">
        <v>1695</v>
      </c>
      <c r="AP53" s="12" t="s">
        <v>1695</v>
      </c>
      <c r="AQ53" s="12" t="s">
        <v>961</v>
      </c>
      <c r="AR53" s="12" t="s">
        <v>1696</v>
      </c>
      <c r="AS53" s="12" t="s">
        <v>1399</v>
      </c>
      <c r="AT53" s="12" t="s">
        <v>1399</v>
      </c>
      <c r="AU53" s="12" t="s">
        <v>1697</v>
      </c>
      <c r="AV53" s="12" t="s">
        <v>1697</v>
      </c>
      <c r="AW53" s="12" t="s">
        <v>1368</v>
      </c>
      <c r="AX53" s="12" t="s">
        <v>1698</v>
      </c>
      <c r="AY53" s="12" t="s">
        <v>733</v>
      </c>
      <c r="AZ53" s="12" t="s">
        <v>733</v>
      </c>
      <c r="BA53" s="12" t="s">
        <v>964</v>
      </c>
      <c r="BB53" s="12" t="s">
        <v>965</v>
      </c>
      <c r="BC53" s="12" t="s">
        <v>965</v>
      </c>
      <c r="BD53" s="12" t="s">
        <v>878</v>
      </c>
      <c r="BE53" s="12" t="s">
        <v>966</v>
      </c>
      <c r="BF53" s="12" t="s">
        <v>1699</v>
      </c>
      <c r="BG53" s="12" t="s">
        <v>1700</v>
      </c>
      <c r="BH53" s="12" t="s">
        <v>1701</v>
      </c>
      <c r="BI53" s="12" t="s">
        <v>1702</v>
      </c>
      <c r="BJ53" s="12" t="s">
        <v>1668</v>
      </c>
      <c r="BK53" s="12" t="s">
        <v>1703</v>
      </c>
      <c r="BL53" s="12" t="s">
        <v>1050</v>
      </c>
      <c r="BM53" s="12" t="s">
        <v>1704</v>
      </c>
      <c r="BN53" s="12" t="s">
        <v>1626</v>
      </c>
      <c r="BO53" s="12" t="s">
        <v>1705</v>
      </c>
      <c r="BP53" s="12" t="s">
        <v>1706</v>
      </c>
      <c r="BQ53" s="12" t="s">
        <v>1707</v>
      </c>
      <c r="BR53" s="12" t="s">
        <v>1136</v>
      </c>
      <c r="BS53" s="12" t="s">
        <v>1708</v>
      </c>
      <c r="BT53" s="12" t="s">
        <v>1374</v>
      </c>
      <c r="BU53" s="12" t="s">
        <v>1374</v>
      </c>
      <c r="BV53" s="12" t="s">
        <v>1709</v>
      </c>
      <c r="BW53" s="12" t="s">
        <v>1709</v>
      </c>
      <c r="BX53" s="12" t="s">
        <v>1710</v>
      </c>
      <c r="BY53" s="12" t="s">
        <v>664</v>
      </c>
      <c r="BZ53" s="12" t="s">
        <v>1711</v>
      </c>
      <c r="CA53" s="12" t="s">
        <v>1712</v>
      </c>
      <c r="CB53" s="12" t="s">
        <v>1713</v>
      </c>
      <c r="CC53" s="12" t="s">
        <v>1713</v>
      </c>
      <c r="CD53" s="12" t="s">
        <v>1534</v>
      </c>
      <c r="CE53" s="12" t="s">
        <v>1534</v>
      </c>
      <c r="CF53" s="12" t="s">
        <v>1534</v>
      </c>
      <c r="CG53" s="12" t="s">
        <v>779</v>
      </c>
      <c r="CH53" s="12" t="s">
        <v>779</v>
      </c>
      <c r="CI53" s="12" t="s">
        <v>779</v>
      </c>
      <c r="CJ53" s="12" t="s">
        <v>779</v>
      </c>
      <c r="CK53" s="12" t="s">
        <v>1714</v>
      </c>
      <c r="CL53" s="12" t="s">
        <v>1375</v>
      </c>
      <c r="CM53" s="12" t="s">
        <v>1375</v>
      </c>
      <c r="CN53" s="12" t="s">
        <v>1375</v>
      </c>
      <c r="CO53" s="12" t="s">
        <v>1375</v>
      </c>
      <c r="CP53" s="12" t="s">
        <v>1375</v>
      </c>
      <c r="CQ53" s="12" t="s">
        <v>1375</v>
      </c>
      <c r="CR53" s="12" t="s">
        <v>1375</v>
      </c>
      <c r="CS53" s="12" t="s">
        <v>1375</v>
      </c>
      <c r="CT53" s="12" t="s">
        <v>1375</v>
      </c>
    </row>
    <row r="54" spans="1:98" hidden="1" x14ac:dyDescent="0.3">
      <c r="A54" s="12" t="s">
        <v>1715</v>
      </c>
      <c r="B54" s="12" t="s">
        <v>1661</v>
      </c>
      <c r="C54" s="12" t="s">
        <v>1716</v>
      </c>
      <c r="D54" s="12" t="s">
        <v>1717</v>
      </c>
      <c r="E54" s="12" t="s">
        <v>851</v>
      </c>
      <c r="F54" s="12" t="s">
        <v>761</v>
      </c>
      <c r="G54" s="12" t="s">
        <v>913</v>
      </c>
      <c r="H54" s="12" t="s">
        <v>992</v>
      </c>
      <c r="I54" s="12" t="s">
        <v>720</v>
      </c>
      <c r="J54" s="12" t="s">
        <v>592</v>
      </c>
      <c r="K54" s="12" t="s">
        <v>1261</v>
      </c>
      <c r="L54" s="12" t="s">
        <v>1515</v>
      </c>
      <c r="M54" s="12" t="s">
        <v>1048</v>
      </c>
      <c r="N54" s="12" t="s">
        <v>1718</v>
      </c>
      <c r="O54" s="12" t="s">
        <v>1510</v>
      </c>
      <c r="P54" s="12" t="s">
        <v>1266</v>
      </c>
      <c r="Q54" s="12" t="s">
        <v>959</v>
      </c>
      <c r="R54" s="12" t="s">
        <v>1689</v>
      </c>
      <c r="S54" s="12" t="s">
        <v>1719</v>
      </c>
      <c r="T54" s="12" t="s">
        <v>961</v>
      </c>
      <c r="U54" s="12" t="s">
        <v>1698</v>
      </c>
      <c r="V54" s="12" t="s">
        <v>733</v>
      </c>
      <c r="W54" s="12" t="s">
        <v>1720</v>
      </c>
      <c r="X54" s="12" t="s">
        <v>1439</v>
      </c>
      <c r="Y54" s="12" t="s">
        <v>1721</v>
      </c>
      <c r="Z54" s="12" t="s">
        <v>660</v>
      </c>
      <c r="AA54" s="12" t="s">
        <v>1722</v>
      </c>
      <c r="AB54" s="12" t="s">
        <v>1626</v>
      </c>
      <c r="AC54" s="12" t="s">
        <v>1041</v>
      </c>
      <c r="AD54" s="12" t="s">
        <v>1723</v>
      </c>
      <c r="AE54" s="12" t="s">
        <v>1724</v>
      </c>
      <c r="AF54" s="12" t="s">
        <v>606</v>
      </c>
      <c r="AG54" s="12" t="s">
        <v>1725</v>
      </c>
      <c r="AH54" s="12" t="s">
        <v>1135</v>
      </c>
      <c r="AI54" s="12" t="s">
        <v>1726</v>
      </c>
      <c r="AJ54" s="12" t="s">
        <v>1708</v>
      </c>
      <c r="AK54" s="12" t="s">
        <v>1727</v>
      </c>
      <c r="AL54" s="12" t="s">
        <v>1405</v>
      </c>
      <c r="AM54" s="12" t="s">
        <v>1405</v>
      </c>
      <c r="AN54" s="12" t="s">
        <v>1405</v>
      </c>
      <c r="AO54" s="12" t="s">
        <v>1405</v>
      </c>
      <c r="AP54" s="12" t="s">
        <v>1405</v>
      </c>
      <c r="AQ54" s="12" t="s">
        <v>1405</v>
      </c>
      <c r="AR54" s="12" t="s">
        <v>1405</v>
      </c>
      <c r="AS54" s="12" t="s">
        <v>1405</v>
      </c>
      <c r="AT54" s="12" t="s">
        <v>1405</v>
      </c>
      <c r="AU54" s="12" t="s">
        <v>1405</v>
      </c>
      <c r="AV54" s="12" t="s">
        <v>1405</v>
      </c>
      <c r="AW54" s="12" t="s">
        <v>1405</v>
      </c>
      <c r="AX54" s="12" t="s">
        <v>1405</v>
      </c>
      <c r="AY54" s="12" t="s">
        <v>1405</v>
      </c>
      <c r="AZ54" s="12" t="s">
        <v>1405</v>
      </c>
      <c r="BA54" s="12" t="s">
        <v>1405</v>
      </c>
      <c r="BB54" s="12" t="s">
        <v>1405</v>
      </c>
      <c r="BC54" s="12" t="s">
        <v>1405</v>
      </c>
      <c r="BD54" s="12" t="s">
        <v>1405</v>
      </c>
      <c r="BE54" s="12" t="s">
        <v>1405</v>
      </c>
      <c r="BF54" s="12" t="s">
        <v>1405</v>
      </c>
      <c r="BG54" s="12" t="s">
        <v>1405</v>
      </c>
      <c r="BH54" s="12" t="s">
        <v>1405</v>
      </c>
      <c r="BI54" s="12" t="s">
        <v>1405</v>
      </c>
      <c r="BJ54" s="12" t="s">
        <v>1405</v>
      </c>
      <c r="BK54" s="12" t="s">
        <v>1405</v>
      </c>
      <c r="BL54" s="12" t="s">
        <v>1405</v>
      </c>
      <c r="BM54" s="12" t="s">
        <v>1374</v>
      </c>
      <c r="BN54" s="12" t="s">
        <v>1728</v>
      </c>
      <c r="BO54" s="12" t="s">
        <v>1728</v>
      </c>
      <c r="BP54" s="12" t="s">
        <v>1728</v>
      </c>
      <c r="BQ54" s="12" t="s">
        <v>1728</v>
      </c>
      <c r="BR54" s="12" t="s">
        <v>1728</v>
      </c>
      <c r="BS54" s="12" t="s">
        <v>1728</v>
      </c>
      <c r="BT54" s="12" t="s">
        <v>1285</v>
      </c>
      <c r="BU54" s="12" t="s">
        <v>1285</v>
      </c>
      <c r="BV54" s="12" t="s">
        <v>1285</v>
      </c>
      <c r="BW54" s="12" t="s">
        <v>1285</v>
      </c>
      <c r="BX54" s="12" t="s">
        <v>1285</v>
      </c>
      <c r="BY54" s="12" t="s">
        <v>1285</v>
      </c>
      <c r="BZ54" s="12" t="s">
        <v>1285</v>
      </c>
      <c r="CA54" s="12" t="s">
        <v>1285</v>
      </c>
      <c r="CB54" s="12" t="s">
        <v>1285</v>
      </c>
      <c r="CC54" s="12" t="s">
        <v>1285</v>
      </c>
      <c r="CD54" s="12" t="s">
        <v>1285</v>
      </c>
      <c r="CE54" s="12" t="s">
        <v>1285</v>
      </c>
      <c r="CF54" s="12" t="s">
        <v>1285</v>
      </c>
      <c r="CG54" s="12" t="s">
        <v>1285</v>
      </c>
      <c r="CH54" s="12" t="s">
        <v>1285</v>
      </c>
      <c r="CI54" s="12" t="s">
        <v>1285</v>
      </c>
      <c r="CJ54" s="12" t="s">
        <v>1285</v>
      </c>
      <c r="CK54" s="12" t="s">
        <v>1285</v>
      </c>
      <c r="CL54" s="12" t="s">
        <v>1285</v>
      </c>
      <c r="CM54" s="12" t="s">
        <v>1285</v>
      </c>
      <c r="CN54" s="12" t="s">
        <v>1285</v>
      </c>
      <c r="CO54" s="12" t="s">
        <v>1285</v>
      </c>
      <c r="CP54" s="12" t="s">
        <v>1285</v>
      </c>
      <c r="CQ54" s="12" t="s">
        <v>1285</v>
      </c>
      <c r="CR54" s="12" t="s">
        <v>1285</v>
      </c>
      <c r="CS54" s="12" t="s">
        <v>1285</v>
      </c>
      <c r="CT54" s="12" t="s">
        <v>1285</v>
      </c>
    </row>
    <row r="55" spans="1:98" hidden="1" x14ac:dyDescent="0.3">
      <c r="A55" s="12" t="s">
        <v>1729</v>
      </c>
      <c r="B55" s="12" t="s">
        <v>1661</v>
      </c>
      <c r="C55" s="12" t="s">
        <v>1730</v>
      </c>
      <c r="D55" s="12" t="s">
        <v>1731</v>
      </c>
      <c r="E55" s="12" t="s">
        <v>579</v>
      </c>
      <c r="F55" s="12" t="s">
        <v>581</v>
      </c>
      <c r="G55" s="12" t="s">
        <v>624</v>
      </c>
      <c r="H55" s="12" t="s">
        <v>808</v>
      </c>
      <c r="I55" s="12" t="s">
        <v>917</v>
      </c>
      <c r="J55" s="12" t="s">
        <v>632</v>
      </c>
      <c r="K55" s="12" t="s">
        <v>856</v>
      </c>
      <c r="L55" s="12" t="s">
        <v>590</v>
      </c>
      <c r="M55" s="12" t="s">
        <v>1732</v>
      </c>
      <c r="N55" s="12" t="s">
        <v>593</v>
      </c>
      <c r="O55" s="12" t="s">
        <v>920</v>
      </c>
      <c r="P55" s="12" t="s">
        <v>1733</v>
      </c>
      <c r="Q55" s="12" t="s">
        <v>1734</v>
      </c>
      <c r="R55" s="12" t="s">
        <v>814</v>
      </c>
      <c r="S55" s="12" t="s">
        <v>986</v>
      </c>
      <c r="T55" s="12" t="s">
        <v>1735</v>
      </c>
      <c r="U55" s="12" t="s">
        <v>726</v>
      </c>
      <c r="V55" s="12" t="s">
        <v>1209</v>
      </c>
      <c r="W55" s="12" t="s">
        <v>1490</v>
      </c>
      <c r="X55" s="12" t="s">
        <v>1393</v>
      </c>
      <c r="Y55" s="12" t="s">
        <v>727</v>
      </c>
      <c r="Z55" s="12" t="s">
        <v>1736</v>
      </c>
      <c r="AA55" s="12" t="s">
        <v>1737</v>
      </c>
      <c r="AB55" s="12" t="s">
        <v>598</v>
      </c>
      <c r="AC55" s="12" t="s">
        <v>1129</v>
      </c>
      <c r="AD55" s="12" t="s">
        <v>957</v>
      </c>
      <c r="AE55" s="12" t="s">
        <v>818</v>
      </c>
      <c r="AF55" s="12" t="s">
        <v>1738</v>
      </c>
      <c r="AG55" s="12" t="s">
        <v>1364</v>
      </c>
      <c r="AH55" s="12" t="s">
        <v>1364</v>
      </c>
      <c r="AI55" s="12" t="s">
        <v>1364</v>
      </c>
      <c r="AJ55" s="12" t="s">
        <v>1364</v>
      </c>
      <c r="AK55" s="12" t="s">
        <v>1364</v>
      </c>
      <c r="AL55" s="12" t="s">
        <v>1364</v>
      </c>
      <c r="AM55" s="12" t="s">
        <v>1739</v>
      </c>
      <c r="AN55" s="12" t="s">
        <v>1739</v>
      </c>
      <c r="AO55" s="12" t="s">
        <v>1740</v>
      </c>
      <c r="AP55" s="12" t="s">
        <v>1740</v>
      </c>
      <c r="AQ55" s="12" t="s">
        <v>1740</v>
      </c>
      <c r="AR55" s="12" t="s">
        <v>1740</v>
      </c>
      <c r="AS55" s="12" t="s">
        <v>1740</v>
      </c>
      <c r="AT55" s="12" t="s">
        <v>1740</v>
      </c>
      <c r="AU55" s="12" t="s">
        <v>1740</v>
      </c>
      <c r="AV55" s="12" t="s">
        <v>1740</v>
      </c>
      <c r="AW55" s="12" t="s">
        <v>1740</v>
      </c>
      <c r="AX55" s="12" t="s">
        <v>1740</v>
      </c>
      <c r="AY55" s="12" t="s">
        <v>1740</v>
      </c>
      <c r="AZ55" s="12" t="s">
        <v>1740</v>
      </c>
      <c r="BA55" s="12" t="s">
        <v>1740</v>
      </c>
      <c r="BB55" s="12" t="s">
        <v>1740</v>
      </c>
      <c r="BC55" s="12" t="s">
        <v>1740</v>
      </c>
      <c r="BD55" s="12" t="s">
        <v>1740</v>
      </c>
      <c r="BE55" s="12" t="s">
        <v>1740</v>
      </c>
      <c r="BF55" s="12" t="s">
        <v>1740</v>
      </c>
      <c r="BG55" s="12" t="s">
        <v>1740</v>
      </c>
      <c r="BH55" s="12" t="s">
        <v>1740</v>
      </c>
      <c r="BI55" s="12" t="s">
        <v>1740</v>
      </c>
      <c r="BJ55" s="12" t="s">
        <v>1740</v>
      </c>
      <c r="BK55" s="12" t="s">
        <v>599</v>
      </c>
      <c r="BL55" s="12" t="s">
        <v>1741</v>
      </c>
      <c r="BM55" s="12" t="s">
        <v>1608</v>
      </c>
      <c r="BN55" s="12" t="s">
        <v>1608</v>
      </c>
      <c r="BO55" s="12" t="s">
        <v>1396</v>
      </c>
      <c r="BP55" s="12" t="s">
        <v>1742</v>
      </c>
      <c r="BQ55" s="12" t="s">
        <v>1743</v>
      </c>
      <c r="BR55" s="12" t="s">
        <v>1365</v>
      </c>
      <c r="BS55" s="12" t="s">
        <v>959</v>
      </c>
      <c r="BT55" s="12" t="s">
        <v>1744</v>
      </c>
      <c r="BU55" s="12" t="s">
        <v>1666</v>
      </c>
      <c r="BV55" s="12" t="s">
        <v>1745</v>
      </c>
      <c r="BW55" s="12" t="s">
        <v>1397</v>
      </c>
      <c r="BX55" s="12" t="s">
        <v>1397</v>
      </c>
      <c r="BY55" s="12" t="s">
        <v>600</v>
      </c>
      <c r="BZ55" s="12" t="s">
        <v>1746</v>
      </c>
      <c r="CA55" s="12" t="s">
        <v>1746</v>
      </c>
      <c r="CB55" s="12" t="s">
        <v>1746</v>
      </c>
      <c r="CC55" s="12" t="s">
        <v>1187</v>
      </c>
      <c r="CD55" s="12" t="s">
        <v>1187</v>
      </c>
      <c r="CE55" s="12" t="s">
        <v>1187</v>
      </c>
      <c r="CF55" s="12" t="s">
        <v>1187</v>
      </c>
      <c r="CG55" s="12" t="s">
        <v>1187</v>
      </c>
      <c r="CH55" s="12" t="s">
        <v>1688</v>
      </c>
      <c r="CI55" s="12" t="s">
        <v>1688</v>
      </c>
      <c r="CJ55" s="12" t="s">
        <v>877</v>
      </c>
      <c r="CK55" s="12" t="s">
        <v>877</v>
      </c>
      <c r="CL55" s="12" t="s">
        <v>877</v>
      </c>
      <c r="CM55" s="12" t="s">
        <v>1267</v>
      </c>
      <c r="CN55" s="12" t="s">
        <v>995</v>
      </c>
      <c r="CO55" s="12" t="s">
        <v>995</v>
      </c>
      <c r="CP55" s="12" t="s">
        <v>995</v>
      </c>
      <c r="CQ55" s="12" t="s">
        <v>995</v>
      </c>
      <c r="CR55" s="12" t="s">
        <v>995</v>
      </c>
      <c r="CS55" s="12" t="s">
        <v>995</v>
      </c>
      <c r="CT55" s="12" t="s">
        <v>995</v>
      </c>
    </row>
    <row r="56" spans="1:98" hidden="1" x14ac:dyDescent="0.3">
      <c r="A56" s="12" t="s">
        <v>1747</v>
      </c>
      <c r="B56" s="12" t="s">
        <v>1661</v>
      </c>
      <c r="C56" s="12" t="s">
        <v>1748</v>
      </c>
      <c r="D56" s="12" t="s">
        <v>1749</v>
      </c>
      <c r="E56" s="12" t="s">
        <v>578</v>
      </c>
      <c r="F56" s="12" t="s">
        <v>623</v>
      </c>
      <c r="G56" s="12" t="s">
        <v>623</v>
      </c>
      <c r="H56" s="12" t="s">
        <v>580</v>
      </c>
      <c r="I56" s="12" t="s">
        <v>582</v>
      </c>
      <c r="J56" s="12" t="s">
        <v>756</v>
      </c>
      <c r="K56" s="12" t="s">
        <v>674</v>
      </c>
      <c r="L56" s="12" t="s">
        <v>587</v>
      </c>
      <c r="M56" s="12" t="s">
        <v>676</v>
      </c>
      <c r="N56" s="12" t="s">
        <v>953</v>
      </c>
      <c r="O56" s="12" t="s">
        <v>588</v>
      </c>
      <c r="P56" s="12" t="s">
        <v>630</v>
      </c>
      <c r="Q56" s="12" t="s">
        <v>631</v>
      </c>
      <c r="R56" s="12" t="s">
        <v>992</v>
      </c>
      <c r="S56" s="12" t="s">
        <v>853</v>
      </c>
      <c r="T56" s="12" t="s">
        <v>853</v>
      </c>
      <c r="U56" s="12" t="s">
        <v>955</v>
      </c>
      <c r="V56" s="12" t="s">
        <v>771</v>
      </c>
      <c r="W56" s="12" t="s">
        <v>1352</v>
      </c>
      <c r="X56" s="12" t="s">
        <v>1352</v>
      </c>
      <c r="Y56" s="12" t="s">
        <v>977</v>
      </c>
      <c r="Z56" s="12" t="s">
        <v>681</v>
      </c>
      <c r="AA56" s="12" t="s">
        <v>682</v>
      </c>
      <c r="AB56" s="12" t="s">
        <v>682</v>
      </c>
      <c r="AC56" s="12" t="s">
        <v>682</v>
      </c>
      <c r="AD56" s="12" t="s">
        <v>682</v>
      </c>
      <c r="AE56" s="12" t="s">
        <v>857</v>
      </c>
      <c r="AF56" s="12" t="s">
        <v>857</v>
      </c>
      <c r="AG56" s="12" t="s">
        <v>857</v>
      </c>
      <c r="AH56" s="12" t="s">
        <v>857</v>
      </c>
      <c r="AI56" s="12" t="s">
        <v>857</v>
      </c>
      <c r="AJ56" s="12" t="s">
        <v>857</v>
      </c>
      <c r="AK56" s="12" t="s">
        <v>857</v>
      </c>
      <c r="AL56" s="12" t="s">
        <v>857</v>
      </c>
      <c r="AM56" s="12" t="s">
        <v>857</v>
      </c>
      <c r="AN56" s="12" t="s">
        <v>857</v>
      </c>
      <c r="AO56" s="12" t="s">
        <v>857</v>
      </c>
      <c r="AP56" s="12" t="s">
        <v>857</v>
      </c>
      <c r="AQ56" s="12" t="s">
        <v>857</v>
      </c>
      <c r="AR56" s="12" t="s">
        <v>857</v>
      </c>
      <c r="AS56" s="12" t="s">
        <v>857</v>
      </c>
      <c r="AT56" s="12" t="s">
        <v>857</v>
      </c>
      <c r="AU56" s="12" t="s">
        <v>857</v>
      </c>
      <c r="AV56" s="12" t="s">
        <v>863</v>
      </c>
      <c r="AW56" s="12" t="s">
        <v>1418</v>
      </c>
      <c r="AX56" s="12" t="s">
        <v>593</v>
      </c>
      <c r="AY56" s="12" t="s">
        <v>1750</v>
      </c>
      <c r="AZ56" s="12" t="s">
        <v>1750</v>
      </c>
      <c r="BA56" s="12" t="s">
        <v>1751</v>
      </c>
      <c r="BB56" s="12" t="s">
        <v>1354</v>
      </c>
      <c r="BC56" s="12" t="s">
        <v>1354</v>
      </c>
      <c r="BD56" s="12" t="s">
        <v>1354</v>
      </c>
      <c r="BE56" s="12" t="s">
        <v>1355</v>
      </c>
      <c r="BF56" s="12" t="s">
        <v>723</v>
      </c>
      <c r="BG56" s="12" t="s">
        <v>723</v>
      </c>
      <c r="BH56" s="12" t="s">
        <v>723</v>
      </c>
      <c r="BI56" s="12" t="s">
        <v>723</v>
      </c>
      <c r="BJ56" s="12" t="s">
        <v>873</v>
      </c>
      <c r="BK56" s="12" t="s">
        <v>873</v>
      </c>
      <c r="BL56" s="12" t="s">
        <v>873</v>
      </c>
      <c r="BM56" s="12" t="s">
        <v>812</v>
      </c>
      <c r="BN56" s="12" t="s">
        <v>812</v>
      </c>
      <c r="BO56" s="12" t="s">
        <v>812</v>
      </c>
      <c r="BP56" s="12" t="s">
        <v>812</v>
      </c>
      <c r="BQ56" s="12" t="s">
        <v>812</v>
      </c>
      <c r="BR56" s="12" t="s">
        <v>812</v>
      </c>
      <c r="BS56" s="12" t="s">
        <v>812</v>
      </c>
      <c r="BT56" s="12" t="s">
        <v>1358</v>
      </c>
      <c r="BU56" s="12" t="s">
        <v>1358</v>
      </c>
      <c r="BV56" s="12" t="s">
        <v>1358</v>
      </c>
      <c r="BW56" s="12" t="s">
        <v>1358</v>
      </c>
      <c r="BX56" s="12" t="s">
        <v>1358</v>
      </c>
      <c r="BY56" s="12" t="s">
        <v>1358</v>
      </c>
      <c r="BZ56" s="12" t="s">
        <v>1358</v>
      </c>
      <c r="CA56" s="12" t="s">
        <v>1358</v>
      </c>
      <c r="CB56" s="12" t="s">
        <v>683</v>
      </c>
      <c r="CC56" s="12" t="s">
        <v>683</v>
      </c>
      <c r="CD56" s="12" t="s">
        <v>683</v>
      </c>
      <c r="CE56" s="12" t="s">
        <v>683</v>
      </c>
      <c r="CF56" s="12" t="s">
        <v>683</v>
      </c>
      <c r="CG56" s="12" t="s">
        <v>683</v>
      </c>
      <c r="CH56" s="12" t="s">
        <v>683</v>
      </c>
      <c r="CI56" s="12" t="s">
        <v>683</v>
      </c>
      <c r="CJ56" s="12" t="s">
        <v>683</v>
      </c>
      <c r="CK56" s="12" t="s">
        <v>683</v>
      </c>
      <c r="CL56" s="12" t="s">
        <v>683</v>
      </c>
      <c r="CM56" s="12" t="s">
        <v>683</v>
      </c>
      <c r="CN56" s="12" t="s">
        <v>683</v>
      </c>
      <c r="CO56" s="12" t="s">
        <v>683</v>
      </c>
      <c r="CP56" s="12" t="s">
        <v>683</v>
      </c>
      <c r="CQ56" s="12" t="s">
        <v>683</v>
      </c>
      <c r="CR56" s="12" t="s">
        <v>683</v>
      </c>
      <c r="CS56" s="12" t="s">
        <v>683</v>
      </c>
      <c r="CT56" s="12" t="s">
        <v>683</v>
      </c>
    </row>
    <row r="57" spans="1:98" hidden="1" x14ac:dyDescent="0.3">
      <c r="A57" s="12" t="s">
        <v>1752</v>
      </c>
      <c r="B57" s="12" t="s">
        <v>1661</v>
      </c>
      <c r="C57" s="12" t="s">
        <v>1753</v>
      </c>
      <c r="D57" s="12" t="s">
        <v>1754</v>
      </c>
      <c r="E57" s="12" t="s">
        <v>676</v>
      </c>
      <c r="F57" s="12" t="s">
        <v>852</v>
      </c>
      <c r="G57" s="12" t="s">
        <v>719</v>
      </c>
      <c r="H57" s="12" t="s">
        <v>810</v>
      </c>
      <c r="I57" s="12" t="s">
        <v>979</v>
      </c>
      <c r="J57" s="12" t="s">
        <v>1309</v>
      </c>
      <c r="K57" s="12" t="s">
        <v>987</v>
      </c>
      <c r="L57" s="12" t="s">
        <v>646</v>
      </c>
      <c r="M57" s="12" t="s">
        <v>1267</v>
      </c>
      <c r="N57" s="12" t="s">
        <v>878</v>
      </c>
      <c r="O57" s="12" t="s">
        <v>1755</v>
      </c>
      <c r="P57" s="12" t="s">
        <v>1627</v>
      </c>
      <c r="Q57" s="12" t="s">
        <v>1462</v>
      </c>
      <c r="R57" s="12" t="s">
        <v>1756</v>
      </c>
      <c r="S57" s="12" t="s">
        <v>1757</v>
      </c>
      <c r="T57" s="12" t="s">
        <v>1464</v>
      </c>
      <c r="U57" s="12" t="s">
        <v>1758</v>
      </c>
      <c r="V57" s="12" t="s">
        <v>1759</v>
      </c>
      <c r="W57" s="12" t="s">
        <v>1760</v>
      </c>
      <c r="X57" s="12" t="s">
        <v>838</v>
      </c>
      <c r="Y57" s="12" t="s">
        <v>1761</v>
      </c>
      <c r="Z57" s="12" t="s">
        <v>882</v>
      </c>
      <c r="AA57" s="12" t="s">
        <v>1011</v>
      </c>
      <c r="AB57" s="12" t="s">
        <v>1762</v>
      </c>
      <c r="AC57" s="12" t="s">
        <v>1763</v>
      </c>
      <c r="AD57" s="12" t="s">
        <v>1764</v>
      </c>
      <c r="AE57" s="12" t="s">
        <v>1765</v>
      </c>
      <c r="AF57" s="12" t="s">
        <v>1017</v>
      </c>
      <c r="AG57" s="12" t="s">
        <v>1766</v>
      </c>
      <c r="AH57" s="12" t="s">
        <v>1054</v>
      </c>
      <c r="AI57" s="12" t="s">
        <v>1767</v>
      </c>
      <c r="AJ57" s="12" t="s">
        <v>842</v>
      </c>
      <c r="AK57" s="12" t="s">
        <v>1302</v>
      </c>
      <c r="AL57" s="12" t="s">
        <v>1768</v>
      </c>
      <c r="AM57" s="12" t="s">
        <v>1769</v>
      </c>
      <c r="AN57" s="12" t="s">
        <v>1769</v>
      </c>
      <c r="AO57" s="12" t="s">
        <v>1769</v>
      </c>
      <c r="AP57" s="12" t="s">
        <v>1770</v>
      </c>
      <c r="AQ57" s="12" t="s">
        <v>1771</v>
      </c>
      <c r="AR57" s="12" t="s">
        <v>1771</v>
      </c>
      <c r="AS57" s="12" t="s">
        <v>1772</v>
      </c>
      <c r="AT57" s="12" t="s">
        <v>1772</v>
      </c>
      <c r="AU57" s="12" t="s">
        <v>1772</v>
      </c>
      <c r="AV57" s="12" t="s">
        <v>619</v>
      </c>
      <c r="AW57" s="12" t="s">
        <v>1773</v>
      </c>
      <c r="AX57" s="12" t="s">
        <v>1773</v>
      </c>
      <c r="AY57" s="12" t="s">
        <v>1773</v>
      </c>
      <c r="AZ57" s="12" t="s">
        <v>1773</v>
      </c>
      <c r="BA57" s="12" t="s">
        <v>1774</v>
      </c>
      <c r="BB57" s="12" t="s">
        <v>1775</v>
      </c>
      <c r="BC57" s="12" t="s">
        <v>1775</v>
      </c>
      <c r="BD57" s="12" t="s">
        <v>1775</v>
      </c>
      <c r="BE57" s="12" t="s">
        <v>1775</v>
      </c>
      <c r="BF57" s="12" t="s">
        <v>1776</v>
      </c>
      <c r="BG57" s="12" t="s">
        <v>1148</v>
      </c>
      <c r="BH57" s="12" t="s">
        <v>1777</v>
      </c>
      <c r="BI57" s="12" t="s">
        <v>1469</v>
      </c>
      <c r="BJ57" s="12" t="s">
        <v>1778</v>
      </c>
      <c r="BK57" s="12" t="s">
        <v>1779</v>
      </c>
      <c r="BL57" s="12" t="s">
        <v>1780</v>
      </c>
      <c r="BM57" s="12" t="s">
        <v>1304</v>
      </c>
      <c r="BN57" s="12" t="s">
        <v>1781</v>
      </c>
      <c r="BO57" s="12" t="s">
        <v>1782</v>
      </c>
      <c r="BP57" s="12" t="s">
        <v>1783</v>
      </c>
      <c r="BQ57" s="12" t="s">
        <v>1784</v>
      </c>
      <c r="BR57" s="12" t="s">
        <v>1785</v>
      </c>
      <c r="BS57" s="12" t="s">
        <v>1786</v>
      </c>
      <c r="BT57" s="12" t="s">
        <v>1787</v>
      </c>
      <c r="BU57" s="12" t="s">
        <v>1788</v>
      </c>
      <c r="BV57" s="12" t="s">
        <v>1789</v>
      </c>
      <c r="BW57" s="12" t="s">
        <v>1790</v>
      </c>
      <c r="BX57" s="12" t="s">
        <v>1791</v>
      </c>
      <c r="BY57" s="12" t="s">
        <v>1792</v>
      </c>
      <c r="BZ57" s="12" t="s">
        <v>1793</v>
      </c>
      <c r="CA57" s="12" t="s">
        <v>1794</v>
      </c>
      <c r="CB57" s="12" t="s">
        <v>1795</v>
      </c>
      <c r="CC57" s="12" t="s">
        <v>1796</v>
      </c>
      <c r="CD57" s="12" t="s">
        <v>1797</v>
      </c>
      <c r="CE57" s="12" t="s">
        <v>1798</v>
      </c>
      <c r="CF57" s="12" t="s">
        <v>1799</v>
      </c>
      <c r="CG57" s="12" t="s">
        <v>1115</v>
      </c>
      <c r="CH57" s="12" t="s">
        <v>1800</v>
      </c>
      <c r="CI57" s="12" t="s">
        <v>1801</v>
      </c>
      <c r="CJ57" s="12" t="s">
        <v>1802</v>
      </c>
      <c r="CK57" s="12" t="s">
        <v>1803</v>
      </c>
      <c r="CL57" s="12" t="s">
        <v>1804</v>
      </c>
      <c r="CM57" s="12" t="s">
        <v>1805</v>
      </c>
      <c r="CN57" s="12" t="s">
        <v>1806</v>
      </c>
      <c r="CO57" s="12" t="s">
        <v>1807</v>
      </c>
      <c r="CP57" s="12" t="s">
        <v>1808</v>
      </c>
      <c r="CQ57" s="12" t="s">
        <v>1809</v>
      </c>
      <c r="CR57" s="12" t="s">
        <v>1809</v>
      </c>
      <c r="CS57" s="12" t="s">
        <v>1810</v>
      </c>
      <c r="CT57" s="12" t="s">
        <v>1810</v>
      </c>
    </row>
    <row r="58" spans="1:98" hidden="1" x14ac:dyDescent="0.3">
      <c r="A58" s="12" t="s">
        <v>1811</v>
      </c>
      <c r="B58" s="12" t="s">
        <v>1661</v>
      </c>
      <c r="C58" s="12" t="s">
        <v>1812</v>
      </c>
      <c r="D58" s="12" t="s">
        <v>1813</v>
      </c>
      <c r="E58" s="12" t="s">
        <v>623</v>
      </c>
      <c r="F58" s="12" t="s">
        <v>581</v>
      </c>
      <c r="G58" s="12" t="s">
        <v>626</v>
      </c>
      <c r="H58" s="12" t="s">
        <v>626</v>
      </c>
      <c r="I58" s="12" t="s">
        <v>971</v>
      </c>
      <c r="J58" s="12" t="s">
        <v>918</v>
      </c>
      <c r="K58" s="12" t="s">
        <v>630</v>
      </c>
      <c r="L58" s="12" t="s">
        <v>1413</v>
      </c>
      <c r="M58" s="12" t="s">
        <v>810</v>
      </c>
      <c r="N58" s="12" t="s">
        <v>681</v>
      </c>
      <c r="O58" s="12" t="s">
        <v>861</v>
      </c>
      <c r="P58" s="12" t="s">
        <v>979</v>
      </c>
      <c r="Q58" s="12" t="s">
        <v>1354</v>
      </c>
      <c r="R58" s="12" t="s">
        <v>683</v>
      </c>
      <c r="S58" s="12" t="s">
        <v>1814</v>
      </c>
      <c r="T58" s="12" t="s">
        <v>1686</v>
      </c>
      <c r="U58" s="12" t="s">
        <v>1815</v>
      </c>
      <c r="V58" s="12" t="s">
        <v>1263</v>
      </c>
      <c r="W58" s="12" t="s">
        <v>984</v>
      </c>
      <c r="X58" s="12" t="s">
        <v>875</v>
      </c>
      <c r="Y58" s="12" t="s">
        <v>1735</v>
      </c>
      <c r="Z58" s="12" t="s">
        <v>1392</v>
      </c>
      <c r="AA58" s="12" t="s">
        <v>1392</v>
      </c>
      <c r="AB58" s="12" t="s">
        <v>1506</v>
      </c>
      <c r="AC58" s="12" t="s">
        <v>815</v>
      </c>
      <c r="AD58" s="12" t="s">
        <v>596</v>
      </c>
      <c r="AE58" s="12" t="s">
        <v>1624</v>
      </c>
      <c r="AF58" s="12" t="s">
        <v>1363</v>
      </c>
      <c r="AG58" s="12" t="s">
        <v>1509</v>
      </c>
      <c r="AH58" s="12" t="s">
        <v>1816</v>
      </c>
      <c r="AI58" s="12" t="s">
        <v>1049</v>
      </c>
      <c r="AJ58" s="12" t="s">
        <v>816</v>
      </c>
      <c r="AK58" s="12" t="s">
        <v>816</v>
      </c>
      <c r="AL58" s="12" t="s">
        <v>1817</v>
      </c>
      <c r="AM58" s="12" t="s">
        <v>1511</v>
      </c>
      <c r="AN58" s="12" t="s">
        <v>1511</v>
      </c>
      <c r="AO58" s="12" t="s">
        <v>1511</v>
      </c>
      <c r="AP58" s="12" t="s">
        <v>1511</v>
      </c>
      <c r="AQ58" s="12" t="s">
        <v>1511</v>
      </c>
      <c r="AR58" s="12" t="s">
        <v>1511</v>
      </c>
      <c r="AS58" s="12" t="s">
        <v>1511</v>
      </c>
      <c r="AT58" s="12" t="s">
        <v>1511</v>
      </c>
      <c r="AU58" s="12" t="s">
        <v>1511</v>
      </c>
      <c r="AV58" s="12" t="s">
        <v>1511</v>
      </c>
      <c r="AW58" s="12" t="s">
        <v>1511</v>
      </c>
      <c r="AX58" s="12" t="s">
        <v>1511</v>
      </c>
      <c r="AY58" s="12" t="s">
        <v>1511</v>
      </c>
      <c r="AZ58" s="12" t="s">
        <v>1511</v>
      </c>
      <c r="BA58" s="12" t="s">
        <v>1511</v>
      </c>
      <c r="BB58" s="12" t="s">
        <v>1511</v>
      </c>
      <c r="BC58" s="12" t="s">
        <v>1511</v>
      </c>
      <c r="BD58" s="12" t="s">
        <v>1511</v>
      </c>
      <c r="BE58" s="12" t="s">
        <v>1511</v>
      </c>
      <c r="BF58" s="12" t="s">
        <v>1511</v>
      </c>
      <c r="BG58" s="12" t="s">
        <v>1511</v>
      </c>
      <c r="BH58" s="12" t="s">
        <v>1491</v>
      </c>
      <c r="BI58" s="12" t="s">
        <v>1491</v>
      </c>
      <c r="BJ58" s="12" t="s">
        <v>1491</v>
      </c>
      <c r="BK58" s="12" t="s">
        <v>1492</v>
      </c>
      <c r="BL58" s="12" t="s">
        <v>1492</v>
      </c>
      <c r="BM58" s="12" t="s">
        <v>1492</v>
      </c>
      <c r="BN58" s="12" t="s">
        <v>1492</v>
      </c>
      <c r="BO58" s="12" t="s">
        <v>1492</v>
      </c>
      <c r="BP58" s="12" t="s">
        <v>1492</v>
      </c>
      <c r="BQ58" s="12" t="s">
        <v>1492</v>
      </c>
      <c r="BR58" s="12" t="s">
        <v>1492</v>
      </c>
      <c r="BS58" s="12" t="s">
        <v>1492</v>
      </c>
      <c r="BT58" s="12" t="s">
        <v>1492</v>
      </c>
      <c r="BU58" s="12" t="s">
        <v>1492</v>
      </c>
      <c r="BV58" s="12" t="s">
        <v>1492</v>
      </c>
      <c r="BW58" s="12" t="s">
        <v>1492</v>
      </c>
      <c r="BX58" s="12" t="s">
        <v>1492</v>
      </c>
      <c r="BY58" s="12" t="s">
        <v>1492</v>
      </c>
      <c r="BZ58" s="12" t="s">
        <v>1492</v>
      </c>
      <c r="CA58" s="12" t="s">
        <v>1492</v>
      </c>
      <c r="CB58" s="12" t="s">
        <v>1492</v>
      </c>
      <c r="CC58" s="12" t="s">
        <v>1492</v>
      </c>
      <c r="CD58" s="12" t="s">
        <v>1492</v>
      </c>
      <c r="CE58" s="12" t="s">
        <v>1492</v>
      </c>
      <c r="CF58" s="12" t="s">
        <v>1492</v>
      </c>
      <c r="CG58" s="12" t="s">
        <v>1492</v>
      </c>
      <c r="CH58" s="12" t="s">
        <v>1492</v>
      </c>
      <c r="CI58" s="12" t="s">
        <v>1492</v>
      </c>
      <c r="CJ58" s="12" t="s">
        <v>1492</v>
      </c>
      <c r="CK58" s="12" t="s">
        <v>1492</v>
      </c>
      <c r="CL58" s="12" t="s">
        <v>1492</v>
      </c>
      <c r="CM58" s="12" t="s">
        <v>1492</v>
      </c>
      <c r="CN58" s="12" t="s">
        <v>1492</v>
      </c>
      <c r="CO58" s="12" t="s">
        <v>1492</v>
      </c>
      <c r="CP58" s="12" t="s">
        <v>1492</v>
      </c>
      <c r="CQ58" s="12" t="s">
        <v>1492</v>
      </c>
      <c r="CR58" s="12" t="s">
        <v>1492</v>
      </c>
      <c r="CS58" s="12" t="s">
        <v>1492</v>
      </c>
      <c r="CT58" s="12" t="s">
        <v>1492</v>
      </c>
    </row>
    <row r="59" spans="1:98" hidden="1" x14ac:dyDescent="0.3">
      <c r="A59" s="12" t="s">
        <v>1818</v>
      </c>
      <c r="B59" s="12" t="s">
        <v>1661</v>
      </c>
      <c r="C59" s="12" t="s">
        <v>1819</v>
      </c>
      <c r="D59" s="12" t="s">
        <v>1820</v>
      </c>
      <c r="E59" s="12" t="s">
        <v>579</v>
      </c>
      <c r="F59" s="12" t="s">
        <v>672</v>
      </c>
      <c r="G59" s="12" t="s">
        <v>672</v>
      </c>
      <c r="H59" s="12" t="s">
        <v>580</v>
      </c>
      <c r="I59" s="12" t="s">
        <v>581</v>
      </c>
      <c r="J59" s="12" t="s">
        <v>582</v>
      </c>
      <c r="K59" s="12" t="s">
        <v>761</v>
      </c>
      <c r="L59" s="12" t="s">
        <v>761</v>
      </c>
      <c r="M59" s="12" t="s">
        <v>625</v>
      </c>
      <c r="N59" s="12" t="s">
        <v>953</v>
      </c>
      <c r="O59" s="12" t="s">
        <v>953</v>
      </c>
      <c r="P59" s="12" t="s">
        <v>628</v>
      </c>
      <c r="Q59" s="12" t="s">
        <v>918</v>
      </c>
      <c r="R59" s="12" t="s">
        <v>1413</v>
      </c>
      <c r="S59" s="12" t="s">
        <v>633</v>
      </c>
      <c r="T59" s="12" t="s">
        <v>854</v>
      </c>
      <c r="U59" s="12" t="s">
        <v>1184</v>
      </c>
      <c r="V59" s="12" t="s">
        <v>636</v>
      </c>
      <c r="W59" s="12" t="s">
        <v>860</v>
      </c>
      <c r="X59" s="12" t="s">
        <v>1208</v>
      </c>
      <c r="Y59" s="12" t="s">
        <v>1354</v>
      </c>
      <c r="Z59" s="12" t="s">
        <v>723</v>
      </c>
      <c r="AA59" s="12" t="s">
        <v>1356</v>
      </c>
      <c r="AB59" s="12" t="s">
        <v>1025</v>
      </c>
      <c r="AC59" s="12" t="s">
        <v>1821</v>
      </c>
      <c r="AD59" s="12" t="s">
        <v>920</v>
      </c>
      <c r="AE59" s="12" t="s">
        <v>639</v>
      </c>
      <c r="AF59" s="12" t="s">
        <v>639</v>
      </c>
      <c r="AG59" s="12" t="s">
        <v>639</v>
      </c>
      <c r="AH59" s="12" t="s">
        <v>639</v>
      </c>
      <c r="AI59" s="12" t="s">
        <v>639</v>
      </c>
      <c r="AJ59" s="12" t="s">
        <v>639</v>
      </c>
      <c r="AK59" s="12" t="s">
        <v>639</v>
      </c>
      <c r="AL59" s="12" t="s">
        <v>639</v>
      </c>
      <c r="AM59" s="12" t="s">
        <v>639</v>
      </c>
      <c r="AN59" s="12" t="s">
        <v>639</v>
      </c>
      <c r="AO59" s="12" t="s">
        <v>639</v>
      </c>
      <c r="AP59" s="12" t="s">
        <v>639</v>
      </c>
      <c r="AQ59" s="12" t="s">
        <v>639</v>
      </c>
      <c r="AR59" s="12" t="s">
        <v>639</v>
      </c>
      <c r="AS59" s="12" t="s">
        <v>639</v>
      </c>
      <c r="AT59" s="12" t="s">
        <v>639</v>
      </c>
      <c r="AU59" s="12" t="s">
        <v>639</v>
      </c>
      <c r="AV59" s="12" t="s">
        <v>639</v>
      </c>
      <c r="AW59" s="12" t="s">
        <v>639</v>
      </c>
      <c r="AX59" s="12" t="s">
        <v>639</v>
      </c>
      <c r="AY59" s="12" t="s">
        <v>639</v>
      </c>
      <c r="AZ59" s="12" t="s">
        <v>639</v>
      </c>
      <c r="BA59" s="12" t="s">
        <v>639</v>
      </c>
      <c r="BB59" s="12" t="s">
        <v>639</v>
      </c>
      <c r="BC59" s="12" t="s">
        <v>639</v>
      </c>
      <c r="BD59" s="12" t="s">
        <v>639</v>
      </c>
      <c r="BE59" s="12" t="s">
        <v>639</v>
      </c>
      <c r="BF59" s="12" t="s">
        <v>639</v>
      </c>
      <c r="BG59" s="12" t="s">
        <v>639</v>
      </c>
      <c r="BH59" s="12" t="s">
        <v>1515</v>
      </c>
      <c r="BI59" s="12" t="s">
        <v>639</v>
      </c>
      <c r="BJ59" s="12" t="s">
        <v>639</v>
      </c>
      <c r="BK59" s="12" t="s">
        <v>639</v>
      </c>
      <c r="BL59" s="12" t="s">
        <v>639</v>
      </c>
      <c r="BM59" s="12" t="s">
        <v>639</v>
      </c>
      <c r="BN59" s="12" t="s">
        <v>639</v>
      </c>
      <c r="BO59" s="12" t="s">
        <v>639</v>
      </c>
      <c r="BP59" s="12" t="s">
        <v>639</v>
      </c>
      <c r="BQ59" s="12" t="s">
        <v>639</v>
      </c>
      <c r="BR59" s="12" t="s">
        <v>639</v>
      </c>
      <c r="BS59" s="12" t="s">
        <v>639</v>
      </c>
      <c r="BT59" s="12" t="s">
        <v>639</v>
      </c>
      <c r="BU59" s="12" t="s">
        <v>639</v>
      </c>
      <c r="BV59" s="12" t="s">
        <v>639</v>
      </c>
      <c r="BW59" s="12" t="s">
        <v>639</v>
      </c>
      <c r="BX59" s="12" t="s">
        <v>639</v>
      </c>
      <c r="BY59" s="12" t="s">
        <v>639</v>
      </c>
      <c r="BZ59" s="12" t="s">
        <v>639</v>
      </c>
      <c r="CA59" s="12" t="s">
        <v>639</v>
      </c>
      <c r="CB59" s="12" t="s">
        <v>639</v>
      </c>
      <c r="CC59" s="12" t="s">
        <v>639</v>
      </c>
      <c r="CD59" s="12" t="s">
        <v>639</v>
      </c>
      <c r="CE59" s="12" t="s">
        <v>639</v>
      </c>
      <c r="CF59" s="12" t="s">
        <v>639</v>
      </c>
      <c r="CG59" s="12" t="s">
        <v>639</v>
      </c>
      <c r="CH59" s="12" t="s">
        <v>639</v>
      </c>
      <c r="CI59" s="12" t="s">
        <v>639</v>
      </c>
      <c r="CJ59" s="12" t="s">
        <v>639</v>
      </c>
      <c r="CK59" s="12" t="s">
        <v>639</v>
      </c>
      <c r="CL59" s="12" t="s">
        <v>639</v>
      </c>
      <c r="CM59" s="12" t="s">
        <v>639</v>
      </c>
      <c r="CN59" s="12" t="s">
        <v>639</v>
      </c>
      <c r="CO59" s="12" t="s">
        <v>1515</v>
      </c>
      <c r="CP59" s="12" t="s">
        <v>1515</v>
      </c>
      <c r="CQ59" s="12" t="s">
        <v>1515</v>
      </c>
      <c r="CR59" s="12" t="s">
        <v>1515</v>
      </c>
      <c r="CS59" s="12" t="s">
        <v>1515</v>
      </c>
      <c r="CT59" s="12" t="s">
        <v>1515</v>
      </c>
    </row>
    <row r="60" spans="1:98" hidden="1" x14ac:dyDescent="0.3">
      <c r="A60" s="12" t="s">
        <v>1822</v>
      </c>
      <c r="B60" s="12" t="s">
        <v>1661</v>
      </c>
      <c r="C60" s="12" t="s">
        <v>1823</v>
      </c>
      <c r="D60" s="12" t="s">
        <v>1824</v>
      </c>
      <c r="E60" s="12" t="s">
        <v>580</v>
      </c>
      <c r="F60" s="12" t="s">
        <v>581</v>
      </c>
      <c r="G60" s="12" t="s">
        <v>755</v>
      </c>
      <c r="H60" s="12" t="s">
        <v>674</v>
      </c>
      <c r="I60" s="12" t="s">
        <v>586</v>
      </c>
      <c r="J60" s="12" t="s">
        <v>627</v>
      </c>
      <c r="K60" s="12" t="s">
        <v>588</v>
      </c>
      <c r="L60" s="12" t="s">
        <v>1259</v>
      </c>
      <c r="M60" s="12" t="s">
        <v>918</v>
      </c>
      <c r="N60" s="12" t="s">
        <v>809</v>
      </c>
      <c r="O60" s="12" t="s">
        <v>853</v>
      </c>
      <c r="P60" s="12" t="s">
        <v>633</v>
      </c>
      <c r="Q60" s="12" t="s">
        <v>975</v>
      </c>
      <c r="R60" s="12" t="s">
        <v>856</v>
      </c>
      <c r="S60" s="12" t="s">
        <v>860</v>
      </c>
      <c r="T60" s="12" t="s">
        <v>1664</v>
      </c>
      <c r="U60" s="12" t="s">
        <v>1417</v>
      </c>
      <c r="V60" s="12" t="s">
        <v>1750</v>
      </c>
      <c r="W60" s="12" t="s">
        <v>1047</v>
      </c>
      <c r="X60" s="12" t="s">
        <v>1358</v>
      </c>
      <c r="Y60" s="12" t="s">
        <v>920</v>
      </c>
      <c r="Z60" s="12" t="s">
        <v>1262</v>
      </c>
      <c r="AA60" s="12" t="s">
        <v>1262</v>
      </c>
      <c r="AB60" s="12" t="s">
        <v>1733</v>
      </c>
      <c r="AC60" s="12" t="s">
        <v>1310</v>
      </c>
      <c r="AD60" s="12" t="s">
        <v>1310</v>
      </c>
      <c r="AE60" s="12" t="s">
        <v>1186</v>
      </c>
      <c r="AF60" s="12" t="s">
        <v>1186</v>
      </c>
      <c r="AG60" s="12" t="s">
        <v>1686</v>
      </c>
      <c r="AH60" s="12" t="s">
        <v>1686</v>
      </c>
      <c r="AI60" s="12" t="s">
        <v>1686</v>
      </c>
      <c r="AJ60" s="12" t="s">
        <v>1686</v>
      </c>
      <c r="AK60" s="12" t="s">
        <v>1686</v>
      </c>
      <c r="AL60" s="12" t="s">
        <v>1686</v>
      </c>
      <c r="AM60" s="12" t="s">
        <v>1686</v>
      </c>
      <c r="AN60" s="12" t="s">
        <v>1686</v>
      </c>
      <c r="AO60" s="12" t="s">
        <v>1686</v>
      </c>
      <c r="AP60" s="12" t="s">
        <v>1686</v>
      </c>
      <c r="AQ60" s="12" t="s">
        <v>1686</v>
      </c>
      <c r="AR60" s="12" t="s">
        <v>1686</v>
      </c>
      <c r="AS60" s="12" t="s">
        <v>1686</v>
      </c>
      <c r="AT60" s="12" t="s">
        <v>1686</v>
      </c>
      <c r="AU60" s="12" t="s">
        <v>1686</v>
      </c>
      <c r="AV60" s="12" t="s">
        <v>1686</v>
      </c>
      <c r="AW60" s="12" t="s">
        <v>1686</v>
      </c>
      <c r="AX60" s="12" t="s">
        <v>1686</v>
      </c>
      <c r="AY60" s="12" t="s">
        <v>1686</v>
      </c>
      <c r="AZ60" s="12" t="s">
        <v>1686</v>
      </c>
      <c r="BA60" s="12" t="s">
        <v>1686</v>
      </c>
      <c r="BB60" s="12" t="s">
        <v>1686</v>
      </c>
      <c r="BC60" s="12" t="s">
        <v>1686</v>
      </c>
      <c r="BD60" s="12" t="s">
        <v>1686</v>
      </c>
      <c r="BE60" s="12" t="s">
        <v>1686</v>
      </c>
      <c r="BF60" s="12" t="s">
        <v>1686</v>
      </c>
      <c r="BG60" s="12" t="s">
        <v>1686</v>
      </c>
      <c r="BH60" s="12" t="s">
        <v>1686</v>
      </c>
      <c r="BI60" s="12" t="s">
        <v>1686</v>
      </c>
      <c r="BJ60" s="12" t="s">
        <v>1686</v>
      </c>
      <c r="BK60" s="12" t="s">
        <v>1686</v>
      </c>
      <c r="BL60" s="12" t="s">
        <v>1686</v>
      </c>
      <c r="BM60" s="12" t="s">
        <v>1686</v>
      </c>
      <c r="BN60" s="12" t="s">
        <v>1686</v>
      </c>
      <c r="BO60" s="12" t="s">
        <v>1686</v>
      </c>
      <c r="BP60" s="12" t="s">
        <v>1686</v>
      </c>
      <c r="BQ60" s="12" t="s">
        <v>1686</v>
      </c>
      <c r="BR60" s="12" t="s">
        <v>1686</v>
      </c>
      <c r="BS60" s="12" t="s">
        <v>1686</v>
      </c>
      <c r="BT60" s="12" t="s">
        <v>1686</v>
      </c>
      <c r="BU60" s="12" t="s">
        <v>1686</v>
      </c>
      <c r="BV60" s="12" t="s">
        <v>1686</v>
      </c>
      <c r="BW60" s="12" t="s">
        <v>1686</v>
      </c>
      <c r="BX60" s="12" t="s">
        <v>1686</v>
      </c>
      <c r="BY60" s="12" t="s">
        <v>1686</v>
      </c>
      <c r="BZ60" s="12" t="s">
        <v>1686</v>
      </c>
      <c r="CA60" s="12" t="s">
        <v>1686</v>
      </c>
      <c r="CB60" s="12" t="s">
        <v>1686</v>
      </c>
      <c r="CC60" s="12" t="s">
        <v>1686</v>
      </c>
      <c r="CD60" s="12" t="s">
        <v>1686</v>
      </c>
      <c r="CE60" s="12" t="s">
        <v>1686</v>
      </c>
      <c r="CF60" s="12" t="s">
        <v>1686</v>
      </c>
      <c r="CG60" s="12" t="s">
        <v>1686</v>
      </c>
      <c r="CH60" s="12" t="s">
        <v>1686</v>
      </c>
      <c r="CI60" s="12" t="s">
        <v>1686</v>
      </c>
      <c r="CJ60" s="12" t="s">
        <v>1686</v>
      </c>
      <c r="CK60" s="12" t="s">
        <v>1686</v>
      </c>
      <c r="CL60" s="12" t="s">
        <v>1686</v>
      </c>
      <c r="CM60" s="12" t="s">
        <v>1686</v>
      </c>
      <c r="CN60" s="12" t="s">
        <v>1686</v>
      </c>
      <c r="CO60" s="12" t="s">
        <v>1686</v>
      </c>
      <c r="CP60" s="12" t="s">
        <v>1686</v>
      </c>
      <c r="CQ60" s="12" t="s">
        <v>1686</v>
      </c>
      <c r="CR60" s="12" t="s">
        <v>1686</v>
      </c>
      <c r="CS60" s="12" t="s">
        <v>1686</v>
      </c>
      <c r="CT60" s="12" t="s">
        <v>1686</v>
      </c>
    </row>
    <row r="61" spans="1:98" hidden="1" x14ac:dyDescent="0.3">
      <c r="A61" s="12" t="s">
        <v>1825</v>
      </c>
      <c r="B61" s="12" t="s">
        <v>1661</v>
      </c>
      <c r="C61" s="12" t="s">
        <v>1826</v>
      </c>
      <c r="D61" s="12" t="s">
        <v>1827</v>
      </c>
      <c r="E61" s="12" t="s">
        <v>579</v>
      </c>
      <c r="F61" s="12" t="s">
        <v>579</v>
      </c>
      <c r="G61" s="12" t="s">
        <v>623</v>
      </c>
      <c r="H61" s="12" t="s">
        <v>755</v>
      </c>
      <c r="I61" s="12" t="s">
        <v>868</v>
      </c>
      <c r="J61" s="12" t="s">
        <v>808</v>
      </c>
      <c r="K61" s="12" t="s">
        <v>627</v>
      </c>
      <c r="L61" s="12" t="s">
        <v>678</v>
      </c>
      <c r="M61" s="12" t="s">
        <v>870</v>
      </c>
      <c r="N61" s="12" t="s">
        <v>976</v>
      </c>
      <c r="O61" s="12" t="s">
        <v>859</v>
      </c>
      <c r="P61" s="12" t="s">
        <v>637</v>
      </c>
      <c r="Q61" s="12" t="s">
        <v>722</v>
      </c>
      <c r="R61" s="12" t="s">
        <v>1276</v>
      </c>
      <c r="S61" s="12" t="s">
        <v>1356</v>
      </c>
      <c r="T61" s="12" t="s">
        <v>1262</v>
      </c>
      <c r="U61" s="12" t="s">
        <v>1815</v>
      </c>
      <c r="V61" s="12" t="s">
        <v>984</v>
      </c>
      <c r="W61" s="12" t="s">
        <v>1604</v>
      </c>
      <c r="X61" s="12" t="s">
        <v>1163</v>
      </c>
      <c r="Y61" s="12" t="s">
        <v>1209</v>
      </c>
      <c r="Z61" s="12" t="s">
        <v>1817</v>
      </c>
      <c r="AA61" s="12" t="s">
        <v>817</v>
      </c>
      <c r="AB61" s="12" t="s">
        <v>1828</v>
      </c>
      <c r="AC61" s="12" t="s">
        <v>1829</v>
      </c>
      <c r="AD61" s="12" t="s">
        <v>1266</v>
      </c>
      <c r="AE61" s="12" t="s">
        <v>776</v>
      </c>
      <c r="AF61" s="12" t="s">
        <v>1424</v>
      </c>
      <c r="AG61" s="12" t="s">
        <v>1424</v>
      </c>
      <c r="AH61" s="12" t="s">
        <v>876</v>
      </c>
      <c r="AI61" s="12" t="s">
        <v>728</v>
      </c>
      <c r="AJ61" s="12" t="s">
        <v>1830</v>
      </c>
      <c r="AK61" s="12" t="s">
        <v>1029</v>
      </c>
      <c r="AL61" s="12" t="s">
        <v>1029</v>
      </c>
      <c r="AM61" s="12" t="s">
        <v>1029</v>
      </c>
      <c r="AN61" s="12" t="s">
        <v>1831</v>
      </c>
      <c r="AO61" s="12" t="s">
        <v>1832</v>
      </c>
      <c r="AP61" s="12" t="s">
        <v>1396</v>
      </c>
      <c r="AQ61" s="12" t="s">
        <v>1396</v>
      </c>
      <c r="AR61" s="12" t="s">
        <v>1396</v>
      </c>
      <c r="AS61" s="12" t="s">
        <v>1396</v>
      </c>
      <c r="AT61" s="12" t="s">
        <v>1396</v>
      </c>
      <c r="AU61" s="12" t="s">
        <v>1396</v>
      </c>
      <c r="AV61" s="12" t="s">
        <v>1396</v>
      </c>
      <c r="AW61" s="12" t="s">
        <v>1396</v>
      </c>
      <c r="AX61" s="12" t="s">
        <v>1396</v>
      </c>
      <c r="AY61" s="12" t="s">
        <v>1396</v>
      </c>
      <c r="AZ61" s="12" t="s">
        <v>1396</v>
      </c>
      <c r="BA61" s="12" t="s">
        <v>1396</v>
      </c>
      <c r="BB61" s="12" t="s">
        <v>1396</v>
      </c>
      <c r="BC61" s="12" t="s">
        <v>1396</v>
      </c>
      <c r="BD61" s="12" t="s">
        <v>1396</v>
      </c>
      <c r="BE61" s="12" t="s">
        <v>1396</v>
      </c>
      <c r="BF61" s="12" t="s">
        <v>1396</v>
      </c>
      <c r="BG61" s="12" t="s">
        <v>1396</v>
      </c>
      <c r="BH61" s="12" t="s">
        <v>1396</v>
      </c>
      <c r="BI61" s="12" t="s">
        <v>1396</v>
      </c>
      <c r="BJ61" s="12" t="s">
        <v>1396</v>
      </c>
      <c r="BK61" s="12" t="s">
        <v>1396</v>
      </c>
      <c r="BL61" s="12" t="s">
        <v>1396</v>
      </c>
      <c r="BM61" s="12" t="s">
        <v>923</v>
      </c>
      <c r="BN61" s="12" t="s">
        <v>923</v>
      </c>
      <c r="BO61" s="12" t="s">
        <v>923</v>
      </c>
      <c r="BP61" s="12" t="s">
        <v>923</v>
      </c>
      <c r="BQ61" s="12" t="s">
        <v>923</v>
      </c>
      <c r="BR61" s="12" t="s">
        <v>923</v>
      </c>
      <c r="BS61" s="12" t="s">
        <v>923</v>
      </c>
      <c r="BT61" s="12" t="s">
        <v>923</v>
      </c>
      <c r="BU61" s="12" t="s">
        <v>1311</v>
      </c>
      <c r="BV61" s="12" t="s">
        <v>1311</v>
      </c>
      <c r="BW61" s="12" t="s">
        <v>1281</v>
      </c>
      <c r="BX61" s="12" t="s">
        <v>1833</v>
      </c>
      <c r="BY61" s="12" t="s">
        <v>1612</v>
      </c>
      <c r="BZ61" s="12" t="s">
        <v>1612</v>
      </c>
      <c r="CA61" s="12" t="s">
        <v>1834</v>
      </c>
      <c r="CB61" s="12" t="s">
        <v>1834</v>
      </c>
      <c r="CC61" s="12" t="s">
        <v>1834</v>
      </c>
      <c r="CD61" s="12" t="s">
        <v>1834</v>
      </c>
      <c r="CE61" s="12" t="s">
        <v>1834</v>
      </c>
      <c r="CF61" s="12" t="s">
        <v>1834</v>
      </c>
      <c r="CG61" s="12" t="s">
        <v>1834</v>
      </c>
      <c r="CH61" s="12" t="s">
        <v>1834</v>
      </c>
      <c r="CI61" s="12" t="s">
        <v>1834</v>
      </c>
      <c r="CJ61" s="12" t="s">
        <v>1834</v>
      </c>
      <c r="CK61" s="12" t="s">
        <v>1834</v>
      </c>
      <c r="CL61" s="12" t="s">
        <v>1743</v>
      </c>
      <c r="CM61" s="12" t="s">
        <v>1743</v>
      </c>
      <c r="CN61" s="12" t="s">
        <v>1743</v>
      </c>
      <c r="CO61" s="12" t="s">
        <v>1743</v>
      </c>
      <c r="CP61" s="12" t="s">
        <v>1743</v>
      </c>
      <c r="CQ61" s="12" t="s">
        <v>1743</v>
      </c>
      <c r="CR61" s="12" t="s">
        <v>1743</v>
      </c>
      <c r="CS61" s="12" t="s">
        <v>1743</v>
      </c>
      <c r="CT61" s="12" t="s">
        <v>1743</v>
      </c>
    </row>
    <row r="62" spans="1:98" hidden="1" x14ac:dyDescent="0.3">
      <c r="A62" s="12" t="s">
        <v>1835</v>
      </c>
      <c r="B62" s="12" t="s">
        <v>1661</v>
      </c>
      <c r="C62" s="12" t="s">
        <v>1836</v>
      </c>
      <c r="D62" s="12" t="s">
        <v>1837</v>
      </c>
      <c r="E62" s="12" t="s">
        <v>578</v>
      </c>
      <c r="F62" s="12" t="s">
        <v>623</v>
      </c>
      <c r="G62" s="12" t="s">
        <v>580</v>
      </c>
      <c r="H62" s="12" t="s">
        <v>761</v>
      </c>
      <c r="I62" s="12" t="s">
        <v>762</v>
      </c>
      <c r="J62" s="12" t="s">
        <v>585</v>
      </c>
      <c r="K62" s="12" t="s">
        <v>627</v>
      </c>
      <c r="L62" s="12" t="s">
        <v>628</v>
      </c>
      <c r="M62" s="12" t="s">
        <v>1096</v>
      </c>
      <c r="N62" s="12" t="s">
        <v>632</v>
      </c>
      <c r="O62" s="12" t="s">
        <v>856</v>
      </c>
      <c r="P62" s="12" t="s">
        <v>1125</v>
      </c>
      <c r="Q62" s="12" t="s">
        <v>993</v>
      </c>
      <c r="R62" s="12" t="s">
        <v>1623</v>
      </c>
      <c r="S62" s="12" t="s">
        <v>1838</v>
      </c>
      <c r="T62" s="12" t="s">
        <v>1839</v>
      </c>
      <c r="U62" s="12" t="s">
        <v>646</v>
      </c>
      <c r="V62" s="12" t="s">
        <v>1840</v>
      </c>
      <c r="W62" s="12" t="s">
        <v>876</v>
      </c>
      <c r="X62" s="12" t="s">
        <v>1365</v>
      </c>
      <c r="Y62" s="12" t="s">
        <v>1841</v>
      </c>
      <c r="Z62" s="12" t="s">
        <v>1842</v>
      </c>
      <c r="AA62" s="12" t="s">
        <v>1694</v>
      </c>
      <c r="AB62" s="12" t="s">
        <v>1130</v>
      </c>
      <c r="AC62" s="12" t="s">
        <v>1533</v>
      </c>
      <c r="AD62" s="12" t="s">
        <v>1520</v>
      </c>
      <c r="AE62" s="12" t="s">
        <v>1369</v>
      </c>
      <c r="AF62" s="12" t="s">
        <v>1843</v>
      </c>
      <c r="AG62" s="12" t="s">
        <v>1844</v>
      </c>
      <c r="AH62" s="12" t="s">
        <v>1132</v>
      </c>
      <c r="AI62" s="12" t="s">
        <v>1845</v>
      </c>
      <c r="AJ62" s="12" t="s">
        <v>1845</v>
      </c>
      <c r="AK62" s="12" t="s">
        <v>1668</v>
      </c>
      <c r="AL62" s="12" t="s">
        <v>1668</v>
      </c>
      <c r="AM62" s="12" t="s">
        <v>1668</v>
      </c>
      <c r="AN62" s="12" t="s">
        <v>1668</v>
      </c>
      <c r="AO62" s="12" t="s">
        <v>1668</v>
      </c>
      <c r="AP62" s="12" t="s">
        <v>1668</v>
      </c>
      <c r="AQ62" s="12" t="s">
        <v>1668</v>
      </c>
      <c r="AR62" s="12" t="s">
        <v>1668</v>
      </c>
      <c r="AS62" s="12" t="s">
        <v>1668</v>
      </c>
      <c r="AT62" s="12" t="s">
        <v>1668</v>
      </c>
      <c r="AU62" s="12" t="s">
        <v>1668</v>
      </c>
      <c r="AV62" s="12" t="s">
        <v>1034</v>
      </c>
      <c r="AW62" s="12" t="s">
        <v>1034</v>
      </c>
      <c r="AX62" s="12" t="s">
        <v>1034</v>
      </c>
      <c r="AY62" s="12" t="s">
        <v>1034</v>
      </c>
      <c r="AZ62" s="12" t="s">
        <v>1034</v>
      </c>
      <c r="BA62" s="12" t="s">
        <v>1034</v>
      </c>
      <c r="BB62" s="12" t="s">
        <v>822</v>
      </c>
      <c r="BC62" s="12" t="s">
        <v>822</v>
      </c>
      <c r="BD62" s="12" t="s">
        <v>822</v>
      </c>
      <c r="BE62" s="12" t="s">
        <v>822</v>
      </c>
      <c r="BF62" s="12" t="s">
        <v>822</v>
      </c>
      <c r="BG62" s="12" t="s">
        <v>822</v>
      </c>
      <c r="BH62" s="12" t="s">
        <v>822</v>
      </c>
      <c r="BI62" s="12" t="s">
        <v>822</v>
      </c>
      <c r="BJ62" s="12" t="s">
        <v>1846</v>
      </c>
      <c r="BK62" s="12" t="s">
        <v>604</v>
      </c>
      <c r="BL62" s="12" t="s">
        <v>604</v>
      </c>
      <c r="BM62" s="12" t="s">
        <v>604</v>
      </c>
      <c r="BN62" s="12" t="s">
        <v>604</v>
      </c>
      <c r="BO62" s="12" t="s">
        <v>604</v>
      </c>
      <c r="BP62" s="12" t="s">
        <v>604</v>
      </c>
      <c r="BQ62" s="12" t="s">
        <v>604</v>
      </c>
      <c r="BR62" s="12" t="s">
        <v>604</v>
      </c>
      <c r="BS62" s="12" t="s">
        <v>604</v>
      </c>
      <c r="BT62" s="12" t="s">
        <v>604</v>
      </c>
      <c r="BU62" s="12" t="s">
        <v>604</v>
      </c>
      <c r="BV62" s="12" t="s">
        <v>604</v>
      </c>
      <c r="BW62" s="12" t="s">
        <v>604</v>
      </c>
      <c r="BX62" s="12" t="s">
        <v>1847</v>
      </c>
      <c r="BY62" s="12" t="s">
        <v>1848</v>
      </c>
      <c r="BZ62" s="12" t="s">
        <v>1703</v>
      </c>
      <c r="CA62" s="12" t="s">
        <v>1050</v>
      </c>
      <c r="CB62" s="12" t="s">
        <v>1849</v>
      </c>
      <c r="CC62" s="12" t="s">
        <v>1041</v>
      </c>
      <c r="CD62" s="12" t="s">
        <v>1136</v>
      </c>
      <c r="CE62" s="12" t="s">
        <v>665</v>
      </c>
      <c r="CF62" s="12" t="s">
        <v>742</v>
      </c>
      <c r="CG62" s="12" t="s">
        <v>1378</v>
      </c>
      <c r="CH62" s="12" t="s">
        <v>1850</v>
      </c>
      <c r="CI62" s="12" t="s">
        <v>1851</v>
      </c>
      <c r="CJ62" s="12" t="s">
        <v>1852</v>
      </c>
      <c r="CK62" s="12" t="s">
        <v>1853</v>
      </c>
      <c r="CL62" s="12" t="s">
        <v>1189</v>
      </c>
      <c r="CM62" s="12" t="s">
        <v>1854</v>
      </c>
      <c r="CN62" s="12" t="s">
        <v>1855</v>
      </c>
      <c r="CO62" s="12" t="s">
        <v>1856</v>
      </c>
      <c r="CP62" s="12" t="s">
        <v>1857</v>
      </c>
      <c r="CQ62" s="12" t="s">
        <v>1858</v>
      </c>
      <c r="CR62" s="12" t="s">
        <v>831</v>
      </c>
      <c r="CS62" s="12" t="s">
        <v>1859</v>
      </c>
      <c r="CT62" s="12" t="s">
        <v>1860</v>
      </c>
    </row>
    <row r="63" spans="1:98" hidden="1" x14ac:dyDescent="0.3">
      <c r="A63" s="12" t="s">
        <v>1861</v>
      </c>
      <c r="B63" s="12" t="s">
        <v>1661</v>
      </c>
      <c r="C63" s="12" t="s">
        <v>1862</v>
      </c>
      <c r="D63" s="12" t="s">
        <v>1863</v>
      </c>
      <c r="E63" s="12" t="s">
        <v>581</v>
      </c>
      <c r="F63" s="12" t="s">
        <v>581</v>
      </c>
      <c r="G63" s="12" t="s">
        <v>761</v>
      </c>
      <c r="H63" s="12" t="s">
        <v>852</v>
      </c>
      <c r="I63" s="12" t="s">
        <v>1352</v>
      </c>
      <c r="J63" s="12" t="s">
        <v>773</v>
      </c>
      <c r="K63" s="12" t="s">
        <v>1686</v>
      </c>
      <c r="L63" s="12" t="s">
        <v>1604</v>
      </c>
      <c r="M63" s="12" t="s">
        <v>1028</v>
      </c>
      <c r="N63" s="12" t="s">
        <v>1688</v>
      </c>
      <c r="O63" s="12" t="s">
        <v>1368</v>
      </c>
      <c r="P63" s="12" t="s">
        <v>926</v>
      </c>
      <c r="Q63" s="12" t="s">
        <v>1707</v>
      </c>
      <c r="R63" s="12" t="s">
        <v>1379</v>
      </c>
      <c r="S63" s="12" t="s">
        <v>1289</v>
      </c>
      <c r="T63" s="12" t="s">
        <v>1864</v>
      </c>
      <c r="U63" s="12" t="s">
        <v>1865</v>
      </c>
      <c r="V63" s="12" t="s">
        <v>1866</v>
      </c>
      <c r="W63" s="12" t="s">
        <v>1867</v>
      </c>
      <c r="X63" s="12" t="s">
        <v>1868</v>
      </c>
      <c r="Y63" s="12" t="s">
        <v>1869</v>
      </c>
      <c r="Z63" s="12" t="s">
        <v>1006</v>
      </c>
      <c r="AA63" s="12" t="s">
        <v>1870</v>
      </c>
      <c r="AB63" s="12" t="s">
        <v>1871</v>
      </c>
      <c r="AC63" s="12" t="s">
        <v>1009</v>
      </c>
      <c r="AD63" s="12" t="s">
        <v>1168</v>
      </c>
      <c r="AE63" s="12" t="s">
        <v>1872</v>
      </c>
      <c r="AF63" s="12" t="s">
        <v>1873</v>
      </c>
      <c r="AG63" s="12" t="s">
        <v>1874</v>
      </c>
      <c r="AH63" s="12" t="s">
        <v>785</v>
      </c>
      <c r="AI63" s="12" t="s">
        <v>1875</v>
      </c>
      <c r="AJ63" s="12" t="s">
        <v>1876</v>
      </c>
      <c r="AK63" s="12" t="s">
        <v>1877</v>
      </c>
      <c r="AL63" s="12" t="s">
        <v>1877</v>
      </c>
      <c r="AM63" s="12" t="s">
        <v>1877</v>
      </c>
      <c r="AN63" s="12" t="s">
        <v>1877</v>
      </c>
      <c r="AO63" s="12" t="s">
        <v>1878</v>
      </c>
      <c r="AP63" s="12" t="s">
        <v>1878</v>
      </c>
      <c r="AQ63" s="12" t="s">
        <v>1878</v>
      </c>
      <c r="AR63" s="12" t="s">
        <v>1878</v>
      </c>
      <c r="AS63" s="12" t="s">
        <v>1878</v>
      </c>
      <c r="AT63" s="12" t="s">
        <v>1878</v>
      </c>
      <c r="AU63" s="12" t="s">
        <v>1878</v>
      </c>
      <c r="AV63" s="12" t="s">
        <v>1878</v>
      </c>
      <c r="AW63" s="12" t="s">
        <v>1878</v>
      </c>
      <c r="AX63" s="12" t="s">
        <v>1878</v>
      </c>
      <c r="AY63" s="12" t="s">
        <v>1878</v>
      </c>
      <c r="AZ63" s="12" t="s">
        <v>1878</v>
      </c>
      <c r="BA63" s="12" t="s">
        <v>1878</v>
      </c>
      <c r="BB63" s="12" t="s">
        <v>1879</v>
      </c>
      <c r="BC63" s="12" t="s">
        <v>1879</v>
      </c>
      <c r="BD63" s="12" t="s">
        <v>1879</v>
      </c>
      <c r="BE63" s="12" t="s">
        <v>1879</v>
      </c>
      <c r="BF63" s="12" t="s">
        <v>1879</v>
      </c>
      <c r="BG63" s="12" t="s">
        <v>1879</v>
      </c>
      <c r="BH63" s="12" t="s">
        <v>1879</v>
      </c>
      <c r="BI63" s="12" t="s">
        <v>1879</v>
      </c>
      <c r="BJ63" s="12" t="s">
        <v>1879</v>
      </c>
      <c r="BK63" s="12" t="s">
        <v>1879</v>
      </c>
      <c r="BL63" s="12" t="s">
        <v>1879</v>
      </c>
      <c r="BM63" s="12" t="s">
        <v>1880</v>
      </c>
      <c r="BN63" s="12" t="s">
        <v>1880</v>
      </c>
      <c r="BO63" s="12" t="s">
        <v>1880</v>
      </c>
      <c r="BP63" s="12" t="s">
        <v>1880</v>
      </c>
      <c r="BQ63" s="12" t="s">
        <v>1881</v>
      </c>
      <c r="BR63" s="12" t="s">
        <v>1881</v>
      </c>
      <c r="BS63" s="12" t="s">
        <v>1881</v>
      </c>
      <c r="BT63" s="12" t="s">
        <v>1882</v>
      </c>
      <c r="BU63" s="12" t="s">
        <v>1882</v>
      </c>
      <c r="BV63" s="12" t="s">
        <v>1882</v>
      </c>
      <c r="BW63" s="12" t="s">
        <v>1882</v>
      </c>
      <c r="BX63" s="12" t="s">
        <v>1882</v>
      </c>
      <c r="BY63" s="12" t="s">
        <v>1882</v>
      </c>
      <c r="BZ63" s="12" t="s">
        <v>1882</v>
      </c>
      <c r="CA63" s="12" t="s">
        <v>1882</v>
      </c>
      <c r="CB63" s="12" t="s">
        <v>1882</v>
      </c>
      <c r="CC63" s="12" t="s">
        <v>1882</v>
      </c>
      <c r="CD63" s="12" t="s">
        <v>1882</v>
      </c>
      <c r="CE63" s="12" t="s">
        <v>1882</v>
      </c>
      <c r="CF63" s="12" t="s">
        <v>1882</v>
      </c>
      <c r="CG63" s="12" t="s">
        <v>1882</v>
      </c>
      <c r="CH63" s="12" t="s">
        <v>1882</v>
      </c>
      <c r="CI63" s="12" t="s">
        <v>1882</v>
      </c>
      <c r="CJ63" s="12" t="s">
        <v>1882</v>
      </c>
      <c r="CK63" s="12" t="s">
        <v>1882</v>
      </c>
      <c r="CL63" s="12" t="s">
        <v>1882</v>
      </c>
      <c r="CM63" s="12" t="s">
        <v>1882</v>
      </c>
      <c r="CN63" s="12" t="s">
        <v>1882</v>
      </c>
      <c r="CO63" s="12" t="s">
        <v>1882</v>
      </c>
      <c r="CP63" s="12" t="s">
        <v>1882</v>
      </c>
      <c r="CQ63" s="12" t="s">
        <v>1882</v>
      </c>
      <c r="CR63" s="12" t="s">
        <v>1882</v>
      </c>
      <c r="CS63" s="12" t="s">
        <v>1882</v>
      </c>
      <c r="CT63" s="12" t="s">
        <v>1882</v>
      </c>
    </row>
    <row r="64" spans="1:98" hidden="1" x14ac:dyDescent="0.3">
      <c r="A64" s="12" t="s">
        <v>1883</v>
      </c>
      <c r="B64" s="12" t="s">
        <v>1661</v>
      </c>
      <c r="C64" s="12" t="s">
        <v>1884</v>
      </c>
      <c r="D64" s="12" t="s">
        <v>1885</v>
      </c>
      <c r="E64" s="12" t="s">
        <v>578</v>
      </c>
      <c r="F64" s="12" t="s">
        <v>623</v>
      </c>
      <c r="G64" s="12" t="s">
        <v>623</v>
      </c>
      <c r="H64" s="12" t="s">
        <v>581</v>
      </c>
      <c r="I64" s="12" t="s">
        <v>755</v>
      </c>
      <c r="J64" s="12" t="s">
        <v>755</v>
      </c>
      <c r="K64" s="12" t="s">
        <v>755</v>
      </c>
      <c r="L64" s="12" t="s">
        <v>624</v>
      </c>
      <c r="M64" s="12" t="s">
        <v>624</v>
      </c>
      <c r="N64" s="12" t="s">
        <v>625</v>
      </c>
      <c r="O64" s="12" t="s">
        <v>868</v>
      </c>
      <c r="P64" s="12" t="s">
        <v>762</v>
      </c>
      <c r="Q64" s="12" t="s">
        <v>762</v>
      </c>
      <c r="R64" s="12" t="s">
        <v>673</v>
      </c>
      <c r="S64" s="12" t="s">
        <v>585</v>
      </c>
      <c r="T64" s="12" t="s">
        <v>587</v>
      </c>
      <c r="U64" s="12" t="s">
        <v>757</v>
      </c>
      <c r="V64" s="12" t="s">
        <v>676</v>
      </c>
      <c r="W64" s="12" t="s">
        <v>953</v>
      </c>
      <c r="X64" s="12" t="s">
        <v>628</v>
      </c>
      <c r="Y64" s="12" t="s">
        <v>991</v>
      </c>
      <c r="Z64" s="12" t="s">
        <v>954</v>
      </c>
      <c r="AA64" s="12" t="s">
        <v>719</v>
      </c>
      <c r="AB64" s="12" t="s">
        <v>769</v>
      </c>
      <c r="AC64" s="12" t="s">
        <v>769</v>
      </c>
      <c r="AD64" s="12" t="s">
        <v>992</v>
      </c>
      <c r="AE64" s="12" t="s">
        <v>680</v>
      </c>
      <c r="AF64" s="12" t="s">
        <v>853</v>
      </c>
      <c r="AG64" s="12" t="s">
        <v>1180</v>
      </c>
      <c r="AH64" s="12" t="s">
        <v>770</v>
      </c>
      <c r="AI64" s="12" t="s">
        <v>770</v>
      </c>
      <c r="AJ64" s="12" t="s">
        <v>974</v>
      </c>
      <c r="AK64" s="12" t="s">
        <v>589</v>
      </c>
      <c r="AL64" s="12" t="s">
        <v>771</v>
      </c>
      <c r="AM64" s="12" t="s">
        <v>590</v>
      </c>
      <c r="AN64" s="12" t="s">
        <v>857</v>
      </c>
      <c r="AO64" s="12" t="s">
        <v>871</v>
      </c>
      <c r="AP64" s="12" t="s">
        <v>591</v>
      </c>
      <c r="AQ64" s="12" t="s">
        <v>1125</v>
      </c>
      <c r="AR64" s="12" t="s">
        <v>859</v>
      </c>
      <c r="AS64" s="12" t="s">
        <v>861</v>
      </c>
      <c r="AT64" s="12" t="s">
        <v>861</v>
      </c>
      <c r="AU64" s="12" t="s">
        <v>864</v>
      </c>
      <c r="AV64" s="12" t="s">
        <v>864</v>
      </c>
      <c r="AW64" s="12" t="s">
        <v>1260</v>
      </c>
      <c r="AX64" s="12" t="s">
        <v>1499</v>
      </c>
      <c r="AY64" s="12" t="s">
        <v>1353</v>
      </c>
      <c r="AZ64" s="12" t="s">
        <v>811</v>
      </c>
      <c r="BA64" s="12" t="s">
        <v>593</v>
      </c>
      <c r="BB64" s="12" t="s">
        <v>1276</v>
      </c>
      <c r="BC64" s="12" t="s">
        <v>1355</v>
      </c>
      <c r="BD64" s="12" t="s">
        <v>873</v>
      </c>
      <c r="BE64" s="12" t="s">
        <v>1025</v>
      </c>
      <c r="BF64" s="12" t="s">
        <v>1886</v>
      </c>
      <c r="BG64" s="12" t="s">
        <v>1623</v>
      </c>
      <c r="BH64" s="12" t="s">
        <v>1310</v>
      </c>
      <c r="BI64" s="12" t="s">
        <v>1569</v>
      </c>
      <c r="BJ64" s="12" t="s">
        <v>1887</v>
      </c>
      <c r="BK64" s="12" t="s">
        <v>1128</v>
      </c>
      <c r="BL64" s="12" t="s">
        <v>597</v>
      </c>
      <c r="BM64" s="12" t="s">
        <v>1832</v>
      </c>
      <c r="BN64" s="12" t="s">
        <v>1888</v>
      </c>
      <c r="BO64" s="12" t="s">
        <v>1889</v>
      </c>
      <c r="BP64" s="12" t="s">
        <v>1695</v>
      </c>
      <c r="BQ64" s="12" t="s">
        <v>1032</v>
      </c>
      <c r="BR64" s="12" t="s">
        <v>1890</v>
      </c>
      <c r="BS64" s="12" t="s">
        <v>1706</v>
      </c>
      <c r="BT64" s="12" t="s">
        <v>1100</v>
      </c>
      <c r="BU64" s="12" t="s">
        <v>1891</v>
      </c>
      <c r="BV64" s="12" t="s">
        <v>609</v>
      </c>
      <c r="BW64" s="12" t="s">
        <v>1892</v>
      </c>
      <c r="BX64" s="12" t="s">
        <v>1893</v>
      </c>
      <c r="BY64" s="12" t="s">
        <v>1894</v>
      </c>
      <c r="BZ64" s="12" t="s">
        <v>1895</v>
      </c>
      <c r="CA64" s="12" t="s">
        <v>1896</v>
      </c>
      <c r="CB64" s="12" t="s">
        <v>1865</v>
      </c>
      <c r="CC64" s="12" t="s">
        <v>1897</v>
      </c>
      <c r="CD64" s="12" t="s">
        <v>1898</v>
      </c>
      <c r="CE64" s="12" t="s">
        <v>1678</v>
      </c>
      <c r="CF64" s="12" t="s">
        <v>1681</v>
      </c>
      <c r="CG64" s="12" t="s">
        <v>1899</v>
      </c>
      <c r="CH64" s="12" t="s">
        <v>1900</v>
      </c>
      <c r="CI64" s="12" t="s">
        <v>1294</v>
      </c>
      <c r="CJ64" s="12" t="s">
        <v>1167</v>
      </c>
      <c r="CK64" s="12" t="s">
        <v>1430</v>
      </c>
      <c r="CL64" s="12" t="s">
        <v>1430</v>
      </c>
      <c r="CM64" s="12" t="s">
        <v>1314</v>
      </c>
      <c r="CN64" s="12" t="s">
        <v>949</v>
      </c>
      <c r="CO64" s="12" t="s">
        <v>1901</v>
      </c>
      <c r="CP64" s="12" t="s">
        <v>1901</v>
      </c>
      <c r="CQ64" s="12" t="s">
        <v>881</v>
      </c>
      <c r="CR64" s="12" t="s">
        <v>1867</v>
      </c>
      <c r="CS64" s="12" t="s">
        <v>1902</v>
      </c>
      <c r="CT64" s="12" t="s">
        <v>1902</v>
      </c>
    </row>
    <row r="65" spans="1:98" hidden="1" x14ac:dyDescent="0.3">
      <c r="A65" s="12" t="s">
        <v>1903</v>
      </c>
      <c r="B65" s="12" t="s">
        <v>1661</v>
      </c>
      <c r="C65" s="12" t="s">
        <v>1904</v>
      </c>
      <c r="D65" s="12" t="s">
        <v>1905</v>
      </c>
      <c r="E65" s="12" t="s">
        <v>603</v>
      </c>
      <c r="F65" s="12" t="s">
        <v>603</v>
      </c>
      <c r="G65" s="12" t="s">
        <v>1373</v>
      </c>
      <c r="H65" s="12" t="s">
        <v>1906</v>
      </c>
      <c r="I65" s="12" t="s">
        <v>1103</v>
      </c>
      <c r="J65" s="12" t="s">
        <v>696</v>
      </c>
      <c r="K65" s="12" t="s">
        <v>1907</v>
      </c>
      <c r="L65" s="12" t="s">
        <v>1907</v>
      </c>
      <c r="M65" s="12" t="s">
        <v>1908</v>
      </c>
      <c r="N65" s="12" t="s">
        <v>1909</v>
      </c>
      <c r="O65" s="12" t="s">
        <v>1910</v>
      </c>
      <c r="P65" s="12" t="s">
        <v>1911</v>
      </c>
      <c r="Q65" s="12" t="s">
        <v>1912</v>
      </c>
      <c r="R65" s="12" t="s">
        <v>1913</v>
      </c>
      <c r="S65" s="12" t="s">
        <v>1914</v>
      </c>
      <c r="T65" s="12" t="s">
        <v>1915</v>
      </c>
      <c r="U65" s="12" t="s">
        <v>1916</v>
      </c>
      <c r="V65" s="12" t="s">
        <v>1917</v>
      </c>
      <c r="W65" s="12" t="s">
        <v>1918</v>
      </c>
      <c r="X65" s="12" t="s">
        <v>1919</v>
      </c>
      <c r="Y65" s="12" t="s">
        <v>1920</v>
      </c>
      <c r="Z65" s="12" t="s">
        <v>1920</v>
      </c>
      <c r="AA65" s="12" t="s">
        <v>1921</v>
      </c>
      <c r="AB65" s="12" t="s">
        <v>1922</v>
      </c>
      <c r="AC65" s="12" t="s">
        <v>1923</v>
      </c>
      <c r="AD65" s="12" t="s">
        <v>1924</v>
      </c>
      <c r="AE65" s="12" t="s">
        <v>1925</v>
      </c>
      <c r="AF65" s="12" t="s">
        <v>1926</v>
      </c>
      <c r="AG65" s="12" t="s">
        <v>1927</v>
      </c>
      <c r="AH65" s="12" t="s">
        <v>1928</v>
      </c>
      <c r="AI65" s="12" t="s">
        <v>1929</v>
      </c>
      <c r="AJ65" s="12" t="s">
        <v>1930</v>
      </c>
      <c r="AK65" s="12" t="s">
        <v>1930</v>
      </c>
      <c r="AL65" s="12" t="s">
        <v>1931</v>
      </c>
      <c r="AM65" s="12" t="s">
        <v>1932</v>
      </c>
      <c r="AN65" s="12" t="s">
        <v>1933</v>
      </c>
      <c r="AO65" s="12" t="s">
        <v>1934</v>
      </c>
      <c r="AP65" s="12" t="s">
        <v>1935</v>
      </c>
      <c r="AQ65" s="12" t="s">
        <v>1936</v>
      </c>
      <c r="AR65" s="12" t="s">
        <v>1937</v>
      </c>
      <c r="AS65" s="12" t="s">
        <v>1938</v>
      </c>
      <c r="AT65" s="12" t="s">
        <v>1939</v>
      </c>
      <c r="AU65" s="12" t="s">
        <v>1940</v>
      </c>
      <c r="AV65" s="12" t="s">
        <v>1941</v>
      </c>
      <c r="AW65" s="12" t="s">
        <v>1942</v>
      </c>
      <c r="AX65" s="12" t="s">
        <v>1943</v>
      </c>
      <c r="AY65" s="12" t="s">
        <v>1944</v>
      </c>
      <c r="AZ65" s="12" t="s">
        <v>1945</v>
      </c>
      <c r="BA65" s="12" t="s">
        <v>1946</v>
      </c>
      <c r="BB65" s="12" t="s">
        <v>1947</v>
      </c>
      <c r="BC65" s="12" t="s">
        <v>1948</v>
      </c>
      <c r="BD65" s="12" t="s">
        <v>1949</v>
      </c>
      <c r="BE65" s="12" t="s">
        <v>1950</v>
      </c>
      <c r="BF65" s="12" t="s">
        <v>1951</v>
      </c>
      <c r="BG65" s="12" t="s">
        <v>1952</v>
      </c>
      <c r="BH65" s="12" t="s">
        <v>1953</v>
      </c>
      <c r="BI65" s="12" t="s">
        <v>1954</v>
      </c>
      <c r="BJ65" s="12" t="s">
        <v>1954</v>
      </c>
      <c r="BK65" s="12" t="s">
        <v>1954</v>
      </c>
      <c r="BL65" s="12" t="s">
        <v>1954</v>
      </c>
      <c r="BM65" s="12" t="s">
        <v>1954</v>
      </c>
      <c r="BN65" s="12" t="s">
        <v>1954</v>
      </c>
      <c r="BO65" s="12" t="s">
        <v>1955</v>
      </c>
      <c r="BP65" s="12" t="s">
        <v>1955</v>
      </c>
      <c r="BQ65" s="12" t="s">
        <v>1955</v>
      </c>
      <c r="BR65" s="12" t="s">
        <v>1955</v>
      </c>
      <c r="BS65" s="12" t="s">
        <v>1955</v>
      </c>
      <c r="BT65" s="12" t="s">
        <v>1955</v>
      </c>
      <c r="BU65" s="12" t="s">
        <v>1955</v>
      </c>
      <c r="BV65" s="12" t="s">
        <v>1955</v>
      </c>
      <c r="BW65" s="12" t="s">
        <v>1956</v>
      </c>
      <c r="BX65" s="12" t="s">
        <v>1956</v>
      </c>
      <c r="BY65" s="12" t="s">
        <v>1956</v>
      </c>
      <c r="BZ65" s="12" t="s">
        <v>1957</v>
      </c>
      <c r="CA65" s="12" t="s">
        <v>1957</v>
      </c>
      <c r="CB65" s="12" t="s">
        <v>1957</v>
      </c>
      <c r="CC65" s="12" t="s">
        <v>1957</v>
      </c>
      <c r="CD65" s="12" t="s">
        <v>1957</v>
      </c>
      <c r="CE65" s="12" t="s">
        <v>1957</v>
      </c>
      <c r="CF65" s="12" t="s">
        <v>1957</v>
      </c>
      <c r="CG65" s="12" t="s">
        <v>1957</v>
      </c>
      <c r="CH65" s="12" t="s">
        <v>1957</v>
      </c>
      <c r="CI65" s="12" t="s">
        <v>1957</v>
      </c>
      <c r="CJ65" s="12" t="s">
        <v>1957</v>
      </c>
      <c r="CK65" s="12" t="s">
        <v>1957</v>
      </c>
      <c r="CL65" s="12" t="s">
        <v>1957</v>
      </c>
      <c r="CM65" s="12" t="s">
        <v>1958</v>
      </c>
      <c r="CN65" s="12" t="s">
        <v>1958</v>
      </c>
      <c r="CO65" s="12" t="s">
        <v>1958</v>
      </c>
      <c r="CP65" s="12" t="s">
        <v>1958</v>
      </c>
      <c r="CQ65" s="12" t="s">
        <v>1958</v>
      </c>
      <c r="CR65" s="12" t="s">
        <v>1958</v>
      </c>
      <c r="CS65" s="12" t="s">
        <v>1958</v>
      </c>
      <c r="CT65" s="12" t="s">
        <v>1958</v>
      </c>
    </row>
    <row r="66" spans="1:98" hidden="1" x14ac:dyDescent="0.3">
      <c r="A66" s="12" t="s">
        <v>1959</v>
      </c>
      <c r="B66" s="12" t="s">
        <v>1661</v>
      </c>
      <c r="C66" s="12" t="s">
        <v>1960</v>
      </c>
      <c r="D66" s="12" t="s">
        <v>1961</v>
      </c>
      <c r="E66" s="12" t="s">
        <v>580</v>
      </c>
      <c r="F66" s="12" t="s">
        <v>761</v>
      </c>
      <c r="G66" s="12" t="s">
        <v>587</v>
      </c>
      <c r="H66" s="12" t="s">
        <v>1259</v>
      </c>
      <c r="I66" s="12" t="s">
        <v>974</v>
      </c>
      <c r="J66" s="12" t="s">
        <v>861</v>
      </c>
      <c r="K66" s="12" t="s">
        <v>1821</v>
      </c>
      <c r="L66" s="12" t="s">
        <v>922</v>
      </c>
      <c r="M66" s="12" t="s">
        <v>646</v>
      </c>
      <c r="N66" s="12" t="s">
        <v>1962</v>
      </c>
      <c r="O66" s="12" t="s">
        <v>1719</v>
      </c>
      <c r="P66" s="12" t="s">
        <v>1963</v>
      </c>
      <c r="Q66" s="12" t="s">
        <v>605</v>
      </c>
      <c r="R66" s="12" t="s">
        <v>1375</v>
      </c>
      <c r="S66" s="12" t="s">
        <v>1378</v>
      </c>
      <c r="T66" s="12" t="s">
        <v>1964</v>
      </c>
      <c r="U66" s="12" t="s">
        <v>1526</v>
      </c>
      <c r="V66" s="12" t="s">
        <v>1166</v>
      </c>
      <c r="W66" s="12" t="s">
        <v>1965</v>
      </c>
      <c r="X66" s="12" t="s">
        <v>1966</v>
      </c>
      <c r="Y66" s="12" t="s">
        <v>1967</v>
      </c>
      <c r="Z66" s="12" t="s">
        <v>1293</v>
      </c>
      <c r="AA66" s="12" t="s">
        <v>1002</v>
      </c>
      <c r="AB66" s="12" t="s">
        <v>1680</v>
      </c>
      <c r="AC66" s="12" t="s">
        <v>945</v>
      </c>
      <c r="AD66" s="12" t="s">
        <v>1900</v>
      </c>
      <c r="AE66" s="12" t="s">
        <v>1968</v>
      </c>
      <c r="AF66" s="12" t="s">
        <v>946</v>
      </c>
      <c r="AG66" s="12" t="s">
        <v>1969</v>
      </c>
      <c r="AH66" s="12" t="s">
        <v>1970</v>
      </c>
      <c r="AI66" s="12" t="s">
        <v>1971</v>
      </c>
      <c r="AJ66" s="12" t="s">
        <v>834</v>
      </c>
      <c r="AK66" s="12" t="s">
        <v>1972</v>
      </c>
      <c r="AL66" s="12" t="s">
        <v>1972</v>
      </c>
      <c r="AM66" s="12" t="s">
        <v>1972</v>
      </c>
      <c r="AN66" s="12" t="s">
        <v>1972</v>
      </c>
      <c r="AO66" s="12" t="s">
        <v>1430</v>
      </c>
      <c r="AP66" s="12" t="s">
        <v>1430</v>
      </c>
      <c r="AQ66" s="12" t="s">
        <v>1053</v>
      </c>
      <c r="AR66" s="12" t="s">
        <v>1053</v>
      </c>
      <c r="AS66" s="12" t="s">
        <v>1053</v>
      </c>
      <c r="AT66" s="12" t="s">
        <v>1053</v>
      </c>
      <c r="AU66" s="12" t="s">
        <v>1053</v>
      </c>
      <c r="AV66" s="12" t="s">
        <v>1053</v>
      </c>
      <c r="AW66" s="12" t="s">
        <v>1053</v>
      </c>
      <c r="AX66" s="12" t="s">
        <v>1053</v>
      </c>
      <c r="AY66" s="12" t="s">
        <v>1053</v>
      </c>
      <c r="AZ66" s="12" t="s">
        <v>1053</v>
      </c>
      <c r="BA66" s="12" t="s">
        <v>1053</v>
      </c>
      <c r="BB66" s="12" t="s">
        <v>1053</v>
      </c>
      <c r="BC66" s="12" t="s">
        <v>1053</v>
      </c>
      <c r="BD66" s="12" t="s">
        <v>1053</v>
      </c>
      <c r="BE66" s="12" t="s">
        <v>1053</v>
      </c>
      <c r="BF66" s="12" t="s">
        <v>1053</v>
      </c>
      <c r="BG66" s="12" t="s">
        <v>1053</v>
      </c>
      <c r="BH66" s="12" t="s">
        <v>1053</v>
      </c>
      <c r="BI66" s="12" t="s">
        <v>1053</v>
      </c>
      <c r="BJ66" s="12" t="s">
        <v>1053</v>
      </c>
      <c r="BK66" s="12" t="s">
        <v>1053</v>
      </c>
      <c r="BL66" s="12" t="s">
        <v>1053</v>
      </c>
      <c r="BM66" s="12" t="s">
        <v>1053</v>
      </c>
      <c r="BN66" s="12" t="s">
        <v>1053</v>
      </c>
      <c r="BO66" s="12" t="s">
        <v>1053</v>
      </c>
      <c r="BP66" s="12" t="s">
        <v>1053</v>
      </c>
      <c r="BQ66" s="12" t="s">
        <v>1053</v>
      </c>
      <c r="BR66" s="12" t="s">
        <v>1053</v>
      </c>
      <c r="BS66" s="12" t="s">
        <v>1053</v>
      </c>
      <c r="BT66" s="12" t="s">
        <v>1053</v>
      </c>
      <c r="BU66" s="12" t="s">
        <v>1053</v>
      </c>
      <c r="BV66" s="12" t="s">
        <v>1053</v>
      </c>
      <c r="BW66" s="12" t="s">
        <v>1053</v>
      </c>
      <c r="BX66" s="12" t="s">
        <v>948</v>
      </c>
      <c r="BY66" s="12" t="s">
        <v>948</v>
      </c>
      <c r="BZ66" s="12" t="s">
        <v>948</v>
      </c>
      <c r="CA66" s="12" t="s">
        <v>948</v>
      </c>
      <c r="CB66" s="12" t="s">
        <v>948</v>
      </c>
      <c r="CC66" s="12" t="s">
        <v>948</v>
      </c>
      <c r="CD66" s="12" t="s">
        <v>948</v>
      </c>
      <c r="CE66" s="12" t="s">
        <v>948</v>
      </c>
      <c r="CF66" s="12" t="s">
        <v>948</v>
      </c>
      <c r="CG66" s="12" t="s">
        <v>948</v>
      </c>
      <c r="CH66" s="12" t="s">
        <v>948</v>
      </c>
      <c r="CI66" s="12" t="s">
        <v>948</v>
      </c>
      <c r="CJ66" s="12" t="s">
        <v>948</v>
      </c>
      <c r="CK66" s="12" t="s">
        <v>948</v>
      </c>
      <c r="CL66" s="12" t="s">
        <v>948</v>
      </c>
      <c r="CM66" s="12" t="s">
        <v>948</v>
      </c>
      <c r="CN66" s="12" t="s">
        <v>948</v>
      </c>
      <c r="CO66" s="12" t="s">
        <v>948</v>
      </c>
      <c r="CP66" s="12" t="s">
        <v>948</v>
      </c>
      <c r="CQ66" s="12" t="s">
        <v>948</v>
      </c>
      <c r="CR66" s="12" t="s">
        <v>948</v>
      </c>
      <c r="CS66" s="12" t="s">
        <v>948</v>
      </c>
      <c r="CT66" s="12" t="s">
        <v>948</v>
      </c>
    </row>
    <row r="67" spans="1:98" hidden="1" x14ac:dyDescent="0.3">
      <c r="A67" s="12" t="s">
        <v>1973</v>
      </c>
      <c r="B67" s="12" t="s">
        <v>1661</v>
      </c>
      <c r="C67" s="12" t="s">
        <v>1974</v>
      </c>
      <c r="D67" s="12" t="s">
        <v>1975</v>
      </c>
      <c r="E67" s="12" t="s">
        <v>578</v>
      </c>
      <c r="F67" s="12" t="s">
        <v>578</v>
      </c>
      <c r="G67" s="12" t="s">
        <v>579</v>
      </c>
      <c r="H67" s="12" t="s">
        <v>582</v>
      </c>
      <c r="I67" s="12" t="s">
        <v>582</v>
      </c>
      <c r="J67" s="12" t="s">
        <v>583</v>
      </c>
      <c r="K67" s="12" t="s">
        <v>762</v>
      </c>
      <c r="L67" s="12" t="s">
        <v>584</v>
      </c>
      <c r="M67" s="12" t="s">
        <v>674</v>
      </c>
      <c r="N67" s="12" t="s">
        <v>675</v>
      </c>
      <c r="O67" s="12" t="s">
        <v>626</v>
      </c>
      <c r="P67" s="12" t="s">
        <v>913</v>
      </c>
      <c r="Q67" s="12" t="s">
        <v>767</v>
      </c>
      <c r="R67" s="12" t="s">
        <v>917</v>
      </c>
      <c r="S67" s="12" t="s">
        <v>629</v>
      </c>
      <c r="T67" s="12" t="s">
        <v>918</v>
      </c>
      <c r="U67" s="12" t="s">
        <v>954</v>
      </c>
      <c r="V67" s="12" t="s">
        <v>809</v>
      </c>
      <c r="W67" s="12" t="s">
        <v>679</v>
      </c>
      <c r="X67" s="12" t="s">
        <v>1413</v>
      </c>
      <c r="Y67" s="12" t="s">
        <v>1413</v>
      </c>
      <c r="Z67" s="12" t="s">
        <v>680</v>
      </c>
      <c r="AA67" s="12" t="s">
        <v>919</v>
      </c>
      <c r="AB67" s="12" t="s">
        <v>870</v>
      </c>
      <c r="AC67" s="12" t="s">
        <v>770</v>
      </c>
      <c r="AD67" s="12" t="s">
        <v>634</v>
      </c>
      <c r="AE67" s="12" t="s">
        <v>975</v>
      </c>
      <c r="AF67" s="12" t="s">
        <v>1120</v>
      </c>
      <c r="AG67" s="12" t="s">
        <v>720</v>
      </c>
      <c r="AH67" s="12" t="s">
        <v>720</v>
      </c>
      <c r="AI67" s="12" t="s">
        <v>720</v>
      </c>
      <c r="AJ67" s="12" t="s">
        <v>720</v>
      </c>
      <c r="AK67" s="12" t="s">
        <v>720</v>
      </c>
      <c r="AL67" s="12" t="s">
        <v>720</v>
      </c>
      <c r="AM67" s="12" t="s">
        <v>720</v>
      </c>
      <c r="AN67" s="12" t="s">
        <v>720</v>
      </c>
      <c r="AO67" s="12" t="s">
        <v>720</v>
      </c>
      <c r="AP67" s="12" t="s">
        <v>720</v>
      </c>
      <c r="AQ67" s="12" t="s">
        <v>720</v>
      </c>
      <c r="AR67" s="12" t="s">
        <v>720</v>
      </c>
      <c r="AS67" s="12" t="s">
        <v>720</v>
      </c>
      <c r="AT67" s="12" t="s">
        <v>720</v>
      </c>
      <c r="AU67" s="12" t="s">
        <v>720</v>
      </c>
      <c r="AV67" s="12" t="s">
        <v>720</v>
      </c>
      <c r="AW67" s="12" t="s">
        <v>720</v>
      </c>
      <c r="AX67" s="12" t="s">
        <v>720</v>
      </c>
      <c r="AY67" s="12" t="s">
        <v>720</v>
      </c>
      <c r="AZ67" s="12" t="s">
        <v>720</v>
      </c>
      <c r="BA67" s="12" t="s">
        <v>720</v>
      </c>
      <c r="BB67" s="12" t="s">
        <v>720</v>
      </c>
      <c r="BC67" s="12" t="s">
        <v>720</v>
      </c>
      <c r="BD67" s="12" t="s">
        <v>720</v>
      </c>
      <c r="BE67" s="12" t="s">
        <v>720</v>
      </c>
      <c r="BF67" s="12" t="s">
        <v>720</v>
      </c>
      <c r="BG67" s="12" t="s">
        <v>720</v>
      </c>
      <c r="BH67" s="12" t="s">
        <v>720</v>
      </c>
      <c r="BI67" s="12" t="s">
        <v>720</v>
      </c>
      <c r="BJ67" s="12" t="s">
        <v>720</v>
      </c>
      <c r="BK67" s="12" t="s">
        <v>720</v>
      </c>
      <c r="BL67" s="12" t="s">
        <v>720</v>
      </c>
      <c r="BM67" s="12" t="s">
        <v>720</v>
      </c>
      <c r="BN67" s="12" t="s">
        <v>720</v>
      </c>
      <c r="BO67" s="12" t="s">
        <v>720</v>
      </c>
      <c r="BP67" s="12" t="s">
        <v>855</v>
      </c>
      <c r="BQ67" s="12" t="s">
        <v>636</v>
      </c>
      <c r="BR67" s="12" t="s">
        <v>871</v>
      </c>
      <c r="BS67" s="12" t="s">
        <v>591</v>
      </c>
      <c r="BT67" s="12" t="s">
        <v>1125</v>
      </c>
      <c r="BU67" s="12" t="s">
        <v>772</v>
      </c>
      <c r="BV67" s="12" t="s">
        <v>1260</v>
      </c>
      <c r="BW67" s="12" t="s">
        <v>979</v>
      </c>
      <c r="BX67" s="12" t="s">
        <v>1417</v>
      </c>
      <c r="BY67" s="12" t="s">
        <v>1417</v>
      </c>
      <c r="BZ67" s="12" t="s">
        <v>1417</v>
      </c>
      <c r="CA67" s="12" t="s">
        <v>1417</v>
      </c>
      <c r="CB67" s="12" t="s">
        <v>1501</v>
      </c>
      <c r="CC67" s="12" t="s">
        <v>993</v>
      </c>
      <c r="CD67" s="12" t="s">
        <v>1750</v>
      </c>
      <c r="CE67" s="12" t="s">
        <v>1276</v>
      </c>
      <c r="CF67" s="12" t="s">
        <v>773</v>
      </c>
      <c r="CG67" s="12" t="s">
        <v>1623</v>
      </c>
      <c r="CH67" s="12" t="s">
        <v>1976</v>
      </c>
      <c r="CI67" s="12" t="s">
        <v>1838</v>
      </c>
      <c r="CJ67" s="12" t="s">
        <v>1838</v>
      </c>
      <c r="CK67" s="12" t="s">
        <v>1838</v>
      </c>
      <c r="CL67" s="12" t="s">
        <v>1422</v>
      </c>
      <c r="CM67" s="12" t="s">
        <v>1422</v>
      </c>
      <c r="CN67" s="12" t="s">
        <v>1422</v>
      </c>
      <c r="CO67" s="12" t="s">
        <v>1422</v>
      </c>
      <c r="CP67" s="12" t="s">
        <v>814</v>
      </c>
      <c r="CQ67" s="12" t="s">
        <v>814</v>
      </c>
      <c r="CR67" s="12" t="s">
        <v>814</v>
      </c>
      <c r="CS67" s="12" t="s">
        <v>814</v>
      </c>
      <c r="CT67" s="12" t="s">
        <v>641</v>
      </c>
    </row>
    <row r="68" spans="1:98" hidden="1" x14ac:dyDescent="0.3">
      <c r="A68" s="12" t="s">
        <v>1977</v>
      </c>
      <c r="B68" s="12" t="s">
        <v>1661</v>
      </c>
      <c r="C68" s="12" t="s">
        <v>1978</v>
      </c>
      <c r="D68" s="12" t="s">
        <v>1979</v>
      </c>
      <c r="E68" s="12" t="s">
        <v>579</v>
      </c>
      <c r="F68" s="12" t="s">
        <v>581</v>
      </c>
      <c r="G68" s="12" t="s">
        <v>761</v>
      </c>
      <c r="H68" s="12" t="s">
        <v>808</v>
      </c>
      <c r="I68" s="12" t="s">
        <v>627</v>
      </c>
      <c r="J68" s="12" t="s">
        <v>972</v>
      </c>
      <c r="K68" s="12" t="s">
        <v>634</v>
      </c>
      <c r="L68" s="12" t="s">
        <v>860</v>
      </c>
      <c r="M68" s="12" t="s">
        <v>1355</v>
      </c>
      <c r="N68" s="12" t="s">
        <v>1686</v>
      </c>
      <c r="O68" s="12" t="s">
        <v>1980</v>
      </c>
      <c r="P68" s="12" t="s">
        <v>1517</v>
      </c>
      <c r="Q68" s="12" t="s">
        <v>1459</v>
      </c>
      <c r="R68" s="12" t="s">
        <v>728</v>
      </c>
      <c r="S68" s="12" t="s">
        <v>1613</v>
      </c>
      <c r="T68" s="12" t="s">
        <v>1981</v>
      </c>
      <c r="U68" s="12" t="s">
        <v>1667</v>
      </c>
      <c r="V68" s="12" t="s">
        <v>734</v>
      </c>
      <c r="W68" s="12" t="s">
        <v>1720</v>
      </c>
      <c r="X68" s="12" t="s">
        <v>1982</v>
      </c>
      <c r="Y68" s="12" t="s">
        <v>1134</v>
      </c>
      <c r="Z68" s="12" t="s">
        <v>1983</v>
      </c>
      <c r="AA68" s="12" t="s">
        <v>1984</v>
      </c>
      <c r="AB68" s="12" t="s">
        <v>1375</v>
      </c>
      <c r="AC68" s="12" t="s">
        <v>1985</v>
      </c>
      <c r="AD68" s="12" t="s">
        <v>1461</v>
      </c>
      <c r="AE68" s="12" t="s">
        <v>1986</v>
      </c>
      <c r="AF68" s="12" t="s">
        <v>1409</v>
      </c>
      <c r="AG68" s="12" t="s">
        <v>1987</v>
      </c>
      <c r="AH68" s="12" t="s">
        <v>1987</v>
      </c>
      <c r="AI68" s="12" t="s">
        <v>1987</v>
      </c>
      <c r="AJ68" s="12" t="s">
        <v>1987</v>
      </c>
      <c r="AK68" s="12" t="s">
        <v>1987</v>
      </c>
      <c r="AL68" s="12" t="s">
        <v>1987</v>
      </c>
      <c r="AM68" s="12" t="s">
        <v>1987</v>
      </c>
      <c r="AN68" s="12" t="s">
        <v>1987</v>
      </c>
      <c r="AO68" s="12" t="s">
        <v>1987</v>
      </c>
      <c r="AP68" s="12" t="s">
        <v>1987</v>
      </c>
      <c r="AQ68" s="12" t="s">
        <v>1987</v>
      </c>
      <c r="AR68" s="12" t="s">
        <v>1987</v>
      </c>
      <c r="AS68" s="12" t="s">
        <v>1987</v>
      </c>
      <c r="AT68" s="12" t="s">
        <v>1987</v>
      </c>
      <c r="AU68" s="12" t="s">
        <v>1987</v>
      </c>
      <c r="AV68" s="12" t="s">
        <v>1987</v>
      </c>
      <c r="AW68" s="12" t="s">
        <v>1987</v>
      </c>
      <c r="AX68" s="12" t="s">
        <v>1987</v>
      </c>
      <c r="AY68" s="12" t="s">
        <v>1987</v>
      </c>
      <c r="AZ68" s="12" t="s">
        <v>1987</v>
      </c>
      <c r="BA68" s="12" t="s">
        <v>1987</v>
      </c>
      <c r="BB68" s="12" t="s">
        <v>1987</v>
      </c>
      <c r="BC68" s="12" t="s">
        <v>1987</v>
      </c>
      <c r="BD68" s="12" t="s">
        <v>1987</v>
      </c>
      <c r="BE68" s="12" t="s">
        <v>1987</v>
      </c>
      <c r="BF68" s="12" t="s">
        <v>1987</v>
      </c>
      <c r="BG68" s="12" t="s">
        <v>1987</v>
      </c>
      <c r="BH68" s="12" t="s">
        <v>1987</v>
      </c>
      <c r="BI68" s="12" t="s">
        <v>1987</v>
      </c>
      <c r="BJ68" s="12" t="s">
        <v>1987</v>
      </c>
      <c r="BK68" s="12" t="s">
        <v>1987</v>
      </c>
      <c r="BL68" s="12" t="s">
        <v>1987</v>
      </c>
      <c r="BM68" s="12" t="s">
        <v>1988</v>
      </c>
      <c r="BN68" s="12" t="s">
        <v>1988</v>
      </c>
      <c r="BO68" s="12" t="s">
        <v>1989</v>
      </c>
      <c r="BP68" s="12" t="s">
        <v>742</v>
      </c>
      <c r="BQ68" s="12" t="s">
        <v>1990</v>
      </c>
      <c r="BR68" s="12" t="s">
        <v>1100</v>
      </c>
      <c r="BS68" s="12" t="s">
        <v>1100</v>
      </c>
      <c r="BT68" s="12" t="s">
        <v>1991</v>
      </c>
      <c r="BU68" s="12" t="s">
        <v>1992</v>
      </c>
      <c r="BV68" s="12" t="s">
        <v>743</v>
      </c>
      <c r="BW68" s="12" t="s">
        <v>743</v>
      </c>
      <c r="BX68" s="12" t="s">
        <v>1993</v>
      </c>
      <c r="BY68" s="12" t="s">
        <v>1994</v>
      </c>
      <c r="BZ68" s="12" t="s">
        <v>1994</v>
      </c>
      <c r="CA68" s="12" t="s">
        <v>1994</v>
      </c>
      <c r="CB68" s="12" t="s">
        <v>1994</v>
      </c>
      <c r="CC68" s="12" t="s">
        <v>1994</v>
      </c>
      <c r="CD68" s="12" t="s">
        <v>1994</v>
      </c>
      <c r="CE68" s="12" t="s">
        <v>1994</v>
      </c>
      <c r="CF68" s="12" t="s">
        <v>1994</v>
      </c>
      <c r="CG68" s="12" t="s">
        <v>1995</v>
      </c>
      <c r="CH68" s="12" t="s">
        <v>1996</v>
      </c>
      <c r="CI68" s="12" t="s">
        <v>1996</v>
      </c>
      <c r="CJ68" s="12" t="s">
        <v>1996</v>
      </c>
      <c r="CK68" s="12" t="s">
        <v>1996</v>
      </c>
      <c r="CL68" s="12" t="s">
        <v>1996</v>
      </c>
      <c r="CM68" s="12" t="s">
        <v>1996</v>
      </c>
      <c r="CN68" s="12" t="s">
        <v>1996</v>
      </c>
      <c r="CO68" s="12" t="s">
        <v>1996</v>
      </c>
      <c r="CP68" s="12" t="s">
        <v>1996</v>
      </c>
      <c r="CQ68" s="12" t="s">
        <v>1996</v>
      </c>
      <c r="CR68" s="12" t="s">
        <v>1996</v>
      </c>
      <c r="CS68" s="12" t="s">
        <v>1996</v>
      </c>
      <c r="CT68" s="12" t="s">
        <v>1996</v>
      </c>
    </row>
    <row r="69" spans="1:98" hidden="1" x14ac:dyDescent="0.3">
      <c r="A69" s="12" t="s">
        <v>1997</v>
      </c>
      <c r="B69" s="12" t="s">
        <v>1661</v>
      </c>
      <c r="C69" s="12" t="s">
        <v>1998</v>
      </c>
      <c r="D69" s="12" t="s">
        <v>1999</v>
      </c>
      <c r="E69" s="12" t="s">
        <v>623</v>
      </c>
      <c r="F69" s="12" t="s">
        <v>582</v>
      </c>
      <c r="G69" s="12" t="s">
        <v>808</v>
      </c>
      <c r="H69" s="12" t="s">
        <v>808</v>
      </c>
      <c r="I69" s="12" t="s">
        <v>971</v>
      </c>
      <c r="J69" s="12" t="s">
        <v>975</v>
      </c>
      <c r="K69" s="12" t="s">
        <v>1208</v>
      </c>
      <c r="L69" s="12" t="s">
        <v>1208</v>
      </c>
      <c r="M69" s="12" t="s">
        <v>1310</v>
      </c>
      <c r="N69" s="12" t="s">
        <v>2000</v>
      </c>
      <c r="O69" s="12" t="s">
        <v>2001</v>
      </c>
      <c r="P69" s="12" t="s">
        <v>648</v>
      </c>
      <c r="Q69" s="12" t="s">
        <v>2002</v>
      </c>
      <c r="R69" s="12" t="s">
        <v>1132</v>
      </c>
      <c r="S69" s="12" t="s">
        <v>662</v>
      </c>
      <c r="T69" s="12" t="s">
        <v>1407</v>
      </c>
      <c r="U69" s="12" t="s">
        <v>1378</v>
      </c>
      <c r="V69" s="12" t="s">
        <v>2003</v>
      </c>
      <c r="W69" s="12" t="s">
        <v>1851</v>
      </c>
      <c r="X69" s="12" t="s">
        <v>2004</v>
      </c>
      <c r="Y69" s="12" t="s">
        <v>1290</v>
      </c>
      <c r="Z69" s="12" t="s">
        <v>2005</v>
      </c>
      <c r="AA69" s="12" t="s">
        <v>1854</v>
      </c>
      <c r="AB69" s="12" t="s">
        <v>934</v>
      </c>
      <c r="AC69" s="12" t="s">
        <v>1858</v>
      </c>
      <c r="AD69" s="12" t="s">
        <v>1145</v>
      </c>
      <c r="AE69" s="12" t="s">
        <v>1860</v>
      </c>
      <c r="AF69" s="12" t="s">
        <v>613</v>
      </c>
      <c r="AG69" s="12" t="s">
        <v>936</v>
      </c>
      <c r="AH69" s="12" t="s">
        <v>936</v>
      </c>
      <c r="AI69" s="12" t="s">
        <v>936</v>
      </c>
      <c r="AJ69" s="12" t="s">
        <v>936</v>
      </c>
      <c r="AK69" s="12" t="s">
        <v>936</v>
      </c>
      <c r="AL69" s="12" t="s">
        <v>936</v>
      </c>
      <c r="AM69" s="12" t="s">
        <v>936</v>
      </c>
      <c r="AN69" s="12" t="s">
        <v>936</v>
      </c>
      <c r="AO69" s="12" t="s">
        <v>936</v>
      </c>
      <c r="AP69" s="12" t="s">
        <v>1897</v>
      </c>
      <c r="AQ69" s="12" t="s">
        <v>1897</v>
      </c>
      <c r="AR69" s="12" t="s">
        <v>1897</v>
      </c>
      <c r="AS69" s="12" t="s">
        <v>1897</v>
      </c>
      <c r="AT69" s="12" t="s">
        <v>1897</v>
      </c>
      <c r="AU69" s="12" t="s">
        <v>1897</v>
      </c>
      <c r="AV69" s="12" t="s">
        <v>1897</v>
      </c>
      <c r="AW69" s="12" t="s">
        <v>1897</v>
      </c>
      <c r="AX69" s="12" t="s">
        <v>1897</v>
      </c>
      <c r="AY69" s="12" t="s">
        <v>1897</v>
      </c>
      <c r="AZ69" s="12" t="s">
        <v>1897</v>
      </c>
      <c r="BA69" s="12" t="s">
        <v>1897</v>
      </c>
      <c r="BB69" s="12" t="s">
        <v>1897</v>
      </c>
      <c r="BC69" s="12" t="s">
        <v>1897</v>
      </c>
      <c r="BD69" s="12" t="s">
        <v>1897</v>
      </c>
      <c r="BE69" s="12" t="s">
        <v>1897</v>
      </c>
      <c r="BF69" s="12" t="s">
        <v>1897</v>
      </c>
      <c r="BG69" s="12" t="s">
        <v>1897</v>
      </c>
      <c r="BH69" s="12" t="s">
        <v>1897</v>
      </c>
      <c r="BI69" s="12" t="s">
        <v>1897</v>
      </c>
      <c r="BJ69" s="12" t="s">
        <v>1897</v>
      </c>
      <c r="BK69" s="12" t="s">
        <v>1897</v>
      </c>
      <c r="BL69" s="12" t="s">
        <v>1897</v>
      </c>
      <c r="BM69" s="12" t="s">
        <v>2006</v>
      </c>
      <c r="BN69" s="12" t="s">
        <v>2006</v>
      </c>
      <c r="BO69" s="12" t="s">
        <v>2006</v>
      </c>
      <c r="BP69" s="12" t="s">
        <v>2006</v>
      </c>
      <c r="BQ69" s="12" t="s">
        <v>2006</v>
      </c>
      <c r="BR69" s="12" t="s">
        <v>2006</v>
      </c>
      <c r="BS69" s="12" t="s">
        <v>2006</v>
      </c>
      <c r="BT69" s="12" t="s">
        <v>832</v>
      </c>
      <c r="BU69" s="12" t="s">
        <v>832</v>
      </c>
      <c r="BV69" s="12" t="s">
        <v>832</v>
      </c>
      <c r="BW69" s="12" t="s">
        <v>832</v>
      </c>
      <c r="BX69" s="12" t="s">
        <v>832</v>
      </c>
      <c r="BY69" s="12" t="s">
        <v>832</v>
      </c>
      <c r="BZ69" s="12" t="s">
        <v>832</v>
      </c>
      <c r="CA69" s="12" t="s">
        <v>832</v>
      </c>
      <c r="CB69" s="12" t="s">
        <v>832</v>
      </c>
      <c r="CC69" s="12" t="s">
        <v>832</v>
      </c>
      <c r="CD69" s="12" t="s">
        <v>832</v>
      </c>
      <c r="CE69" s="12" t="s">
        <v>832</v>
      </c>
      <c r="CF69" s="12" t="s">
        <v>832</v>
      </c>
      <c r="CG69" s="12" t="s">
        <v>832</v>
      </c>
      <c r="CH69" s="12" t="s">
        <v>832</v>
      </c>
      <c r="CI69" s="12" t="s">
        <v>832</v>
      </c>
      <c r="CJ69" s="12" t="s">
        <v>832</v>
      </c>
      <c r="CK69" s="12" t="s">
        <v>832</v>
      </c>
      <c r="CL69" s="12" t="s">
        <v>832</v>
      </c>
      <c r="CM69" s="12" t="s">
        <v>832</v>
      </c>
      <c r="CN69" s="12" t="s">
        <v>832</v>
      </c>
      <c r="CO69" s="12" t="s">
        <v>832</v>
      </c>
      <c r="CP69" s="12" t="s">
        <v>832</v>
      </c>
      <c r="CQ69" s="12" t="s">
        <v>832</v>
      </c>
      <c r="CR69" s="12" t="s">
        <v>832</v>
      </c>
      <c r="CS69" s="12" t="s">
        <v>832</v>
      </c>
      <c r="CT69" s="12" t="s">
        <v>832</v>
      </c>
    </row>
    <row r="70" spans="1:98" hidden="1" x14ac:dyDescent="0.3">
      <c r="A70" s="12" t="s">
        <v>2007</v>
      </c>
      <c r="B70" s="12" t="s">
        <v>1661</v>
      </c>
      <c r="C70" s="12" t="s">
        <v>2008</v>
      </c>
      <c r="D70" s="12" t="s">
        <v>2009</v>
      </c>
      <c r="E70" s="12" t="s">
        <v>578</v>
      </c>
      <c r="F70" s="12" t="s">
        <v>579</v>
      </c>
      <c r="G70" s="12" t="s">
        <v>672</v>
      </c>
      <c r="H70" s="12" t="s">
        <v>580</v>
      </c>
      <c r="I70" s="12" t="s">
        <v>580</v>
      </c>
      <c r="J70" s="12" t="s">
        <v>851</v>
      </c>
      <c r="K70" s="12" t="s">
        <v>755</v>
      </c>
      <c r="L70" s="12" t="s">
        <v>761</v>
      </c>
      <c r="M70" s="12" t="s">
        <v>756</v>
      </c>
      <c r="N70" s="12" t="s">
        <v>756</v>
      </c>
      <c r="O70" s="12" t="s">
        <v>673</v>
      </c>
      <c r="P70" s="12" t="s">
        <v>626</v>
      </c>
      <c r="Q70" s="12" t="s">
        <v>766</v>
      </c>
      <c r="R70" s="12" t="s">
        <v>629</v>
      </c>
      <c r="S70" s="12" t="s">
        <v>679</v>
      </c>
      <c r="T70" s="12" t="s">
        <v>632</v>
      </c>
      <c r="U70" s="12" t="s">
        <v>870</v>
      </c>
      <c r="V70" s="12" t="s">
        <v>974</v>
      </c>
      <c r="W70" s="12" t="s">
        <v>810</v>
      </c>
      <c r="X70" s="12" t="s">
        <v>856</v>
      </c>
      <c r="Y70" s="12" t="s">
        <v>1184</v>
      </c>
      <c r="Z70" s="12" t="s">
        <v>1352</v>
      </c>
      <c r="AA70" s="12" t="s">
        <v>590</v>
      </c>
      <c r="AB70" s="12" t="s">
        <v>977</v>
      </c>
      <c r="AC70" s="12" t="s">
        <v>721</v>
      </c>
      <c r="AD70" s="12" t="s">
        <v>636</v>
      </c>
      <c r="AE70" s="12" t="s">
        <v>636</v>
      </c>
      <c r="AF70" s="12" t="s">
        <v>636</v>
      </c>
      <c r="AG70" s="12" t="s">
        <v>682</v>
      </c>
      <c r="AH70" s="12" t="s">
        <v>857</v>
      </c>
      <c r="AI70" s="12" t="s">
        <v>857</v>
      </c>
      <c r="AJ70" s="12" t="s">
        <v>857</v>
      </c>
      <c r="AK70" s="12" t="s">
        <v>857</v>
      </c>
      <c r="AL70" s="12" t="s">
        <v>858</v>
      </c>
      <c r="AM70" s="12" t="s">
        <v>858</v>
      </c>
      <c r="AN70" s="12" t="s">
        <v>858</v>
      </c>
      <c r="AO70" s="12" t="s">
        <v>858</v>
      </c>
      <c r="AP70" s="12" t="s">
        <v>858</v>
      </c>
      <c r="AQ70" s="12" t="s">
        <v>858</v>
      </c>
      <c r="AR70" s="12" t="s">
        <v>858</v>
      </c>
      <c r="AS70" s="12" t="s">
        <v>858</v>
      </c>
      <c r="AT70" s="12" t="s">
        <v>858</v>
      </c>
      <c r="AU70" s="12" t="s">
        <v>858</v>
      </c>
      <c r="AV70" s="12" t="s">
        <v>858</v>
      </c>
      <c r="AW70" s="12" t="s">
        <v>858</v>
      </c>
      <c r="AX70" s="12" t="s">
        <v>858</v>
      </c>
      <c r="AY70" s="12" t="s">
        <v>858</v>
      </c>
      <c r="AZ70" s="12" t="s">
        <v>858</v>
      </c>
      <c r="BA70" s="12" t="s">
        <v>858</v>
      </c>
      <c r="BB70" s="12" t="s">
        <v>858</v>
      </c>
      <c r="BC70" s="12" t="s">
        <v>858</v>
      </c>
      <c r="BD70" s="12" t="s">
        <v>858</v>
      </c>
      <c r="BE70" s="12" t="s">
        <v>858</v>
      </c>
      <c r="BF70" s="12" t="s">
        <v>858</v>
      </c>
      <c r="BG70" s="12" t="s">
        <v>858</v>
      </c>
      <c r="BH70" s="12" t="s">
        <v>858</v>
      </c>
      <c r="BI70" s="12" t="s">
        <v>858</v>
      </c>
      <c r="BJ70" s="12" t="s">
        <v>858</v>
      </c>
      <c r="BK70" s="12" t="s">
        <v>858</v>
      </c>
      <c r="BL70" s="12" t="s">
        <v>858</v>
      </c>
      <c r="BM70" s="12" t="s">
        <v>858</v>
      </c>
      <c r="BN70" s="12" t="s">
        <v>858</v>
      </c>
      <c r="BO70" s="12" t="s">
        <v>858</v>
      </c>
      <c r="BP70" s="12" t="s">
        <v>591</v>
      </c>
      <c r="BQ70" s="12" t="s">
        <v>1125</v>
      </c>
      <c r="BR70" s="12" t="s">
        <v>1125</v>
      </c>
      <c r="BS70" s="12" t="s">
        <v>772</v>
      </c>
      <c r="BT70" s="12" t="s">
        <v>978</v>
      </c>
      <c r="BU70" s="12" t="s">
        <v>978</v>
      </c>
      <c r="BV70" s="12" t="s">
        <v>978</v>
      </c>
      <c r="BW70" s="12" t="s">
        <v>978</v>
      </c>
      <c r="BX70" s="12" t="s">
        <v>978</v>
      </c>
      <c r="BY70" s="12" t="s">
        <v>978</v>
      </c>
      <c r="BZ70" s="12" t="s">
        <v>978</v>
      </c>
      <c r="CA70" s="12" t="s">
        <v>978</v>
      </c>
      <c r="CB70" s="12" t="s">
        <v>978</v>
      </c>
      <c r="CC70" s="12" t="s">
        <v>978</v>
      </c>
      <c r="CD70" s="12" t="s">
        <v>978</v>
      </c>
      <c r="CE70" s="12" t="s">
        <v>978</v>
      </c>
      <c r="CF70" s="12" t="s">
        <v>978</v>
      </c>
      <c r="CG70" s="12" t="s">
        <v>978</v>
      </c>
      <c r="CH70" s="12" t="s">
        <v>860</v>
      </c>
      <c r="CI70" s="12" t="s">
        <v>861</v>
      </c>
      <c r="CJ70" s="12" t="s">
        <v>861</v>
      </c>
      <c r="CK70" s="12" t="s">
        <v>863</v>
      </c>
      <c r="CL70" s="12" t="s">
        <v>863</v>
      </c>
      <c r="CM70" s="12" t="s">
        <v>863</v>
      </c>
      <c r="CN70" s="12" t="s">
        <v>863</v>
      </c>
      <c r="CO70" s="12" t="s">
        <v>637</v>
      </c>
      <c r="CP70" s="12" t="s">
        <v>637</v>
      </c>
      <c r="CQ70" s="12" t="s">
        <v>1664</v>
      </c>
      <c r="CR70" s="12" t="s">
        <v>1664</v>
      </c>
      <c r="CS70" s="12" t="s">
        <v>1499</v>
      </c>
      <c r="CT70" s="12" t="s">
        <v>1208</v>
      </c>
    </row>
    <row r="71" spans="1:98" hidden="1" x14ac:dyDescent="0.3">
      <c r="A71" s="12" t="s">
        <v>2010</v>
      </c>
      <c r="B71" s="12" t="s">
        <v>1661</v>
      </c>
      <c r="C71" s="12" t="s">
        <v>2011</v>
      </c>
      <c r="D71" s="12" t="s">
        <v>2012</v>
      </c>
      <c r="E71" s="12" t="s">
        <v>623</v>
      </c>
      <c r="F71" s="12" t="s">
        <v>672</v>
      </c>
      <c r="G71" s="12" t="s">
        <v>580</v>
      </c>
      <c r="H71" s="12" t="s">
        <v>673</v>
      </c>
      <c r="I71" s="12" t="s">
        <v>585</v>
      </c>
      <c r="J71" s="12" t="s">
        <v>913</v>
      </c>
      <c r="K71" s="12" t="s">
        <v>767</v>
      </c>
      <c r="L71" s="12" t="s">
        <v>718</v>
      </c>
      <c r="M71" s="12" t="s">
        <v>1046</v>
      </c>
      <c r="N71" s="12" t="s">
        <v>678</v>
      </c>
      <c r="O71" s="12" t="s">
        <v>633</v>
      </c>
      <c r="P71" s="12" t="s">
        <v>634</v>
      </c>
      <c r="Q71" s="12" t="s">
        <v>589</v>
      </c>
      <c r="R71" s="12" t="s">
        <v>1184</v>
      </c>
      <c r="S71" s="12" t="s">
        <v>636</v>
      </c>
      <c r="T71" s="12" t="s">
        <v>591</v>
      </c>
      <c r="U71" s="12" t="s">
        <v>860</v>
      </c>
      <c r="V71" s="12" t="s">
        <v>864</v>
      </c>
      <c r="W71" s="12" t="s">
        <v>1260</v>
      </c>
      <c r="X71" s="12" t="s">
        <v>1499</v>
      </c>
      <c r="Y71" s="12" t="s">
        <v>979</v>
      </c>
      <c r="Z71" s="12" t="s">
        <v>1500</v>
      </c>
      <c r="AA71" s="12" t="s">
        <v>1417</v>
      </c>
      <c r="AB71" s="12" t="s">
        <v>1418</v>
      </c>
      <c r="AC71" s="12" t="s">
        <v>1418</v>
      </c>
      <c r="AD71" s="12" t="s">
        <v>993</v>
      </c>
      <c r="AE71" s="12" t="s">
        <v>993</v>
      </c>
      <c r="AF71" s="12" t="s">
        <v>993</v>
      </c>
      <c r="AG71" s="12" t="s">
        <v>993</v>
      </c>
      <c r="AH71" s="12" t="s">
        <v>993</v>
      </c>
      <c r="AI71" s="12" t="s">
        <v>993</v>
      </c>
      <c r="AJ71" s="12" t="s">
        <v>993</v>
      </c>
      <c r="AK71" s="12" t="s">
        <v>993</v>
      </c>
      <c r="AL71" s="12" t="s">
        <v>993</v>
      </c>
      <c r="AM71" s="12" t="s">
        <v>993</v>
      </c>
      <c r="AN71" s="12" t="s">
        <v>993</v>
      </c>
      <c r="AO71" s="12" t="s">
        <v>993</v>
      </c>
      <c r="AP71" s="12" t="s">
        <v>993</v>
      </c>
      <c r="AQ71" s="12" t="s">
        <v>993</v>
      </c>
      <c r="AR71" s="12" t="s">
        <v>980</v>
      </c>
      <c r="AS71" s="12" t="s">
        <v>980</v>
      </c>
      <c r="AT71" s="12" t="s">
        <v>1751</v>
      </c>
      <c r="AU71" s="12" t="s">
        <v>1751</v>
      </c>
      <c r="AV71" s="12" t="s">
        <v>1751</v>
      </c>
      <c r="AW71" s="12" t="s">
        <v>1751</v>
      </c>
      <c r="AX71" s="12" t="s">
        <v>1751</v>
      </c>
      <c r="AY71" s="12" t="s">
        <v>1751</v>
      </c>
      <c r="AZ71" s="12" t="s">
        <v>1751</v>
      </c>
      <c r="BA71" s="12" t="s">
        <v>1751</v>
      </c>
      <c r="BB71" s="12" t="s">
        <v>1751</v>
      </c>
      <c r="BC71" s="12" t="s">
        <v>1751</v>
      </c>
      <c r="BD71" s="12" t="s">
        <v>1751</v>
      </c>
      <c r="BE71" s="12" t="s">
        <v>1751</v>
      </c>
      <c r="BF71" s="12" t="s">
        <v>1751</v>
      </c>
      <c r="BG71" s="12" t="s">
        <v>1751</v>
      </c>
      <c r="BH71" s="12" t="s">
        <v>1751</v>
      </c>
      <c r="BI71" s="12" t="s">
        <v>1751</v>
      </c>
      <c r="BJ71" s="12" t="s">
        <v>1751</v>
      </c>
      <c r="BK71" s="12" t="s">
        <v>1276</v>
      </c>
      <c r="BL71" s="12" t="s">
        <v>1276</v>
      </c>
      <c r="BM71" s="12" t="s">
        <v>1354</v>
      </c>
      <c r="BN71" s="12" t="s">
        <v>1354</v>
      </c>
      <c r="BO71" s="12" t="s">
        <v>1354</v>
      </c>
      <c r="BP71" s="12" t="s">
        <v>1354</v>
      </c>
      <c r="BQ71" s="12" t="s">
        <v>773</v>
      </c>
      <c r="BR71" s="12" t="s">
        <v>773</v>
      </c>
      <c r="BS71" s="12" t="s">
        <v>1261</v>
      </c>
      <c r="BT71" s="12" t="s">
        <v>873</v>
      </c>
      <c r="BU71" s="12" t="s">
        <v>812</v>
      </c>
      <c r="BV71" s="12" t="s">
        <v>683</v>
      </c>
      <c r="BW71" s="12" t="s">
        <v>1025</v>
      </c>
      <c r="BX71" s="12" t="s">
        <v>2013</v>
      </c>
      <c r="BY71" s="12" t="s">
        <v>2013</v>
      </c>
      <c r="BZ71" s="12" t="s">
        <v>2013</v>
      </c>
      <c r="CA71" s="12" t="s">
        <v>2014</v>
      </c>
      <c r="CB71" s="12" t="s">
        <v>2014</v>
      </c>
      <c r="CC71" s="12" t="s">
        <v>920</v>
      </c>
      <c r="CD71" s="12" t="s">
        <v>920</v>
      </c>
      <c r="CE71" s="12" t="s">
        <v>920</v>
      </c>
      <c r="CF71" s="12" t="s">
        <v>920</v>
      </c>
      <c r="CG71" s="12" t="s">
        <v>1886</v>
      </c>
      <c r="CH71" s="12" t="s">
        <v>1886</v>
      </c>
      <c r="CI71" s="12" t="s">
        <v>1886</v>
      </c>
      <c r="CJ71" s="12" t="s">
        <v>1886</v>
      </c>
      <c r="CK71" s="12" t="s">
        <v>1886</v>
      </c>
      <c r="CL71" s="12" t="s">
        <v>1886</v>
      </c>
      <c r="CM71" s="12" t="s">
        <v>639</v>
      </c>
      <c r="CN71" s="12" t="s">
        <v>639</v>
      </c>
      <c r="CO71" s="12" t="s">
        <v>639</v>
      </c>
      <c r="CP71" s="12" t="s">
        <v>639</v>
      </c>
      <c r="CQ71" s="12" t="s">
        <v>639</v>
      </c>
      <c r="CR71" s="12" t="s">
        <v>639</v>
      </c>
      <c r="CS71" s="12" t="s">
        <v>639</v>
      </c>
      <c r="CT71" s="12" t="s">
        <v>639</v>
      </c>
    </row>
    <row r="72" spans="1:98" hidden="1" x14ac:dyDescent="0.3">
      <c r="A72" s="12" t="s">
        <v>2015</v>
      </c>
      <c r="B72" s="12" t="s">
        <v>1661</v>
      </c>
      <c r="C72" s="12" t="s">
        <v>2016</v>
      </c>
      <c r="D72" s="12" t="s">
        <v>2017</v>
      </c>
      <c r="E72" s="12" t="s">
        <v>579</v>
      </c>
      <c r="F72" s="12" t="s">
        <v>623</v>
      </c>
      <c r="G72" s="12" t="s">
        <v>623</v>
      </c>
      <c r="H72" s="12" t="s">
        <v>623</v>
      </c>
      <c r="I72" s="12" t="s">
        <v>581</v>
      </c>
      <c r="J72" s="12" t="s">
        <v>851</v>
      </c>
      <c r="K72" s="12" t="s">
        <v>582</v>
      </c>
      <c r="L72" s="12" t="s">
        <v>582</v>
      </c>
      <c r="M72" s="12" t="s">
        <v>582</v>
      </c>
      <c r="N72" s="12" t="s">
        <v>582</v>
      </c>
      <c r="O72" s="12" t="s">
        <v>582</v>
      </c>
      <c r="P72" s="12" t="s">
        <v>755</v>
      </c>
      <c r="Q72" s="12" t="s">
        <v>755</v>
      </c>
      <c r="R72" s="12" t="s">
        <v>624</v>
      </c>
      <c r="S72" s="12" t="s">
        <v>624</v>
      </c>
      <c r="T72" s="12" t="s">
        <v>624</v>
      </c>
      <c r="U72" s="12" t="s">
        <v>624</v>
      </c>
      <c r="V72" s="12" t="s">
        <v>624</v>
      </c>
      <c r="W72" s="12" t="s">
        <v>624</v>
      </c>
      <c r="X72" s="12" t="s">
        <v>624</v>
      </c>
      <c r="Y72" s="12" t="s">
        <v>624</v>
      </c>
      <c r="Z72" s="12" t="s">
        <v>624</v>
      </c>
      <c r="AA72" s="12" t="s">
        <v>624</v>
      </c>
      <c r="AB72" s="12" t="s">
        <v>624</v>
      </c>
      <c r="AC72" s="12" t="s">
        <v>624</v>
      </c>
      <c r="AD72" s="12" t="s">
        <v>624</v>
      </c>
      <c r="AE72" s="12" t="s">
        <v>624</v>
      </c>
      <c r="AF72" s="12" t="s">
        <v>624</v>
      </c>
      <c r="AG72" s="12" t="s">
        <v>624</v>
      </c>
      <c r="AH72" s="12" t="s">
        <v>624</v>
      </c>
      <c r="AI72" s="12" t="s">
        <v>624</v>
      </c>
      <c r="AJ72" s="12" t="s">
        <v>624</v>
      </c>
      <c r="AK72" s="12" t="s">
        <v>624</v>
      </c>
      <c r="AL72" s="12" t="s">
        <v>624</v>
      </c>
      <c r="AM72" s="12" t="s">
        <v>624</v>
      </c>
      <c r="AN72" s="12" t="s">
        <v>624</v>
      </c>
      <c r="AO72" s="12" t="s">
        <v>624</v>
      </c>
      <c r="AP72" s="12" t="s">
        <v>624</v>
      </c>
      <c r="AQ72" s="12" t="s">
        <v>624</v>
      </c>
      <c r="AR72" s="12" t="s">
        <v>624</v>
      </c>
      <c r="AS72" s="12" t="s">
        <v>624</v>
      </c>
      <c r="AT72" s="12" t="s">
        <v>624</v>
      </c>
      <c r="AU72" s="12" t="s">
        <v>624</v>
      </c>
      <c r="AV72" s="12" t="s">
        <v>624</v>
      </c>
      <c r="AW72" s="12" t="s">
        <v>624</v>
      </c>
      <c r="AX72" s="12" t="s">
        <v>624</v>
      </c>
      <c r="AY72" s="12" t="s">
        <v>624</v>
      </c>
      <c r="AZ72" s="12" t="s">
        <v>624</v>
      </c>
      <c r="BA72" s="12" t="s">
        <v>624</v>
      </c>
      <c r="BB72" s="12" t="s">
        <v>624</v>
      </c>
      <c r="BC72" s="12" t="s">
        <v>624</v>
      </c>
      <c r="BD72" s="12" t="s">
        <v>624</v>
      </c>
      <c r="BE72" s="12" t="s">
        <v>624</v>
      </c>
      <c r="BF72" s="12" t="s">
        <v>624</v>
      </c>
      <c r="BG72" s="12" t="s">
        <v>583</v>
      </c>
      <c r="BH72" s="12" t="s">
        <v>625</v>
      </c>
      <c r="BI72" s="12" t="s">
        <v>762</v>
      </c>
      <c r="BJ72" s="12" t="s">
        <v>673</v>
      </c>
      <c r="BK72" s="12" t="s">
        <v>673</v>
      </c>
      <c r="BL72" s="12" t="s">
        <v>808</v>
      </c>
      <c r="BM72" s="12" t="s">
        <v>587</v>
      </c>
      <c r="BN72" s="12" t="s">
        <v>587</v>
      </c>
      <c r="BO72" s="12" t="s">
        <v>757</v>
      </c>
      <c r="BP72" s="12" t="s">
        <v>2018</v>
      </c>
      <c r="BQ72" s="12" t="s">
        <v>766</v>
      </c>
      <c r="BR72" s="12" t="s">
        <v>627</v>
      </c>
      <c r="BS72" s="12" t="s">
        <v>677</v>
      </c>
      <c r="BT72" s="12" t="s">
        <v>677</v>
      </c>
      <c r="BU72" s="12" t="s">
        <v>628</v>
      </c>
      <c r="BV72" s="12" t="s">
        <v>1046</v>
      </c>
      <c r="BW72" s="12" t="s">
        <v>1046</v>
      </c>
      <c r="BX72" s="12" t="s">
        <v>1046</v>
      </c>
      <c r="BY72" s="12" t="s">
        <v>1259</v>
      </c>
      <c r="BZ72" s="12" t="s">
        <v>1259</v>
      </c>
      <c r="CA72" s="12" t="s">
        <v>1096</v>
      </c>
      <c r="CB72" s="12" t="s">
        <v>1096</v>
      </c>
      <c r="CC72" s="12" t="s">
        <v>1096</v>
      </c>
      <c r="CD72" s="12" t="s">
        <v>768</v>
      </c>
      <c r="CE72" s="12" t="s">
        <v>768</v>
      </c>
      <c r="CF72" s="12" t="s">
        <v>768</v>
      </c>
      <c r="CG72" s="12" t="s">
        <v>768</v>
      </c>
      <c r="CH72" s="12" t="s">
        <v>768</v>
      </c>
      <c r="CI72" s="12" t="s">
        <v>768</v>
      </c>
      <c r="CJ72" s="12" t="s">
        <v>768</v>
      </c>
      <c r="CK72" s="12" t="s">
        <v>768</v>
      </c>
      <c r="CL72" s="12" t="s">
        <v>768</v>
      </c>
      <c r="CM72" s="12" t="s">
        <v>768</v>
      </c>
      <c r="CN72" s="12" t="s">
        <v>768</v>
      </c>
      <c r="CO72" s="12" t="s">
        <v>768</v>
      </c>
      <c r="CP72" s="12" t="s">
        <v>768</v>
      </c>
      <c r="CQ72" s="12" t="s">
        <v>768</v>
      </c>
      <c r="CR72" s="12" t="s">
        <v>768</v>
      </c>
      <c r="CS72" s="12" t="s">
        <v>768</v>
      </c>
      <c r="CT72" s="12" t="s">
        <v>768</v>
      </c>
    </row>
    <row r="73" spans="1:98" hidden="1" x14ac:dyDescent="0.3">
      <c r="A73" s="12" t="s">
        <v>2019</v>
      </c>
      <c r="B73" s="12" t="s">
        <v>1661</v>
      </c>
      <c r="C73" s="12" t="s">
        <v>2020</v>
      </c>
      <c r="D73" s="12" t="s">
        <v>2021</v>
      </c>
      <c r="E73" s="12" t="s">
        <v>579</v>
      </c>
      <c r="F73" s="12" t="s">
        <v>579</v>
      </c>
      <c r="G73" s="12" t="s">
        <v>623</v>
      </c>
      <c r="H73" s="12" t="s">
        <v>672</v>
      </c>
      <c r="I73" s="12" t="s">
        <v>580</v>
      </c>
      <c r="J73" s="12" t="s">
        <v>582</v>
      </c>
      <c r="K73" s="12" t="s">
        <v>583</v>
      </c>
      <c r="L73" s="12" t="s">
        <v>625</v>
      </c>
      <c r="M73" s="12" t="s">
        <v>673</v>
      </c>
      <c r="N73" s="12" t="s">
        <v>585</v>
      </c>
      <c r="O73" s="12" t="s">
        <v>676</v>
      </c>
      <c r="P73" s="12" t="s">
        <v>869</v>
      </c>
      <c r="Q73" s="12" t="s">
        <v>766</v>
      </c>
      <c r="R73" s="12" t="s">
        <v>767</v>
      </c>
      <c r="S73" s="12" t="s">
        <v>767</v>
      </c>
      <c r="T73" s="12" t="s">
        <v>588</v>
      </c>
      <c r="U73" s="12" t="s">
        <v>1259</v>
      </c>
      <c r="V73" s="12" t="s">
        <v>768</v>
      </c>
      <c r="W73" s="12" t="s">
        <v>768</v>
      </c>
      <c r="X73" s="12" t="s">
        <v>991</v>
      </c>
      <c r="Y73" s="12" t="s">
        <v>719</v>
      </c>
      <c r="Z73" s="12" t="s">
        <v>1413</v>
      </c>
      <c r="AA73" s="12" t="s">
        <v>633</v>
      </c>
      <c r="AB73" s="12" t="s">
        <v>955</v>
      </c>
      <c r="AC73" s="12" t="s">
        <v>634</v>
      </c>
      <c r="AD73" s="12" t="s">
        <v>634</v>
      </c>
      <c r="AE73" s="12" t="s">
        <v>634</v>
      </c>
      <c r="AF73" s="12" t="s">
        <v>634</v>
      </c>
      <c r="AG73" s="12" t="s">
        <v>854</v>
      </c>
      <c r="AH73" s="12" t="s">
        <v>854</v>
      </c>
      <c r="AI73" s="12" t="s">
        <v>854</v>
      </c>
      <c r="AJ73" s="12" t="s">
        <v>854</v>
      </c>
      <c r="AK73" s="12" t="s">
        <v>854</v>
      </c>
      <c r="AL73" s="12" t="s">
        <v>854</v>
      </c>
      <c r="AM73" s="12" t="s">
        <v>854</v>
      </c>
      <c r="AN73" s="12" t="s">
        <v>854</v>
      </c>
      <c r="AO73" s="12" t="s">
        <v>975</v>
      </c>
      <c r="AP73" s="12" t="s">
        <v>975</v>
      </c>
      <c r="AQ73" s="12" t="s">
        <v>1120</v>
      </c>
      <c r="AR73" s="12" t="s">
        <v>1120</v>
      </c>
      <c r="AS73" s="12" t="s">
        <v>589</v>
      </c>
      <c r="AT73" s="12" t="s">
        <v>589</v>
      </c>
      <c r="AU73" s="12" t="s">
        <v>720</v>
      </c>
      <c r="AV73" s="12" t="s">
        <v>720</v>
      </c>
      <c r="AW73" s="12" t="s">
        <v>720</v>
      </c>
      <c r="AX73" s="12" t="s">
        <v>720</v>
      </c>
      <c r="AY73" s="12" t="s">
        <v>720</v>
      </c>
      <c r="AZ73" s="12" t="s">
        <v>720</v>
      </c>
      <c r="BA73" s="12" t="s">
        <v>720</v>
      </c>
      <c r="BB73" s="12" t="s">
        <v>720</v>
      </c>
      <c r="BC73" s="12" t="s">
        <v>720</v>
      </c>
      <c r="BD73" s="12" t="s">
        <v>720</v>
      </c>
      <c r="BE73" s="12" t="s">
        <v>720</v>
      </c>
      <c r="BF73" s="12" t="s">
        <v>720</v>
      </c>
      <c r="BG73" s="12" t="s">
        <v>720</v>
      </c>
      <c r="BH73" s="12" t="s">
        <v>720</v>
      </c>
      <c r="BI73" s="12" t="s">
        <v>720</v>
      </c>
      <c r="BJ73" s="12" t="s">
        <v>720</v>
      </c>
      <c r="BK73" s="12" t="s">
        <v>720</v>
      </c>
      <c r="BL73" s="12" t="s">
        <v>720</v>
      </c>
      <c r="BM73" s="12" t="s">
        <v>720</v>
      </c>
      <c r="BN73" s="12" t="s">
        <v>720</v>
      </c>
      <c r="BO73" s="12" t="s">
        <v>720</v>
      </c>
      <c r="BP73" s="12" t="s">
        <v>720</v>
      </c>
      <c r="BQ73" s="12" t="s">
        <v>720</v>
      </c>
      <c r="BR73" s="12" t="s">
        <v>720</v>
      </c>
      <c r="BS73" s="12" t="s">
        <v>720</v>
      </c>
      <c r="BT73" s="12" t="s">
        <v>720</v>
      </c>
      <c r="BU73" s="12" t="s">
        <v>720</v>
      </c>
      <c r="BV73" s="12" t="s">
        <v>720</v>
      </c>
      <c r="BW73" s="12" t="s">
        <v>720</v>
      </c>
      <c r="BX73" s="12" t="s">
        <v>720</v>
      </c>
      <c r="BY73" s="12" t="s">
        <v>720</v>
      </c>
      <c r="BZ73" s="12" t="s">
        <v>720</v>
      </c>
      <c r="CA73" s="12" t="s">
        <v>720</v>
      </c>
      <c r="CB73" s="12" t="s">
        <v>720</v>
      </c>
      <c r="CC73" s="12" t="s">
        <v>720</v>
      </c>
      <c r="CD73" s="12" t="s">
        <v>720</v>
      </c>
      <c r="CE73" s="12" t="s">
        <v>720</v>
      </c>
      <c r="CF73" s="12" t="s">
        <v>720</v>
      </c>
      <c r="CG73" s="12" t="s">
        <v>720</v>
      </c>
      <c r="CH73" s="12" t="s">
        <v>720</v>
      </c>
      <c r="CI73" s="12" t="s">
        <v>720</v>
      </c>
      <c r="CJ73" s="12" t="s">
        <v>720</v>
      </c>
      <c r="CK73" s="12" t="s">
        <v>720</v>
      </c>
      <c r="CL73" s="12" t="s">
        <v>720</v>
      </c>
      <c r="CM73" s="12" t="s">
        <v>720</v>
      </c>
      <c r="CN73" s="12" t="s">
        <v>720</v>
      </c>
      <c r="CO73" s="12" t="s">
        <v>720</v>
      </c>
      <c r="CP73" s="12" t="s">
        <v>720</v>
      </c>
      <c r="CQ73" s="12" t="s">
        <v>720</v>
      </c>
      <c r="CR73" s="12" t="s">
        <v>720</v>
      </c>
      <c r="CS73" s="12" t="s">
        <v>720</v>
      </c>
      <c r="CT73" s="12" t="s">
        <v>720</v>
      </c>
    </row>
    <row r="74" spans="1:98" hidden="1" x14ac:dyDescent="0.3">
      <c r="A74" s="12" t="s">
        <v>2022</v>
      </c>
      <c r="B74" s="12" t="s">
        <v>1661</v>
      </c>
      <c r="C74" s="12" t="s">
        <v>2023</v>
      </c>
      <c r="D74" s="12" t="s">
        <v>2024</v>
      </c>
      <c r="E74" s="12" t="s">
        <v>578</v>
      </c>
      <c r="F74" s="12" t="s">
        <v>578</v>
      </c>
      <c r="G74" s="12" t="s">
        <v>578</v>
      </c>
      <c r="H74" s="12" t="s">
        <v>579</v>
      </c>
      <c r="I74" s="12" t="s">
        <v>579</v>
      </c>
      <c r="J74" s="12" t="s">
        <v>851</v>
      </c>
      <c r="K74" s="12" t="s">
        <v>851</v>
      </c>
      <c r="L74" s="12" t="s">
        <v>851</v>
      </c>
      <c r="M74" s="12" t="s">
        <v>755</v>
      </c>
      <c r="N74" s="12" t="s">
        <v>755</v>
      </c>
      <c r="O74" s="12" t="s">
        <v>761</v>
      </c>
      <c r="P74" s="12" t="s">
        <v>583</v>
      </c>
      <c r="Q74" s="12" t="s">
        <v>868</v>
      </c>
      <c r="R74" s="12" t="s">
        <v>762</v>
      </c>
      <c r="S74" s="12" t="s">
        <v>673</v>
      </c>
      <c r="T74" s="12" t="s">
        <v>808</v>
      </c>
      <c r="U74" s="12" t="s">
        <v>808</v>
      </c>
      <c r="V74" s="12" t="s">
        <v>808</v>
      </c>
      <c r="W74" s="12" t="s">
        <v>808</v>
      </c>
      <c r="X74" s="12" t="s">
        <v>808</v>
      </c>
      <c r="Y74" s="12" t="s">
        <v>808</v>
      </c>
      <c r="Z74" s="12" t="s">
        <v>808</v>
      </c>
      <c r="AA74" s="12" t="s">
        <v>808</v>
      </c>
      <c r="AB74" s="12" t="s">
        <v>808</v>
      </c>
      <c r="AC74" s="12" t="s">
        <v>808</v>
      </c>
      <c r="AD74" s="12" t="s">
        <v>808</v>
      </c>
      <c r="AE74" s="12" t="s">
        <v>808</v>
      </c>
      <c r="AF74" s="12" t="s">
        <v>808</v>
      </c>
      <c r="AG74" s="12" t="s">
        <v>808</v>
      </c>
      <c r="AH74" s="12" t="s">
        <v>808</v>
      </c>
      <c r="AI74" s="12" t="s">
        <v>808</v>
      </c>
      <c r="AJ74" s="12" t="s">
        <v>808</v>
      </c>
      <c r="AK74" s="12" t="s">
        <v>808</v>
      </c>
      <c r="AL74" s="12" t="s">
        <v>808</v>
      </c>
      <c r="AM74" s="12" t="s">
        <v>808</v>
      </c>
      <c r="AN74" s="12" t="s">
        <v>808</v>
      </c>
      <c r="AO74" s="12" t="s">
        <v>808</v>
      </c>
      <c r="AP74" s="12" t="s">
        <v>808</v>
      </c>
      <c r="AQ74" s="12" t="s">
        <v>808</v>
      </c>
      <c r="AR74" s="12" t="s">
        <v>808</v>
      </c>
      <c r="AS74" s="12" t="s">
        <v>808</v>
      </c>
      <c r="AT74" s="12" t="s">
        <v>808</v>
      </c>
      <c r="AU74" s="12" t="s">
        <v>808</v>
      </c>
      <c r="AV74" s="12" t="s">
        <v>808</v>
      </c>
      <c r="AW74" s="12" t="s">
        <v>808</v>
      </c>
      <c r="AX74" s="12" t="s">
        <v>808</v>
      </c>
      <c r="AY74" s="12" t="s">
        <v>808</v>
      </c>
      <c r="AZ74" s="12" t="s">
        <v>808</v>
      </c>
      <c r="BA74" s="12" t="s">
        <v>808</v>
      </c>
      <c r="BB74" s="12" t="s">
        <v>808</v>
      </c>
      <c r="BC74" s="12" t="s">
        <v>808</v>
      </c>
      <c r="BD74" s="12" t="s">
        <v>808</v>
      </c>
      <c r="BE74" s="12" t="s">
        <v>808</v>
      </c>
      <c r="BF74" s="12" t="s">
        <v>808</v>
      </c>
      <c r="BG74" s="12" t="s">
        <v>808</v>
      </c>
      <c r="BH74" s="12" t="s">
        <v>808</v>
      </c>
      <c r="BI74" s="12" t="s">
        <v>808</v>
      </c>
      <c r="BJ74" s="12" t="s">
        <v>808</v>
      </c>
      <c r="BK74" s="12" t="s">
        <v>808</v>
      </c>
      <c r="BL74" s="12" t="s">
        <v>808</v>
      </c>
      <c r="BM74" s="12" t="s">
        <v>808</v>
      </c>
      <c r="BN74" s="12" t="s">
        <v>808</v>
      </c>
      <c r="BO74" s="12" t="s">
        <v>808</v>
      </c>
      <c r="BP74" s="12" t="s">
        <v>808</v>
      </c>
      <c r="BQ74" s="12" t="s">
        <v>808</v>
      </c>
      <c r="BR74" s="12" t="s">
        <v>808</v>
      </c>
      <c r="BS74" s="12" t="s">
        <v>808</v>
      </c>
      <c r="BT74" s="12" t="s">
        <v>808</v>
      </c>
      <c r="BU74" s="12" t="s">
        <v>808</v>
      </c>
      <c r="BV74" s="12" t="s">
        <v>808</v>
      </c>
      <c r="BW74" s="12" t="s">
        <v>808</v>
      </c>
      <c r="BX74" s="12" t="s">
        <v>808</v>
      </c>
      <c r="BY74" s="12" t="s">
        <v>808</v>
      </c>
      <c r="BZ74" s="12" t="s">
        <v>808</v>
      </c>
      <c r="CA74" s="12" t="s">
        <v>808</v>
      </c>
      <c r="CB74" s="12" t="s">
        <v>808</v>
      </c>
      <c r="CC74" s="12" t="s">
        <v>808</v>
      </c>
      <c r="CD74" s="12" t="s">
        <v>808</v>
      </c>
      <c r="CE74" s="12" t="s">
        <v>808</v>
      </c>
      <c r="CF74" s="12" t="s">
        <v>808</v>
      </c>
      <c r="CG74" s="12" t="s">
        <v>808</v>
      </c>
      <c r="CH74" s="12" t="s">
        <v>808</v>
      </c>
      <c r="CI74" s="12" t="s">
        <v>808</v>
      </c>
      <c r="CJ74" s="12" t="s">
        <v>808</v>
      </c>
      <c r="CK74" s="12" t="s">
        <v>808</v>
      </c>
      <c r="CL74" s="12" t="s">
        <v>808</v>
      </c>
      <c r="CM74" s="12" t="s">
        <v>808</v>
      </c>
      <c r="CN74" s="12" t="s">
        <v>808</v>
      </c>
      <c r="CO74" s="12" t="s">
        <v>808</v>
      </c>
      <c r="CP74" s="12" t="s">
        <v>808</v>
      </c>
      <c r="CQ74" s="12" t="s">
        <v>808</v>
      </c>
      <c r="CR74" s="12" t="s">
        <v>808</v>
      </c>
      <c r="CS74" s="12" t="s">
        <v>808</v>
      </c>
      <c r="CT74" s="12" t="s">
        <v>808</v>
      </c>
    </row>
    <row r="75" spans="1:98" hidden="1" x14ac:dyDescent="0.3">
      <c r="A75" s="12" t="s">
        <v>2025</v>
      </c>
      <c r="B75" s="12" t="s">
        <v>1661</v>
      </c>
      <c r="C75" s="12" t="s">
        <v>2026</v>
      </c>
      <c r="D75" s="12" t="s">
        <v>2027</v>
      </c>
      <c r="E75" s="12" t="s">
        <v>578</v>
      </c>
      <c r="F75" s="12" t="s">
        <v>672</v>
      </c>
      <c r="G75" s="12" t="s">
        <v>581</v>
      </c>
      <c r="H75" s="12" t="s">
        <v>762</v>
      </c>
      <c r="I75" s="12" t="s">
        <v>586</v>
      </c>
      <c r="J75" s="12" t="s">
        <v>917</v>
      </c>
      <c r="K75" s="12" t="s">
        <v>918</v>
      </c>
      <c r="L75" s="12" t="s">
        <v>769</v>
      </c>
      <c r="M75" s="12" t="s">
        <v>1180</v>
      </c>
      <c r="N75" s="12" t="s">
        <v>681</v>
      </c>
      <c r="O75" s="12" t="s">
        <v>1732</v>
      </c>
      <c r="P75" s="12" t="s">
        <v>1500</v>
      </c>
      <c r="Q75" s="12" t="s">
        <v>773</v>
      </c>
      <c r="R75" s="12" t="s">
        <v>2014</v>
      </c>
      <c r="S75" s="12" t="s">
        <v>981</v>
      </c>
      <c r="T75" s="12" t="s">
        <v>1516</v>
      </c>
      <c r="U75" s="12" t="s">
        <v>921</v>
      </c>
      <c r="V75" s="12" t="s">
        <v>984</v>
      </c>
      <c r="W75" s="12" t="s">
        <v>1887</v>
      </c>
      <c r="X75" s="12" t="s">
        <v>2028</v>
      </c>
      <c r="Y75" s="12" t="s">
        <v>1570</v>
      </c>
      <c r="Z75" s="12" t="s">
        <v>2029</v>
      </c>
      <c r="AA75" s="12" t="s">
        <v>994</v>
      </c>
      <c r="AB75" s="12" t="s">
        <v>685</v>
      </c>
      <c r="AC75" s="12" t="s">
        <v>1507</v>
      </c>
      <c r="AD75" s="12" t="s">
        <v>1517</v>
      </c>
      <c r="AE75" s="12" t="s">
        <v>2000</v>
      </c>
      <c r="AF75" s="12" t="s">
        <v>2000</v>
      </c>
      <c r="AG75" s="12" t="s">
        <v>1363</v>
      </c>
      <c r="AH75" s="12" t="s">
        <v>1816</v>
      </c>
      <c r="AI75" s="12" t="s">
        <v>1816</v>
      </c>
      <c r="AJ75" s="12" t="s">
        <v>1816</v>
      </c>
      <c r="AK75" s="12" t="s">
        <v>1816</v>
      </c>
      <c r="AL75" s="12" t="s">
        <v>1816</v>
      </c>
      <c r="AM75" s="12" t="s">
        <v>1816</v>
      </c>
      <c r="AN75" s="12" t="s">
        <v>1816</v>
      </c>
      <c r="AO75" s="12" t="s">
        <v>1816</v>
      </c>
      <c r="AP75" s="12" t="s">
        <v>1816</v>
      </c>
      <c r="AQ75" s="12" t="s">
        <v>1816</v>
      </c>
      <c r="AR75" s="12" t="s">
        <v>1816</v>
      </c>
      <c r="AS75" s="12" t="s">
        <v>1816</v>
      </c>
      <c r="AT75" s="12" t="s">
        <v>1816</v>
      </c>
      <c r="AU75" s="12" t="s">
        <v>1816</v>
      </c>
      <c r="AV75" s="12" t="s">
        <v>1816</v>
      </c>
      <c r="AW75" s="12" t="s">
        <v>1816</v>
      </c>
      <c r="AX75" s="12" t="s">
        <v>1816</v>
      </c>
      <c r="AY75" s="12" t="s">
        <v>1816</v>
      </c>
      <c r="AZ75" s="12" t="s">
        <v>1816</v>
      </c>
      <c r="BA75" s="12" t="s">
        <v>1816</v>
      </c>
      <c r="BB75" s="12" t="s">
        <v>1816</v>
      </c>
      <c r="BC75" s="12" t="s">
        <v>1816</v>
      </c>
      <c r="BD75" s="12" t="s">
        <v>1816</v>
      </c>
      <c r="BE75" s="12" t="s">
        <v>1816</v>
      </c>
      <c r="BF75" s="12" t="s">
        <v>1816</v>
      </c>
      <c r="BG75" s="12" t="s">
        <v>1816</v>
      </c>
      <c r="BH75" s="12" t="s">
        <v>1049</v>
      </c>
      <c r="BI75" s="12" t="s">
        <v>1049</v>
      </c>
      <c r="BJ75" s="12" t="s">
        <v>1049</v>
      </c>
      <c r="BK75" s="12" t="s">
        <v>1510</v>
      </c>
      <c r="BL75" s="12" t="s">
        <v>2030</v>
      </c>
      <c r="BM75" s="12" t="s">
        <v>2030</v>
      </c>
      <c r="BN75" s="12" t="s">
        <v>2030</v>
      </c>
      <c r="BO75" s="12" t="s">
        <v>816</v>
      </c>
      <c r="BP75" s="12" t="s">
        <v>1490</v>
      </c>
      <c r="BQ75" s="12" t="s">
        <v>1491</v>
      </c>
      <c r="BR75" s="12" t="s">
        <v>1491</v>
      </c>
      <c r="BS75" s="12" t="s">
        <v>1491</v>
      </c>
      <c r="BT75" s="12" t="s">
        <v>1491</v>
      </c>
      <c r="BU75" s="12" t="s">
        <v>1491</v>
      </c>
      <c r="BV75" s="12" t="s">
        <v>1491</v>
      </c>
      <c r="BW75" s="12" t="s">
        <v>1493</v>
      </c>
      <c r="BX75" s="12" t="s">
        <v>1493</v>
      </c>
      <c r="BY75" s="12" t="s">
        <v>1493</v>
      </c>
      <c r="BZ75" s="12" t="s">
        <v>1128</v>
      </c>
      <c r="CA75" s="12" t="s">
        <v>1128</v>
      </c>
      <c r="CB75" s="12" t="s">
        <v>1128</v>
      </c>
      <c r="CC75" s="12" t="s">
        <v>1128</v>
      </c>
      <c r="CD75" s="12" t="s">
        <v>1128</v>
      </c>
      <c r="CE75" s="12" t="s">
        <v>1128</v>
      </c>
      <c r="CF75" s="12" t="s">
        <v>1128</v>
      </c>
      <c r="CG75" s="12" t="s">
        <v>1128</v>
      </c>
      <c r="CH75" s="12" t="s">
        <v>1128</v>
      </c>
      <c r="CI75" s="12" t="s">
        <v>1128</v>
      </c>
      <c r="CJ75" s="12" t="s">
        <v>1128</v>
      </c>
      <c r="CK75" s="12" t="s">
        <v>1128</v>
      </c>
      <c r="CL75" s="12" t="s">
        <v>1128</v>
      </c>
      <c r="CM75" s="12" t="s">
        <v>1128</v>
      </c>
      <c r="CN75" s="12" t="s">
        <v>1128</v>
      </c>
      <c r="CO75" s="12" t="s">
        <v>1128</v>
      </c>
      <c r="CP75" s="12" t="s">
        <v>1128</v>
      </c>
      <c r="CQ75" s="12" t="s">
        <v>646</v>
      </c>
      <c r="CR75" s="12" t="s">
        <v>1737</v>
      </c>
      <c r="CS75" s="12" t="s">
        <v>1737</v>
      </c>
      <c r="CT75" s="12" t="s">
        <v>2001</v>
      </c>
    </row>
    <row r="76" spans="1:98" hidden="1" x14ac:dyDescent="0.3">
      <c r="A76" s="12" t="s">
        <v>2031</v>
      </c>
      <c r="B76" s="12" t="s">
        <v>1661</v>
      </c>
      <c r="C76" s="12" t="s">
        <v>2032</v>
      </c>
      <c r="D76" s="12" t="s">
        <v>2033</v>
      </c>
      <c r="E76" s="12" t="s">
        <v>623</v>
      </c>
      <c r="F76" s="12" t="s">
        <v>851</v>
      </c>
      <c r="G76" s="12" t="s">
        <v>762</v>
      </c>
      <c r="H76" s="12" t="s">
        <v>913</v>
      </c>
      <c r="I76" s="12" t="s">
        <v>918</v>
      </c>
      <c r="J76" s="12" t="s">
        <v>720</v>
      </c>
      <c r="K76" s="12" t="s">
        <v>1125</v>
      </c>
      <c r="L76" s="12" t="s">
        <v>2034</v>
      </c>
      <c r="M76" s="12" t="s">
        <v>774</v>
      </c>
      <c r="N76" s="12" t="s">
        <v>921</v>
      </c>
      <c r="O76" s="12" t="s">
        <v>1604</v>
      </c>
      <c r="P76" s="12" t="s">
        <v>685</v>
      </c>
      <c r="Q76" s="12" t="s">
        <v>645</v>
      </c>
      <c r="R76" s="12" t="s">
        <v>1265</v>
      </c>
      <c r="S76" s="12" t="s">
        <v>876</v>
      </c>
      <c r="T76" s="12" t="s">
        <v>2035</v>
      </c>
      <c r="U76" s="12" t="s">
        <v>1889</v>
      </c>
      <c r="V76" s="12" t="s">
        <v>654</v>
      </c>
      <c r="W76" s="12" t="s">
        <v>603</v>
      </c>
      <c r="X76" s="12" t="s">
        <v>735</v>
      </c>
      <c r="Y76" s="12" t="s">
        <v>2036</v>
      </c>
      <c r="Z76" s="12" t="s">
        <v>1400</v>
      </c>
      <c r="AA76" s="12" t="s">
        <v>1425</v>
      </c>
      <c r="AB76" s="12" t="s">
        <v>2037</v>
      </c>
      <c r="AC76" s="12" t="s">
        <v>823</v>
      </c>
      <c r="AD76" s="12" t="s">
        <v>1626</v>
      </c>
      <c r="AE76" s="12" t="s">
        <v>1040</v>
      </c>
      <c r="AF76" s="12" t="s">
        <v>1983</v>
      </c>
      <c r="AG76" s="12" t="s">
        <v>1041</v>
      </c>
      <c r="AH76" s="12" t="s">
        <v>1042</v>
      </c>
      <c r="AI76" s="12" t="s">
        <v>2038</v>
      </c>
      <c r="AJ76" s="12" t="s">
        <v>2039</v>
      </c>
      <c r="AK76" s="12" t="s">
        <v>1440</v>
      </c>
      <c r="AL76" s="12" t="s">
        <v>2040</v>
      </c>
      <c r="AM76" s="12" t="s">
        <v>1141</v>
      </c>
      <c r="AN76" s="12" t="s">
        <v>1141</v>
      </c>
      <c r="AO76" s="12" t="s">
        <v>1141</v>
      </c>
      <c r="AP76" s="12" t="s">
        <v>1141</v>
      </c>
      <c r="AQ76" s="12" t="s">
        <v>1141</v>
      </c>
      <c r="AR76" s="12" t="s">
        <v>2041</v>
      </c>
      <c r="AS76" s="12" t="s">
        <v>2041</v>
      </c>
      <c r="AT76" s="12" t="s">
        <v>2041</v>
      </c>
      <c r="AU76" s="12" t="s">
        <v>2041</v>
      </c>
      <c r="AV76" s="12" t="s">
        <v>2041</v>
      </c>
      <c r="AW76" s="12" t="s">
        <v>2041</v>
      </c>
      <c r="AX76" s="12" t="s">
        <v>2041</v>
      </c>
      <c r="AY76" s="12" t="s">
        <v>2041</v>
      </c>
      <c r="AZ76" s="12" t="s">
        <v>2041</v>
      </c>
      <c r="BA76" s="12" t="s">
        <v>2041</v>
      </c>
      <c r="BB76" s="12" t="s">
        <v>2042</v>
      </c>
      <c r="BC76" s="12" t="s">
        <v>2042</v>
      </c>
      <c r="BD76" s="12" t="s">
        <v>2042</v>
      </c>
      <c r="BE76" s="12" t="s">
        <v>2042</v>
      </c>
      <c r="BF76" s="12" t="s">
        <v>2042</v>
      </c>
      <c r="BG76" s="12" t="s">
        <v>2042</v>
      </c>
      <c r="BH76" s="12" t="s">
        <v>1906</v>
      </c>
      <c r="BI76" s="12" t="s">
        <v>1906</v>
      </c>
      <c r="BJ76" s="12" t="s">
        <v>1906</v>
      </c>
      <c r="BK76" s="12" t="s">
        <v>2043</v>
      </c>
      <c r="BL76" s="12" t="s">
        <v>1289</v>
      </c>
      <c r="BM76" s="12" t="s">
        <v>2044</v>
      </c>
      <c r="BN76" s="12" t="s">
        <v>2045</v>
      </c>
      <c r="BO76" s="12" t="s">
        <v>2045</v>
      </c>
      <c r="BP76" s="12" t="s">
        <v>999</v>
      </c>
      <c r="BQ76" s="12" t="s">
        <v>2004</v>
      </c>
      <c r="BR76" s="12" t="s">
        <v>1526</v>
      </c>
      <c r="BS76" s="12" t="s">
        <v>1526</v>
      </c>
      <c r="BT76" s="12" t="s">
        <v>1526</v>
      </c>
      <c r="BU76" s="12" t="s">
        <v>2046</v>
      </c>
      <c r="BV76" s="12" t="s">
        <v>2047</v>
      </c>
      <c r="BW76" s="12" t="s">
        <v>2047</v>
      </c>
      <c r="BX76" s="12" t="s">
        <v>2048</v>
      </c>
      <c r="BY76" s="12" t="s">
        <v>2049</v>
      </c>
      <c r="BZ76" s="12" t="s">
        <v>2049</v>
      </c>
      <c r="CA76" s="12" t="s">
        <v>1672</v>
      </c>
      <c r="CB76" s="12" t="s">
        <v>2050</v>
      </c>
      <c r="CC76" s="12" t="s">
        <v>931</v>
      </c>
      <c r="CD76" s="12" t="s">
        <v>2051</v>
      </c>
      <c r="CE76" s="12" t="s">
        <v>2051</v>
      </c>
      <c r="CF76" s="12" t="s">
        <v>2051</v>
      </c>
      <c r="CG76" s="12" t="s">
        <v>610</v>
      </c>
      <c r="CH76" s="12" t="s">
        <v>610</v>
      </c>
      <c r="CI76" s="12" t="s">
        <v>610</v>
      </c>
      <c r="CJ76" s="12" t="s">
        <v>610</v>
      </c>
      <c r="CK76" s="12" t="s">
        <v>610</v>
      </c>
      <c r="CL76" s="12" t="s">
        <v>610</v>
      </c>
      <c r="CM76" s="12" t="s">
        <v>2052</v>
      </c>
      <c r="CN76" s="12" t="s">
        <v>2052</v>
      </c>
      <c r="CO76" s="12" t="s">
        <v>2052</v>
      </c>
      <c r="CP76" s="12" t="s">
        <v>2052</v>
      </c>
      <c r="CQ76" s="12" t="s">
        <v>2052</v>
      </c>
      <c r="CR76" s="12" t="s">
        <v>2052</v>
      </c>
      <c r="CS76" s="12" t="s">
        <v>2052</v>
      </c>
      <c r="CT76" s="12" t="s">
        <v>2052</v>
      </c>
    </row>
    <row r="77" spans="1:98" hidden="1" x14ac:dyDescent="0.3">
      <c r="A77" s="12" t="s">
        <v>2053</v>
      </c>
      <c r="B77" s="12" t="s">
        <v>1661</v>
      </c>
      <c r="C77" s="12" t="s">
        <v>2054</v>
      </c>
      <c r="D77" s="12" t="s">
        <v>2055</v>
      </c>
      <c r="E77" s="12" t="s">
        <v>761</v>
      </c>
      <c r="F77" s="12" t="s">
        <v>584</v>
      </c>
      <c r="G77" s="12" t="s">
        <v>675</v>
      </c>
      <c r="H77" s="12" t="s">
        <v>627</v>
      </c>
      <c r="I77" s="12" t="s">
        <v>588</v>
      </c>
      <c r="J77" s="12" t="s">
        <v>719</v>
      </c>
      <c r="K77" s="12" t="s">
        <v>973</v>
      </c>
      <c r="L77" s="12" t="s">
        <v>859</v>
      </c>
      <c r="M77" s="12" t="s">
        <v>872</v>
      </c>
      <c r="N77" s="12" t="s">
        <v>1356</v>
      </c>
      <c r="O77" s="12" t="s">
        <v>982</v>
      </c>
      <c r="P77" s="12" t="s">
        <v>1048</v>
      </c>
      <c r="Q77" s="12" t="s">
        <v>1488</v>
      </c>
      <c r="R77" s="12" t="s">
        <v>1570</v>
      </c>
      <c r="S77" s="12" t="s">
        <v>644</v>
      </c>
      <c r="T77" s="12" t="s">
        <v>956</v>
      </c>
      <c r="U77" s="12" t="s">
        <v>646</v>
      </c>
      <c r="V77" s="12" t="s">
        <v>2001</v>
      </c>
      <c r="W77" s="12" t="s">
        <v>1364</v>
      </c>
      <c r="X77" s="12" t="s">
        <v>599</v>
      </c>
      <c r="Y77" s="12" t="s">
        <v>1741</v>
      </c>
      <c r="Z77" s="12" t="s">
        <v>1029</v>
      </c>
      <c r="AA77" s="12" t="s">
        <v>1609</v>
      </c>
      <c r="AB77" s="12" t="s">
        <v>1396</v>
      </c>
      <c r="AC77" s="12" t="s">
        <v>1612</v>
      </c>
      <c r="AD77" s="12" t="s">
        <v>1743</v>
      </c>
      <c r="AE77" s="12" t="s">
        <v>648</v>
      </c>
      <c r="AF77" s="12" t="s">
        <v>648</v>
      </c>
      <c r="AG77" s="12" t="s">
        <v>648</v>
      </c>
      <c r="AH77" s="12" t="s">
        <v>729</v>
      </c>
      <c r="AI77" s="12" t="s">
        <v>729</v>
      </c>
      <c r="AJ77" s="12" t="s">
        <v>2056</v>
      </c>
      <c r="AK77" s="12" t="s">
        <v>2056</v>
      </c>
      <c r="AL77" s="12" t="s">
        <v>2056</v>
      </c>
      <c r="AM77" s="12" t="s">
        <v>2057</v>
      </c>
      <c r="AN77" s="12" t="s">
        <v>959</v>
      </c>
      <c r="AO77" s="12" t="s">
        <v>959</v>
      </c>
      <c r="AP77" s="12" t="s">
        <v>959</v>
      </c>
      <c r="AQ77" s="12" t="s">
        <v>959</v>
      </c>
      <c r="AR77" s="12" t="s">
        <v>959</v>
      </c>
      <c r="AS77" s="12" t="s">
        <v>959</v>
      </c>
      <c r="AT77" s="12" t="s">
        <v>1744</v>
      </c>
      <c r="AU77" s="12" t="s">
        <v>1744</v>
      </c>
      <c r="AV77" s="12" t="s">
        <v>2058</v>
      </c>
      <c r="AW77" s="12" t="s">
        <v>1519</v>
      </c>
      <c r="AX77" s="12" t="s">
        <v>1519</v>
      </c>
      <c r="AY77" s="12" t="s">
        <v>1519</v>
      </c>
      <c r="AZ77" s="12" t="s">
        <v>1519</v>
      </c>
      <c r="BA77" s="12" t="s">
        <v>2059</v>
      </c>
      <c r="BB77" s="12" t="s">
        <v>2059</v>
      </c>
      <c r="BC77" s="12" t="s">
        <v>2059</v>
      </c>
      <c r="BD77" s="12" t="s">
        <v>1366</v>
      </c>
      <c r="BE77" s="12" t="s">
        <v>877</v>
      </c>
      <c r="BF77" s="12" t="s">
        <v>877</v>
      </c>
      <c r="BG77" s="12" t="s">
        <v>995</v>
      </c>
      <c r="BH77" s="12" t="s">
        <v>1438</v>
      </c>
      <c r="BI77" s="12" t="s">
        <v>649</v>
      </c>
      <c r="BJ77" s="12" t="s">
        <v>2060</v>
      </c>
      <c r="BK77" s="12" t="s">
        <v>2061</v>
      </c>
      <c r="BL77" s="12" t="s">
        <v>1691</v>
      </c>
      <c r="BM77" s="12" t="s">
        <v>2062</v>
      </c>
      <c r="BN77" s="12" t="s">
        <v>2062</v>
      </c>
      <c r="BO77" s="12" t="s">
        <v>1399</v>
      </c>
      <c r="BP77" s="12" t="s">
        <v>655</v>
      </c>
      <c r="BQ77" s="12" t="s">
        <v>2063</v>
      </c>
      <c r="BR77" s="12" t="s">
        <v>1720</v>
      </c>
      <c r="BS77" s="12" t="s">
        <v>1370</v>
      </c>
      <c r="BT77" s="12" t="s">
        <v>1982</v>
      </c>
      <c r="BU77" s="12" t="s">
        <v>2064</v>
      </c>
      <c r="BV77" s="12" t="s">
        <v>1425</v>
      </c>
      <c r="BW77" s="12" t="s">
        <v>2065</v>
      </c>
      <c r="BX77" s="12" t="s">
        <v>1704</v>
      </c>
      <c r="BY77" s="12" t="s">
        <v>2066</v>
      </c>
      <c r="BZ77" s="12" t="s">
        <v>1722</v>
      </c>
      <c r="CA77" s="12" t="s">
        <v>1372</v>
      </c>
      <c r="CB77" s="12" t="s">
        <v>2067</v>
      </c>
      <c r="CC77" s="12" t="s">
        <v>2068</v>
      </c>
      <c r="CD77" s="12" t="s">
        <v>1983</v>
      </c>
      <c r="CE77" s="12" t="s">
        <v>2069</v>
      </c>
      <c r="CF77" s="12" t="s">
        <v>606</v>
      </c>
      <c r="CG77" s="12" t="s">
        <v>606</v>
      </c>
      <c r="CH77" s="12" t="s">
        <v>607</v>
      </c>
      <c r="CI77" s="12" t="s">
        <v>1376</v>
      </c>
      <c r="CJ77" s="12" t="s">
        <v>1376</v>
      </c>
      <c r="CK77" s="12" t="s">
        <v>2070</v>
      </c>
      <c r="CL77" s="12" t="s">
        <v>1571</v>
      </c>
      <c r="CM77" s="12" t="s">
        <v>1571</v>
      </c>
      <c r="CN77" s="12" t="s">
        <v>1571</v>
      </c>
      <c r="CO77" s="12" t="s">
        <v>1377</v>
      </c>
      <c r="CP77" s="12" t="s">
        <v>742</v>
      </c>
      <c r="CQ77" s="12" t="s">
        <v>742</v>
      </c>
      <c r="CR77" s="12" t="s">
        <v>2071</v>
      </c>
      <c r="CS77" s="12" t="s">
        <v>1100</v>
      </c>
      <c r="CT77" s="12" t="s">
        <v>1100</v>
      </c>
    </row>
    <row r="78" spans="1:98" hidden="1" x14ac:dyDescent="0.3">
      <c r="A78" s="12" t="s">
        <v>2072</v>
      </c>
      <c r="B78" s="12" t="s">
        <v>1661</v>
      </c>
      <c r="C78" s="12" t="s">
        <v>2073</v>
      </c>
      <c r="D78" s="12" t="s">
        <v>2074</v>
      </c>
      <c r="E78" s="12" t="s">
        <v>579</v>
      </c>
      <c r="F78" s="12" t="s">
        <v>579</v>
      </c>
      <c r="G78" s="12" t="s">
        <v>579</v>
      </c>
      <c r="H78" s="12" t="s">
        <v>851</v>
      </c>
      <c r="I78" s="12" t="s">
        <v>761</v>
      </c>
      <c r="J78" s="12" t="s">
        <v>868</v>
      </c>
      <c r="K78" s="12" t="s">
        <v>913</v>
      </c>
      <c r="L78" s="12" t="s">
        <v>913</v>
      </c>
      <c r="M78" s="12" t="s">
        <v>917</v>
      </c>
      <c r="N78" s="12" t="s">
        <v>718</v>
      </c>
      <c r="O78" s="12" t="s">
        <v>972</v>
      </c>
      <c r="P78" s="12" t="s">
        <v>973</v>
      </c>
      <c r="Q78" s="12" t="s">
        <v>589</v>
      </c>
      <c r="R78" s="12" t="s">
        <v>1184</v>
      </c>
      <c r="S78" s="12" t="s">
        <v>1184</v>
      </c>
      <c r="T78" s="12" t="s">
        <v>859</v>
      </c>
      <c r="U78" s="12" t="s">
        <v>637</v>
      </c>
      <c r="V78" s="12" t="s">
        <v>811</v>
      </c>
      <c r="W78" s="12" t="s">
        <v>1418</v>
      </c>
      <c r="X78" s="12" t="s">
        <v>1418</v>
      </c>
      <c r="Y78" s="12" t="s">
        <v>1750</v>
      </c>
      <c r="Z78" s="12" t="s">
        <v>1276</v>
      </c>
      <c r="AA78" s="12" t="s">
        <v>1276</v>
      </c>
      <c r="AB78" s="12" t="s">
        <v>1354</v>
      </c>
      <c r="AC78" s="12" t="s">
        <v>773</v>
      </c>
      <c r="AD78" s="12" t="s">
        <v>1355</v>
      </c>
      <c r="AE78" s="12" t="s">
        <v>2034</v>
      </c>
      <c r="AF78" s="12" t="s">
        <v>1047</v>
      </c>
      <c r="AG78" s="12" t="s">
        <v>1047</v>
      </c>
      <c r="AH78" s="12" t="s">
        <v>1261</v>
      </c>
      <c r="AI78" s="12" t="s">
        <v>1261</v>
      </c>
      <c r="AJ78" s="12" t="s">
        <v>1261</v>
      </c>
      <c r="AK78" s="12" t="s">
        <v>1261</v>
      </c>
      <c r="AL78" s="12" t="s">
        <v>723</v>
      </c>
      <c r="AM78" s="12" t="s">
        <v>723</v>
      </c>
      <c r="AN78" s="12" t="s">
        <v>723</v>
      </c>
      <c r="AO78" s="12" t="s">
        <v>723</v>
      </c>
      <c r="AP78" s="12" t="s">
        <v>723</v>
      </c>
      <c r="AQ78" s="12" t="s">
        <v>723</v>
      </c>
      <c r="AR78" s="12" t="s">
        <v>723</v>
      </c>
      <c r="AS78" s="12" t="s">
        <v>723</v>
      </c>
      <c r="AT78" s="12" t="s">
        <v>723</v>
      </c>
      <c r="AU78" s="12" t="s">
        <v>723</v>
      </c>
      <c r="AV78" s="12" t="s">
        <v>723</v>
      </c>
      <c r="AW78" s="12" t="s">
        <v>723</v>
      </c>
      <c r="AX78" s="12" t="s">
        <v>723</v>
      </c>
      <c r="AY78" s="12" t="s">
        <v>723</v>
      </c>
      <c r="AZ78" s="12" t="s">
        <v>723</v>
      </c>
      <c r="BA78" s="12" t="s">
        <v>723</v>
      </c>
      <c r="BB78" s="12" t="s">
        <v>723</v>
      </c>
      <c r="BC78" s="12" t="s">
        <v>723</v>
      </c>
      <c r="BD78" s="12" t="s">
        <v>723</v>
      </c>
      <c r="BE78" s="12" t="s">
        <v>723</v>
      </c>
      <c r="BF78" s="12" t="s">
        <v>723</v>
      </c>
      <c r="BG78" s="12" t="s">
        <v>723</v>
      </c>
      <c r="BH78" s="12" t="s">
        <v>723</v>
      </c>
      <c r="BI78" s="12" t="s">
        <v>723</v>
      </c>
      <c r="BJ78" s="12" t="s">
        <v>723</v>
      </c>
      <c r="BK78" s="12" t="s">
        <v>723</v>
      </c>
      <c r="BL78" s="12" t="s">
        <v>723</v>
      </c>
      <c r="BM78" s="12" t="s">
        <v>723</v>
      </c>
      <c r="BN78" s="12" t="s">
        <v>873</v>
      </c>
      <c r="BO78" s="12" t="s">
        <v>873</v>
      </c>
      <c r="BP78" s="12" t="s">
        <v>873</v>
      </c>
      <c r="BQ78" s="12" t="s">
        <v>1356</v>
      </c>
      <c r="BR78" s="12" t="s">
        <v>1356</v>
      </c>
      <c r="BS78" s="12" t="s">
        <v>1356</v>
      </c>
      <c r="BT78" s="12" t="s">
        <v>812</v>
      </c>
      <c r="BU78" s="12" t="s">
        <v>812</v>
      </c>
      <c r="BV78" s="12" t="s">
        <v>812</v>
      </c>
      <c r="BW78" s="12" t="s">
        <v>1357</v>
      </c>
      <c r="BX78" s="12" t="s">
        <v>1357</v>
      </c>
      <c r="BY78" s="12" t="s">
        <v>1357</v>
      </c>
      <c r="BZ78" s="12" t="s">
        <v>1357</v>
      </c>
      <c r="CA78" s="12" t="s">
        <v>1358</v>
      </c>
      <c r="CB78" s="12" t="s">
        <v>1358</v>
      </c>
      <c r="CC78" s="12" t="s">
        <v>1358</v>
      </c>
      <c r="CD78" s="12" t="s">
        <v>1186</v>
      </c>
      <c r="CE78" s="12" t="s">
        <v>1277</v>
      </c>
      <c r="CF78" s="12" t="s">
        <v>1686</v>
      </c>
      <c r="CG78" s="12" t="s">
        <v>1815</v>
      </c>
      <c r="CH78" s="12" t="s">
        <v>1815</v>
      </c>
      <c r="CI78" s="12" t="s">
        <v>1516</v>
      </c>
      <c r="CJ78" s="12" t="s">
        <v>1516</v>
      </c>
      <c r="CK78" s="12" t="s">
        <v>640</v>
      </c>
      <c r="CL78" s="12" t="s">
        <v>814</v>
      </c>
      <c r="CM78" s="12" t="s">
        <v>641</v>
      </c>
      <c r="CN78" s="12" t="s">
        <v>641</v>
      </c>
      <c r="CO78" s="12" t="s">
        <v>641</v>
      </c>
      <c r="CP78" s="12" t="s">
        <v>641</v>
      </c>
      <c r="CQ78" s="12" t="s">
        <v>641</v>
      </c>
      <c r="CR78" s="12" t="s">
        <v>641</v>
      </c>
      <c r="CS78" s="12" t="s">
        <v>641</v>
      </c>
      <c r="CT78" s="12" t="s">
        <v>641</v>
      </c>
    </row>
    <row r="79" spans="1:98" hidden="1" x14ac:dyDescent="0.3">
      <c r="A79" s="12" t="s">
        <v>2075</v>
      </c>
      <c r="B79" s="12" t="s">
        <v>1661</v>
      </c>
      <c r="C79" s="12" t="s">
        <v>2076</v>
      </c>
      <c r="D79" s="12" t="s">
        <v>2077</v>
      </c>
      <c r="E79" s="12" t="s">
        <v>581</v>
      </c>
      <c r="F79" s="12" t="s">
        <v>755</v>
      </c>
      <c r="G79" s="12" t="s">
        <v>762</v>
      </c>
      <c r="H79" s="12" t="s">
        <v>869</v>
      </c>
      <c r="I79" s="12" t="s">
        <v>1096</v>
      </c>
      <c r="J79" s="12" t="s">
        <v>974</v>
      </c>
      <c r="K79" s="12" t="s">
        <v>682</v>
      </c>
      <c r="L79" s="12" t="s">
        <v>1499</v>
      </c>
      <c r="M79" s="12" t="s">
        <v>2014</v>
      </c>
      <c r="N79" s="12" t="s">
        <v>1531</v>
      </c>
      <c r="O79" s="12" t="s">
        <v>987</v>
      </c>
      <c r="P79" s="12" t="s">
        <v>1027</v>
      </c>
      <c r="Q79" s="12" t="s">
        <v>1492</v>
      </c>
      <c r="R79" s="12" t="s">
        <v>1394</v>
      </c>
      <c r="S79" s="12" t="s">
        <v>776</v>
      </c>
      <c r="T79" s="12" t="s">
        <v>1311</v>
      </c>
      <c r="U79" s="12" t="s">
        <v>2059</v>
      </c>
      <c r="V79" s="12" t="s">
        <v>1030</v>
      </c>
      <c r="W79" s="12" t="s">
        <v>1889</v>
      </c>
      <c r="X79" s="12" t="s">
        <v>2078</v>
      </c>
      <c r="Y79" s="12" t="s">
        <v>2079</v>
      </c>
      <c r="Z79" s="12" t="s">
        <v>878</v>
      </c>
      <c r="AA79" s="12" t="s">
        <v>2063</v>
      </c>
      <c r="AB79" s="12" t="s">
        <v>1963</v>
      </c>
      <c r="AC79" s="12" t="s">
        <v>1844</v>
      </c>
      <c r="AD79" s="12" t="s">
        <v>1034</v>
      </c>
      <c r="AE79" s="12" t="s">
        <v>1035</v>
      </c>
      <c r="AF79" s="12" t="s">
        <v>2080</v>
      </c>
      <c r="AG79" s="12" t="s">
        <v>1037</v>
      </c>
      <c r="AH79" s="12" t="s">
        <v>996</v>
      </c>
      <c r="AI79" s="12" t="s">
        <v>737</v>
      </c>
      <c r="AJ79" s="12" t="s">
        <v>2066</v>
      </c>
      <c r="AK79" s="12" t="s">
        <v>2066</v>
      </c>
      <c r="AL79" s="12" t="s">
        <v>1039</v>
      </c>
      <c r="AM79" s="12" t="s">
        <v>1722</v>
      </c>
      <c r="AN79" s="12" t="s">
        <v>1372</v>
      </c>
      <c r="AO79" s="12" t="s">
        <v>2081</v>
      </c>
      <c r="AP79" s="12" t="s">
        <v>2068</v>
      </c>
      <c r="AQ79" s="12" t="s">
        <v>2068</v>
      </c>
      <c r="AR79" s="12" t="s">
        <v>2068</v>
      </c>
      <c r="AS79" s="12" t="s">
        <v>2068</v>
      </c>
      <c r="AT79" s="12" t="s">
        <v>2068</v>
      </c>
      <c r="AU79" s="12" t="s">
        <v>2068</v>
      </c>
      <c r="AV79" s="12" t="s">
        <v>661</v>
      </c>
      <c r="AW79" s="12" t="s">
        <v>661</v>
      </c>
      <c r="AX79" s="12" t="s">
        <v>661</v>
      </c>
      <c r="AY79" s="12" t="s">
        <v>661</v>
      </c>
      <c r="AZ79" s="12" t="s">
        <v>661</v>
      </c>
      <c r="BA79" s="12" t="s">
        <v>661</v>
      </c>
      <c r="BB79" s="12" t="s">
        <v>661</v>
      </c>
      <c r="BC79" s="12" t="s">
        <v>661</v>
      </c>
      <c r="BD79" s="12" t="s">
        <v>661</v>
      </c>
      <c r="BE79" s="12" t="s">
        <v>661</v>
      </c>
      <c r="BF79" s="12" t="s">
        <v>661</v>
      </c>
      <c r="BG79" s="12" t="s">
        <v>661</v>
      </c>
      <c r="BH79" s="12" t="s">
        <v>2082</v>
      </c>
      <c r="BI79" s="12" t="s">
        <v>2082</v>
      </c>
      <c r="BJ79" s="12" t="s">
        <v>2082</v>
      </c>
      <c r="BK79" s="12" t="s">
        <v>1040</v>
      </c>
      <c r="BL79" s="12" t="s">
        <v>1402</v>
      </c>
      <c r="BM79" s="12" t="s">
        <v>1983</v>
      </c>
      <c r="BN79" s="12" t="s">
        <v>1983</v>
      </c>
      <c r="BO79" s="12" t="s">
        <v>738</v>
      </c>
      <c r="BP79" s="12" t="s">
        <v>2083</v>
      </c>
      <c r="BQ79" s="12" t="s">
        <v>2083</v>
      </c>
      <c r="BR79" s="12" t="s">
        <v>662</v>
      </c>
      <c r="BS79" s="12" t="s">
        <v>662</v>
      </c>
      <c r="BT79" s="12" t="s">
        <v>2084</v>
      </c>
      <c r="BU79" s="12" t="s">
        <v>2084</v>
      </c>
      <c r="BV79" s="12" t="s">
        <v>2084</v>
      </c>
      <c r="BW79" s="12" t="s">
        <v>2069</v>
      </c>
      <c r="BX79" s="12" t="s">
        <v>2085</v>
      </c>
      <c r="BY79" s="12" t="s">
        <v>606</v>
      </c>
      <c r="BZ79" s="12" t="s">
        <v>1403</v>
      </c>
      <c r="CA79" s="12" t="s">
        <v>1705</v>
      </c>
      <c r="CB79" s="12" t="s">
        <v>1211</v>
      </c>
      <c r="CC79" s="12" t="s">
        <v>1725</v>
      </c>
      <c r="CD79" s="12" t="s">
        <v>1725</v>
      </c>
      <c r="CE79" s="12" t="s">
        <v>1725</v>
      </c>
      <c r="CF79" s="12" t="s">
        <v>1725</v>
      </c>
      <c r="CG79" s="12" t="s">
        <v>1725</v>
      </c>
      <c r="CH79" s="12" t="s">
        <v>1725</v>
      </c>
      <c r="CI79" s="12" t="s">
        <v>1725</v>
      </c>
      <c r="CJ79" s="12" t="s">
        <v>1725</v>
      </c>
      <c r="CK79" s="12" t="s">
        <v>1725</v>
      </c>
      <c r="CL79" s="12" t="s">
        <v>1725</v>
      </c>
      <c r="CM79" s="12" t="s">
        <v>1725</v>
      </c>
      <c r="CN79" s="12" t="s">
        <v>1706</v>
      </c>
      <c r="CO79" s="12" t="s">
        <v>1706</v>
      </c>
      <c r="CP79" s="12" t="s">
        <v>1706</v>
      </c>
      <c r="CQ79" s="12" t="s">
        <v>1706</v>
      </c>
      <c r="CR79" s="12" t="s">
        <v>1706</v>
      </c>
      <c r="CS79" s="12" t="s">
        <v>1706</v>
      </c>
      <c r="CT79" s="12" t="s">
        <v>1706</v>
      </c>
    </row>
    <row r="80" spans="1:98" hidden="1" x14ac:dyDescent="0.3">
      <c r="A80" s="12" t="s">
        <v>2086</v>
      </c>
      <c r="B80" s="12" t="s">
        <v>1661</v>
      </c>
      <c r="C80" s="12" t="s">
        <v>2087</v>
      </c>
      <c r="D80" s="12" t="s">
        <v>2088</v>
      </c>
      <c r="E80" s="12" t="s">
        <v>580</v>
      </c>
      <c r="F80" s="12" t="s">
        <v>580</v>
      </c>
      <c r="G80" s="12" t="s">
        <v>755</v>
      </c>
      <c r="H80" s="12" t="s">
        <v>624</v>
      </c>
      <c r="I80" s="12" t="s">
        <v>756</v>
      </c>
      <c r="J80" s="12" t="s">
        <v>626</v>
      </c>
      <c r="K80" s="12" t="s">
        <v>587</v>
      </c>
      <c r="L80" s="12" t="s">
        <v>913</v>
      </c>
      <c r="M80" s="12" t="s">
        <v>766</v>
      </c>
      <c r="N80" s="12" t="s">
        <v>852</v>
      </c>
      <c r="O80" s="12" t="s">
        <v>1046</v>
      </c>
      <c r="P80" s="12" t="s">
        <v>678</v>
      </c>
      <c r="Q80" s="12" t="s">
        <v>680</v>
      </c>
      <c r="R80" s="12" t="s">
        <v>955</v>
      </c>
      <c r="S80" s="12" t="s">
        <v>974</v>
      </c>
      <c r="T80" s="12" t="s">
        <v>771</v>
      </c>
      <c r="U80" s="12" t="s">
        <v>1184</v>
      </c>
      <c r="V80" s="12" t="s">
        <v>721</v>
      </c>
      <c r="W80" s="12" t="s">
        <v>857</v>
      </c>
      <c r="X80" s="12" t="s">
        <v>1125</v>
      </c>
      <c r="Y80" s="12" t="s">
        <v>1664</v>
      </c>
      <c r="Z80" s="12" t="s">
        <v>872</v>
      </c>
      <c r="AA80" s="12" t="s">
        <v>1418</v>
      </c>
      <c r="AB80" s="12" t="s">
        <v>593</v>
      </c>
      <c r="AC80" s="12" t="s">
        <v>980</v>
      </c>
      <c r="AD80" s="12" t="s">
        <v>1750</v>
      </c>
      <c r="AE80" s="12" t="s">
        <v>1751</v>
      </c>
      <c r="AF80" s="12" t="s">
        <v>773</v>
      </c>
      <c r="AG80" s="12" t="s">
        <v>2034</v>
      </c>
      <c r="AH80" s="12" t="s">
        <v>1047</v>
      </c>
      <c r="AI80" s="12" t="s">
        <v>1261</v>
      </c>
      <c r="AJ80" s="12" t="s">
        <v>1356</v>
      </c>
      <c r="AK80" s="12" t="s">
        <v>1356</v>
      </c>
      <c r="AL80" s="12" t="s">
        <v>1356</v>
      </c>
      <c r="AM80" s="12" t="s">
        <v>1356</v>
      </c>
      <c r="AN80" s="12" t="s">
        <v>1356</v>
      </c>
      <c r="AO80" s="12" t="s">
        <v>812</v>
      </c>
      <c r="AP80" s="12" t="s">
        <v>812</v>
      </c>
      <c r="AQ80" s="12" t="s">
        <v>812</v>
      </c>
      <c r="AR80" s="12" t="s">
        <v>812</v>
      </c>
      <c r="AS80" s="12" t="s">
        <v>812</v>
      </c>
      <c r="AT80" s="12" t="s">
        <v>812</v>
      </c>
      <c r="AU80" s="12" t="s">
        <v>812</v>
      </c>
      <c r="AV80" s="12" t="s">
        <v>812</v>
      </c>
      <c r="AW80" s="12" t="s">
        <v>812</v>
      </c>
      <c r="AX80" s="12" t="s">
        <v>812</v>
      </c>
      <c r="AY80" s="12" t="s">
        <v>812</v>
      </c>
      <c r="AZ80" s="12" t="s">
        <v>812</v>
      </c>
      <c r="BA80" s="12" t="s">
        <v>812</v>
      </c>
      <c r="BB80" s="12" t="s">
        <v>812</v>
      </c>
      <c r="BC80" s="12" t="s">
        <v>812</v>
      </c>
      <c r="BD80" s="12" t="s">
        <v>812</v>
      </c>
      <c r="BE80" s="12" t="s">
        <v>812</v>
      </c>
      <c r="BF80" s="12" t="s">
        <v>812</v>
      </c>
      <c r="BG80" s="12" t="s">
        <v>812</v>
      </c>
      <c r="BH80" s="12" t="s">
        <v>812</v>
      </c>
      <c r="BI80" s="12" t="s">
        <v>812</v>
      </c>
      <c r="BJ80" s="12" t="s">
        <v>1357</v>
      </c>
      <c r="BK80" s="12" t="s">
        <v>1357</v>
      </c>
      <c r="BL80" s="12" t="s">
        <v>1357</v>
      </c>
      <c r="BM80" s="12" t="s">
        <v>1357</v>
      </c>
      <c r="BN80" s="12" t="s">
        <v>2013</v>
      </c>
      <c r="BO80" s="12" t="s">
        <v>1886</v>
      </c>
      <c r="BP80" s="12" t="s">
        <v>1886</v>
      </c>
      <c r="BQ80" s="12" t="s">
        <v>1309</v>
      </c>
      <c r="BR80" s="12" t="s">
        <v>1623</v>
      </c>
      <c r="BS80" s="12" t="s">
        <v>2089</v>
      </c>
      <c r="BT80" s="12" t="s">
        <v>1277</v>
      </c>
      <c r="BU80" s="12" t="s">
        <v>595</v>
      </c>
      <c r="BV80" s="12" t="s">
        <v>595</v>
      </c>
      <c r="BW80" s="12" t="s">
        <v>1278</v>
      </c>
      <c r="BX80" s="12" t="s">
        <v>1278</v>
      </c>
      <c r="BY80" s="12" t="s">
        <v>983</v>
      </c>
      <c r="BZ80" s="12" t="s">
        <v>983</v>
      </c>
      <c r="CA80" s="12" t="s">
        <v>983</v>
      </c>
      <c r="CB80" s="12" t="s">
        <v>983</v>
      </c>
      <c r="CC80" s="12" t="s">
        <v>983</v>
      </c>
      <c r="CD80" s="12" t="s">
        <v>983</v>
      </c>
      <c r="CE80" s="12" t="s">
        <v>1048</v>
      </c>
      <c r="CF80" s="12" t="s">
        <v>1263</v>
      </c>
      <c r="CG80" s="12" t="s">
        <v>1263</v>
      </c>
      <c r="CH80" s="12" t="s">
        <v>1263</v>
      </c>
      <c r="CI80" s="12" t="s">
        <v>921</v>
      </c>
      <c r="CJ80" s="12" t="s">
        <v>1532</v>
      </c>
      <c r="CK80" s="12" t="s">
        <v>1532</v>
      </c>
      <c r="CL80" s="12" t="s">
        <v>640</v>
      </c>
      <c r="CM80" s="12" t="s">
        <v>1976</v>
      </c>
      <c r="CN80" s="12" t="s">
        <v>1976</v>
      </c>
      <c r="CO80" s="12" t="s">
        <v>1976</v>
      </c>
      <c r="CP80" s="12" t="s">
        <v>1976</v>
      </c>
      <c r="CQ80" s="12" t="s">
        <v>1976</v>
      </c>
      <c r="CR80" s="12" t="s">
        <v>1976</v>
      </c>
      <c r="CS80" s="12" t="s">
        <v>1976</v>
      </c>
      <c r="CT80" s="12" t="s">
        <v>1838</v>
      </c>
    </row>
    <row r="81" spans="1:98" hidden="1" x14ac:dyDescent="0.3">
      <c r="A81" s="12" t="s">
        <v>2090</v>
      </c>
      <c r="B81" s="12" t="s">
        <v>1661</v>
      </c>
      <c r="C81" s="12" t="s">
        <v>2091</v>
      </c>
      <c r="D81" s="12" t="s">
        <v>2092</v>
      </c>
      <c r="E81" s="12" t="s">
        <v>578</v>
      </c>
      <c r="F81" s="12" t="s">
        <v>578</v>
      </c>
      <c r="G81" s="12" t="s">
        <v>578</v>
      </c>
      <c r="H81" s="12" t="s">
        <v>578</v>
      </c>
      <c r="I81" s="12" t="s">
        <v>578</v>
      </c>
      <c r="J81" s="12" t="s">
        <v>578</v>
      </c>
      <c r="K81" s="12" t="s">
        <v>578</v>
      </c>
      <c r="L81" s="12" t="s">
        <v>578</v>
      </c>
      <c r="M81" s="12" t="s">
        <v>579</v>
      </c>
      <c r="N81" s="12" t="s">
        <v>579</v>
      </c>
      <c r="O81" s="12" t="s">
        <v>579</v>
      </c>
      <c r="P81" s="12" t="s">
        <v>579</v>
      </c>
      <c r="Q81" s="12" t="s">
        <v>579</v>
      </c>
      <c r="R81" s="12" t="s">
        <v>579</v>
      </c>
      <c r="S81" s="12" t="s">
        <v>579</v>
      </c>
      <c r="T81" s="12" t="s">
        <v>579</v>
      </c>
      <c r="U81" s="12" t="s">
        <v>579</v>
      </c>
      <c r="V81" s="12" t="s">
        <v>579</v>
      </c>
      <c r="W81" s="12" t="s">
        <v>579</v>
      </c>
      <c r="X81" s="12" t="s">
        <v>579</v>
      </c>
      <c r="Y81" s="12" t="s">
        <v>579</v>
      </c>
      <c r="Z81" s="12" t="s">
        <v>579</v>
      </c>
      <c r="AA81" s="12" t="s">
        <v>579</v>
      </c>
      <c r="AB81" s="12" t="s">
        <v>579</v>
      </c>
      <c r="AC81" s="12" t="s">
        <v>579</v>
      </c>
      <c r="AD81" s="12" t="s">
        <v>579</v>
      </c>
      <c r="AE81" s="12" t="s">
        <v>579</v>
      </c>
      <c r="AF81" s="12" t="s">
        <v>579</v>
      </c>
      <c r="AG81" s="12" t="s">
        <v>579</v>
      </c>
      <c r="AH81" s="12" t="s">
        <v>579</v>
      </c>
      <c r="AI81" s="12" t="s">
        <v>579</v>
      </c>
      <c r="AJ81" s="12" t="s">
        <v>579</v>
      </c>
      <c r="AK81" s="12" t="s">
        <v>579</v>
      </c>
      <c r="AL81" s="12" t="s">
        <v>579</v>
      </c>
      <c r="AM81" s="12" t="s">
        <v>579</v>
      </c>
      <c r="AN81" s="12" t="s">
        <v>579</v>
      </c>
      <c r="AO81" s="12" t="s">
        <v>579</v>
      </c>
      <c r="AP81" s="12" t="s">
        <v>579</v>
      </c>
      <c r="AQ81" s="12" t="s">
        <v>579</v>
      </c>
      <c r="AR81" s="12" t="s">
        <v>579</v>
      </c>
      <c r="AS81" s="12" t="s">
        <v>579</v>
      </c>
      <c r="AT81" s="12" t="s">
        <v>579</v>
      </c>
      <c r="AU81" s="12" t="s">
        <v>579</v>
      </c>
      <c r="AV81" s="12" t="s">
        <v>579</v>
      </c>
      <c r="AW81" s="12" t="s">
        <v>579</v>
      </c>
      <c r="AX81" s="12" t="s">
        <v>579</v>
      </c>
      <c r="AY81" s="12" t="s">
        <v>579</v>
      </c>
      <c r="AZ81" s="12" t="s">
        <v>579</v>
      </c>
      <c r="BA81" s="12" t="s">
        <v>579</v>
      </c>
      <c r="BB81" s="12" t="s">
        <v>579</v>
      </c>
      <c r="BC81" s="12" t="s">
        <v>579</v>
      </c>
      <c r="BD81" s="12" t="s">
        <v>579</v>
      </c>
      <c r="BE81" s="12" t="s">
        <v>579</v>
      </c>
      <c r="BF81" s="12" t="s">
        <v>579</v>
      </c>
      <c r="BG81" s="12" t="s">
        <v>579</v>
      </c>
      <c r="BH81" s="12" t="s">
        <v>579</v>
      </c>
      <c r="BI81" s="12" t="s">
        <v>579</v>
      </c>
      <c r="BJ81" s="12" t="s">
        <v>579</v>
      </c>
      <c r="BK81" s="12" t="s">
        <v>579</v>
      </c>
      <c r="BL81" s="12" t="s">
        <v>579</v>
      </c>
      <c r="BM81" s="12" t="s">
        <v>579</v>
      </c>
      <c r="BN81" s="12" t="s">
        <v>579</v>
      </c>
      <c r="BO81" s="12" t="s">
        <v>579</v>
      </c>
      <c r="BP81" s="12" t="s">
        <v>579</v>
      </c>
      <c r="BQ81" s="12" t="s">
        <v>579</v>
      </c>
      <c r="BR81" s="12" t="s">
        <v>579</v>
      </c>
      <c r="BS81" s="12" t="s">
        <v>579</v>
      </c>
      <c r="BT81" s="12" t="s">
        <v>579</v>
      </c>
      <c r="BU81" s="12" t="s">
        <v>579</v>
      </c>
      <c r="BV81" s="12" t="s">
        <v>579</v>
      </c>
      <c r="BW81" s="12" t="s">
        <v>579</v>
      </c>
      <c r="BX81" s="12" t="s">
        <v>579</v>
      </c>
      <c r="BY81" s="12" t="s">
        <v>579</v>
      </c>
      <c r="BZ81" s="12" t="s">
        <v>579</v>
      </c>
      <c r="CA81" s="12" t="s">
        <v>579</v>
      </c>
      <c r="CB81" s="12" t="s">
        <v>579</v>
      </c>
      <c r="CC81" s="12" t="s">
        <v>579</v>
      </c>
      <c r="CD81" s="12" t="s">
        <v>579</v>
      </c>
      <c r="CE81" s="12" t="s">
        <v>579</v>
      </c>
      <c r="CF81" s="12" t="s">
        <v>579</v>
      </c>
      <c r="CG81" s="12" t="s">
        <v>579</v>
      </c>
      <c r="CH81" s="12" t="s">
        <v>579</v>
      </c>
      <c r="CI81" s="12" t="s">
        <v>579</v>
      </c>
      <c r="CJ81" s="12" t="s">
        <v>579</v>
      </c>
      <c r="CK81" s="12" t="s">
        <v>579</v>
      </c>
      <c r="CL81" s="12" t="s">
        <v>579</v>
      </c>
      <c r="CM81" s="12" t="s">
        <v>579</v>
      </c>
      <c r="CN81" s="12" t="s">
        <v>579</v>
      </c>
      <c r="CO81" s="12" t="s">
        <v>579</v>
      </c>
      <c r="CP81" s="12" t="s">
        <v>579</v>
      </c>
      <c r="CQ81" s="12" t="s">
        <v>579</v>
      </c>
      <c r="CR81" s="12" t="s">
        <v>579</v>
      </c>
      <c r="CS81" s="12" t="s">
        <v>579</v>
      </c>
      <c r="CT81" s="12" t="s">
        <v>579</v>
      </c>
    </row>
    <row r="82" spans="1:98" hidden="1" x14ac:dyDescent="0.3">
      <c r="A82" s="12" t="s">
        <v>2093</v>
      </c>
      <c r="B82" s="12" t="s">
        <v>1661</v>
      </c>
      <c r="C82" s="12" t="s">
        <v>2094</v>
      </c>
      <c r="D82" s="12" t="s">
        <v>2095</v>
      </c>
      <c r="E82" s="12" t="s">
        <v>578</v>
      </c>
      <c r="F82" s="12" t="s">
        <v>623</v>
      </c>
      <c r="G82" s="12" t="s">
        <v>623</v>
      </c>
      <c r="H82" s="12" t="s">
        <v>672</v>
      </c>
      <c r="I82" s="12" t="s">
        <v>580</v>
      </c>
      <c r="J82" s="12" t="s">
        <v>581</v>
      </c>
      <c r="K82" s="12" t="s">
        <v>624</v>
      </c>
      <c r="L82" s="12" t="s">
        <v>868</v>
      </c>
      <c r="M82" s="12" t="s">
        <v>756</v>
      </c>
      <c r="N82" s="12" t="s">
        <v>673</v>
      </c>
      <c r="O82" s="12" t="s">
        <v>808</v>
      </c>
      <c r="P82" s="12" t="s">
        <v>585</v>
      </c>
      <c r="Q82" s="12" t="s">
        <v>587</v>
      </c>
      <c r="R82" s="12" t="s">
        <v>953</v>
      </c>
      <c r="S82" s="12" t="s">
        <v>852</v>
      </c>
      <c r="T82" s="12" t="s">
        <v>971</v>
      </c>
      <c r="U82" s="12" t="s">
        <v>718</v>
      </c>
      <c r="V82" s="12" t="s">
        <v>629</v>
      </c>
      <c r="W82" s="12" t="s">
        <v>768</v>
      </c>
      <c r="X82" s="12" t="s">
        <v>991</v>
      </c>
      <c r="Y82" s="12" t="s">
        <v>631</v>
      </c>
      <c r="Z82" s="12" t="s">
        <v>632</v>
      </c>
      <c r="AA82" s="12" t="s">
        <v>1180</v>
      </c>
      <c r="AB82" s="12" t="s">
        <v>870</v>
      </c>
      <c r="AC82" s="12" t="s">
        <v>634</v>
      </c>
      <c r="AD82" s="12" t="s">
        <v>854</v>
      </c>
      <c r="AE82" s="12" t="s">
        <v>720</v>
      </c>
      <c r="AF82" s="12" t="s">
        <v>635</v>
      </c>
      <c r="AG82" s="12" t="s">
        <v>635</v>
      </c>
      <c r="AH82" s="12" t="s">
        <v>635</v>
      </c>
      <c r="AI82" s="12" t="s">
        <v>635</v>
      </c>
      <c r="AJ82" s="12" t="s">
        <v>635</v>
      </c>
      <c r="AK82" s="12" t="s">
        <v>635</v>
      </c>
      <c r="AL82" s="12" t="s">
        <v>635</v>
      </c>
      <c r="AM82" s="12" t="s">
        <v>635</v>
      </c>
      <c r="AN82" s="12" t="s">
        <v>635</v>
      </c>
      <c r="AO82" s="12" t="s">
        <v>635</v>
      </c>
      <c r="AP82" s="12" t="s">
        <v>635</v>
      </c>
      <c r="AQ82" s="12" t="s">
        <v>635</v>
      </c>
      <c r="AR82" s="12" t="s">
        <v>635</v>
      </c>
      <c r="AS82" s="12" t="s">
        <v>635</v>
      </c>
      <c r="AT82" s="12" t="s">
        <v>635</v>
      </c>
      <c r="AU82" s="12" t="s">
        <v>635</v>
      </c>
      <c r="AV82" s="12" t="s">
        <v>635</v>
      </c>
      <c r="AW82" s="12" t="s">
        <v>635</v>
      </c>
      <c r="AX82" s="12" t="s">
        <v>635</v>
      </c>
      <c r="AY82" s="12" t="s">
        <v>635</v>
      </c>
      <c r="AZ82" s="12" t="s">
        <v>635</v>
      </c>
      <c r="BA82" s="12" t="s">
        <v>635</v>
      </c>
      <c r="BB82" s="12" t="s">
        <v>635</v>
      </c>
      <c r="BC82" s="12" t="s">
        <v>635</v>
      </c>
      <c r="BD82" s="12" t="s">
        <v>635</v>
      </c>
      <c r="BE82" s="12" t="s">
        <v>635</v>
      </c>
      <c r="BF82" s="12" t="s">
        <v>635</v>
      </c>
      <c r="BG82" s="12" t="s">
        <v>635</v>
      </c>
      <c r="BH82" s="12" t="s">
        <v>635</v>
      </c>
      <c r="BI82" s="12" t="s">
        <v>635</v>
      </c>
      <c r="BJ82" s="12" t="s">
        <v>635</v>
      </c>
      <c r="BK82" s="12" t="s">
        <v>635</v>
      </c>
      <c r="BL82" s="12" t="s">
        <v>635</v>
      </c>
      <c r="BM82" s="12" t="s">
        <v>635</v>
      </c>
      <c r="BN82" s="12" t="s">
        <v>635</v>
      </c>
      <c r="BO82" s="12" t="s">
        <v>635</v>
      </c>
      <c r="BP82" s="12" t="s">
        <v>635</v>
      </c>
      <c r="BQ82" s="12" t="s">
        <v>635</v>
      </c>
      <c r="BR82" s="12" t="s">
        <v>635</v>
      </c>
      <c r="BS82" s="12" t="s">
        <v>635</v>
      </c>
      <c r="BT82" s="12" t="s">
        <v>635</v>
      </c>
      <c r="BU82" s="12" t="s">
        <v>635</v>
      </c>
      <c r="BV82" s="12" t="s">
        <v>635</v>
      </c>
      <c r="BW82" s="12" t="s">
        <v>635</v>
      </c>
      <c r="BX82" s="12" t="s">
        <v>635</v>
      </c>
      <c r="BY82" s="12" t="s">
        <v>635</v>
      </c>
      <c r="BZ82" s="12" t="s">
        <v>635</v>
      </c>
      <c r="CA82" s="12" t="s">
        <v>635</v>
      </c>
      <c r="CB82" s="12" t="s">
        <v>635</v>
      </c>
      <c r="CC82" s="12" t="s">
        <v>635</v>
      </c>
      <c r="CD82" s="12" t="s">
        <v>635</v>
      </c>
      <c r="CE82" s="12" t="s">
        <v>635</v>
      </c>
      <c r="CF82" s="12" t="s">
        <v>635</v>
      </c>
      <c r="CG82" s="12" t="s">
        <v>635</v>
      </c>
      <c r="CH82" s="12" t="s">
        <v>635</v>
      </c>
      <c r="CI82" s="12" t="s">
        <v>635</v>
      </c>
      <c r="CJ82" s="12" t="s">
        <v>635</v>
      </c>
      <c r="CK82" s="12" t="s">
        <v>635</v>
      </c>
      <c r="CL82" s="12" t="s">
        <v>635</v>
      </c>
      <c r="CM82" s="12" t="s">
        <v>635</v>
      </c>
      <c r="CN82" s="12" t="s">
        <v>635</v>
      </c>
      <c r="CO82" s="12" t="s">
        <v>635</v>
      </c>
      <c r="CP82" s="12" t="s">
        <v>635</v>
      </c>
      <c r="CQ82" s="12" t="s">
        <v>635</v>
      </c>
      <c r="CR82" s="12" t="s">
        <v>635</v>
      </c>
      <c r="CS82" s="12" t="s">
        <v>635</v>
      </c>
      <c r="CT82" s="12" t="s">
        <v>635</v>
      </c>
    </row>
    <row r="83" spans="1:98" hidden="1" x14ac:dyDescent="0.3">
      <c r="A83" s="12" t="s">
        <v>2096</v>
      </c>
      <c r="B83" s="12" t="s">
        <v>1661</v>
      </c>
      <c r="C83" s="12" t="s">
        <v>2097</v>
      </c>
      <c r="D83" s="12" t="s">
        <v>2098</v>
      </c>
      <c r="E83" s="12" t="s">
        <v>579</v>
      </c>
      <c r="F83" s="12" t="s">
        <v>623</v>
      </c>
      <c r="G83" s="12" t="s">
        <v>581</v>
      </c>
      <c r="H83" s="12" t="s">
        <v>583</v>
      </c>
      <c r="I83" s="12" t="s">
        <v>584</v>
      </c>
      <c r="J83" s="12" t="s">
        <v>676</v>
      </c>
      <c r="K83" s="12" t="s">
        <v>1096</v>
      </c>
      <c r="L83" s="12" t="s">
        <v>631</v>
      </c>
      <c r="M83" s="12" t="s">
        <v>634</v>
      </c>
      <c r="N83" s="12" t="s">
        <v>1352</v>
      </c>
      <c r="O83" s="12" t="s">
        <v>858</v>
      </c>
      <c r="P83" s="12" t="s">
        <v>864</v>
      </c>
      <c r="Q83" s="12" t="s">
        <v>1417</v>
      </c>
      <c r="R83" s="12" t="s">
        <v>980</v>
      </c>
      <c r="S83" s="12" t="s">
        <v>773</v>
      </c>
      <c r="T83" s="12" t="s">
        <v>723</v>
      </c>
      <c r="U83" s="12" t="s">
        <v>1358</v>
      </c>
      <c r="V83" s="12" t="s">
        <v>1358</v>
      </c>
      <c r="W83" s="12" t="s">
        <v>2013</v>
      </c>
      <c r="X83" s="12" t="s">
        <v>2099</v>
      </c>
      <c r="Y83" s="12" t="s">
        <v>2100</v>
      </c>
      <c r="Z83" s="12" t="s">
        <v>2101</v>
      </c>
      <c r="AA83" s="12" t="s">
        <v>1603</v>
      </c>
      <c r="AB83" s="12" t="s">
        <v>1310</v>
      </c>
      <c r="AC83" s="12" t="s">
        <v>1686</v>
      </c>
      <c r="AD83" s="12" t="s">
        <v>874</v>
      </c>
      <c r="AE83" s="12" t="s">
        <v>874</v>
      </c>
      <c r="AF83" s="12" t="s">
        <v>1815</v>
      </c>
      <c r="AG83" s="12" t="s">
        <v>1815</v>
      </c>
      <c r="AH83" s="12" t="s">
        <v>595</v>
      </c>
      <c r="AI83" s="12" t="s">
        <v>595</v>
      </c>
      <c r="AJ83" s="12" t="s">
        <v>595</v>
      </c>
      <c r="AK83" s="12" t="s">
        <v>595</v>
      </c>
      <c r="AL83" s="12" t="s">
        <v>595</v>
      </c>
      <c r="AM83" s="12" t="s">
        <v>595</v>
      </c>
      <c r="AN83" s="12" t="s">
        <v>595</v>
      </c>
      <c r="AO83" s="12" t="s">
        <v>595</v>
      </c>
      <c r="AP83" s="12" t="s">
        <v>595</v>
      </c>
      <c r="AQ83" s="12" t="s">
        <v>595</v>
      </c>
      <c r="AR83" s="12" t="s">
        <v>595</v>
      </c>
      <c r="AS83" s="12" t="s">
        <v>595</v>
      </c>
      <c r="AT83" s="12" t="s">
        <v>595</v>
      </c>
      <c r="AU83" s="12" t="s">
        <v>595</v>
      </c>
      <c r="AV83" s="12" t="s">
        <v>595</v>
      </c>
      <c r="AW83" s="12" t="s">
        <v>595</v>
      </c>
      <c r="AX83" s="12" t="s">
        <v>595</v>
      </c>
      <c r="AY83" s="12" t="s">
        <v>595</v>
      </c>
      <c r="AZ83" s="12" t="s">
        <v>595</v>
      </c>
      <c r="BA83" s="12" t="s">
        <v>595</v>
      </c>
      <c r="BB83" s="12" t="s">
        <v>595</v>
      </c>
      <c r="BC83" s="12" t="s">
        <v>595</v>
      </c>
      <c r="BD83" s="12" t="s">
        <v>595</v>
      </c>
      <c r="BE83" s="12" t="s">
        <v>595</v>
      </c>
      <c r="BF83" s="12" t="s">
        <v>595</v>
      </c>
      <c r="BG83" s="12" t="s">
        <v>1278</v>
      </c>
      <c r="BH83" s="12" t="s">
        <v>1278</v>
      </c>
      <c r="BI83" s="12" t="s">
        <v>1278</v>
      </c>
      <c r="BJ83" s="12" t="s">
        <v>1278</v>
      </c>
      <c r="BK83" s="12" t="s">
        <v>1278</v>
      </c>
      <c r="BL83" s="12" t="s">
        <v>1278</v>
      </c>
      <c r="BM83" s="12" t="s">
        <v>1278</v>
      </c>
      <c r="BN83" s="12" t="s">
        <v>1278</v>
      </c>
      <c r="BO83" s="12" t="s">
        <v>1278</v>
      </c>
      <c r="BP83" s="12" t="s">
        <v>1278</v>
      </c>
      <c r="BQ83" s="12" t="s">
        <v>2102</v>
      </c>
      <c r="BR83" s="12" t="s">
        <v>983</v>
      </c>
      <c r="BS83" s="12" t="s">
        <v>983</v>
      </c>
      <c r="BT83" s="12" t="s">
        <v>983</v>
      </c>
      <c r="BU83" s="12" t="s">
        <v>983</v>
      </c>
      <c r="BV83" s="12" t="s">
        <v>1048</v>
      </c>
      <c r="BW83" s="12" t="s">
        <v>1048</v>
      </c>
      <c r="BX83" s="12" t="s">
        <v>1263</v>
      </c>
      <c r="BY83" s="12" t="s">
        <v>921</v>
      </c>
      <c r="BZ83" s="12" t="s">
        <v>921</v>
      </c>
      <c r="CA83" s="12" t="s">
        <v>921</v>
      </c>
      <c r="CB83" s="12" t="s">
        <v>921</v>
      </c>
      <c r="CC83" s="12" t="s">
        <v>921</v>
      </c>
      <c r="CD83" s="12" t="s">
        <v>921</v>
      </c>
      <c r="CE83" s="12" t="s">
        <v>921</v>
      </c>
      <c r="CF83" s="12" t="s">
        <v>921</v>
      </c>
      <c r="CG83" s="12" t="s">
        <v>921</v>
      </c>
      <c r="CH83" s="12" t="s">
        <v>921</v>
      </c>
      <c r="CI83" s="12" t="s">
        <v>921</v>
      </c>
      <c r="CJ83" s="12" t="s">
        <v>921</v>
      </c>
      <c r="CK83" s="12" t="s">
        <v>921</v>
      </c>
      <c r="CL83" s="12" t="s">
        <v>921</v>
      </c>
      <c r="CM83" s="12" t="s">
        <v>921</v>
      </c>
      <c r="CN83" s="12" t="s">
        <v>921</v>
      </c>
      <c r="CO83" s="12" t="s">
        <v>921</v>
      </c>
      <c r="CP83" s="12" t="s">
        <v>921</v>
      </c>
      <c r="CQ83" s="12" t="s">
        <v>921</v>
      </c>
      <c r="CR83" s="12" t="s">
        <v>921</v>
      </c>
      <c r="CS83" s="12" t="s">
        <v>921</v>
      </c>
      <c r="CT83" s="12" t="s">
        <v>1532</v>
      </c>
    </row>
    <row r="84" spans="1:98" hidden="1" x14ac:dyDescent="0.3">
      <c r="A84" s="12" t="s">
        <v>2103</v>
      </c>
      <c r="B84" s="12" t="s">
        <v>1661</v>
      </c>
      <c r="C84" s="12" t="s">
        <v>2104</v>
      </c>
      <c r="D84" s="12" t="s">
        <v>2105</v>
      </c>
      <c r="E84" s="12" t="s">
        <v>624</v>
      </c>
      <c r="F84" s="12" t="s">
        <v>913</v>
      </c>
      <c r="G84" s="12" t="s">
        <v>1259</v>
      </c>
      <c r="H84" s="12" t="s">
        <v>853</v>
      </c>
      <c r="I84" s="12" t="s">
        <v>637</v>
      </c>
      <c r="J84" s="12" t="s">
        <v>773</v>
      </c>
      <c r="K84" s="12" t="s">
        <v>1516</v>
      </c>
      <c r="L84" s="12" t="s">
        <v>1740</v>
      </c>
      <c r="M84" s="12" t="s">
        <v>733</v>
      </c>
      <c r="N84" s="12" t="s">
        <v>2068</v>
      </c>
      <c r="O84" s="12" t="s">
        <v>2106</v>
      </c>
      <c r="P84" s="12" t="s">
        <v>1378</v>
      </c>
      <c r="Q84" s="12" t="s">
        <v>2107</v>
      </c>
      <c r="R84" s="12" t="s">
        <v>2108</v>
      </c>
      <c r="S84" s="12" t="s">
        <v>1757</v>
      </c>
      <c r="T84" s="12" t="s">
        <v>2109</v>
      </c>
      <c r="U84" s="12" t="s">
        <v>1968</v>
      </c>
      <c r="V84" s="12" t="s">
        <v>2110</v>
      </c>
      <c r="W84" s="12" t="s">
        <v>1442</v>
      </c>
      <c r="X84" s="12" t="s">
        <v>616</v>
      </c>
      <c r="Y84" s="12" t="s">
        <v>2111</v>
      </c>
      <c r="Z84" s="12" t="s">
        <v>1760</v>
      </c>
      <c r="AA84" s="12" t="s">
        <v>2112</v>
      </c>
      <c r="AB84" s="12" t="s">
        <v>2113</v>
      </c>
      <c r="AC84" s="12" t="s">
        <v>2114</v>
      </c>
      <c r="AD84" s="12" t="s">
        <v>1298</v>
      </c>
      <c r="AE84" s="12" t="s">
        <v>693</v>
      </c>
      <c r="AF84" s="12" t="s">
        <v>2115</v>
      </c>
      <c r="AG84" s="12" t="s">
        <v>1466</v>
      </c>
      <c r="AH84" s="12" t="s">
        <v>2116</v>
      </c>
      <c r="AI84" s="12" t="s">
        <v>1467</v>
      </c>
      <c r="AJ84" s="12" t="s">
        <v>2117</v>
      </c>
      <c r="AK84" s="12" t="s">
        <v>2117</v>
      </c>
      <c r="AL84" s="12" t="s">
        <v>2117</v>
      </c>
      <c r="AM84" s="12" t="s">
        <v>2117</v>
      </c>
      <c r="AN84" s="12" t="s">
        <v>2117</v>
      </c>
      <c r="AO84" s="12" t="s">
        <v>2117</v>
      </c>
      <c r="AP84" s="12" t="s">
        <v>2117</v>
      </c>
      <c r="AQ84" s="12" t="s">
        <v>2117</v>
      </c>
      <c r="AR84" s="12" t="s">
        <v>2117</v>
      </c>
      <c r="AS84" s="12" t="s">
        <v>2118</v>
      </c>
      <c r="AT84" s="12" t="s">
        <v>2119</v>
      </c>
      <c r="AU84" s="12" t="s">
        <v>2119</v>
      </c>
      <c r="AV84" s="12" t="s">
        <v>2120</v>
      </c>
      <c r="AW84" s="12" t="s">
        <v>2120</v>
      </c>
      <c r="AX84" s="12" t="s">
        <v>2120</v>
      </c>
      <c r="AY84" s="12" t="s">
        <v>2120</v>
      </c>
      <c r="AZ84" s="12" t="s">
        <v>2120</v>
      </c>
      <c r="BA84" s="12" t="s">
        <v>2120</v>
      </c>
      <c r="BB84" s="12" t="s">
        <v>2120</v>
      </c>
      <c r="BC84" s="12" t="s">
        <v>2120</v>
      </c>
      <c r="BD84" s="12" t="s">
        <v>2120</v>
      </c>
      <c r="BE84" s="12" t="s">
        <v>2121</v>
      </c>
      <c r="BF84" s="12" t="s">
        <v>1168</v>
      </c>
      <c r="BG84" s="12" t="s">
        <v>1168</v>
      </c>
      <c r="BH84" s="12" t="s">
        <v>2122</v>
      </c>
      <c r="BI84" s="12" t="s">
        <v>2122</v>
      </c>
      <c r="BJ84" s="12" t="s">
        <v>2123</v>
      </c>
      <c r="BK84" s="12" t="s">
        <v>1388</v>
      </c>
      <c r="BL84" s="12" t="s">
        <v>2124</v>
      </c>
      <c r="BM84" s="12" t="s">
        <v>2125</v>
      </c>
      <c r="BN84" s="12" t="s">
        <v>2125</v>
      </c>
      <c r="BO84" s="12" t="s">
        <v>2126</v>
      </c>
      <c r="BP84" s="12" t="s">
        <v>1011</v>
      </c>
      <c r="BQ84" s="12" t="s">
        <v>1213</v>
      </c>
      <c r="BR84" s="12" t="s">
        <v>2127</v>
      </c>
      <c r="BS84" s="12" t="s">
        <v>694</v>
      </c>
      <c r="BT84" s="12" t="s">
        <v>2128</v>
      </c>
      <c r="BU84" s="12" t="s">
        <v>2129</v>
      </c>
      <c r="BV84" s="12" t="s">
        <v>1873</v>
      </c>
      <c r="BW84" s="12" t="s">
        <v>1873</v>
      </c>
      <c r="BX84" s="12" t="s">
        <v>2130</v>
      </c>
      <c r="BY84" s="12" t="s">
        <v>2131</v>
      </c>
      <c r="BZ84" s="12" t="s">
        <v>1874</v>
      </c>
      <c r="CA84" s="12" t="s">
        <v>2132</v>
      </c>
      <c r="CB84" s="12" t="s">
        <v>2133</v>
      </c>
      <c r="CC84" s="12" t="s">
        <v>785</v>
      </c>
      <c r="CD84" s="12" t="s">
        <v>1468</v>
      </c>
      <c r="CE84" s="12" t="s">
        <v>1875</v>
      </c>
      <c r="CF84" s="12" t="s">
        <v>1875</v>
      </c>
      <c r="CG84" s="12" t="s">
        <v>1875</v>
      </c>
      <c r="CH84" s="12" t="s">
        <v>1875</v>
      </c>
      <c r="CI84" s="12" t="s">
        <v>1875</v>
      </c>
      <c r="CJ84" s="12" t="s">
        <v>1875</v>
      </c>
      <c r="CK84" s="12" t="s">
        <v>1012</v>
      </c>
      <c r="CL84" s="12" t="s">
        <v>1012</v>
      </c>
      <c r="CM84" s="12" t="s">
        <v>1012</v>
      </c>
      <c r="CN84" s="12" t="s">
        <v>1012</v>
      </c>
      <c r="CO84" s="12" t="s">
        <v>1012</v>
      </c>
      <c r="CP84" s="12" t="s">
        <v>1012</v>
      </c>
      <c r="CQ84" s="12" t="s">
        <v>1012</v>
      </c>
      <c r="CR84" s="12" t="s">
        <v>1012</v>
      </c>
      <c r="CS84" s="12" t="s">
        <v>1012</v>
      </c>
      <c r="CT84" s="12" t="s">
        <v>1012</v>
      </c>
    </row>
    <row r="85" spans="1:98" hidden="1" x14ac:dyDescent="0.3">
      <c r="A85" s="12" t="s">
        <v>25</v>
      </c>
      <c r="B85" s="12" t="s">
        <v>2134</v>
      </c>
      <c r="C85" s="12" t="s">
        <v>2135</v>
      </c>
      <c r="D85" s="12" t="s">
        <v>2136</v>
      </c>
      <c r="E85" s="12" t="s">
        <v>578</v>
      </c>
      <c r="F85" s="12" t="s">
        <v>578</v>
      </c>
      <c r="G85" s="12" t="s">
        <v>578</v>
      </c>
      <c r="H85" s="12" t="s">
        <v>578</v>
      </c>
      <c r="I85" s="12" t="s">
        <v>578</v>
      </c>
      <c r="J85" s="12" t="s">
        <v>578</v>
      </c>
      <c r="K85" s="12" t="s">
        <v>578</v>
      </c>
      <c r="L85" s="12" t="s">
        <v>578</v>
      </c>
      <c r="M85" s="12" t="s">
        <v>578</v>
      </c>
      <c r="N85" s="12" t="s">
        <v>578</v>
      </c>
      <c r="O85" s="12" t="s">
        <v>578</v>
      </c>
      <c r="P85" s="12" t="s">
        <v>578</v>
      </c>
      <c r="Q85" s="12" t="s">
        <v>578</v>
      </c>
      <c r="R85" s="12" t="s">
        <v>578</v>
      </c>
      <c r="S85" s="12" t="s">
        <v>578</v>
      </c>
      <c r="T85" s="12" t="s">
        <v>578</v>
      </c>
      <c r="U85" s="12" t="s">
        <v>578</v>
      </c>
      <c r="V85" s="12" t="s">
        <v>578</v>
      </c>
      <c r="W85" s="12" t="s">
        <v>578</v>
      </c>
      <c r="X85" s="12" t="s">
        <v>578</v>
      </c>
      <c r="Y85" s="12" t="s">
        <v>578</v>
      </c>
      <c r="Z85" s="12" t="s">
        <v>578</v>
      </c>
      <c r="AA85" s="12" t="s">
        <v>578</v>
      </c>
      <c r="AB85" s="12" t="s">
        <v>578</v>
      </c>
      <c r="AC85" s="12" t="s">
        <v>578</v>
      </c>
      <c r="AD85" s="12" t="s">
        <v>578</v>
      </c>
      <c r="AE85" s="12" t="s">
        <v>578</v>
      </c>
      <c r="AF85" s="12" t="s">
        <v>578</v>
      </c>
      <c r="AG85" s="12" t="s">
        <v>578</v>
      </c>
      <c r="AH85" s="12" t="s">
        <v>578</v>
      </c>
      <c r="AI85" s="12" t="s">
        <v>578</v>
      </c>
      <c r="AJ85" s="12" t="s">
        <v>578</v>
      </c>
      <c r="AK85" s="12" t="s">
        <v>578</v>
      </c>
      <c r="AL85" s="12" t="s">
        <v>578</v>
      </c>
      <c r="AM85" s="12" t="s">
        <v>578</v>
      </c>
      <c r="AN85" s="12" t="s">
        <v>578</v>
      </c>
      <c r="AO85" s="12" t="s">
        <v>578</v>
      </c>
      <c r="AP85" s="12" t="s">
        <v>578</v>
      </c>
      <c r="AQ85" s="12" t="s">
        <v>578</v>
      </c>
      <c r="AR85" s="12" t="s">
        <v>578</v>
      </c>
      <c r="AS85" s="12" t="s">
        <v>578</v>
      </c>
      <c r="AT85" s="12" t="s">
        <v>578</v>
      </c>
      <c r="AU85" s="12" t="s">
        <v>578</v>
      </c>
      <c r="AV85" s="12" t="s">
        <v>578</v>
      </c>
      <c r="AW85" s="12" t="s">
        <v>579</v>
      </c>
      <c r="AX85" s="12" t="s">
        <v>579</v>
      </c>
      <c r="AY85" s="12" t="s">
        <v>579</v>
      </c>
      <c r="AZ85" s="12" t="s">
        <v>579</v>
      </c>
      <c r="BA85" s="12" t="s">
        <v>672</v>
      </c>
      <c r="BB85" s="12" t="s">
        <v>761</v>
      </c>
      <c r="BC85" s="12" t="s">
        <v>761</v>
      </c>
      <c r="BD85" s="12" t="s">
        <v>868</v>
      </c>
      <c r="BE85" s="12" t="s">
        <v>586</v>
      </c>
      <c r="BF85" s="12" t="s">
        <v>767</v>
      </c>
      <c r="BG85" s="12" t="s">
        <v>679</v>
      </c>
      <c r="BH85" s="12" t="s">
        <v>870</v>
      </c>
      <c r="BI85" s="12" t="s">
        <v>858</v>
      </c>
      <c r="BJ85" s="12" t="s">
        <v>863</v>
      </c>
      <c r="BK85" s="12" t="s">
        <v>773</v>
      </c>
      <c r="BL85" s="12" t="s">
        <v>2137</v>
      </c>
      <c r="BM85" s="12" t="s">
        <v>1027</v>
      </c>
      <c r="BN85" s="12" t="s">
        <v>646</v>
      </c>
      <c r="BO85" s="12" t="s">
        <v>1842</v>
      </c>
      <c r="BP85" s="12" t="s">
        <v>1844</v>
      </c>
      <c r="BQ85" s="12" t="s">
        <v>1703</v>
      </c>
      <c r="BR85" s="12" t="s">
        <v>661</v>
      </c>
      <c r="BS85" s="12" t="s">
        <v>2138</v>
      </c>
      <c r="BT85" s="12" t="s">
        <v>2139</v>
      </c>
      <c r="BU85" s="12" t="s">
        <v>2140</v>
      </c>
      <c r="BV85" s="12" t="s">
        <v>612</v>
      </c>
      <c r="BW85" s="12" t="s">
        <v>2141</v>
      </c>
      <c r="BX85" s="12" t="s">
        <v>2142</v>
      </c>
      <c r="BY85" s="12" t="s">
        <v>1875</v>
      </c>
      <c r="BZ85" s="12" t="s">
        <v>2143</v>
      </c>
      <c r="CA85" s="12" t="s">
        <v>2144</v>
      </c>
      <c r="CB85" s="12" t="s">
        <v>1806</v>
      </c>
      <c r="CC85" s="12" t="s">
        <v>2145</v>
      </c>
      <c r="CD85" s="12" t="s">
        <v>2146</v>
      </c>
      <c r="CE85" s="12" t="s">
        <v>2147</v>
      </c>
      <c r="CF85" s="12" t="s">
        <v>2148</v>
      </c>
      <c r="CG85" s="12" t="s">
        <v>2149</v>
      </c>
      <c r="CH85" s="12" t="s">
        <v>2150</v>
      </c>
      <c r="CI85" s="12" t="s">
        <v>2151</v>
      </c>
      <c r="CJ85" s="12" t="s">
        <v>2152</v>
      </c>
      <c r="CK85" s="12" t="s">
        <v>2153</v>
      </c>
      <c r="CL85" s="12" t="s">
        <v>2154</v>
      </c>
      <c r="CM85" s="12" t="s">
        <v>2155</v>
      </c>
      <c r="CN85" s="12" t="s">
        <v>2155</v>
      </c>
      <c r="CO85" s="12" t="s">
        <v>2156</v>
      </c>
      <c r="CP85" s="12" t="s">
        <v>2157</v>
      </c>
      <c r="CQ85" s="12" t="s">
        <v>2158</v>
      </c>
      <c r="CR85" s="12" t="s">
        <v>2159</v>
      </c>
      <c r="CS85" s="12" t="s">
        <v>2160</v>
      </c>
      <c r="CT85" s="12" t="s">
        <v>2161</v>
      </c>
    </row>
    <row r="86" spans="1:98" hidden="1" x14ac:dyDescent="0.3">
      <c r="A86" s="12" t="s">
        <v>25</v>
      </c>
      <c r="B86" s="12" t="s">
        <v>2162</v>
      </c>
      <c r="C86" s="12" t="s">
        <v>2163</v>
      </c>
      <c r="D86" s="12" t="s">
        <v>2164</v>
      </c>
      <c r="E86" s="12" t="s">
        <v>578</v>
      </c>
      <c r="F86" s="12" t="s">
        <v>578</v>
      </c>
      <c r="G86" s="12" t="s">
        <v>578</v>
      </c>
      <c r="H86" s="12" t="s">
        <v>578</v>
      </c>
      <c r="I86" s="12" t="s">
        <v>578</v>
      </c>
      <c r="J86" s="12" t="s">
        <v>578</v>
      </c>
      <c r="K86" s="12" t="s">
        <v>578</v>
      </c>
      <c r="L86" s="12" t="s">
        <v>578</v>
      </c>
      <c r="M86" s="12" t="s">
        <v>578</v>
      </c>
      <c r="N86" s="12" t="s">
        <v>578</v>
      </c>
      <c r="O86" s="12" t="s">
        <v>578</v>
      </c>
      <c r="P86" s="12" t="s">
        <v>578</v>
      </c>
      <c r="Q86" s="12" t="s">
        <v>578</v>
      </c>
      <c r="R86" s="12" t="s">
        <v>578</v>
      </c>
      <c r="S86" s="12" t="s">
        <v>578</v>
      </c>
      <c r="T86" s="12" t="s">
        <v>578</v>
      </c>
      <c r="U86" s="12" t="s">
        <v>578</v>
      </c>
      <c r="V86" s="12" t="s">
        <v>578</v>
      </c>
      <c r="W86" s="12" t="s">
        <v>578</v>
      </c>
      <c r="X86" s="12" t="s">
        <v>578</v>
      </c>
      <c r="Y86" s="12" t="s">
        <v>578</v>
      </c>
      <c r="Z86" s="12" t="s">
        <v>578</v>
      </c>
      <c r="AA86" s="12" t="s">
        <v>578</v>
      </c>
      <c r="AB86" s="12" t="s">
        <v>578</v>
      </c>
      <c r="AC86" s="12" t="s">
        <v>578</v>
      </c>
      <c r="AD86" s="12" t="s">
        <v>578</v>
      </c>
      <c r="AE86" s="12" t="s">
        <v>578</v>
      </c>
      <c r="AF86" s="12" t="s">
        <v>578</v>
      </c>
      <c r="AG86" s="12" t="s">
        <v>578</v>
      </c>
      <c r="AH86" s="12" t="s">
        <v>578</v>
      </c>
      <c r="AI86" s="12" t="s">
        <v>578</v>
      </c>
      <c r="AJ86" s="12" t="s">
        <v>578</v>
      </c>
      <c r="AK86" s="12" t="s">
        <v>578</v>
      </c>
      <c r="AL86" s="12" t="s">
        <v>578</v>
      </c>
      <c r="AM86" s="12" t="s">
        <v>578</v>
      </c>
      <c r="AN86" s="12" t="s">
        <v>578</v>
      </c>
      <c r="AO86" s="12" t="s">
        <v>578</v>
      </c>
      <c r="AP86" s="12" t="s">
        <v>578</v>
      </c>
      <c r="AQ86" s="12" t="s">
        <v>578</v>
      </c>
      <c r="AR86" s="12" t="s">
        <v>578</v>
      </c>
      <c r="AS86" s="12" t="s">
        <v>578</v>
      </c>
      <c r="AT86" s="12" t="s">
        <v>578</v>
      </c>
      <c r="AU86" s="12" t="s">
        <v>578</v>
      </c>
      <c r="AV86" s="12" t="s">
        <v>578</v>
      </c>
      <c r="AW86" s="12" t="s">
        <v>578</v>
      </c>
      <c r="AX86" s="12" t="s">
        <v>578</v>
      </c>
      <c r="AY86" s="12" t="s">
        <v>578</v>
      </c>
      <c r="AZ86" s="12" t="s">
        <v>578</v>
      </c>
      <c r="BA86" s="12" t="s">
        <v>578</v>
      </c>
      <c r="BB86" s="12" t="s">
        <v>578</v>
      </c>
      <c r="BC86" s="12" t="s">
        <v>578</v>
      </c>
      <c r="BD86" s="12" t="s">
        <v>578</v>
      </c>
      <c r="BE86" s="12" t="s">
        <v>578</v>
      </c>
      <c r="BF86" s="12" t="s">
        <v>579</v>
      </c>
      <c r="BG86" s="12" t="s">
        <v>579</v>
      </c>
      <c r="BH86" s="12" t="s">
        <v>579</v>
      </c>
      <c r="BI86" s="12" t="s">
        <v>579</v>
      </c>
      <c r="BJ86" s="12" t="s">
        <v>672</v>
      </c>
      <c r="BK86" s="12" t="s">
        <v>672</v>
      </c>
      <c r="BL86" s="12" t="s">
        <v>672</v>
      </c>
      <c r="BM86" s="12" t="s">
        <v>672</v>
      </c>
      <c r="BN86" s="12" t="s">
        <v>580</v>
      </c>
      <c r="BO86" s="12" t="s">
        <v>580</v>
      </c>
      <c r="BP86" s="12" t="s">
        <v>580</v>
      </c>
      <c r="BQ86" s="12" t="s">
        <v>580</v>
      </c>
      <c r="BR86" s="12" t="s">
        <v>580</v>
      </c>
      <c r="BS86" s="12" t="s">
        <v>580</v>
      </c>
      <c r="BT86" s="12" t="s">
        <v>674</v>
      </c>
      <c r="BU86" s="12" t="s">
        <v>674</v>
      </c>
      <c r="BV86" s="12" t="s">
        <v>674</v>
      </c>
      <c r="BW86" s="12" t="s">
        <v>674</v>
      </c>
      <c r="BX86" s="12" t="s">
        <v>586</v>
      </c>
      <c r="BY86" s="12" t="s">
        <v>586</v>
      </c>
      <c r="BZ86" s="12" t="s">
        <v>586</v>
      </c>
      <c r="CA86" s="12" t="s">
        <v>768</v>
      </c>
      <c r="CB86" s="12" t="s">
        <v>768</v>
      </c>
      <c r="CC86" s="12" t="s">
        <v>768</v>
      </c>
      <c r="CD86" s="12" t="s">
        <v>768</v>
      </c>
      <c r="CE86" s="12" t="s">
        <v>680</v>
      </c>
      <c r="CF86" s="12" t="s">
        <v>680</v>
      </c>
      <c r="CG86" s="12" t="s">
        <v>680</v>
      </c>
      <c r="CH86" s="12" t="s">
        <v>680</v>
      </c>
      <c r="CI86" s="12" t="s">
        <v>680</v>
      </c>
      <c r="CJ86" s="12" t="s">
        <v>680</v>
      </c>
      <c r="CK86" s="12" t="s">
        <v>1417</v>
      </c>
      <c r="CL86" s="12" t="s">
        <v>1417</v>
      </c>
      <c r="CM86" s="12" t="s">
        <v>1821</v>
      </c>
      <c r="CN86" s="12" t="s">
        <v>1821</v>
      </c>
      <c r="CO86" s="12" t="s">
        <v>1821</v>
      </c>
      <c r="CP86" s="12" t="s">
        <v>813</v>
      </c>
      <c r="CQ86" s="12" t="s">
        <v>981</v>
      </c>
      <c r="CR86" s="12" t="s">
        <v>640</v>
      </c>
      <c r="CS86" s="12" t="s">
        <v>640</v>
      </c>
      <c r="CT86" s="12" t="s">
        <v>985</v>
      </c>
    </row>
    <row r="87" spans="1:98" hidden="1" x14ac:dyDescent="0.3">
      <c r="A87" s="12" t="s">
        <v>25</v>
      </c>
      <c r="B87" s="12" t="s">
        <v>2165</v>
      </c>
      <c r="C87" s="12" t="s">
        <v>2163</v>
      </c>
      <c r="D87" s="12" t="s">
        <v>2164</v>
      </c>
      <c r="E87" s="12" t="s">
        <v>578</v>
      </c>
      <c r="F87" s="12" t="s">
        <v>578</v>
      </c>
      <c r="G87" s="12" t="s">
        <v>578</v>
      </c>
      <c r="H87" s="12" t="s">
        <v>578</v>
      </c>
      <c r="I87" s="12" t="s">
        <v>578</v>
      </c>
      <c r="J87" s="12" t="s">
        <v>578</v>
      </c>
      <c r="K87" s="12" t="s">
        <v>578</v>
      </c>
      <c r="L87" s="12" t="s">
        <v>578</v>
      </c>
      <c r="M87" s="12" t="s">
        <v>578</v>
      </c>
      <c r="N87" s="12" t="s">
        <v>578</v>
      </c>
      <c r="O87" s="12" t="s">
        <v>578</v>
      </c>
      <c r="P87" s="12" t="s">
        <v>578</v>
      </c>
      <c r="Q87" s="12" t="s">
        <v>578</v>
      </c>
      <c r="R87" s="12" t="s">
        <v>578</v>
      </c>
      <c r="S87" s="12" t="s">
        <v>578</v>
      </c>
      <c r="T87" s="12" t="s">
        <v>578</v>
      </c>
      <c r="U87" s="12" t="s">
        <v>578</v>
      </c>
      <c r="V87" s="12" t="s">
        <v>578</v>
      </c>
      <c r="W87" s="12" t="s">
        <v>578</v>
      </c>
      <c r="X87" s="12" t="s">
        <v>578</v>
      </c>
      <c r="Y87" s="12" t="s">
        <v>578</v>
      </c>
      <c r="Z87" s="12" t="s">
        <v>578</v>
      </c>
      <c r="AA87" s="12" t="s">
        <v>578</v>
      </c>
      <c r="AB87" s="12" t="s">
        <v>578</v>
      </c>
      <c r="AC87" s="12" t="s">
        <v>578</v>
      </c>
      <c r="AD87" s="12" t="s">
        <v>578</v>
      </c>
      <c r="AE87" s="12" t="s">
        <v>578</v>
      </c>
      <c r="AF87" s="12" t="s">
        <v>578</v>
      </c>
      <c r="AG87" s="12" t="s">
        <v>578</v>
      </c>
      <c r="AH87" s="12" t="s">
        <v>578</v>
      </c>
      <c r="AI87" s="12" t="s">
        <v>578</v>
      </c>
      <c r="AJ87" s="12" t="s">
        <v>578</v>
      </c>
      <c r="AK87" s="12" t="s">
        <v>578</v>
      </c>
      <c r="AL87" s="12" t="s">
        <v>578</v>
      </c>
      <c r="AM87" s="12" t="s">
        <v>578</v>
      </c>
      <c r="AN87" s="12" t="s">
        <v>578</v>
      </c>
      <c r="AO87" s="12" t="s">
        <v>578</v>
      </c>
      <c r="AP87" s="12" t="s">
        <v>578</v>
      </c>
      <c r="AQ87" s="12" t="s">
        <v>578</v>
      </c>
      <c r="AR87" s="12" t="s">
        <v>578</v>
      </c>
      <c r="AS87" s="12" t="s">
        <v>578</v>
      </c>
      <c r="AT87" s="12" t="s">
        <v>578</v>
      </c>
      <c r="AU87" s="12" t="s">
        <v>578</v>
      </c>
      <c r="AV87" s="12" t="s">
        <v>578</v>
      </c>
      <c r="AW87" s="12" t="s">
        <v>578</v>
      </c>
      <c r="AX87" s="12" t="s">
        <v>578</v>
      </c>
      <c r="AY87" s="12" t="s">
        <v>578</v>
      </c>
      <c r="AZ87" s="12" t="s">
        <v>578</v>
      </c>
      <c r="BA87" s="12" t="s">
        <v>578</v>
      </c>
      <c r="BB87" s="12" t="s">
        <v>579</v>
      </c>
      <c r="BC87" s="12" t="s">
        <v>579</v>
      </c>
      <c r="BD87" s="12" t="s">
        <v>623</v>
      </c>
      <c r="BE87" s="12" t="s">
        <v>623</v>
      </c>
      <c r="BF87" s="12" t="s">
        <v>623</v>
      </c>
      <c r="BG87" s="12" t="s">
        <v>623</v>
      </c>
      <c r="BH87" s="12" t="s">
        <v>672</v>
      </c>
      <c r="BI87" s="12" t="s">
        <v>580</v>
      </c>
      <c r="BJ87" s="12" t="s">
        <v>756</v>
      </c>
      <c r="BK87" s="12" t="s">
        <v>808</v>
      </c>
      <c r="BL87" s="12" t="s">
        <v>626</v>
      </c>
      <c r="BM87" s="12" t="s">
        <v>2018</v>
      </c>
      <c r="BN87" s="12" t="s">
        <v>971</v>
      </c>
      <c r="BO87" s="12" t="s">
        <v>768</v>
      </c>
      <c r="BP87" s="12" t="s">
        <v>678</v>
      </c>
      <c r="BQ87" s="12" t="s">
        <v>630</v>
      </c>
      <c r="BR87" s="12" t="s">
        <v>630</v>
      </c>
      <c r="BS87" s="12" t="s">
        <v>870</v>
      </c>
      <c r="BT87" s="12" t="s">
        <v>870</v>
      </c>
      <c r="BU87" s="12" t="s">
        <v>1184</v>
      </c>
      <c r="BV87" s="12" t="s">
        <v>978</v>
      </c>
      <c r="BW87" s="12" t="s">
        <v>1208</v>
      </c>
      <c r="BX87" s="12" t="s">
        <v>873</v>
      </c>
      <c r="BY87" s="12" t="s">
        <v>873</v>
      </c>
      <c r="BZ87" s="12" t="s">
        <v>2101</v>
      </c>
      <c r="CA87" s="12" t="s">
        <v>2101</v>
      </c>
      <c r="CB87" s="12" t="s">
        <v>2089</v>
      </c>
      <c r="CC87" s="12" t="s">
        <v>983</v>
      </c>
      <c r="CD87" s="12" t="s">
        <v>983</v>
      </c>
      <c r="CE87" s="12" t="s">
        <v>983</v>
      </c>
      <c r="CF87" s="12" t="s">
        <v>1735</v>
      </c>
      <c r="CG87" s="12" t="s">
        <v>643</v>
      </c>
      <c r="CH87" s="12" t="s">
        <v>2166</v>
      </c>
      <c r="CI87" s="12" t="s">
        <v>815</v>
      </c>
      <c r="CJ87" s="12" t="s">
        <v>1508</v>
      </c>
      <c r="CK87" s="12" t="s">
        <v>1492</v>
      </c>
      <c r="CL87" s="12" t="s">
        <v>727</v>
      </c>
      <c r="CM87" s="12" t="s">
        <v>957</v>
      </c>
      <c r="CN87" s="12" t="s">
        <v>876</v>
      </c>
      <c r="CO87" s="12" t="s">
        <v>1834</v>
      </c>
      <c r="CP87" s="12" t="s">
        <v>1962</v>
      </c>
      <c r="CQ87" s="12" t="s">
        <v>1746</v>
      </c>
      <c r="CR87" s="12" t="s">
        <v>1099</v>
      </c>
      <c r="CS87" s="12" t="s">
        <v>650</v>
      </c>
      <c r="CT87" s="12" t="s">
        <v>2167</v>
      </c>
    </row>
    <row r="88" spans="1:98" hidden="1" x14ac:dyDescent="0.3">
      <c r="A88" s="12" t="s">
        <v>25</v>
      </c>
      <c r="B88" s="12" t="s">
        <v>2168</v>
      </c>
      <c r="C88" s="12" t="s">
        <v>2169</v>
      </c>
      <c r="D88" s="12" t="s">
        <v>2170</v>
      </c>
      <c r="E88" s="12" t="s">
        <v>578</v>
      </c>
      <c r="F88" s="12" t="s">
        <v>578</v>
      </c>
      <c r="G88" s="12" t="s">
        <v>578</v>
      </c>
      <c r="H88" s="12" t="s">
        <v>578</v>
      </c>
      <c r="I88" s="12" t="s">
        <v>578</v>
      </c>
      <c r="J88" s="12" t="s">
        <v>578</v>
      </c>
      <c r="K88" s="12" t="s">
        <v>578</v>
      </c>
      <c r="L88" s="12" t="s">
        <v>578</v>
      </c>
      <c r="M88" s="12" t="s">
        <v>578</v>
      </c>
      <c r="N88" s="12" t="s">
        <v>578</v>
      </c>
      <c r="O88" s="12" t="s">
        <v>578</v>
      </c>
      <c r="P88" s="12" t="s">
        <v>578</v>
      </c>
      <c r="Q88" s="12" t="s">
        <v>578</v>
      </c>
      <c r="R88" s="12" t="s">
        <v>578</v>
      </c>
      <c r="S88" s="12" t="s">
        <v>578</v>
      </c>
      <c r="T88" s="12" t="s">
        <v>578</v>
      </c>
      <c r="U88" s="12" t="s">
        <v>578</v>
      </c>
      <c r="V88" s="12" t="s">
        <v>578</v>
      </c>
      <c r="W88" s="12" t="s">
        <v>578</v>
      </c>
      <c r="X88" s="12" t="s">
        <v>578</v>
      </c>
      <c r="Y88" s="12" t="s">
        <v>578</v>
      </c>
      <c r="Z88" s="12" t="s">
        <v>578</v>
      </c>
      <c r="AA88" s="12" t="s">
        <v>578</v>
      </c>
      <c r="AB88" s="12" t="s">
        <v>578</v>
      </c>
      <c r="AC88" s="12" t="s">
        <v>578</v>
      </c>
      <c r="AD88" s="12" t="s">
        <v>578</v>
      </c>
      <c r="AE88" s="12" t="s">
        <v>578</v>
      </c>
      <c r="AF88" s="12" t="s">
        <v>578</v>
      </c>
      <c r="AG88" s="12" t="s">
        <v>578</v>
      </c>
      <c r="AH88" s="12" t="s">
        <v>578</v>
      </c>
      <c r="AI88" s="12" t="s">
        <v>578</v>
      </c>
      <c r="AJ88" s="12" t="s">
        <v>578</v>
      </c>
      <c r="AK88" s="12" t="s">
        <v>578</v>
      </c>
      <c r="AL88" s="12" t="s">
        <v>578</v>
      </c>
      <c r="AM88" s="12" t="s">
        <v>578</v>
      </c>
      <c r="AN88" s="12" t="s">
        <v>578</v>
      </c>
      <c r="AO88" s="12" t="s">
        <v>578</v>
      </c>
      <c r="AP88" s="12" t="s">
        <v>578</v>
      </c>
      <c r="AQ88" s="12" t="s">
        <v>578</v>
      </c>
      <c r="AR88" s="12" t="s">
        <v>578</v>
      </c>
      <c r="AS88" s="12" t="s">
        <v>578</v>
      </c>
      <c r="AT88" s="12" t="s">
        <v>578</v>
      </c>
      <c r="AU88" s="12" t="s">
        <v>578</v>
      </c>
      <c r="AV88" s="12" t="s">
        <v>578</v>
      </c>
      <c r="AW88" s="12" t="s">
        <v>579</v>
      </c>
      <c r="AX88" s="12" t="s">
        <v>579</v>
      </c>
      <c r="AY88" s="12" t="s">
        <v>581</v>
      </c>
      <c r="AZ88" s="12" t="s">
        <v>761</v>
      </c>
      <c r="BA88" s="12" t="s">
        <v>761</v>
      </c>
      <c r="BB88" s="12" t="s">
        <v>868</v>
      </c>
      <c r="BC88" s="12" t="s">
        <v>586</v>
      </c>
      <c r="BD88" s="12" t="s">
        <v>626</v>
      </c>
      <c r="BE88" s="12" t="s">
        <v>676</v>
      </c>
      <c r="BF88" s="12" t="s">
        <v>913</v>
      </c>
      <c r="BG88" s="12" t="s">
        <v>917</v>
      </c>
      <c r="BH88" s="12" t="s">
        <v>1046</v>
      </c>
      <c r="BI88" s="12" t="s">
        <v>954</v>
      </c>
      <c r="BJ88" s="12" t="s">
        <v>974</v>
      </c>
      <c r="BK88" s="12" t="s">
        <v>636</v>
      </c>
      <c r="BL88" s="12" t="s">
        <v>1417</v>
      </c>
      <c r="BM88" s="12" t="s">
        <v>873</v>
      </c>
      <c r="BN88" s="12" t="s">
        <v>774</v>
      </c>
      <c r="BO88" s="12" t="s">
        <v>1531</v>
      </c>
      <c r="BP88" s="12" t="s">
        <v>684</v>
      </c>
      <c r="BQ88" s="12" t="s">
        <v>1027</v>
      </c>
      <c r="BR88" s="12" t="s">
        <v>1495</v>
      </c>
      <c r="BS88" s="12" t="s">
        <v>1840</v>
      </c>
      <c r="BT88" s="12" t="s">
        <v>1210</v>
      </c>
      <c r="BU88" s="12" t="s">
        <v>1164</v>
      </c>
      <c r="BV88" s="12" t="s">
        <v>2035</v>
      </c>
      <c r="BW88" s="12" t="s">
        <v>1690</v>
      </c>
      <c r="BX88" s="12" t="s">
        <v>960</v>
      </c>
      <c r="BY88" s="12" t="s">
        <v>654</v>
      </c>
      <c r="BZ88" s="12" t="s">
        <v>965</v>
      </c>
      <c r="CA88" s="12" t="s">
        <v>688</v>
      </c>
      <c r="CB88" s="12" t="s">
        <v>657</v>
      </c>
      <c r="CC88" s="12" t="s">
        <v>1846</v>
      </c>
      <c r="CD88" s="12" t="s">
        <v>778</v>
      </c>
      <c r="CE88" s="12" t="s">
        <v>661</v>
      </c>
      <c r="CF88" s="12" t="s">
        <v>1705</v>
      </c>
      <c r="CG88" s="12" t="s">
        <v>1374</v>
      </c>
      <c r="CH88" s="12" t="s">
        <v>2171</v>
      </c>
      <c r="CI88" s="12" t="s">
        <v>2172</v>
      </c>
      <c r="CJ88" s="12" t="s">
        <v>1376</v>
      </c>
      <c r="CK88" s="12" t="s">
        <v>1986</v>
      </c>
      <c r="CL88" s="12" t="s">
        <v>2173</v>
      </c>
      <c r="CM88" s="12" t="s">
        <v>1523</v>
      </c>
      <c r="CN88" s="12" t="s">
        <v>1051</v>
      </c>
      <c r="CO88" s="12" t="s">
        <v>2174</v>
      </c>
      <c r="CP88" s="12" t="s">
        <v>2175</v>
      </c>
      <c r="CQ88" s="12" t="s">
        <v>879</v>
      </c>
      <c r="CR88" s="12" t="s">
        <v>2176</v>
      </c>
      <c r="CS88" s="12" t="s">
        <v>2177</v>
      </c>
      <c r="CT88" s="12" t="s">
        <v>2178</v>
      </c>
    </row>
    <row r="89" spans="1:98" hidden="1" x14ac:dyDescent="0.3">
      <c r="A89" s="12" t="s">
        <v>25</v>
      </c>
      <c r="B89" s="12" t="s">
        <v>2179</v>
      </c>
      <c r="C89" s="12" t="s">
        <v>2180</v>
      </c>
      <c r="D89" s="12" t="s">
        <v>2181</v>
      </c>
      <c r="E89" s="12" t="s">
        <v>578</v>
      </c>
      <c r="F89" s="12" t="s">
        <v>578</v>
      </c>
      <c r="G89" s="12" t="s">
        <v>578</v>
      </c>
      <c r="H89" s="12" t="s">
        <v>578</v>
      </c>
      <c r="I89" s="12" t="s">
        <v>578</v>
      </c>
      <c r="J89" s="12" t="s">
        <v>578</v>
      </c>
      <c r="K89" s="12" t="s">
        <v>578</v>
      </c>
      <c r="L89" s="12" t="s">
        <v>578</v>
      </c>
      <c r="M89" s="12" t="s">
        <v>578</v>
      </c>
      <c r="N89" s="12" t="s">
        <v>578</v>
      </c>
      <c r="O89" s="12" t="s">
        <v>578</v>
      </c>
      <c r="P89" s="12" t="s">
        <v>578</v>
      </c>
      <c r="Q89" s="12" t="s">
        <v>578</v>
      </c>
      <c r="R89" s="12" t="s">
        <v>578</v>
      </c>
      <c r="S89" s="12" t="s">
        <v>578</v>
      </c>
      <c r="T89" s="12" t="s">
        <v>578</v>
      </c>
      <c r="U89" s="12" t="s">
        <v>578</v>
      </c>
      <c r="V89" s="12" t="s">
        <v>578</v>
      </c>
      <c r="W89" s="12" t="s">
        <v>578</v>
      </c>
      <c r="X89" s="12" t="s">
        <v>578</v>
      </c>
      <c r="Y89" s="12" t="s">
        <v>578</v>
      </c>
      <c r="Z89" s="12" t="s">
        <v>578</v>
      </c>
      <c r="AA89" s="12" t="s">
        <v>578</v>
      </c>
      <c r="AB89" s="12" t="s">
        <v>578</v>
      </c>
      <c r="AC89" s="12" t="s">
        <v>578</v>
      </c>
      <c r="AD89" s="12" t="s">
        <v>578</v>
      </c>
      <c r="AE89" s="12" t="s">
        <v>578</v>
      </c>
      <c r="AF89" s="12" t="s">
        <v>578</v>
      </c>
      <c r="AG89" s="12" t="s">
        <v>578</v>
      </c>
      <c r="AH89" s="12" t="s">
        <v>578</v>
      </c>
      <c r="AI89" s="12" t="s">
        <v>578</v>
      </c>
      <c r="AJ89" s="12" t="s">
        <v>578</v>
      </c>
      <c r="AK89" s="12" t="s">
        <v>578</v>
      </c>
      <c r="AL89" s="12" t="s">
        <v>578</v>
      </c>
      <c r="AM89" s="12" t="s">
        <v>578</v>
      </c>
      <c r="AN89" s="12" t="s">
        <v>578</v>
      </c>
      <c r="AO89" s="12" t="s">
        <v>578</v>
      </c>
      <c r="AP89" s="12" t="s">
        <v>578</v>
      </c>
      <c r="AQ89" s="12" t="s">
        <v>578</v>
      </c>
      <c r="AR89" s="12" t="s">
        <v>578</v>
      </c>
      <c r="AS89" s="12" t="s">
        <v>578</v>
      </c>
      <c r="AT89" s="12" t="s">
        <v>578</v>
      </c>
      <c r="AU89" s="12" t="s">
        <v>578</v>
      </c>
      <c r="AV89" s="12" t="s">
        <v>578</v>
      </c>
      <c r="AW89" s="12" t="s">
        <v>578</v>
      </c>
      <c r="AX89" s="12" t="s">
        <v>578</v>
      </c>
      <c r="AY89" s="12" t="s">
        <v>578</v>
      </c>
      <c r="AZ89" s="12" t="s">
        <v>578</v>
      </c>
      <c r="BA89" s="12" t="s">
        <v>578</v>
      </c>
      <c r="BB89" s="12" t="s">
        <v>579</v>
      </c>
      <c r="BC89" s="12" t="s">
        <v>579</v>
      </c>
      <c r="BD89" s="12" t="s">
        <v>579</v>
      </c>
      <c r="BE89" s="12" t="s">
        <v>579</v>
      </c>
      <c r="BF89" s="12" t="s">
        <v>579</v>
      </c>
      <c r="BG89" s="12" t="s">
        <v>579</v>
      </c>
      <c r="BH89" s="12" t="s">
        <v>581</v>
      </c>
      <c r="BI89" s="12" t="s">
        <v>851</v>
      </c>
      <c r="BJ89" s="12" t="s">
        <v>761</v>
      </c>
      <c r="BK89" s="12" t="s">
        <v>761</v>
      </c>
      <c r="BL89" s="12" t="s">
        <v>756</v>
      </c>
      <c r="BM89" s="12" t="s">
        <v>756</v>
      </c>
      <c r="BN89" s="12" t="s">
        <v>757</v>
      </c>
      <c r="BO89" s="12" t="s">
        <v>1120</v>
      </c>
      <c r="BP89" s="12" t="s">
        <v>856</v>
      </c>
      <c r="BQ89" s="12" t="s">
        <v>859</v>
      </c>
      <c r="BR89" s="12" t="s">
        <v>1732</v>
      </c>
      <c r="BS89" s="12" t="s">
        <v>1732</v>
      </c>
      <c r="BT89" s="12" t="s">
        <v>981</v>
      </c>
      <c r="BU89" s="12" t="s">
        <v>1686</v>
      </c>
      <c r="BV89" s="12" t="s">
        <v>1734</v>
      </c>
      <c r="BW89" s="12" t="s">
        <v>1838</v>
      </c>
      <c r="BX89" s="12" t="s">
        <v>814</v>
      </c>
      <c r="BY89" s="12" t="s">
        <v>1163</v>
      </c>
      <c r="BZ89" s="12" t="s">
        <v>1816</v>
      </c>
      <c r="CA89" s="12" t="s">
        <v>1393</v>
      </c>
      <c r="CB89" s="12" t="s">
        <v>1281</v>
      </c>
      <c r="CC89" s="12" t="s">
        <v>600</v>
      </c>
      <c r="CD89" s="12" t="s">
        <v>1398</v>
      </c>
      <c r="CE89" s="12" t="s">
        <v>603</v>
      </c>
      <c r="CF89" s="12" t="s">
        <v>603</v>
      </c>
      <c r="CG89" s="12" t="s">
        <v>1284</v>
      </c>
      <c r="CH89" s="12" t="s">
        <v>997</v>
      </c>
      <c r="CI89" s="12" t="s">
        <v>1986</v>
      </c>
      <c r="CJ89" s="12" t="s">
        <v>742</v>
      </c>
      <c r="CK89" s="12" t="s">
        <v>742</v>
      </c>
      <c r="CL89" s="12" t="s">
        <v>1287</v>
      </c>
      <c r="CM89" s="12" t="s">
        <v>1139</v>
      </c>
      <c r="CN89" s="12" t="s">
        <v>2182</v>
      </c>
      <c r="CO89" s="12" t="s">
        <v>691</v>
      </c>
      <c r="CP89" s="12" t="s">
        <v>691</v>
      </c>
      <c r="CQ89" s="12" t="s">
        <v>2183</v>
      </c>
      <c r="CR89" s="12" t="s">
        <v>2184</v>
      </c>
      <c r="CS89" s="12" t="s">
        <v>1900</v>
      </c>
      <c r="CT89" s="12" t="s">
        <v>2185</v>
      </c>
    </row>
    <row r="90" spans="1:98" hidden="1" x14ac:dyDescent="0.3">
      <c r="A90" s="12" t="s">
        <v>25</v>
      </c>
      <c r="B90" s="12" t="s">
        <v>2186</v>
      </c>
      <c r="C90" s="12" t="s">
        <v>2187</v>
      </c>
      <c r="D90" s="12" t="s">
        <v>2188</v>
      </c>
      <c r="E90" s="12" t="s">
        <v>578</v>
      </c>
      <c r="F90" s="12" t="s">
        <v>578</v>
      </c>
      <c r="G90" s="12" t="s">
        <v>578</v>
      </c>
      <c r="H90" s="12" t="s">
        <v>578</v>
      </c>
      <c r="I90" s="12" t="s">
        <v>578</v>
      </c>
      <c r="J90" s="12" t="s">
        <v>578</v>
      </c>
      <c r="K90" s="12" t="s">
        <v>578</v>
      </c>
      <c r="L90" s="12" t="s">
        <v>578</v>
      </c>
      <c r="M90" s="12" t="s">
        <v>578</v>
      </c>
      <c r="N90" s="12" t="s">
        <v>578</v>
      </c>
      <c r="O90" s="12" t="s">
        <v>578</v>
      </c>
      <c r="P90" s="12" t="s">
        <v>578</v>
      </c>
      <c r="Q90" s="12" t="s">
        <v>578</v>
      </c>
      <c r="R90" s="12" t="s">
        <v>578</v>
      </c>
      <c r="S90" s="12" t="s">
        <v>578</v>
      </c>
      <c r="T90" s="12" t="s">
        <v>578</v>
      </c>
      <c r="U90" s="12" t="s">
        <v>578</v>
      </c>
      <c r="V90" s="12" t="s">
        <v>578</v>
      </c>
      <c r="W90" s="12" t="s">
        <v>578</v>
      </c>
      <c r="X90" s="12" t="s">
        <v>578</v>
      </c>
      <c r="Y90" s="12" t="s">
        <v>578</v>
      </c>
      <c r="Z90" s="12" t="s">
        <v>578</v>
      </c>
      <c r="AA90" s="12" t="s">
        <v>578</v>
      </c>
      <c r="AB90" s="12" t="s">
        <v>578</v>
      </c>
      <c r="AC90" s="12" t="s">
        <v>578</v>
      </c>
      <c r="AD90" s="12" t="s">
        <v>578</v>
      </c>
      <c r="AE90" s="12" t="s">
        <v>578</v>
      </c>
      <c r="AF90" s="12" t="s">
        <v>578</v>
      </c>
      <c r="AG90" s="12" t="s">
        <v>578</v>
      </c>
      <c r="AH90" s="12" t="s">
        <v>578</v>
      </c>
      <c r="AI90" s="12" t="s">
        <v>578</v>
      </c>
      <c r="AJ90" s="12" t="s">
        <v>578</v>
      </c>
      <c r="AK90" s="12" t="s">
        <v>578</v>
      </c>
      <c r="AL90" s="12" t="s">
        <v>578</v>
      </c>
      <c r="AM90" s="12" t="s">
        <v>579</v>
      </c>
      <c r="AN90" s="12" t="s">
        <v>672</v>
      </c>
      <c r="AO90" s="12" t="s">
        <v>672</v>
      </c>
      <c r="AP90" s="12" t="s">
        <v>581</v>
      </c>
      <c r="AQ90" s="12" t="s">
        <v>851</v>
      </c>
      <c r="AR90" s="12" t="s">
        <v>582</v>
      </c>
      <c r="AS90" s="12" t="s">
        <v>582</v>
      </c>
      <c r="AT90" s="12" t="s">
        <v>761</v>
      </c>
      <c r="AU90" s="12" t="s">
        <v>624</v>
      </c>
      <c r="AV90" s="12" t="s">
        <v>624</v>
      </c>
      <c r="AW90" s="12" t="s">
        <v>583</v>
      </c>
      <c r="AX90" s="12" t="s">
        <v>625</v>
      </c>
      <c r="AY90" s="12" t="s">
        <v>625</v>
      </c>
      <c r="AZ90" s="12" t="s">
        <v>625</v>
      </c>
      <c r="BA90" s="12" t="s">
        <v>756</v>
      </c>
      <c r="BB90" s="12" t="s">
        <v>674</v>
      </c>
      <c r="BC90" s="12" t="s">
        <v>674</v>
      </c>
      <c r="BD90" s="12" t="s">
        <v>852</v>
      </c>
      <c r="BE90" s="12" t="s">
        <v>628</v>
      </c>
      <c r="BF90" s="12" t="s">
        <v>991</v>
      </c>
      <c r="BG90" s="12" t="s">
        <v>992</v>
      </c>
      <c r="BH90" s="12" t="s">
        <v>870</v>
      </c>
      <c r="BI90" s="12" t="s">
        <v>1184</v>
      </c>
      <c r="BJ90" s="12" t="s">
        <v>864</v>
      </c>
      <c r="BK90" s="12" t="s">
        <v>773</v>
      </c>
      <c r="BL90" s="12" t="s">
        <v>1604</v>
      </c>
      <c r="BM90" s="12" t="s">
        <v>1492</v>
      </c>
      <c r="BN90" s="12" t="s">
        <v>1609</v>
      </c>
      <c r="BO90" s="12" t="s">
        <v>2189</v>
      </c>
      <c r="BP90" s="12" t="s">
        <v>1699</v>
      </c>
      <c r="BQ90" s="12" t="s">
        <v>1035</v>
      </c>
      <c r="BR90" s="12" t="s">
        <v>1712</v>
      </c>
      <c r="BS90" s="12" t="s">
        <v>2190</v>
      </c>
      <c r="BT90" s="12" t="s">
        <v>748</v>
      </c>
      <c r="BU90" s="12" t="s">
        <v>2191</v>
      </c>
      <c r="BV90" s="12" t="s">
        <v>2192</v>
      </c>
      <c r="BW90" s="12" t="s">
        <v>2193</v>
      </c>
      <c r="BX90" s="12" t="s">
        <v>1971</v>
      </c>
      <c r="BY90" s="12" t="s">
        <v>2194</v>
      </c>
      <c r="BZ90" s="12" t="s">
        <v>2195</v>
      </c>
      <c r="CA90" s="12" t="s">
        <v>2196</v>
      </c>
      <c r="CB90" s="12" t="s">
        <v>2197</v>
      </c>
      <c r="CC90" s="12" t="s">
        <v>2198</v>
      </c>
      <c r="CD90" s="12" t="s">
        <v>1021</v>
      </c>
      <c r="CE90" s="12" t="s">
        <v>2199</v>
      </c>
      <c r="CF90" s="12" t="s">
        <v>2200</v>
      </c>
      <c r="CG90" s="12" t="s">
        <v>2201</v>
      </c>
      <c r="CH90" s="12" t="s">
        <v>2202</v>
      </c>
      <c r="CI90" s="12" t="s">
        <v>2203</v>
      </c>
      <c r="CJ90" s="12" t="s">
        <v>2204</v>
      </c>
      <c r="CK90" s="12" t="s">
        <v>2205</v>
      </c>
      <c r="CL90" s="12" t="s">
        <v>885</v>
      </c>
      <c r="CM90" s="12" t="s">
        <v>2206</v>
      </c>
      <c r="CN90" s="12" t="s">
        <v>2207</v>
      </c>
      <c r="CO90" s="12" t="s">
        <v>2208</v>
      </c>
      <c r="CP90" s="12" t="s">
        <v>1154</v>
      </c>
      <c r="CQ90" s="12" t="s">
        <v>2209</v>
      </c>
      <c r="CR90" s="12" t="s">
        <v>2210</v>
      </c>
      <c r="CS90" s="12" t="s">
        <v>1192</v>
      </c>
      <c r="CT90" s="12" t="s">
        <v>2211</v>
      </c>
    </row>
    <row r="91" spans="1:98" hidden="1" x14ac:dyDescent="0.3">
      <c r="A91" s="12" t="s">
        <v>25</v>
      </c>
      <c r="B91" s="12" t="s">
        <v>2212</v>
      </c>
      <c r="C91" s="12" t="s">
        <v>2213</v>
      </c>
      <c r="D91" s="12" t="s">
        <v>2213</v>
      </c>
      <c r="E91" s="12" t="s">
        <v>578</v>
      </c>
      <c r="F91" s="12" t="s">
        <v>578</v>
      </c>
      <c r="G91" s="12" t="s">
        <v>578</v>
      </c>
      <c r="H91" s="12" t="s">
        <v>578</v>
      </c>
      <c r="I91" s="12" t="s">
        <v>578</v>
      </c>
      <c r="J91" s="12" t="s">
        <v>578</v>
      </c>
      <c r="K91" s="12" t="s">
        <v>578</v>
      </c>
      <c r="L91" s="12" t="s">
        <v>578</v>
      </c>
      <c r="M91" s="12" t="s">
        <v>578</v>
      </c>
      <c r="N91" s="12" t="s">
        <v>578</v>
      </c>
      <c r="O91" s="12" t="s">
        <v>578</v>
      </c>
      <c r="P91" s="12" t="s">
        <v>578</v>
      </c>
      <c r="Q91" s="12" t="s">
        <v>578</v>
      </c>
      <c r="R91" s="12" t="s">
        <v>578</v>
      </c>
      <c r="S91" s="12" t="s">
        <v>578</v>
      </c>
      <c r="T91" s="12" t="s">
        <v>578</v>
      </c>
      <c r="U91" s="12" t="s">
        <v>919</v>
      </c>
      <c r="V91" s="12" t="s">
        <v>919</v>
      </c>
      <c r="W91" s="12" t="s">
        <v>633</v>
      </c>
      <c r="X91" s="12" t="s">
        <v>1356</v>
      </c>
      <c r="Y91" s="12" t="s">
        <v>1356</v>
      </c>
      <c r="Z91" s="12" t="s">
        <v>1026</v>
      </c>
      <c r="AA91" s="12" t="s">
        <v>1026</v>
      </c>
      <c r="AB91" s="12" t="s">
        <v>1163</v>
      </c>
      <c r="AC91" s="12" t="s">
        <v>1129</v>
      </c>
      <c r="AD91" s="12" t="s">
        <v>995</v>
      </c>
      <c r="AE91" s="12" t="s">
        <v>688</v>
      </c>
      <c r="AF91" s="12" t="s">
        <v>1402</v>
      </c>
      <c r="AG91" s="12" t="s">
        <v>1165</v>
      </c>
      <c r="AH91" s="12" t="s">
        <v>666</v>
      </c>
      <c r="AI91" s="12" t="s">
        <v>666</v>
      </c>
      <c r="AJ91" s="12" t="s">
        <v>666</v>
      </c>
      <c r="AK91" s="12" t="s">
        <v>2214</v>
      </c>
      <c r="AL91" s="12" t="s">
        <v>2214</v>
      </c>
      <c r="AM91" s="12" t="s">
        <v>2214</v>
      </c>
      <c r="AN91" s="12" t="s">
        <v>2215</v>
      </c>
      <c r="AO91" s="12" t="s">
        <v>2215</v>
      </c>
      <c r="AP91" s="12" t="s">
        <v>2215</v>
      </c>
      <c r="AQ91" s="12" t="s">
        <v>2215</v>
      </c>
      <c r="AR91" s="12" t="s">
        <v>2215</v>
      </c>
      <c r="AS91" s="12" t="s">
        <v>2215</v>
      </c>
      <c r="AT91" s="12" t="s">
        <v>2216</v>
      </c>
      <c r="AU91" s="12" t="s">
        <v>2216</v>
      </c>
      <c r="AV91" s="12" t="s">
        <v>2216</v>
      </c>
      <c r="AW91" s="12" t="s">
        <v>2216</v>
      </c>
      <c r="AX91" s="12" t="s">
        <v>2216</v>
      </c>
      <c r="AY91" s="12" t="s">
        <v>2216</v>
      </c>
      <c r="AZ91" s="12" t="s">
        <v>2216</v>
      </c>
      <c r="BA91" s="12" t="s">
        <v>2216</v>
      </c>
      <c r="BB91" s="12" t="s">
        <v>2216</v>
      </c>
      <c r="BC91" s="12" t="s">
        <v>2216</v>
      </c>
      <c r="BD91" s="12" t="s">
        <v>2216</v>
      </c>
      <c r="BE91" s="12" t="s">
        <v>2216</v>
      </c>
      <c r="BF91" s="12" t="s">
        <v>2216</v>
      </c>
      <c r="BG91" s="12" t="s">
        <v>2216</v>
      </c>
      <c r="BH91" s="12" t="s">
        <v>2216</v>
      </c>
      <c r="BI91" s="12" t="s">
        <v>2217</v>
      </c>
      <c r="BJ91" s="12" t="s">
        <v>2217</v>
      </c>
      <c r="BK91" s="12" t="s">
        <v>2217</v>
      </c>
      <c r="BL91" s="12" t="s">
        <v>2217</v>
      </c>
      <c r="BM91" s="12" t="s">
        <v>2217</v>
      </c>
      <c r="BN91" s="12" t="s">
        <v>2217</v>
      </c>
      <c r="BO91" s="12" t="s">
        <v>2217</v>
      </c>
      <c r="BP91" s="12" t="s">
        <v>2217</v>
      </c>
      <c r="BQ91" s="12" t="s">
        <v>2217</v>
      </c>
      <c r="BR91" s="12" t="s">
        <v>2217</v>
      </c>
      <c r="BS91" s="12" t="s">
        <v>2217</v>
      </c>
      <c r="BT91" s="12" t="s">
        <v>2217</v>
      </c>
      <c r="BU91" s="12" t="s">
        <v>2217</v>
      </c>
      <c r="BV91" s="12" t="s">
        <v>2217</v>
      </c>
      <c r="BW91" s="12" t="s">
        <v>2217</v>
      </c>
      <c r="BX91" s="12" t="s">
        <v>2217</v>
      </c>
      <c r="BY91" s="12" t="s">
        <v>2217</v>
      </c>
      <c r="BZ91" s="12" t="s">
        <v>2217</v>
      </c>
      <c r="CA91" s="12" t="s">
        <v>2217</v>
      </c>
      <c r="CB91" s="12" t="s">
        <v>2217</v>
      </c>
      <c r="CC91" s="12" t="s">
        <v>2217</v>
      </c>
      <c r="CD91" s="12" t="s">
        <v>2217</v>
      </c>
      <c r="CE91" s="12" t="s">
        <v>2217</v>
      </c>
      <c r="CF91" s="12" t="s">
        <v>2217</v>
      </c>
      <c r="CG91" s="12" t="s">
        <v>2217</v>
      </c>
      <c r="CH91" s="12" t="s">
        <v>2217</v>
      </c>
      <c r="CI91" s="12" t="s">
        <v>2217</v>
      </c>
      <c r="CJ91" s="12" t="s">
        <v>2217</v>
      </c>
      <c r="CK91" s="12" t="s">
        <v>2217</v>
      </c>
      <c r="CL91" s="12" t="s">
        <v>2217</v>
      </c>
      <c r="CM91" s="12" t="s">
        <v>2217</v>
      </c>
      <c r="CN91" s="12" t="s">
        <v>2217</v>
      </c>
      <c r="CO91" s="12" t="s">
        <v>2217</v>
      </c>
      <c r="CP91" s="12" t="s">
        <v>2217</v>
      </c>
      <c r="CQ91" s="12" t="s">
        <v>2217</v>
      </c>
      <c r="CR91" s="12" t="s">
        <v>2217</v>
      </c>
      <c r="CS91" s="12" t="s">
        <v>2217</v>
      </c>
      <c r="CT91" s="12" t="s">
        <v>2217</v>
      </c>
    </row>
    <row r="92" spans="1:98" hidden="1" x14ac:dyDescent="0.3">
      <c r="A92" s="12" t="s">
        <v>25</v>
      </c>
      <c r="B92" s="12" t="s">
        <v>2218</v>
      </c>
      <c r="C92" s="12" t="s">
        <v>2219</v>
      </c>
      <c r="D92" s="12" t="s">
        <v>2220</v>
      </c>
      <c r="E92" s="12" t="s">
        <v>578</v>
      </c>
      <c r="F92" s="12" t="s">
        <v>578</v>
      </c>
      <c r="G92" s="12" t="s">
        <v>578</v>
      </c>
      <c r="H92" s="12" t="s">
        <v>578</v>
      </c>
      <c r="I92" s="12" t="s">
        <v>578</v>
      </c>
      <c r="J92" s="12" t="s">
        <v>578</v>
      </c>
      <c r="K92" s="12" t="s">
        <v>578</v>
      </c>
      <c r="L92" s="12" t="s">
        <v>578</v>
      </c>
      <c r="M92" s="12" t="s">
        <v>578</v>
      </c>
      <c r="N92" s="12" t="s">
        <v>578</v>
      </c>
      <c r="O92" s="12" t="s">
        <v>578</v>
      </c>
      <c r="P92" s="12" t="s">
        <v>578</v>
      </c>
      <c r="Q92" s="12" t="s">
        <v>578</v>
      </c>
      <c r="R92" s="12" t="s">
        <v>578</v>
      </c>
      <c r="S92" s="12" t="s">
        <v>578</v>
      </c>
      <c r="T92" s="12" t="s">
        <v>578</v>
      </c>
      <c r="U92" s="12" t="s">
        <v>578</v>
      </c>
      <c r="V92" s="12" t="s">
        <v>578</v>
      </c>
      <c r="W92" s="12" t="s">
        <v>578</v>
      </c>
      <c r="X92" s="12" t="s">
        <v>578</v>
      </c>
      <c r="Y92" s="12" t="s">
        <v>578</v>
      </c>
      <c r="Z92" s="12" t="s">
        <v>578</v>
      </c>
      <c r="AA92" s="12" t="s">
        <v>578</v>
      </c>
      <c r="AB92" s="12" t="s">
        <v>578</v>
      </c>
      <c r="AC92" s="12" t="s">
        <v>578</v>
      </c>
      <c r="AD92" s="12" t="s">
        <v>578</v>
      </c>
      <c r="AE92" s="12" t="s">
        <v>578</v>
      </c>
      <c r="AF92" s="12" t="s">
        <v>578</v>
      </c>
      <c r="AG92" s="12" t="s">
        <v>578</v>
      </c>
      <c r="AH92" s="12" t="s">
        <v>578</v>
      </c>
      <c r="AI92" s="12" t="s">
        <v>578</v>
      </c>
      <c r="AJ92" s="12" t="s">
        <v>578</v>
      </c>
      <c r="AK92" s="12" t="s">
        <v>578</v>
      </c>
      <c r="AL92" s="12" t="s">
        <v>578</v>
      </c>
      <c r="AM92" s="12" t="s">
        <v>578</v>
      </c>
      <c r="AN92" s="12" t="s">
        <v>578</v>
      </c>
      <c r="AO92" s="12" t="s">
        <v>578</v>
      </c>
      <c r="AP92" s="12" t="s">
        <v>578</v>
      </c>
      <c r="AQ92" s="12" t="s">
        <v>578</v>
      </c>
      <c r="AR92" s="12" t="s">
        <v>578</v>
      </c>
      <c r="AS92" s="12" t="s">
        <v>578</v>
      </c>
      <c r="AT92" s="12" t="s">
        <v>578</v>
      </c>
      <c r="AU92" s="12" t="s">
        <v>578</v>
      </c>
      <c r="AV92" s="12" t="s">
        <v>578</v>
      </c>
      <c r="AW92" s="12" t="s">
        <v>578</v>
      </c>
      <c r="AX92" s="12" t="s">
        <v>578</v>
      </c>
      <c r="AY92" s="12" t="s">
        <v>578</v>
      </c>
      <c r="AZ92" s="12" t="s">
        <v>578</v>
      </c>
      <c r="BA92" s="12" t="s">
        <v>578</v>
      </c>
      <c r="BB92" s="12" t="s">
        <v>578</v>
      </c>
      <c r="BC92" s="12" t="s">
        <v>672</v>
      </c>
      <c r="BD92" s="12" t="s">
        <v>580</v>
      </c>
      <c r="BE92" s="12" t="s">
        <v>580</v>
      </c>
      <c r="BF92" s="12" t="s">
        <v>580</v>
      </c>
      <c r="BG92" s="12" t="s">
        <v>580</v>
      </c>
      <c r="BH92" s="12" t="s">
        <v>581</v>
      </c>
      <c r="BI92" s="12" t="s">
        <v>582</v>
      </c>
      <c r="BJ92" s="12" t="s">
        <v>583</v>
      </c>
      <c r="BK92" s="12" t="s">
        <v>584</v>
      </c>
      <c r="BL92" s="12" t="s">
        <v>585</v>
      </c>
      <c r="BM92" s="12" t="s">
        <v>917</v>
      </c>
      <c r="BN92" s="12" t="s">
        <v>588</v>
      </c>
      <c r="BO92" s="12" t="s">
        <v>678</v>
      </c>
      <c r="BP92" s="12" t="s">
        <v>992</v>
      </c>
      <c r="BQ92" s="12" t="s">
        <v>955</v>
      </c>
      <c r="BR92" s="12" t="s">
        <v>856</v>
      </c>
      <c r="BS92" s="12" t="s">
        <v>1418</v>
      </c>
      <c r="BT92" s="12" t="s">
        <v>683</v>
      </c>
      <c r="BU92" s="12" t="s">
        <v>594</v>
      </c>
      <c r="BV92" s="12" t="s">
        <v>640</v>
      </c>
      <c r="BW92" s="12" t="s">
        <v>642</v>
      </c>
      <c r="BX92" s="12" t="s">
        <v>1423</v>
      </c>
      <c r="BY92" s="12" t="s">
        <v>2221</v>
      </c>
      <c r="BZ92" s="12" t="s">
        <v>1395</v>
      </c>
      <c r="CA92" s="12" t="s">
        <v>1611</v>
      </c>
      <c r="CB92" s="12" t="s">
        <v>1746</v>
      </c>
      <c r="CC92" s="12" t="s">
        <v>960</v>
      </c>
      <c r="CD92" s="12" t="s">
        <v>1369</v>
      </c>
      <c r="CE92" s="12" t="s">
        <v>1134</v>
      </c>
      <c r="CF92" s="12" t="s">
        <v>739</v>
      </c>
      <c r="CG92" s="12" t="s">
        <v>2222</v>
      </c>
      <c r="CH92" s="12" t="s">
        <v>879</v>
      </c>
      <c r="CI92" s="12" t="s">
        <v>2223</v>
      </c>
      <c r="CJ92" s="12" t="s">
        <v>2224</v>
      </c>
      <c r="CK92" s="12" t="s">
        <v>2225</v>
      </c>
      <c r="CL92" s="12" t="s">
        <v>1895</v>
      </c>
      <c r="CM92" s="12" t="s">
        <v>2226</v>
      </c>
      <c r="CN92" s="12" t="s">
        <v>692</v>
      </c>
      <c r="CO92" s="12" t="s">
        <v>1902</v>
      </c>
      <c r="CP92" s="12" t="s">
        <v>2227</v>
      </c>
      <c r="CQ92" s="12" t="s">
        <v>2228</v>
      </c>
      <c r="CR92" s="12" t="s">
        <v>2229</v>
      </c>
      <c r="CS92" s="12" t="s">
        <v>2230</v>
      </c>
      <c r="CT92" s="12" t="s">
        <v>1300</v>
      </c>
    </row>
    <row r="93" spans="1:98" hidden="1" x14ac:dyDescent="0.3">
      <c r="A93" s="12" t="s">
        <v>25</v>
      </c>
      <c r="B93" s="12" t="s">
        <v>2231</v>
      </c>
      <c r="C93" s="12" t="s">
        <v>2232</v>
      </c>
      <c r="D93" s="12" t="s">
        <v>2233</v>
      </c>
      <c r="E93" s="12" t="s">
        <v>578</v>
      </c>
      <c r="F93" s="12" t="s">
        <v>578</v>
      </c>
      <c r="G93" s="12" t="s">
        <v>578</v>
      </c>
      <c r="H93" s="12" t="s">
        <v>578</v>
      </c>
      <c r="I93" s="12" t="s">
        <v>578</v>
      </c>
      <c r="J93" s="12" t="s">
        <v>578</v>
      </c>
      <c r="K93" s="12" t="s">
        <v>578</v>
      </c>
      <c r="L93" s="12" t="s">
        <v>578</v>
      </c>
      <c r="M93" s="12" t="s">
        <v>578</v>
      </c>
      <c r="N93" s="12" t="s">
        <v>578</v>
      </c>
      <c r="O93" s="12" t="s">
        <v>578</v>
      </c>
      <c r="P93" s="12" t="s">
        <v>578</v>
      </c>
      <c r="Q93" s="12" t="s">
        <v>578</v>
      </c>
      <c r="R93" s="12" t="s">
        <v>578</v>
      </c>
      <c r="S93" s="12" t="s">
        <v>578</v>
      </c>
      <c r="T93" s="12" t="s">
        <v>578</v>
      </c>
      <c r="U93" s="12" t="s">
        <v>578</v>
      </c>
      <c r="V93" s="12" t="s">
        <v>578</v>
      </c>
      <c r="W93" s="12" t="s">
        <v>578</v>
      </c>
      <c r="X93" s="12" t="s">
        <v>578</v>
      </c>
      <c r="Y93" s="12" t="s">
        <v>578</v>
      </c>
      <c r="Z93" s="12" t="s">
        <v>578</v>
      </c>
      <c r="AA93" s="12" t="s">
        <v>578</v>
      </c>
      <c r="AB93" s="12" t="s">
        <v>578</v>
      </c>
      <c r="AC93" s="12" t="s">
        <v>578</v>
      </c>
      <c r="AD93" s="12" t="s">
        <v>578</v>
      </c>
      <c r="AE93" s="12" t="s">
        <v>578</v>
      </c>
      <c r="AF93" s="12" t="s">
        <v>578</v>
      </c>
      <c r="AG93" s="12" t="s">
        <v>578</v>
      </c>
      <c r="AH93" s="12" t="s">
        <v>578</v>
      </c>
      <c r="AI93" s="12" t="s">
        <v>578</v>
      </c>
      <c r="AJ93" s="12" t="s">
        <v>578</v>
      </c>
      <c r="AK93" s="12" t="s">
        <v>578</v>
      </c>
      <c r="AL93" s="12" t="s">
        <v>578</v>
      </c>
      <c r="AM93" s="12" t="s">
        <v>578</v>
      </c>
      <c r="AN93" s="12" t="s">
        <v>578</v>
      </c>
      <c r="AO93" s="12" t="s">
        <v>578</v>
      </c>
      <c r="AP93" s="12" t="s">
        <v>578</v>
      </c>
      <c r="AQ93" s="12" t="s">
        <v>578</v>
      </c>
      <c r="AR93" s="12" t="s">
        <v>578</v>
      </c>
      <c r="AS93" s="12" t="s">
        <v>578</v>
      </c>
      <c r="AT93" s="12" t="s">
        <v>578</v>
      </c>
      <c r="AU93" s="12" t="s">
        <v>578</v>
      </c>
      <c r="AV93" s="12" t="s">
        <v>578</v>
      </c>
      <c r="AW93" s="12" t="s">
        <v>578</v>
      </c>
      <c r="AX93" s="12" t="s">
        <v>578</v>
      </c>
      <c r="AY93" s="12" t="s">
        <v>578</v>
      </c>
      <c r="AZ93" s="12" t="s">
        <v>623</v>
      </c>
      <c r="BA93" s="12" t="s">
        <v>672</v>
      </c>
      <c r="BB93" s="12" t="s">
        <v>851</v>
      </c>
      <c r="BC93" s="12" t="s">
        <v>851</v>
      </c>
      <c r="BD93" s="12" t="s">
        <v>756</v>
      </c>
      <c r="BE93" s="12" t="s">
        <v>676</v>
      </c>
      <c r="BF93" s="12" t="s">
        <v>676</v>
      </c>
      <c r="BG93" s="12" t="s">
        <v>627</v>
      </c>
      <c r="BH93" s="12" t="s">
        <v>918</v>
      </c>
      <c r="BI93" s="12" t="s">
        <v>991</v>
      </c>
      <c r="BJ93" s="12" t="s">
        <v>955</v>
      </c>
      <c r="BK93" s="12" t="s">
        <v>955</v>
      </c>
      <c r="BL93" s="12" t="s">
        <v>590</v>
      </c>
      <c r="BM93" s="12" t="s">
        <v>1125</v>
      </c>
      <c r="BN93" s="12" t="s">
        <v>1500</v>
      </c>
      <c r="BO93" s="12" t="s">
        <v>1750</v>
      </c>
      <c r="BP93" s="12" t="s">
        <v>1261</v>
      </c>
      <c r="BQ93" s="12" t="s">
        <v>639</v>
      </c>
      <c r="BR93" s="12" t="s">
        <v>1310</v>
      </c>
      <c r="BS93" s="12" t="s">
        <v>1734</v>
      </c>
      <c r="BT93" s="12" t="s">
        <v>1126</v>
      </c>
      <c r="BU93" s="12" t="s">
        <v>685</v>
      </c>
      <c r="BV93" s="12" t="s">
        <v>1494</v>
      </c>
      <c r="BW93" s="12" t="s">
        <v>1611</v>
      </c>
      <c r="BX93" s="12" t="s">
        <v>1888</v>
      </c>
      <c r="BY93" s="12" t="s">
        <v>960</v>
      </c>
      <c r="BZ93" s="12" t="s">
        <v>1698</v>
      </c>
      <c r="CA93" s="12" t="s">
        <v>656</v>
      </c>
      <c r="CB93" s="12" t="s">
        <v>1269</v>
      </c>
      <c r="CC93" s="12" t="s">
        <v>659</v>
      </c>
      <c r="CD93" s="12" t="s">
        <v>2066</v>
      </c>
      <c r="CE93" s="12" t="s">
        <v>739</v>
      </c>
      <c r="CF93" s="12" t="s">
        <v>2171</v>
      </c>
      <c r="CG93" s="12" t="s">
        <v>1408</v>
      </c>
      <c r="CH93" s="12" t="s">
        <v>1988</v>
      </c>
      <c r="CI93" s="12" t="s">
        <v>2175</v>
      </c>
      <c r="CJ93" s="12" t="s">
        <v>2234</v>
      </c>
      <c r="CK93" s="12" t="s">
        <v>2235</v>
      </c>
      <c r="CL93" s="12" t="s">
        <v>2236</v>
      </c>
      <c r="CM93" s="12" t="s">
        <v>2039</v>
      </c>
      <c r="CN93" s="12" t="s">
        <v>1906</v>
      </c>
      <c r="CO93" s="12" t="s">
        <v>2044</v>
      </c>
      <c r="CP93" s="12" t="s">
        <v>1526</v>
      </c>
      <c r="CQ93" s="12" t="s">
        <v>610</v>
      </c>
      <c r="CR93" s="12" t="s">
        <v>2191</v>
      </c>
      <c r="CS93" s="12" t="s">
        <v>2237</v>
      </c>
      <c r="CT93" s="12" t="s">
        <v>1290</v>
      </c>
    </row>
    <row r="94" spans="1:98" hidden="1" x14ac:dyDescent="0.3">
      <c r="A94" s="12" t="s">
        <v>25</v>
      </c>
      <c r="B94" s="12" t="s">
        <v>2238</v>
      </c>
      <c r="C94" s="12" t="s">
        <v>2239</v>
      </c>
      <c r="D94" s="12" t="s">
        <v>2240</v>
      </c>
      <c r="E94" s="12" t="s">
        <v>578</v>
      </c>
      <c r="F94" s="12" t="s">
        <v>578</v>
      </c>
      <c r="G94" s="12" t="s">
        <v>578</v>
      </c>
      <c r="H94" s="12" t="s">
        <v>578</v>
      </c>
      <c r="I94" s="12" t="s">
        <v>578</v>
      </c>
      <c r="J94" s="12" t="s">
        <v>578</v>
      </c>
      <c r="K94" s="12" t="s">
        <v>578</v>
      </c>
      <c r="L94" s="12" t="s">
        <v>578</v>
      </c>
      <c r="M94" s="12" t="s">
        <v>578</v>
      </c>
      <c r="N94" s="12" t="s">
        <v>578</v>
      </c>
      <c r="O94" s="12" t="s">
        <v>578</v>
      </c>
      <c r="P94" s="12" t="s">
        <v>578</v>
      </c>
      <c r="Q94" s="12" t="s">
        <v>578</v>
      </c>
      <c r="R94" s="12" t="s">
        <v>578</v>
      </c>
      <c r="S94" s="12" t="s">
        <v>578</v>
      </c>
      <c r="T94" s="12" t="s">
        <v>578</v>
      </c>
      <c r="U94" s="12" t="s">
        <v>578</v>
      </c>
      <c r="V94" s="12" t="s">
        <v>578</v>
      </c>
      <c r="W94" s="12" t="s">
        <v>578</v>
      </c>
      <c r="X94" s="12" t="s">
        <v>578</v>
      </c>
      <c r="Y94" s="12" t="s">
        <v>578</v>
      </c>
      <c r="Z94" s="12" t="s">
        <v>578</v>
      </c>
      <c r="AA94" s="12" t="s">
        <v>578</v>
      </c>
      <c r="AB94" s="12" t="s">
        <v>578</v>
      </c>
      <c r="AC94" s="12" t="s">
        <v>578</v>
      </c>
      <c r="AD94" s="12" t="s">
        <v>578</v>
      </c>
      <c r="AE94" s="12" t="s">
        <v>578</v>
      </c>
      <c r="AF94" s="12" t="s">
        <v>578</v>
      </c>
      <c r="AG94" s="12" t="s">
        <v>578</v>
      </c>
      <c r="AH94" s="12" t="s">
        <v>578</v>
      </c>
      <c r="AI94" s="12" t="s">
        <v>578</v>
      </c>
      <c r="AJ94" s="12" t="s">
        <v>578</v>
      </c>
      <c r="AK94" s="12" t="s">
        <v>578</v>
      </c>
      <c r="AL94" s="12" t="s">
        <v>578</v>
      </c>
      <c r="AM94" s="12" t="s">
        <v>578</v>
      </c>
      <c r="AN94" s="12" t="s">
        <v>578</v>
      </c>
      <c r="AO94" s="12" t="s">
        <v>578</v>
      </c>
      <c r="AP94" s="12" t="s">
        <v>578</v>
      </c>
      <c r="AQ94" s="12" t="s">
        <v>578</v>
      </c>
      <c r="AR94" s="12" t="s">
        <v>672</v>
      </c>
      <c r="AS94" s="12" t="s">
        <v>672</v>
      </c>
      <c r="AT94" s="12" t="s">
        <v>581</v>
      </c>
      <c r="AU94" s="12" t="s">
        <v>755</v>
      </c>
      <c r="AV94" s="12" t="s">
        <v>625</v>
      </c>
      <c r="AW94" s="12" t="s">
        <v>808</v>
      </c>
      <c r="AX94" s="12" t="s">
        <v>674</v>
      </c>
      <c r="AY94" s="12" t="s">
        <v>766</v>
      </c>
      <c r="AZ94" s="12" t="s">
        <v>766</v>
      </c>
      <c r="BA94" s="12" t="s">
        <v>1046</v>
      </c>
      <c r="BB94" s="12" t="s">
        <v>857</v>
      </c>
      <c r="BC94" s="12" t="s">
        <v>591</v>
      </c>
      <c r="BD94" s="12" t="s">
        <v>2013</v>
      </c>
      <c r="BE94" s="12" t="s">
        <v>1976</v>
      </c>
      <c r="BF94" s="12" t="s">
        <v>1491</v>
      </c>
      <c r="BG94" s="12" t="s">
        <v>1098</v>
      </c>
      <c r="BH94" s="12" t="s">
        <v>960</v>
      </c>
      <c r="BI94" s="12" t="s">
        <v>1843</v>
      </c>
      <c r="BJ94" s="12" t="s">
        <v>2241</v>
      </c>
      <c r="BK94" s="12" t="s">
        <v>828</v>
      </c>
      <c r="BL94" s="12" t="s">
        <v>2242</v>
      </c>
      <c r="BM94" s="12" t="s">
        <v>2243</v>
      </c>
      <c r="BN94" s="12" t="s">
        <v>2124</v>
      </c>
      <c r="BO94" s="12" t="s">
        <v>2244</v>
      </c>
      <c r="BP94" s="12" t="s">
        <v>2245</v>
      </c>
      <c r="BQ94" s="12" t="s">
        <v>2246</v>
      </c>
      <c r="BR94" s="12" t="s">
        <v>2247</v>
      </c>
      <c r="BS94" s="12" t="s">
        <v>2248</v>
      </c>
      <c r="BT94" s="12" t="s">
        <v>2249</v>
      </c>
      <c r="BU94" s="12" t="s">
        <v>2250</v>
      </c>
      <c r="BV94" s="12" t="s">
        <v>2251</v>
      </c>
      <c r="BW94" s="12" t="s">
        <v>2252</v>
      </c>
      <c r="BX94" s="12" t="s">
        <v>2253</v>
      </c>
      <c r="BY94" s="12" t="s">
        <v>2254</v>
      </c>
      <c r="BZ94" s="12" t="s">
        <v>2255</v>
      </c>
      <c r="CA94" s="12" t="s">
        <v>2256</v>
      </c>
      <c r="CB94" s="12" t="s">
        <v>2257</v>
      </c>
      <c r="CC94" s="12" t="s">
        <v>2258</v>
      </c>
      <c r="CD94" s="12" t="s">
        <v>2259</v>
      </c>
      <c r="CE94" s="12" t="s">
        <v>2260</v>
      </c>
      <c r="CF94" s="12" t="s">
        <v>2261</v>
      </c>
      <c r="CG94" s="12" t="s">
        <v>2262</v>
      </c>
      <c r="CH94" s="12" t="s">
        <v>2263</v>
      </c>
      <c r="CI94" s="12" t="s">
        <v>2264</v>
      </c>
      <c r="CJ94" s="12" t="s">
        <v>2265</v>
      </c>
      <c r="CK94" s="12" t="s">
        <v>2266</v>
      </c>
      <c r="CL94" s="12" t="s">
        <v>2267</v>
      </c>
      <c r="CM94" s="12" t="s">
        <v>2268</v>
      </c>
      <c r="CN94" s="12" t="s">
        <v>2269</v>
      </c>
      <c r="CO94" s="12" t="s">
        <v>2270</v>
      </c>
      <c r="CP94" s="12" t="s">
        <v>2271</v>
      </c>
      <c r="CQ94" s="12" t="s">
        <v>2272</v>
      </c>
      <c r="CR94" s="12" t="s">
        <v>2273</v>
      </c>
      <c r="CS94" s="12" t="s">
        <v>2274</v>
      </c>
      <c r="CT94" s="12" t="s">
        <v>2275</v>
      </c>
    </row>
    <row r="95" spans="1:98" hidden="1" x14ac:dyDescent="0.3">
      <c r="A95" s="12" t="s">
        <v>2276</v>
      </c>
      <c r="B95" s="12" t="s">
        <v>2277</v>
      </c>
      <c r="C95" s="12" t="s">
        <v>2278</v>
      </c>
      <c r="D95" s="12" t="s">
        <v>2279</v>
      </c>
      <c r="E95" s="12" t="s">
        <v>578</v>
      </c>
      <c r="F95" s="12" t="s">
        <v>578</v>
      </c>
      <c r="G95" s="12" t="s">
        <v>578</v>
      </c>
      <c r="H95" s="12" t="s">
        <v>578</v>
      </c>
      <c r="I95" s="12" t="s">
        <v>578</v>
      </c>
      <c r="J95" s="12" t="s">
        <v>578</v>
      </c>
      <c r="K95" s="12" t="s">
        <v>578</v>
      </c>
      <c r="L95" s="12" t="s">
        <v>578</v>
      </c>
      <c r="M95" s="12" t="s">
        <v>578</v>
      </c>
      <c r="N95" s="12" t="s">
        <v>578</v>
      </c>
      <c r="O95" s="12" t="s">
        <v>578</v>
      </c>
      <c r="P95" s="12" t="s">
        <v>578</v>
      </c>
      <c r="Q95" s="12" t="s">
        <v>578</v>
      </c>
      <c r="R95" s="12" t="s">
        <v>578</v>
      </c>
      <c r="S95" s="12" t="s">
        <v>578</v>
      </c>
      <c r="T95" s="12" t="s">
        <v>578</v>
      </c>
      <c r="U95" s="12" t="s">
        <v>578</v>
      </c>
      <c r="V95" s="12" t="s">
        <v>578</v>
      </c>
      <c r="W95" s="12" t="s">
        <v>578</v>
      </c>
      <c r="X95" s="12" t="s">
        <v>578</v>
      </c>
      <c r="Y95" s="12" t="s">
        <v>578</v>
      </c>
      <c r="Z95" s="12" t="s">
        <v>578</v>
      </c>
      <c r="AA95" s="12" t="s">
        <v>578</v>
      </c>
      <c r="AB95" s="12" t="s">
        <v>578</v>
      </c>
      <c r="AC95" s="12" t="s">
        <v>578</v>
      </c>
      <c r="AD95" s="12" t="s">
        <v>578</v>
      </c>
      <c r="AE95" s="12" t="s">
        <v>578</v>
      </c>
      <c r="AF95" s="12" t="s">
        <v>578</v>
      </c>
      <c r="AG95" s="12" t="s">
        <v>578</v>
      </c>
      <c r="AH95" s="12" t="s">
        <v>578</v>
      </c>
      <c r="AI95" s="12" t="s">
        <v>578</v>
      </c>
      <c r="AJ95" s="12" t="s">
        <v>578</v>
      </c>
      <c r="AK95" s="12" t="s">
        <v>578</v>
      </c>
      <c r="AL95" s="12" t="s">
        <v>578</v>
      </c>
      <c r="AM95" s="12" t="s">
        <v>578</v>
      </c>
      <c r="AN95" s="12" t="s">
        <v>578</v>
      </c>
      <c r="AO95" s="12" t="s">
        <v>578</v>
      </c>
      <c r="AP95" s="12" t="s">
        <v>578</v>
      </c>
      <c r="AQ95" s="12" t="s">
        <v>578</v>
      </c>
      <c r="AR95" s="12" t="s">
        <v>578</v>
      </c>
      <c r="AS95" s="12" t="s">
        <v>578</v>
      </c>
      <c r="AT95" s="12" t="s">
        <v>578</v>
      </c>
      <c r="AU95" s="12" t="s">
        <v>579</v>
      </c>
      <c r="AV95" s="12" t="s">
        <v>579</v>
      </c>
      <c r="AW95" s="12" t="s">
        <v>579</v>
      </c>
      <c r="AX95" s="12" t="s">
        <v>579</v>
      </c>
      <c r="AY95" s="12" t="s">
        <v>623</v>
      </c>
      <c r="AZ95" s="12" t="s">
        <v>623</v>
      </c>
      <c r="BA95" s="12" t="s">
        <v>623</v>
      </c>
      <c r="BB95" s="12" t="s">
        <v>623</v>
      </c>
      <c r="BC95" s="12" t="s">
        <v>623</v>
      </c>
      <c r="BD95" s="12" t="s">
        <v>672</v>
      </c>
      <c r="BE95" s="12" t="s">
        <v>761</v>
      </c>
      <c r="BF95" s="12" t="s">
        <v>583</v>
      </c>
      <c r="BG95" s="12" t="s">
        <v>808</v>
      </c>
      <c r="BH95" s="12" t="s">
        <v>972</v>
      </c>
      <c r="BI95" s="12" t="s">
        <v>1413</v>
      </c>
      <c r="BJ95" s="12" t="s">
        <v>975</v>
      </c>
      <c r="BK95" s="12" t="s">
        <v>856</v>
      </c>
      <c r="BL95" s="12" t="s">
        <v>871</v>
      </c>
      <c r="BM95" s="12" t="s">
        <v>811</v>
      </c>
      <c r="BN95" s="12" t="s">
        <v>1501</v>
      </c>
      <c r="BO95" s="12" t="s">
        <v>980</v>
      </c>
      <c r="BP95" s="12" t="s">
        <v>1261</v>
      </c>
      <c r="BQ95" s="12" t="s">
        <v>1025</v>
      </c>
      <c r="BR95" s="12" t="s">
        <v>920</v>
      </c>
      <c r="BS95" s="12" t="s">
        <v>1623</v>
      </c>
      <c r="BT95" s="12" t="s">
        <v>1733</v>
      </c>
      <c r="BU95" s="12" t="s">
        <v>1686</v>
      </c>
      <c r="BV95" s="12" t="s">
        <v>982</v>
      </c>
      <c r="BW95" s="12" t="s">
        <v>1516</v>
      </c>
      <c r="BX95" s="12" t="s">
        <v>1531</v>
      </c>
      <c r="BY95" s="12" t="s">
        <v>1734</v>
      </c>
      <c r="BZ95" s="12" t="s">
        <v>1569</v>
      </c>
      <c r="CA95" s="12" t="s">
        <v>1569</v>
      </c>
      <c r="CB95" s="12" t="s">
        <v>1263</v>
      </c>
      <c r="CC95" s="12" t="s">
        <v>921</v>
      </c>
      <c r="CD95" s="12" t="s">
        <v>921</v>
      </c>
      <c r="CE95" s="12" t="s">
        <v>921</v>
      </c>
      <c r="CF95" s="12" t="s">
        <v>921</v>
      </c>
      <c r="CG95" s="12" t="s">
        <v>921</v>
      </c>
      <c r="CH95" s="12" t="s">
        <v>921</v>
      </c>
      <c r="CI95" s="12" t="s">
        <v>921</v>
      </c>
      <c r="CJ95" s="12" t="s">
        <v>921</v>
      </c>
      <c r="CK95" s="12" t="s">
        <v>921</v>
      </c>
      <c r="CL95" s="12" t="s">
        <v>921</v>
      </c>
      <c r="CM95" s="12" t="s">
        <v>921</v>
      </c>
      <c r="CN95" s="12" t="s">
        <v>921</v>
      </c>
      <c r="CO95" s="12" t="s">
        <v>1532</v>
      </c>
      <c r="CP95" s="12" t="s">
        <v>1532</v>
      </c>
      <c r="CQ95" s="12" t="s">
        <v>1532</v>
      </c>
      <c r="CR95" s="12" t="s">
        <v>1532</v>
      </c>
      <c r="CS95" s="12" t="s">
        <v>1362</v>
      </c>
      <c r="CT95" s="12" t="s">
        <v>1362</v>
      </c>
    </row>
    <row r="96" spans="1:98" hidden="1" x14ac:dyDescent="0.3">
      <c r="A96" s="12" t="s">
        <v>2280</v>
      </c>
      <c r="B96" s="12" t="s">
        <v>2277</v>
      </c>
      <c r="C96" s="12" t="s">
        <v>2281</v>
      </c>
      <c r="D96" s="12" t="s">
        <v>2282</v>
      </c>
      <c r="E96" s="12" t="s">
        <v>578</v>
      </c>
      <c r="F96" s="12" t="s">
        <v>578</v>
      </c>
      <c r="G96" s="12" t="s">
        <v>578</v>
      </c>
      <c r="H96" s="12" t="s">
        <v>578</v>
      </c>
      <c r="I96" s="12" t="s">
        <v>578</v>
      </c>
      <c r="J96" s="12" t="s">
        <v>578</v>
      </c>
      <c r="K96" s="12" t="s">
        <v>578</v>
      </c>
      <c r="L96" s="12" t="s">
        <v>578</v>
      </c>
      <c r="M96" s="12" t="s">
        <v>578</v>
      </c>
      <c r="N96" s="12" t="s">
        <v>578</v>
      </c>
      <c r="O96" s="12" t="s">
        <v>578</v>
      </c>
      <c r="P96" s="12" t="s">
        <v>578</v>
      </c>
      <c r="Q96" s="12" t="s">
        <v>578</v>
      </c>
      <c r="R96" s="12" t="s">
        <v>578</v>
      </c>
      <c r="S96" s="12" t="s">
        <v>578</v>
      </c>
      <c r="T96" s="12" t="s">
        <v>578</v>
      </c>
      <c r="U96" s="12" t="s">
        <v>578</v>
      </c>
      <c r="V96" s="12" t="s">
        <v>578</v>
      </c>
      <c r="W96" s="12" t="s">
        <v>578</v>
      </c>
      <c r="X96" s="12" t="s">
        <v>578</v>
      </c>
      <c r="Y96" s="12" t="s">
        <v>578</v>
      </c>
      <c r="Z96" s="12" t="s">
        <v>578</v>
      </c>
      <c r="AA96" s="12" t="s">
        <v>578</v>
      </c>
      <c r="AB96" s="12" t="s">
        <v>578</v>
      </c>
      <c r="AC96" s="12" t="s">
        <v>578</v>
      </c>
      <c r="AD96" s="12" t="s">
        <v>578</v>
      </c>
      <c r="AE96" s="12" t="s">
        <v>578</v>
      </c>
      <c r="AF96" s="12" t="s">
        <v>578</v>
      </c>
      <c r="AG96" s="12" t="s">
        <v>578</v>
      </c>
      <c r="AH96" s="12" t="s">
        <v>578</v>
      </c>
      <c r="AI96" s="12" t="s">
        <v>578</v>
      </c>
      <c r="AJ96" s="12" t="s">
        <v>578</v>
      </c>
      <c r="AK96" s="12" t="s">
        <v>578</v>
      </c>
      <c r="AL96" s="12" t="s">
        <v>578</v>
      </c>
      <c r="AM96" s="12" t="s">
        <v>578</v>
      </c>
      <c r="AN96" s="12" t="s">
        <v>578</v>
      </c>
      <c r="AO96" s="12" t="s">
        <v>578</v>
      </c>
      <c r="AP96" s="12" t="s">
        <v>578</v>
      </c>
      <c r="AQ96" s="12" t="s">
        <v>578</v>
      </c>
      <c r="AR96" s="12" t="s">
        <v>578</v>
      </c>
      <c r="AS96" s="12" t="s">
        <v>578</v>
      </c>
      <c r="AT96" s="12" t="s">
        <v>578</v>
      </c>
      <c r="AU96" s="12" t="s">
        <v>578</v>
      </c>
      <c r="AV96" s="12" t="s">
        <v>578</v>
      </c>
      <c r="AW96" s="12" t="s">
        <v>578</v>
      </c>
      <c r="AX96" s="12" t="s">
        <v>578</v>
      </c>
      <c r="AY96" s="12" t="s">
        <v>578</v>
      </c>
      <c r="AZ96" s="12" t="s">
        <v>578</v>
      </c>
      <c r="BA96" s="12" t="s">
        <v>578</v>
      </c>
      <c r="BB96" s="12" t="s">
        <v>578</v>
      </c>
      <c r="BC96" s="12" t="s">
        <v>578</v>
      </c>
      <c r="BD96" s="12" t="s">
        <v>578</v>
      </c>
      <c r="BE96" s="12" t="s">
        <v>578</v>
      </c>
      <c r="BF96" s="12" t="s">
        <v>578</v>
      </c>
      <c r="BG96" s="12" t="s">
        <v>579</v>
      </c>
      <c r="BH96" s="12" t="s">
        <v>579</v>
      </c>
      <c r="BI96" s="12" t="s">
        <v>579</v>
      </c>
      <c r="BJ96" s="12" t="s">
        <v>623</v>
      </c>
      <c r="BK96" s="12" t="s">
        <v>623</v>
      </c>
      <c r="BL96" s="12" t="s">
        <v>623</v>
      </c>
      <c r="BM96" s="12" t="s">
        <v>580</v>
      </c>
      <c r="BN96" s="12" t="s">
        <v>580</v>
      </c>
      <c r="BO96" s="12" t="s">
        <v>581</v>
      </c>
      <c r="BP96" s="12" t="s">
        <v>851</v>
      </c>
      <c r="BQ96" s="12" t="s">
        <v>851</v>
      </c>
      <c r="BR96" s="12" t="s">
        <v>624</v>
      </c>
      <c r="BS96" s="12" t="s">
        <v>624</v>
      </c>
      <c r="BT96" s="12" t="s">
        <v>624</v>
      </c>
      <c r="BU96" s="12" t="s">
        <v>624</v>
      </c>
      <c r="BV96" s="12" t="s">
        <v>624</v>
      </c>
      <c r="BW96" s="12" t="s">
        <v>624</v>
      </c>
      <c r="BX96" s="12" t="s">
        <v>624</v>
      </c>
      <c r="BY96" s="12" t="s">
        <v>624</v>
      </c>
      <c r="BZ96" s="12" t="s">
        <v>583</v>
      </c>
      <c r="CA96" s="12" t="s">
        <v>583</v>
      </c>
      <c r="CB96" s="12" t="s">
        <v>583</v>
      </c>
      <c r="CC96" s="12" t="s">
        <v>583</v>
      </c>
      <c r="CD96" s="12" t="s">
        <v>583</v>
      </c>
      <c r="CE96" s="12" t="s">
        <v>583</v>
      </c>
      <c r="CF96" s="12" t="s">
        <v>583</v>
      </c>
      <c r="CG96" s="12" t="s">
        <v>583</v>
      </c>
      <c r="CH96" s="12" t="s">
        <v>583</v>
      </c>
      <c r="CI96" s="12" t="s">
        <v>583</v>
      </c>
      <c r="CJ96" s="12" t="s">
        <v>583</v>
      </c>
      <c r="CK96" s="12" t="s">
        <v>583</v>
      </c>
      <c r="CL96" s="12" t="s">
        <v>583</v>
      </c>
      <c r="CM96" s="12" t="s">
        <v>583</v>
      </c>
      <c r="CN96" s="12" t="s">
        <v>583</v>
      </c>
      <c r="CO96" s="12" t="s">
        <v>583</v>
      </c>
      <c r="CP96" s="12" t="s">
        <v>583</v>
      </c>
      <c r="CQ96" s="12" t="s">
        <v>583</v>
      </c>
      <c r="CR96" s="12" t="s">
        <v>583</v>
      </c>
      <c r="CS96" s="12" t="s">
        <v>583</v>
      </c>
      <c r="CT96" s="12" t="s">
        <v>583</v>
      </c>
    </row>
    <row r="97" spans="1:98" hidden="1" x14ac:dyDescent="0.3">
      <c r="A97" s="12" t="s">
        <v>25</v>
      </c>
      <c r="B97" s="12" t="s">
        <v>2277</v>
      </c>
      <c r="C97" s="12" t="s">
        <v>2283</v>
      </c>
      <c r="D97" s="12" t="s">
        <v>2284</v>
      </c>
      <c r="E97" s="12" t="s">
        <v>578</v>
      </c>
      <c r="F97" s="12" t="s">
        <v>578</v>
      </c>
      <c r="G97" s="12" t="s">
        <v>578</v>
      </c>
      <c r="H97" s="12" t="s">
        <v>578</v>
      </c>
      <c r="I97" s="12" t="s">
        <v>578</v>
      </c>
      <c r="J97" s="12" t="s">
        <v>578</v>
      </c>
      <c r="K97" s="12" t="s">
        <v>578</v>
      </c>
      <c r="L97" s="12" t="s">
        <v>578</v>
      </c>
      <c r="M97" s="12" t="s">
        <v>578</v>
      </c>
      <c r="N97" s="12" t="s">
        <v>578</v>
      </c>
      <c r="O97" s="12" t="s">
        <v>578</v>
      </c>
      <c r="P97" s="12" t="s">
        <v>578</v>
      </c>
      <c r="Q97" s="12" t="s">
        <v>578</v>
      </c>
      <c r="R97" s="12" t="s">
        <v>578</v>
      </c>
      <c r="S97" s="12" t="s">
        <v>578</v>
      </c>
      <c r="T97" s="12" t="s">
        <v>578</v>
      </c>
      <c r="U97" s="12" t="s">
        <v>578</v>
      </c>
      <c r="V97" s="12" t="s">
        <v>578</v>
      </c>
      <c r="W97" s="12" t="s">
        <v>578</v>
      </c>
      <c r="X97" s="12" t="s">
        <v>578</v>
      </c>
      <c r="Y97" s="12" t="s">
        <v>578</v>
      </c>
      <c r="Z97" s="12" t="s">
        <v>578</v>
      </c>
      <c r="AA97" s="12" t="s">
        <v>578</v>
      </c>
      <c r="AB97" s="12" t="s">
        <v>578</v>
      </c>
      <c r="AC97" s="12" t="s">
        <v>578</v>
      </c>
      <c r="AD97" s="12" t="s">
        <v>578</v>
      </c>
      <c r="AE97" s="12" t="s">
        <v>578</v>
      </c>
      <c r="AF97" s="12" t="s">
        <v>578</v>
      </c>
      <c r="AG97" s="12" t="s">
        <v>578</v>
      </c>
      <c r="AH97" s="12" t="s">
        <v>578</v>
      </c>
      <c r="AI97" s="12" t="s">
        <v>578</v>
      </c>
      <c r="AJ97" s="12" t="s">
        <v>578</v>
      </c>
      <c r="AK97" s="12" t="s">
        <v>578</v>
      </c>
      <c r="AL97" s="12" t="s">
        <v>578</v>
      </c>
      <c r="AM97" s="12" t="s">
        <v>578</v>
      </c>
      <c r="AN97" s="12" t="s">
        <v>578</v>
      </c>
      <c r="AO97" s="12" t="s">
        <v>579</v>
      </c>
      <c r="AP97" s="12" t="s">
        <v>579</v>
      </c>
      <c r="AQ97" s="12" t="s">
        <v>672</v>
      </c>
      <c r="AR97" s="12" t="s">
        <v>580</v>
      </c>
      <c r="AS97" s="12" t="s">
        <v>580</v>
      </c>
      <c r="AT97" s="12" t="s">
        <v>851</v>
      </c>
      <c r="AU97" s="12" t="s">
        <v>624</v>
      </c>
      <c r="AV97" s="12" t="s">
        <v>624</v>
      </c>
      <c r="AW97" s="12" t="s">
        <v>626</v>
      </c>
      <c r="AX97" s="12" t="s">
        <v>626</v>
      </c>
      <c r="AY97" s="12" t="s">
        <v>917</v>
      </c>
      <c r="AZ97" s="12" t="s">
        <v>682</v>
      </c>
      <c r="BA97" s="12" t="s">
        <v>1494</v>
      </c>
      <c r="BB97" s="12" t="s">
        <v>1699</v>
      </c>
      <c r="BC97" s="12" t="s">
        <v>2285</v>
      </c>
      <c r="BD97" s="12" t="s">
        <v>2182</v>
      </c>
      <c r="BE97" s="12" t="s">
        <v>1527</v>
      </c>
      <c r="BF97" s="12" t="s">
        <v>2286</v>
      </c>
      <c r="BG97" s="12" t="s">
        <v>1865</v>
      </c>
      <c r="BH97" s="12" t="s">
        <v>2287</v>
      </c>
      <c r="BI97" s="12" t="s">
        <v>2288</v>
      </c>
      <c r="BJ97" s="12" t="s">
        <v>2289</v>
      </c>
      <c r="BK97" s="12" t="s">
        <v>2129</v>
      </c>
      <c r="BL97" s="12" t="s">
        <v>2290</v>
      </c>
      <c r="BM97" s="12" t="s">
        <v>1779</v>
      </c>
      <c r="BN97" s="12" t="s">
        <v>2291</v>
      </c>
      <c r="BO97" s="12" t="s">
        <v>2292</v>
      </c>
      <c r="BP97" s="12" t="s">
        <v>1477</v>
      </c>
      <c r="BQ97" s="12" t="s">
        <v>2293</v>
      </c>
      <c r="BR97" s="12" t="s">
        <v>2294</v>
      </c>
      <c r="BS97" s="12" t="s">
        <v>2295</v>
      </c>
      <c r="BT97" s="12" t="s">
        <v>2296</v>
      </c>
      <c r="BU97" s="12" t="s">
        <v>2297</v>
      </c>
      <c r="BV97" s="12" t="s">
        <v>2298</v>
      </c>
      <c r="BW97" s="12" t="s">
        <v>2299</v>
      </c>
      <c r="BX97" s="12" t="s">
        <v>2300</v>
      </c>
      <c r="BY97" s="12" t="s">
        <v>2301</v>
      </c>
      <c r="BZ97" s="12" t="s">
        <v>2302</v>
      </c>
      <c r="CA97" s="12" t="s">
        <v>2303</v>
      </c>
      <c r="CB97" s="12" t="s">
        <v>2304</v>
      </c>
      <c r="CC97" s="12" t="s">
        <v>2305</v>
      </c>
      <c r="CD97" s="12" t="s">
        <v>2306</v>
      </c>
      <c r="CE97" s="12" t="s">
        <v>2307</v>
      </c>
      <c r="CF97" s="12" t="s">
        <v>2308</v>
      </c>
      <c r="CG97" s="12" t="s">
        <v>2309</v>
      </c>
      <c r="CH97" s="12" t="s">
        <v>2310</v>
      </c>
      <c r="CI97" s="12" t="s">
        <v>2311</v>
      </c>
      <c r="CJ97" s="12" t="s">
        <v>2312</v>
      </c>
      <c r="CK97" s="12" t="s">
        <v>2313</v>
      </c>
      <c r="CL97" s="12" t="s">
        <v>2314</v>
      </c>
      <c r="CM97" s="12" t="s">
        <v>2315</v>
      </c>
      <c r="CN97" s="12" t="s">
        <v>2316</v>
      </c>
      <c r="CO97" s="12" t="s">
        <v>2317</v>
      </c>
      <c r="CP97" s="12" t="s">
        <v>2318</v>
      </c>
      <c r="CQ97" s="12" t="s">
        <v>2319</v>
      </c>
      <c r="CR97" s="12" t="s">
        <v>2320</v>
      </c>
      <c r="CS97" s="12" t="s">
        <v>2321</v>
      </c>
      <c r="CT97" s="12" t="s">
        <v>2322</v>
      </c>
    </row>
    <row r="98" spans="1:98" hidden="1" x14ac:dyDescent="0.3">
      <c r="A98" s="12" t="s">
        <v>25</v>
      </c>
      <c r="B98" s="12" t="s">
        <v>2323</v>
      </c>
      <c r="C98" s="12" t="s">
        <v>2324</v>
      </c>
      <c r="D98" s="12" t="s">
        <v>2325</v>
      </c>
      <c r="E98" s="12" t="s">
        <v>578</v>
      </c>
      <c r="F98" s="12" t="s">
        <v>578</v>
      </c>
      <c r="G98" s="12" t="s">
        <v>578</v>
      </c>
      <c r="H98" s="12" t="s">
        <v>578</v>
      </c>
      <c r="I98" s="12" t="s">
        <v>578</v>
      </c>
      <c r="J98" s="12" t="s">
        <v>578</v>
      </c>
      <c r="K98" s="12" t="s">
        <v>578</v>
      </c>
      <c r="L98" s="12" t="s">
        <v>578</v>
      </c>
      <c r="M98" s="12" t="s">
        <v>578</v>
      </c>
      <c r="N98" s="12" t="s">
        <v>578</v>
      </c>
      <c r="O98" s="12" t="s">
        <v>578</v>
      </c>
      <c r="P98" s="12" t="s">
        <v>578</v>
      </c>
      <c r="Q98" s="12" t="s">
        <v>578</v>
      </c>
      <c r="R98" s="12" t="s">
        <v>578</v>
      </c>
      <c r="S98" s="12" t="s">
        <v>578</v>
      </c>
      <c r="T98" s="12" t="s">
        <v>578</v>
      </c>
      <c r="U98" s="12" t="s">
        <v>578</v>
      </c>
      <c r="V98" s="12" t="s">
        <v>578</v>
      </c>
      <c r="W98" s="12" t="s">
        <v>578</v>
      </c>
      <c r="X98" s="12" t="s">
        <v>578</v>
      </c>
      <c r="Y98" s="12" t="s">
        <v>578</v>
      </c>
      <c r="Z98" s="12" t="s">
        <v>578</v>
      </c>
      <c r="AA98" s="12" t="s">
        <v>578</v>
      </c>
      <c r="AB98" s="12" t="s">
        <v>578</v>
      </c>
      <c r="AC98" s="12" t="s">
        <v>578</v>
      </c>
      <c r="AD98" s="12" t="s">
        <v>578</v>
      </c>
      <c r="AE98" s="12" t="s">
        <v>578</v>
      </c>
      <c r="AF98" s="12" t="s">
        <v>578</v>
      </c>
      <c r="AG98" s="12" t="s">
        <v>578</v>
      </c>
      <c r="AH98" s="12" t="s">
        <v>578</v>
      </c>
      <c r="AI98" s="12" t="s">
        <v>578</v>
      </c>
      <c r="AJ98" s="12" t="s">
        <v>578</v>
      </c>
      <c r="AK98" s="12" t="s">
        <v>578</v>
      </c>
      <c r="AL98" s="12" t="s">
        <v>578</v>
      </c>
      <c r="AM98" s="12" t="s">
        <v>578</v>
      </c>
      <c r="AN98" s="12" t="s">
        <v>578</v>
      </c>
      <c r="AO98" s="12" t="s">
        <v>578</v>
      </c>
      <c r="AP98" s="12" t="s">
        <v>578</v>
      </c>
      <c r="AQ98" s="12" t="s">
        <v>578</v>
      </c>
      <c r="AR98" s="12" t="s">
        <v>578</v>
      </c>
      <c r="AS98" s="12" t="s">
        <v>578</v>
      </c>
      <c r="AT98" s="12" t="s">
        <v>578</v>
      </c>
      <c r="AU98" s="12" t="s">
        <v>578</v>
      </c>
      <c r="AV98" s="12" t="s">
        <v>578</v>
      </c>
      <c r="AW98" s="12" t="s">
        <v>578</v>
      </c>
      <c r="AX98" s="12" t="s">
        <v>578</v>
      </c>
      <c r="AY98" s="12" t="s">
        <v>578</v>
      </c>
      <c r="AZ98" s="12" t="s">
        <v>578</v>
      </c>
      <c r="BA98" s="12" t="s">
        <v>578</v>
      </c>
      <c r="BB98" s="12" t="s">
        <v>578</v>
      </c>
      <c r="BC98" s="12" t="s">
        <v>578</v>
      </c>
      <c r="BD98" s="12" t="s">
        <v>578</v>
      </c>
      <c r="BE98" s="12" t="s">
        <v>578</v>
      </c>
      <c r="BF98" s="12" t="s">
        <v>578</v>
      </c>
      <c r="BG98" s="12" t="s">
        <v>578</v>
      </c>
      <c r="BH98" s="12" t="s">
        <v>578</v>
      </c>
      <c r="BI98" s="12" t="s">
        <v>579</v>
      </c>
      <c r="BJ98" s="12" t="s">
        <v>579</v>
      </c>
      <c r="BK98" s="12" t="s">
        <v>579</v>
      </c>
      <c r="BL98" s="12" t="s">
        <v>579</v>
      </c>
      <c r="BM98" s="12" t="s">
        <v>579</v>
      </c>
      <c r="BN98" s="12" t="s">
        <v>672</v>
      </c>
      <c r="BO98" s="12" t="s">
        <v>672</v>
      </c>
      <c r="BP98" s="12" t="s">
        <v>583</v>
      </c>
      <c r="BQ98" s="12" t="s">
        <v>583</v>
      </c>
      <c r="BR98" s="12" t="s">
        <v>625</v>
      </c>
      <c r="BS98" s="12" t="s">
        <v>756</v>
      </c>
      <c r="BT98" s="12" t="s">
        <v>808</v>
      </c>
      <c r="BU98" s="12" t="s">
        <v>808</v>
      </c>
      <c r="BV98" s="12" t="s">
        <v>2018</v>
      </c>
      <c r="BW98" s="12" t="s">
        <v>627</v>
      </c>
      <c r="BX98" s="12" t="s">
        <v>588</v>
      </c>
      <c r="BY98" s="12" t="s">
        <v>991</v>
      </c>
      <c r="BZ98" s="12" t="s">
        <v>954</v>
      </c>
      <c r="CA98" s="12" t="s">
        <v>632</v>
      </c>
      <c r="CB98" s="12" t="s">
        <v>682</v>
      </c>
      <c r="CC98" s="12" t="s">
        <v>682</v>
      </c>
      <c r="CD98" s="12" t="s">
        <v>1356</v>
      </c>
      <c r="CE98" s="12" t="s">
        <v>1356</v>
      </c>
      <c r="CF98" s="12" t="s">
        <v>1814</v>
      </c>
      <c r="CG98" s="12" t="s">
        <v>1362</v>
      </c>
      <c r="CH98" s="12" t="s">
        <v>1126</v>
      </c>
      <c r="CI98" s="12" t="s">
        <v>1098</v>
      </c>
      <c r="CJ98" s="12" t="s">
        <v>2060</v>
      </c>
      <c r="CK98" s="12" t="s">
        <v>965</v>
      </c>
      <c r="CL98" s="12" t="s">
        <v>1670</v>
      </c>
      <c r="CM98" s="12" t="s">
        <v>2326</v>
      </c>
      <c r="CN98" s="12" t="s">
        <v>2326</v>
      </c>
      <c r="CO98" s="12" t="s">
        <v>1382</v>
      </c>
      <c r="CP98" s="12" t="s">
        <v>1382</v>
      </c>
      <c r="CQ98" s="12" t="s">
        <v>2327</v>
      </c>
      <c r="CR98" s="12" t="s">
        <v>940</v>
      </c>
      <c r="CS98" s="12" t="s">
        <v>692</v>
      </c>
      <c r="CT98" s="12" t="s">
        <v>944</v>
      </c>
    </row>
    <row r="99" spans="1:98" hidden="1" x14ac:dyDescent="0.3">
      <c r="A99" s="12" t="s">
        <v>25</v>
      </c>
      <c r="B99" s="12" t="s">
        <v>2328</v>
      </c>
      <c r="C99" s="12" t="s">
        <v>2329</v>
      </c>
      <c r="D99" s="12" t="s">
        <v>2330</v>
      </c>
      <c r="E99" s="12" t="s">
        <v>578</v>
      </c>
      <c r="F99" s="12" t="s">
        <v>578</v>
      </c>
      <c r="G99" s="12" t="s">
        <v>578</v>
      </c>
      <c r="H99" s="12" t="s">
        <v>578</v>
      </c>
      <c r="I99" s="12" t="s">
        <v>578</v>
      </c>
      <c r="J99" s="12" t="s">
        <v>578</v>
      </c>
      <c r="K99" s="12" t="s">
        <v>578</v>
      </c>
      <c r="L99" s="12" t="s">
        <v>578</v>
      </c>
      <c r="M99" s="12" t="s">
        <v>578</v>
      </c>
      <c r="N99" s="12" t="s">
        <v>578</v>
      </c>
      <c r="O99" s="12" t="s">
        <v>578</v>
      </c>
      <c r="P99" s="12" t="s">
        <v>578</v>
      </c>
      <c r="Q99" s="12" t="s">
        <v>578</v>
      </c>
      <c r="R99" s="12" t="s">
        <v>578</v>
      </c>
      <c r="S99" s="12" t="s">
        <v>578</v>
      </c>
      <c r="T99" s="12" t="s">
        <v>578</v>
      </c>
      <c r="U99" s="12" t="s">
        <v>578</v>
      </c>
      <c r="V99" s="12" t="s">
        <v>578</v>
      </c>
      <c r="W99" s="12" t="s">
        <v>578</v>
      </c>
      <c r="X99" s="12" t="s">
        <v>578</v>
      </c>
      <c r="Y99" s="12" t="s">
        <v>578</v>
      </c>
      <c r="Z99" s="12" t="s">
        <v>578</v>
      </c>
      <c r="AA99" s="12" t="s">
        <v>578</v>
      </c>
      <c r="AB99" s="12" t="s">
        <v>578</v>
      </c>
      <c r="AC99" s="12" t="s">
        <v>578</v>
      </c>
      <c r="AD99" s="12" t="s">
        <v>578</v>
      </c>
      <c r="AE99" s="12" t="s">
        <v>578</v>
      </c>
      <c r="AF99" s="12" t="s">
        <v>578</v>
      </c>
      <c r="AG99" s="12" t="s">
        <v>578</v>
      </c>
      <c r="AH99" s="12" t="s">
        <v>578</v>
      </c>
      <c r="AI99" s="12" t="s">
        <v>578</v>
      </c>
      <c r="AJ99" s="12" t="s">
        <v>578</v>
      </c>
      <c r="AK99" s="12" t="s">
        <v>578</v>
      </c>
      <c r="AL99" s="12" t="s">
        <v>578</v>
      </c>
      <c r="AM99" s="12" t="s">
        <v>578</v>
      </c>
      <c r="AN99" s="12" t="s">
        <v>578</v>
      </c>
      <c r="AO99" s="12" t="s">
        <v>578</v>
      </c>
      <c r="AP99" s="12" t="s">
        <v>578</v>
      </c>
      <c r="AQ99" s="12" t="s">
        <v>578</v>
      </c>
      <c r="AR99" s="12" t="s">
        <v>579</v>
      </c>
      <c r="AS99" s="12" t="s">
        <v>579</v>
      </c>
      <c r="AT99" s="12" t="s">
        <v>579</v>
      </c>
      <c r="AU99" s="12" t="s">
        <v>579</v>
      </c>
      <c r="AV99" s="12" t="s">
        <v>579</v>
      </c>
      <c r="AW99" s="12" t="s">
        <v>623</v>
      </c>
      <c r="AX99" s="12" t="s">
        <v>623</v>
      </c>
      <c r="AY99" s="12" t="s">
        <v>581</v>
      </c>
      <c r="AZ99" s="12" t="s">
        <v>581</v>
      </c>
      <c r="BA99" s="12" t="s">
        <v>581</v>
      </c>
      <c r="BB99" s="12" t="s">
        <v>581</v>
      </c>
      <c r="BC99" s="12" t="s">
        <v>581</v>
      </c>
      <c r="BD99" s="12" t="s">
        <v>581</v>
      </c>
      <c r="BE99" s="12" t="s">
        <v>583</v>
      </c>
      <c r="BF99" s="12" t="s">
        <v>583</v>
      </c>
      <c r="BG99" s="12" t="s">
        <v>583</v>
      </c>
      <c r="BH99" s="12" t="s">
        <v>585</v>
      </c>
      <c r="BI99" s="12" t="s">
        <v>585</v>
      </c>
      <c r="BJ99" s="12" t="s">
        <v>767</v>
      </c>
      <c r="BK99" s="12" t="s">
        <v>975</v>
      </c>
      <c r="BL99" s="12" t="s">
        <v>872</v>
      </c>
      <c r="BM99" s="12" t="s">
        <v>1980</v>
      </c>
      <c r="BN99" s="12" t="s">
        <v>1816</v>
      </c>
      <c r="BO99" s="12" t="s">
        <v>1831</v>
      </c>
      <c r="BP99" s="12" t="s">
        <v>1031</v>
      </c>
      <c r="BQ99" s="12" t="s">
        <v>1847</v>
      </c>
      <c r="BR99" s="12" t="s">
        <v>1406</v>
      </c>
      <c r="BS99" s="12" t="s">
        <v>2331</v>
      </c>
      <c r="BT99" s="12" t="s">
        <v>2332</v>
      </c>
      <c r="BU99" s="12" t="s">
        <v>1292</v>
      </c>
      <c r="BV99" s="12" t="s">
        <v>2333</v>
      </c>
      <c r="BW99" s="12" t="s">
        <v>2334</v>
      </c>
      <c r="BX99" s="12" t="s">
        <v>2335</v>
      </c>
      <c r="BY99" s="12" t="s">
        <v>2336</v>
      </c>
      <c r="BZ99" s="12" t="s">
        <v>2336</v>
      </c>
      <c r="CA99" s="12" t="s">
        <v>2337</v>
      </c>
      <c r="CB99" s="12" t="s">
        <v>2338</v>
      </c>
      <c r="CC99" s="12" t="s">
        <v>2339</v>
      </c>
      <c r="CD99" s="12" t="s">
        <v>2340</v>
      </c>
      <c r="CE99" s="12" t="s">
        <v>2341</v>
      </c>
      <c r="CF99" s="12" t="s">
        <v>2342</v>
      </c>
      <c r="CG99" s="12" t="s">
        <v>2343</v>
      </c>
      <c r="CH99" s="12" t="s">
        <v>2344</v>
      </c>
      <c r="CI99" s="12" t="s">
        <v>2345</v>
      </c>
      <c r="CJ99" s="12" t="s">
        <v>2346</v>
      </c>
      <c r="CK99" s="12" t="s">
        <v>2347</v>
      </c>
      <c r="CL99" s="12" t="s">
        <v>2348</v>
      </c>
      <c r="CM99" s="12" t="s">
        <v>2349</v>
      </c>
      <c r="CN99" s="12" t="s">
        <v>2350</v>
      </c>
      <c r="CO99" s="12" t="s">
        <v>2351</v>
      </c>
      <c r="CP99" s="12" t="s">
        <v>2352</v>
      </c>
      <c r="CQ99" s="12" t="s">
        <v>2353</v>
      </c>
      <c r="CR99" s="12" t="s">
        <v>2354</v>
      </c>
      <c r="CS99" s="12" t="s">
        <v>2355</v>
      </c>
      <c r="CT99" s="12" t="s">
        <v>2356</v>
      </c>
    </row>
    <row r="100" spans="1:98" hidden="1" x14ac:dyDescent="0.3">
      <c r="A100" s="12" t="s">
        <v>25</v>
      </c>
      <c r="B100" s="12" t="s">
        <v>2357</v>
      </c>
      <c r="C100" s="12" t="s">
        <v>2358</v>
      </c>
      <c r="D100" s="12" t="s">
        <v>2359</v>
      </c>
      <c r="E100" s="12" t="s">
        <v>578</v>
      </c>
      <c r="F100" s="12" t="s">
        <v>578</v>
      </c>
      <c r="G100" s="12" t="s">
        <v>578</v>
      </c>
      <c r="H100" s="12" t="s">
        <v>578</v>
      </c>
      <c r="I100" s="12" t="s">
        <v>578</v>
      </c>
      <c r="J100" s="12" t="s">
        <v>578</v>
      </c>
      <c r="K100" s="12" t="s">
        <v>578</v>
      </c>
      <c r="L100" s="12" t="s">
        <v>578</v>
      </c>
      <c r="M100" s="12" t="s">
        <v>578</v>
      </c>
      <c r="N100" s="12" t="s">
        <v>578</v>
      </c>
      <c r="O100" s="12" t="s">
        <v>578</v>
      </c>
      <c r="P100" s="12" t="s">
        <v>578</v>
      </c>
      <c r="Q100" s="12" t="s">
        <v>578</v>
      </c>
      <c r="R100" s="12" t="s">
        <v>578</v>
      </c>
      <c r="S100" s="12" t="s">
        <v>578</v>
      </c>
      <c r="T100" s="12" t="s">
        <v>578</v>
      </c>
      <c r="U100" s="12" t="s">
        <v>578</v>
      </c>
      <c r="V100" s="12" t="s">
        <v>578</v>
      </c>
      <c r="W100" s="12" t="s">
        <v>578</v>
      </c>
      <c r="X100" s="12" t="s">
        <v>578</v>
      </c>
      <c r="Y100" s="12" t="s">
        <v>578</v>
      </c>
      <c r="Z100" s="12" t="s">
        <v>578</v>
      </c>
      <c r="AA100" s="12" t="s">
        <v>578</v>
      </c>
      <c r="AB100" s="12" t="s">
        <v>578</v>
      </c>
      <c r="AC100" s="12" t="s">
        <v>578</v>
      </c>
      <c r="AD100" s="12" t="s">
        <v>578</v>
      </c>
      <c r="AE100" s="12" t="s">
        <v>578</v>
      </c>
      <c r="AF100" s="12" t="s">
        <v>578</v>
      </c>
      <c r="AG100" s="12" t="s">
        <v>578</v>
      </c>
      <c r="AH100" s="12" t="s">
        <v>578</v>
      </c>
      <c r="AI100" s="12" t="s">
        <v>578</v>
      </c>
      <c r="AJ100" s="12" t="s">
        <v>578</v>
      </c>
      <c r="AK100" s="12" t="s">
        <v>578</v>
      </c>
      <c r="AL100" s="12" t="s">
        <v>578</v>
      </c>
      <c r="AM100" s="12" t="s">
        <v>578</v>
      </c>
      <c r="AN100" s="12" t="s">
        <v>578</v>
      </c>
      <c r="AO100" s="12" t="s">
        <v>578</v>
      </c>
      <c r="AP100" s="12" t="s">
        <v>578</v>
      </c>
      <c r="AQ100" s="12" t="s">
        <v>578</v>
      </c>
      <c r="AR100" s="12" t="s">
        <v>851</v>
      </c>
      <c r="AS100" s="12" t="s">
        <v>851</v>
      </c>
      <c r="AT100" s="12" t="s">
        <v>582</v>
      </c>
      <c r="AU100" s="12" t="s">
        <v>624</v>
      </c>
      <c r="AV100" s="12" t="s">
        <v>868</v>
      </c>
      <c r="AW100" s="12" t="s">
        <v>868</v>
      </c>
      <c r="AX100" s="12" t="s">
        <v>868</v>
      </c>
      <c r="AY100" s="12" t="s">
        <v>756</v>
      </c>
      <c r="AZ100" s="12" t="s">
        <v>762</v>
      </c>
      <c r="BA100" s="12" t="s">
        <v>762</v>
      </c>
      <c r="BB100" s="12" t="s">
        <v>673</v>
      </c>
      <c r="BC100" s="12" t="s">
        <v>673</v>
      </c>
      <c r="BD100" s="12" t="s">
        <v>673</v>
      </c>
      <c r="BE100" s="12" t="s">
        <v>869</v>
      </c>
      <c r="BF100" s="12" t="s">
        <v>869</v>
      </c>
      <c r="BG100" s="12" t="s">
        <v>677</v>
      </c>
      <c r="BH100" s="12" t="s">
        <v>1413</v>
      </c>
      <c r="BI100" s="12" t="s">
        <v>979</v>
      </c>
      <c r="BJ100" s="12" t="s">
        <v>2360</v>
      </c>
      <c r="BK100" s="12" t="s">
        <v>601</v>
      </c>
      <c r="BL100" s="12" t="s">
        <v>1036</v>
      </c>
      <c r="BM100" s="12" t="s">
        <v>2361</v>
      </c>
      <c r="BN100" s="12" t="s">
        <v>1866</v>
      </c>
      <c r="BO100" s="12" t="s">
        <v>2362</v>
      </c>
      <c r="BP100" s="12" t="s">
        <v>2363</v>
      </c>
      <c r="BQ100" s="12" t="s">
        <v>2364</v>
      </c>
      <c r="BR100" s="12" t="s">
        <v>2365</v>
      </c>
      <c r="BS100" s="12" t="s">
        <v>2366</v>
      </c>
      <c r="BT100" s="12" t="s">
        <v>1316</v>
      </c>
      <c r="BU100" s="12" t="s">
        <v>2367</v>
      </c>
      <c r="BV100" s="12" t="s">
        <v>2368</v>
      </c>
      <c r="BW100" s="12" t="s">
        <v>2369</v>
      </c>
      <c r="BX100" s="12" t="s">
        <v>2370</v>
      </c>
      <c r="BY100" s="12" t="s">
        <v>2371</v>
      </c>
      <c r="BZ100" s="12" t="s">
        <v>2372</v>
      </c>
      <c r="CA100" s="12" t="s">
        <v>2373</v>
      </c>
      <c r="CB100" s="12" t="s">
        <v>2374</v>
      </c>
      <c r="CC100" s="12" t="s">
        <v>2374</v>
      </c>
      <c r="CD100" s="12" t="s">
        <v>2375</v>
      </c>
      <c r="CE100" s="12" t="s">
        <v>2376</v>
      </c>
      <c r="CF100" s="12" t="s">
        <v>2377</v>
      </c>
      <c r="CG100" s="12" t="s">
        <v>2378</v>
      </c>
      <c r="CH100" s="12" t="s">
        <v>2379</v>
      </c>
      <c r="CI100" s="12" t="s">
        <v>2380</v>
      </c>
      <c r="CJ100" s="12" t="s">
        <v>2381</v>
      </c>
      <c r="CK100" s="12" t="s">
        <v>2382</v>
      </c>
      <c r="CL100" s="12" t="s">
        <v>2383</v>
      </c>
      <c r="CM100" s="12" t="s">
        <v>2384</v>
      </c>
      <c r="CN100" s="12" t="s">
        <v>2385</v>
      </c>
      <c r="CO100" s="12" t="s">
        <v>2386</v>
      </c>
      <c r="CP100" s="12" t="s">
        <v>2387</v>
      </c>
      <c r="CQ100" s="12" t="s">
        <v>2388</v>
      </c>
      <c r="CR100" s="12" t="s">
        <v>2389</v>
      </c>
      <c r="CS100" s="12" t="s">
        <v>2390</v>
      </c>
      <c r="CT100" s="12" t="s">
        <v>2391</v>
      </c>
    </row>
    <row r="101" spans="1:98" hidden="1" x14ac:dyDescent="0.3">
      <c r="A101" s="12" t="s">
        <v>25</v>
      </c>
      <c r="B101" s="12" t="s">
        <v>2392</v>
      </c>
      <c r="C101" s="12" t="s">
        <v>2393</v>
      </c>
      <c r="D101" s="12" t="s">
        <v>2394</v>
      </c>
      <c r="E101" s="12" t="s">
        <v>578</v>
      </c>
      <c r="F101" s="12" t="s">
        <v>578</v>
      </c>
      <c r="G101" s="12" t="s">
        <v>578</v>
      </c>
      <c r="H101" s="12" t="s">
        <v>578</v>
      </c>
      <c r="I101" s="12" t="s">
        <v>578</v>
      </c>
      <c r="J101" s="12" t="s">
        <v>578</v>
      </c>
      <c r="K101" s="12" t="s">
        <v>578</v>
      </c>
      <c r="L101" s="12" t="s">
        <v>578</v>
      </c>
      <c r="M101" s="12" t="s">
        <v>578</v>
      </c>
      <c r="N101" s="12" t="s">
        <v>578</v>
      </c>
      <c r="O101" s="12" t="s">
        <v>578</v>
      </c>
      <c r="P101" s="12" t="s">
        <v>578</v>
      </c>
      <c r="Q101" s="12" t="s">
        <v>578</v>
      </c>
      <c r="R101" s="12" t="s">
        <v>578</v>
      </c>
      <c r="S101" s="12" t="s">
        <v>578</v>
      </c>
      <c r="T101" s="12" t="s">
        <v>578</v>
      </c>
      <c r="U101" s="12" t="s">
        <v>578</v>
      </c>
      <c r="V101" s="12" t="s">
        <v>578</v>
      </c>
      <c r="W101" s="12" t="s">
        <v>578</v>
      </c>
      <c r="X101" s="12" t="s">
        <v>578</v>
      </c>
      <c r="Y101" s="12" t="s">
        <v>578</v>
      </c>
      <c r="Z101" s="12" t="s">
        <v>578</v>
      </c>
      <c r="AA101" s="12" t="s">
        <v>578</v>
      </c>
      <c r="AB101" s="12" t="s">
        <v>579</v>
      </c>
      <c r="AC101" s="12" t="s">
        <v>579</v>
      </c>
      <c r="AD101" s="12" t="s">
        <v>579</v>
      </c>
      <c r="AE101" s="12" t="s">
        <v>579</v>
      </c>
      <c r="AF101" s="12" t="s">
        <v>579</v>
      </c>
      <c r="AG101" s="12" t="s">
        <v>579</v>
      </c>
      <c r="AH101" s="12" t="s">
        <v>579</v>
      </c>
      <c r="AI101" s="12" t="s">
        <v>579</v>
      </c>
      <c r="AJ101" s="12" t="s">
        <v>579</v>
      </c>
      <c r="AK101" s="12" t="s">
        <v>579</v>
      </c>
      <c r="AL101" s="12" t="s">
        <v>579</v>
      </c>
      <c r="AM101" s="12" t="s">
        <v>579</v>
      </c>
      <c r="AN101" s="12" t="s">
        <v>579</v>
      </c>
      <c r="AO101" s="12" t="s">
        <v>579</v>
      </c>
      <c r="AP101" s="12" t="s">
        <v>579</v>
      </c>
      <c r="AQ101" s="12" t="s">
        <v>579</v>
      </c>
      <c r="AR101" s="12" t="s">
        <v>623</v>
      </c>
      <c r="AS101" s="12" t="s">
        <v>623</v>
      </c>
      <c r="AT101" s="12" t="s">
        <v>623</v>
      </c>
      <c r="AU101" s="12" t="s">
        <v>623</v>
      </c>
      <c r="AV101" s="12" t="s">
        <v>672</v>
      </c>
      <c r="AW101" s="12" t="s">
        <v>762</v>
      </c>
      <c r="AX101" s="12" t="s">
        <v>762</v>
      </c>
      <c r="AY101" s="12" t="s">
        <v>991</v>
      </c>
      <c r="AZ101" s="12" t="s">
        <v>631</v>
      </c>
      <c r="BA101" s="12" t="s">
        <v>632</v>
      </c>
      <c r="BB101" s="12" t="s">
        <v>680</v>
      </c>
      <c r="BC101" s="12" t="s">
        <v>955</v>
      </c>
      <c r="BD101" s="12" t="s">
        <v>856</v>
      </c>
      <c r="BE101" s="12" t="s">
        <v>1208</v>
      </c>
      <c r="BF101" s="12" t="s">
        <v>592</v>
      </c>
      <c r="BG101" s="12" t="s">
        <v>1814</v>
      </c>
      <c r="BH101" s="12" t="s">
        <v>2137</v>
      </c>
      <c r="BI101" s="12" t="s">
        <v>2137</v>
      </c>
      <c r="BJ101" s="12" t="s">
        <v>1128</v>
      </c>
      <c r="BK101" s="12" t="s">
        <v>1129</v>
      </c>
      <c r="BL101" s="12" t="s">
        <v>1739</v>
      </c>
      <c r="BM101" s="12" t="s">
        <v>1834</v>
      </c>
      <c r="BN101" s="12" t="s">
        <v>1689</v>
      </c>
      <c r="BO101" s="12" t="s">
        <v>2395</v>
      </c>
      <c r="BP101" s="12" t="s">
        <v>1701</v>
      </c>
      <c r="BQ101" s="12" t="s">
        <v>1035</v>
      </c>
      <c r="BR101" s="12" t="s">
        <v>2067</v>
      </c>
      <c r="BS101" s="12" t="s">
        <v>1405</v>
      </c>
      <c r="BT101" s="12" t="s">
        <v>665</v>
      </c>
      <c r="BU101" s="12" t="s">
        <v>928</v>
      </c>
      <c r="BV101" s="12" t="s">
        <v>2396</v>
      </c>
      <c r="BW101" s="12" t="s">
        <v>1672</v>
      </c>
      <c r="BX101" s="12" t="s">
        <v>2397</v>
      </c>
      <c r="BY101" s="12" t="s">
        <v>2398</v>
      </c>
      <c r="BZ101" s="12" t="s">
        <v>2399</v>
      </c>
      <c r="CA101" s="12" t="s">
        <v>2363</v>
      </c>
      <c r="CB101" s="12" t="s">
        <v>1765</v>
      </c>
      <c r="CC101" s="12" t="s">
        <v>2291</v>
      </c>
      <c r="CD101" s="12" t="s">
        <v>2400</v>
      </c>
      <c r="CE101" s="12" t="s">
        <v>2401</v>
      </c>
      <c r="CF101" s="12" t="s">
        <v>2402</v>
      </c>
      <c r="CG101" s="12" t="s">
        <v>2403</v>
      </c>
      <c r="CH101" s="12" t="s">
        <v>2404</v>
      </c>
      <c r="CI101" s="12" t="s">
        <v>2405</v>
      </c>
      <c r="CJ101" s="12" t="s">
        <v>2406</v>
      </c>
      <c r="CK101" s="12" t="s">
        <v>2407</v>
      </c>
      <c r="CL101" s="12" t="s">
        <v>2408</v>
      </c>
      <c r="CM101" s="12" t="s">
        <v>2409</v>
      </c>
      <c r="CN101" s="12" t="s">
        <v>2410</v>
      </c>
      <c r="CO101" s="12" t="s">
        <v>802</v>
      </c>
      <c r="CP101" s="12" t="s">
        <v>2411</v>
      </c>
      <c r="CQ101" s="12" t="s">
        <v>2412</v>
      </c>
      <c r="CR101" s="12" t="s">
        <v>2413</v>
      </c>
      <c r="CS101" s="12" t="s">
        <v>2414</v>
      </c>
      <c r="CT101" s="12" t="s">
        <v>2415</v>
      </c>
    </row>
    <row r="102" spans="1:98" hidden="1" x14ac:dyDescent="0.3">
      <c r="A102" s="12" t="s">
        <v>25</v>
      </c>
      <c r="B102" s="12" t="s">
        <v>2416</v>
      </c>
      <c r="C102" s="12" t="s">
        <v>2417</v>
      </c>
      <c r="D102" s="12" t="s">
        <v>2418</v>
      </c>
      <c r="E102" s="12" t="s">
        <v>578</v>
      </c>
      <c r="F102" s="12" t="s">
        <v>578</v>
      </c>
      <c r="G102" s="12" t="s">
        <v>578</v>
      </c>
      <c r="H102" s="12" t="s">
        <v>578</v>
      </c>
      <c r="I102" s="12" t="s">
        <v>578</v>
      </c>
      <c r="J102" s="12" t="s">
        <v>578</v>
      </c>
      <c r="K102" s="12" t="s">
        <v>578</v>
      </c>
      <c r="L102" s="12" t="s">
        <v>578</v>
      </c>
      <c r="M102" s="12" t="s">
        <v>578</v>
      </c>
      <c r="N102" s="12" t="s">
        <v>578</v>
      </c>
      <c r="O102" s="12" t="s">
        <v>578</v>
      </c>
      <c r="P102" s="12" t="s">
        <v>578</v>
      </c>
      <c r="Q102" s="12" t="s">
        <v>578</v>
      </c>
      <c r="R102" s="12" t="s">
        <v>578</v>
      </c>
      <c r="S102" s="12" t="s">
        <v>578</v>
      </c>
      <c r="T102" s="12" t="s">
        <v>578</v>
      </c>
      <c r="U102" s="12" t="s">
        <v>578</v>
      </c>
      <c r="V102" s="12" t="s">
        <v>578</v>
      </c>
      <c r="W102" s="12" t="s">
        <v>578</v>
      </c>
      <c r="X102" s="12" t="s">
        <v>578</v>
      </c>
      <c r="Y102" s="12" t="s">
        <v>578</v>
      </c>
      <c r="Z102" s="12" t="s">
        <v>578</v>
      </c>
      <c r="AA102" s="12" t="s">
        <v>578</v>
      </c>
      <c r="AB102" s="12" t="s">
        <v>578</v>
      </c>
      <c r="AC102" s="12" t="s">
        <v>578</v>
      </c>
      <c r="AD102" s="12" t="s">
        <v>578</v>
      </c>
      <c r="AE102" s="12" t="s">
        <v>578</v>
      </c>
      <c r="AF102" s="12" t="s">
        <v>578</v>
      </c>
      <c r="AG102" s="12" t="s">
        <v>578</v>
      </c>
      <c r="AH102" s="12" t="s">
        <v>578</v>
      </c>
      <c r="AI102" s="12" t="s">
        <v>578</v>
      </c>
      <c r="AJ102" s="12" t="s">
        <v>578</v>
      </c>
      <c r="AK102" s="12" t="s">
        <v>578</v>
      </c>
      <c r="AL102" s="12" t="s">
        <v>578</v>
      </c>
      <c r="AM102" s="12" t="s">
        <v>578</v>
      </c>
      <c r="AN102" s="12" t="s">
        <v>578</v>
      </c>
      <c r="AO102" s="12" t="s">
        <v>578</v>
      </c>
      <c r="AP102" s="12" t="s">
        <v>578</v>
      </c>
      <c r="AQ102" s="12" t="s">
        <v>578</v>
      </c>
      <c r="AR102" s="12" t="s">
        <v>578</v>
      </c>
      <c r="AS102" s="12" t="s">
        <v>578</v>
      </c>
      <c r="AT102" s="12" t="s">
        <v>578</v>
      </c>
      <c r="AU102" s="12" t="s">
        <v>578</v>
      </c>
      <c r="AV102" s="12" t="s">
        <v>578</v>
      </c>
      <c r="AW102" s="12" t="s">
        <v>578</v>
      </c>
      <c r="AX102" s="12" t="s">
        <v>578</v>
      </c>
      <c r="AY102" s="12" t="s">
        <v>578</v>
      </c>
      <c r="AZ102" s="12" t="s">
        <v>578</v>
      </c>
      <c r="BA102" s="12" t="s">
        <v>578</v>
      </c>
      <c r="BB102" s="12" t="s">
        <v>578</v>
      </c>
      <c r="BC102" s="12" t="s">
        <v>578</v>
      </c>
      <c r="BD102" s="12" t="s">
        <v>578</v>
      </c>
      <c r="BE102" s="12" t="s">
        <v>578</v>
      </c>
      <c r="BF102" s="12" t="s">
        <v>578</v>
      </c>
      <c r="BG102" s="12" t="s">
        <v>578</v>
      </c>
      <c r="BH102" s="12" t="s">
        <v>578</v>
      </c>
      <c r="BI102" s="12" t="s">
        <v>578</v>
      </c>
      <c r="BJ102" s="12" t="s">
        <v>579</v>
      </c>
      <c r="BK102" s="12" t="s">
        <v>579</v>
      </c>
      <c r="BL102" s="12" t="s">
        <v>672</v>
      </c>
      <c r="BM102" s="12" t="s">
        <v>672</v>
      </c>
      <c r="BN102" s="12" t="s">
        <v>672</v>
      </c>
      <c r="BO102" s="12" t="s">
        <v>581</v>
      </c>
      <c r="BP102" s="12" t="s">
        <v>761</v>
      </c>
      <c r="BQ102" s="12" t="s">
        <v>868</v>
      </c>
      <c r="BR102" s="12" t="s">
        <v>868</v>
      </c>
      <c r="BS102" s="12" t="s">
        <v>674</v>
      </c>
      <c r="BT102" s="12" t="s">
        <v>587</v>
      </c>
      <c r="BU102" s="12" t="s">
        <v>2018</v>
      </c>
      <c r="BV102" s="12" t="s">
        <v>852</v>
      </c>
      <c r="BW102" s="12" t="s">
        <v>852</v>
      </c>
      <c r="BX102" s="12" t="s">
        <v>1046</v>
      </c>
      <c r="BY102" s="12" t="s">
        <v>918</v>
      </c>
      <c r="BZ102" s="12" t="s">
        <v>769</v>
      </c>
      <c r="CA102" s="12" t="s">
        <v>853</v>
      </c>
      <c r="CB102" s="12" t="s">
        <v>974</v>
      </c>
      <c r="CC102" s="12" t="s">
        <v>810</v>
      </c>
      <c r="CD102" s="12" t="s">
        <v>858</v>
      </c>
      <c r="CE102" s="12" t="s">
        <v>862</v>
      </c>
      <c r="CF102" s="12" t="s">
        <v>1417</v>
      </c>
      <c r="CG102" s="12" t="s">
        <v>1501</v>
      </c>
      <c r="CH102" s="12" t="s">
        <v>1751</v>
      </c>
      <c r="CI102" s="12" t="s">
        <v>1357</v>
      </c>
      <c r="CJ102" s="12" t="s">
        <v>2099</v>
      </c>
      <c r="CK102" s="12" t="s">
        <v>1733</v>
      </c>
      <c r="CL102" s="12" t="s">
        <v>724</v>
      </c>
      <c r="CM102" s="12" t="s">
        <v>1531</v>
      </c>
      <c r="CN102" s="12" t="s">
        <v>1838</v>
      </c>
      <c r="CO102" s="12" t="s">
        <v>684</v>
      </c>
      <c r="CP102" s="12" t="s">
        <v>1163</v>
      </c>
      <c r="CQ102" s="12" t="s">
        <v>2029</v>
      </c>
      <c r="CR102" s="12" t="s">
        <v>596</v>
      </c>
      <c r="CS102" s="12" t="s">
        <v>1490</v>
      </c>
      <c r="CT102" s="12" t="s">
        <v>1687</v>
      </c>
    </row>
    <row r="103" spans="1:98" hidden="1" x14ac:dyDescent="0.3">
      <c r="A103" s="12" t="s">
        <v>25</v>
      </c>
      <c r="B103" s="12" t="s">
        <v>2419</v>
      </c>
      <c r="C103" s="12" t="s">
        <v>2420</v>
      </c>
      <c r="D103" s="12" t="s">
        <v>2421</v>
      </c>
      <c r="E103" s="12" t="s">
        <v>578</v>
      </c>
      <c r="F103" s="12" t="s">
        <v>578</v>
      </c>
      <c r="G103" s="12" t="s">
        <v>578</v>
      </c>
      <c r="H103" s="12" t="s">
        <v>578</v>
      </c>
      <c r="I103" s="12" t="s">
        <v>578</v>
      </c>
      <c r="J103" s="12" t="s">
        <v>578</v>
      </c>
      <c r="K103" s="12" t="s">
        <v>578</v>
      </c>
      <c r="L103" s="12" t="s">
        <v>578</v>
      </c>
      <c r="M103" s="12" t="s">
        <v>578</v>
      </c>
      <c r="N103" s="12" t="s">
        <v>578</v>
      </c>
      <c r="O103" s="12" t="s">
        <v>578</v>
      </c>
      <c r="P103" s="12" t="s">
        <v>578</v>
      </c>
      <c r="Q103" s="12" t="s">
        <v>578</v>
      </c>
      <c r="R103" s="12" t="s">
        <v>578</v>
      </c>
      <c r="S103" s="12" t="s">
        <v>578</v>
      </c>
      <c r="T103" s="12" t="s">
        <v>578</v>
      </c>
      <c r="U103" s="12" t="s">
        <v>578</v>
      </c>
      <c r="V103" s="12" t="s">
        <v>578</v>
      </c>
      <c r="W103" s="12" t="s">
        <v>578</v>
      </c>
      <c r="X103" s="12" t="s">
        <v>578</v>
      </c>
      <c r="Y103" s="12" t="s">
        <v>578</v>
      </c>
      <c r="Z103" s="12" t="s">
        <v>578</v>
      </c>
      <c r="AA103" s="12" t="s">
        <v>578</v>
      </c>
      <c r="AB103" s="12" t="s">
        <v>578</v>
      </c>
      <c r="AC103" s="12" t="s">
        <v>578</v>
      </c>
      <c r="AD103" s="12" t="s">
        <v>578</v>
      </c>
      <c r="AE103" s="12" t="s">
        <v>578</v>
      </c>
      <c r="AF103" s="12" t="s">
        <v>578</v>
      </c>
      <c r="AG103" s="12" t="s">
        <v>578</v>
      </c>
      <c r="AH103" s="12" t="s">
        <v>578</v>
      </c>
      <c r="AI103" s="12" t="s">
        <v>578</v>
      </c>
      <c r="AJ103" s="12" t="s">
        <v>578</v>
      </c>
      <c r="AK103" s="12" t="s">
        <v>578</v>
      </c>
      <c r="AL103" s="12" t="s">
        <v>578</v>
      </c>
      <c r="AM103" s="12" t="s">
        <v>578</v>
      </c>
      <c r="AN103" s="12" t="s">
        <v>578</v>
      </c>
      <c r="AO103" s="12" t="s">
        <v>578</v>
      </c>
      <c r="AP103" s="12" t="s">
        <v>578</v>
      </c>
      <c r="AQ103" s="12" t="s">
        <v>578</v>
      </c>
      <c r="AR103" s="12" t="s">
        <v>578</v>
      </c>
      <c r="AS103" s="12" t="s">
        <v>578</v>
      </c>
      <c r="AT103" s="12" t="s">
        <v>578</v>
      </c>
      <c r="AU103" s="12" t="s">
        <v>578</v>
      </c>
      <c r="AV103" s="12" t="s">
        <v>578</v>
      </c>
      <c r="AW103" s="12" t="s">
        <v>578</v>
      </c>
      <c r="AX103" s="12" t="s">
        <v>578</v>
      </c>
      <c r="AY103" s="12" t="s">
        <v>578</v>
      </c>
      <c r="AZ103" s="12" t="s">
        <v>578</v>
      </c>
      <c r="BA103" s="12" t="s">
        <v>578</v>
      </c>
      <c r="BB103" s="12" t="s">
        <v>578</v>
      </c>
      <c r="BC103" s="12" t="s">
        <v>578</v>
      </c>
      <c r="BD103" s="12" t="s">
        <v>578</v>
      </c>
      <c r="BE103" s="12" t="s">
        <v>578</v>
      </c>
      <c r="BF103" s="12" t="s">
        <v>579</v>
      </c>
      <c r="BG103" s="12" t="s">
        <v>579</v>
      </c>
      <c r="BH103" s="12" t="s">
        <v>579</v>
      </c>
      <c r="BI103" s="12" t="s">
        <v>580</v>
      </c>
      <c r="BJ103" s="12" t="s">
        <v>851</v>
      </c>
      <c r="BK103" s="12" t="s">
        <v>851</v>
      </c>
      <c r="BL103" s="12" t="s">
        <v>851</v>
      </c>
      <c r="BM103" s="12" t="s">
        <v>851</v>
      </c>
      <c r="BN103" s="12" t="s">
        <v>761</v>
      </c>
      <c r="BO103" s="12" t="s">
        <v>761</v>
      </c>
      <c r="BP103" s="12" t="s">
        <v>761</v>
      </c>
      <c r="BQ103" s="12" t="s">
        <v>625</v>
      </c>
      <c r="BR103" s="12" t="s">
        <v>625</v>
      </c>
      <c r="BS103" s="12" t="s">
        <v>625</v>
      </c>
      <c r="BT103" s="12" t="s">
        <v>625</v>
      </c>
      <c r="BU103" s="12" t="s">
        <v>625</v>
      </c>
      <c r="BV103" s="12" t="s">
        <v>625</v>
      </c>
      <c r="BW103" s="12" t="s">
        <v>762</v>
      </c>
      <c r="BX103" s="12" t="s">
        <v>762</v>
      </c>
      <c r="BY103" s="12" t="s">
        <v>584</v>
      </c>
      <c r="BZ103" s="12" t="s">
        <v>584</v>
      </c>
      <c r="CA103" s="12" t="s">
        <v>584</v>
      </c>
      <c r="CB103" s="12" t="s">
        <v>584</v>
      </c>
      <c r="CC103" s="12" t="s">
        <v>584</v>
      </c>
      <c r="CD103" s="12" t="s">
        <v>808</v>
      </c>
      <c r="CE103" s="12" t="s">
        <v>808</v>
      </c>
      <c r="CF103" s="12" t="s">
        <v>808</v>
      </c>
      <c r="CG103" s="12" t="s">
        <v>808</v>
      </c>
      <c r="CH103" s="12" t="s">
        <v>585</v>
      </c>
      <c r="CI103" s="12" t="s">
        <v>585</v>
      </c>
      <c r="CJ103" s="12" t="s">
        <v>1046</v>
      </c>
      <c r="CK103" s="12" t="s">
        <v>630</v>
      </c>
      <c r="CL103" s="12" t="s">
        <v>630</v>
      </c>
      <c r="CM103" s="12" t="s">
        <v>771</v>
      </c>
      <c r="CN103" s="12" t="s">
        <v>771</v>
      </c>
      <c r="CO103" s="12" t="s">
        <v>771</v>
      </c>
      <c r="CP103" s="12" t="s">
        <v>771</v>
      </c>
      <c r="CQ103" s="12" t="s">
        <v>1352</v>
      </c>
      <c r="CR103" s="12" t="s">
        <v>590</v>
      </c>
      <c r="CS103" s="12" t="s">
        <v>590</v>
      </c>
      <c r="CT103" s="12" t="s">
        <v>1126</v>
      </c>
    </row>
    <row r="104" spans="1:98" hidden="1" x14ac:dyDescent="0.3">
      <c r="A104" s="12" t="s">
        <v>25</v>
      </c>
      <c r="B104" s="12" t="s">
        <v>2422</v>
      </c>
      <c r="C104" s="12" t="s">
        <v>2423</v>
      </c>
      <c r="D104" s="12" t="s">
        <v>2424</v>
      </c>
      <c r="E104" s="12" t="s">
        <v>578</v>
      </c>
      <c r="F104" s="12" t="s">
        <v>578</v>
      </c>
      <c r="G104" s="12" t="s">
        <v>578</v>
      </c>
      <c r="H104" s="12" t="s">
        <v>578</v>
      </c>
      <c r="I104" s="12" t="s">
        <v>578</v>
      </c>
      <c r="J104" s="12" t="s">
        <v>578</v>
      </c>
      <c r="K104" s="12" t="s">
        <v>578</v>
      </c>
      <c r="L104" s="12" t="s">
        <v>578</v>
      </c>
      <c r="M104" s="12" t="s">
        <v>578</v>
      </c>
      <c r="N104" s="12" t="s">
        <v>578</v>
      </c>
      <c r="O104" s="12" t="s">
        <v>578</v>
      </c>
      <c r="P104" s="12" t="s">
        <v>578</v>
      </c>
      <c r="Q104" s="12" t="s">
        <v>578</v>
      </c>
      <c r="R104" s="12" t="s">
        <v>578</v>
      </c>
      <c r="S104" s="12" t="s">
        <v>578</v>
      </c>
      <c r="T104" s="12" t="s">
        <v>578</v>
      </c>
      <c r="U104" s="12" t="s">
        <v>578</v>
      </c>
      <c r="V104" s="12" t="s">
        <v>578</v>
      </c>
      <c r="W104" s="12" t="s">
        <v>578</v>
      </c>
      <c r="X104" s="12" t="s">
        <v>578</v>
      </c>
      <c r="Y104" s="12" t="s">
        <v>578</v>
      </c>
      <c r="Z104" s="12" t="s">
        <v>578</v>
      </c>
      <c r="AA104" s="12" t="s">
        <v>578</v>
      </c>
      <c r="AB104" s="12" t="s">
        <v>578</v>
      </c>
      <c r="AC104" s="12" t="s">
        <v>578</v>
      </c>
      <c r="AD104" s="12" t="s">
        <v>578</v>
      </c>
      <c r="AE104" s="12" t="s">
        <v>578</v>
      </c>
      <c r="AF104" s="12" t="s">
        <v>578</v>
      </c>
      <c r="AG104" s="12" t="s">
        <v>578</v>
      </c>
      <c r="AH104" s="12" t="s">
        <v>578</v>
      </c>
      <c r="AI104" s="12" t="s">
        <v>578</v>
      </c>
      <c r="AJ104" s="12" t="s">
        <v>578</v>
      </c>
      <c r="AK104" s="12" t="s">
        <v>578</v>
      </c>
      <c r="AL104" s="12" t="s">
        <v>578</v>
      </c>
      <c r="AM104" s="12" t="s">
        <v>578</v>
      </c>
      <c r="AN104" s="12" t="s">
        <v>578</v>
      </c>
      <c r="AO104" s="12" t="s">
        <v>578</v>
      </c>
      <c r="AP104" s="12" t="s">
        <v>578</v>
      </c>
      <c r="AQ104" s="12" t="s">
        <v>578</v>
      </c>
      <c r="AR104" s="12" t="s">
        <v>578</v>
      </c>
      <c r="AS104" s="12" t="s">
        <v>578</v>
      </c>
      <c r="AT104" s="12" t="s">
        <v>578</v>
      </c>
      <c r="AU104" s="12" t="s">
        <v>578</v>
      </c>
      <c r="AV104" s="12" t="s">
        <v>578</v>
      </c>
      <c r="AW104" s="12" t="s">
        <v>578</v>
      </c>
      <c r="AX104" s="12" t="s">
        <v>578</v>
      </c>
      <c r="AY104" s="12" t="s">
        <v>578</v>
      </c>
      <c r="AZ104" s="12" t="s">
        <v>578</v>
      </c>
      <c r="BA104" s="12" t="s">
        <v>578</v>
      </c>
      <c r="BB104" s="12" t="s">
        <v>578</v>
      </c>
      <c r="BC104" s="12" t="s">
        <v>578</v>
      </c>
      <c r="BD104" s="12" t="s">
        <v>578</v>
      </c>
      <c r="BE104" s="12" t="s">
        <v>578</v>
      </c>
      <c r="BF104" s="12" t="s">
        <v>578</v>
      </c>
      <c r="BG104" s="12" t="s">
        <v>578</v>
      </c>
      <c r="BH104" s="12" t="s">
        <v>578</v>
      </c>
      <c r="BI104" s="12" t="s">
        <v>578</v>
      </c>
      <c r="BJ104" s="12" t="s">
        <v>578</v>
      </c>
      <c r="BK104" s="12" t="s">
        <v>578</v>
      </c>
      <c r="BL104" s="12" t="s">
        <v>579</v>
      </c>
      <c r="BM104" s="12" t="s">
        <v>579</v>
      </c>
      <c r="BN104" s="12" t="s">
        <v>579</v>
      </c>
      <c r="BO104" s="12" t="s">
        <v>579</v>
      </c>
      <c r="BP104" s="12" t="s">
        <v>580</v>
      </c>
      <c r="BQ104" s="12" t="s">
        <v>851</v>
      </c>
      <c r="BR104" s="12" t="s">
        <v>851</v>
      </c>
      <c r="BS104" s="12" t="s">
        <v>851</v>
      </c>
      <c r="BT104" s="12" t="s">
        <v>625</v>
      </c>
      <c r="BU104" s="12" t="s">
        <v>625</v>
      </c>
      <c r="BV104" s="12" t="s">
        <v>762</v>
      </c>
      <c r="BW104" s="12" t="s">
        <v>762</v>
      </c>
      <c r="BX104" s="12" t="s">
        <v>586</v>
      </c>
      <c r="BY104" s="12" t="s">
        <v>586</v>
      </c>
      <c r="BZ104" s="12" t="s">
        <v>953</v>
      </c>
      <c r="CA104" s="12" t="s">
        <v>953</v>
      </c>
      <c r="CB104" s="12" t="s">
        <v>766</v>
      </c>
      <c r="CC104" s="12" t="s">
        <v>766</v>
      </c>
      <c r="CD104" s="12" t="s">
        <v>627</v>
      </c>
      <c r="CE104" s="12" t="s">
        <v>627</v>
      </c>
      <c r="CF104" s="12" t="s">
        <v>767</v>
      </c>
      <c r="CG104" s="12" t="s">
        <v>767</v>
      </c>
      <c r="CH104" s="12" t="s">
        <v>767</v>
      </c>
      <c r="CI104" s="12" t="s">
        <v>767</v>
      </c>
      <c r="CJ104" s="12" t="s">
        <v>767</v>
      </c>
      <c r="CK104" s="12" t="s">
        <v>917</v>
      </c>
      <c r="CL104" s="12" t="s">
        <v>917</v>
      </c>
      <c r="CM104" s="12" t="s">
        <v>917</v>
      </c>
      <c r="CN104" s="12" t="s">
        <v>718</v>
      </c>
      <c r="CO104" s="12" t="s">
        <v>718</v>
      </c>
      <c r="CP104" s="12" t="s">
        <v>718</v>
      </c>
      <c r="CQ104" s="12" t="s">
        <v>718</v>
      </c>
      <c r="CR104" s="12" t="s">
        <v>718</v>
      </c>
      <c r="CS104" s="12" t="s">
        <v>718</v>
      </c>
      <c r="CT104" s="12" t="s">
        <v>718</v>
      </c>
    </row>
    <row r="105" spans="1:98" hidden="1" x14ac:dyDescent="0.3">
      <c r="A105" s="12" t="s">
        <v>25</v>
      </c>
      <c r="B105" s="12" t="s">
        <v>2425</v>
      </c>
      <c r="C105" s="12" t="s">
        <v>2426</v>
      </c>
      <c r="D105" s="12" t="s">
        <v>2427</v>
      </c>
      <c r="E105" s="12" t="s">
        <v>578</v>
      </c>
      <c r="F105" s="12" t="s">
        <v>578</v>
      </c>
      <c r="G105" s="12" t="s">
        <v>578</v>
      </c>
      <c r="H105" s="12" t="s">
        <v>578</v>
      </c>
      <c r="I105" s="12" t="s">
        <v>578</v>
      </c>
      <c r="J105" s="12" t="s">
        <v>578</v>
      </c>
      <c r="K105" s="12" t="s">
        <v>578</v>
      </c>
      <c r="L105" s="12" t="s">
        <v>578</v>
      </c>
      <c r="M105" s="12" t="s">
        <v>578</v>
      </c>
      <c r="N105" s="12" t="s">
        <v>578</v>
      </c>
      <c r="O105" s="12" t="s">
        <v>578</v>
      </c>
      <c r="P105" s="12" t="s">
        <v>578</v>
      </c>
      <c r="Q105" s="12" t="s">
        <v>578</v>
      </c>
      <c r="R105" s="12" t="s">
        <v>578</v>
      </c>
      <c r="S105" s="12" t="s">
        <v>578</v>
      </c>
      <c r="T105" s="12" t="s">
        <v>578</v>
      </c>
      <c r="U105" s="12" t="s">
        <v>578</v>
      </c>
      <c r="V105" s="12" t="s">
        <v>578</v>
      </c>
      <c r="W105" s="12" t="s">
        <v>578</v>
      </c>
      <c r="X105" s="12" t="s">
        <v>578</v>
      </c>
      <c r="Y105" s="12" t="s">
        <v>578</v>
      </c>
      <c r="Z105" s="12" t="s">
        <v>578</v>
      </c>
      <c r="AA105" s="12" t="s">
        <v>578</v>
      </c>
      <c r="AB105" s="12" t="s">
        <v>578</v>
      </c>
      <c r="AC105" s="12" t="s">
        <v>578</v>
      </c>
      <c r="AD105" s="12" t="s">
        <v>578</v>
      </c>
      <c r="AE105" s="12" t="s">
        <v>578</v>
      </c>
      <c r="AF105" s="12" t="s">
        <v>578</v>
      </c>
      <c r="AG105" s="12" t="s">
        <v>578</v>
      </c>
      <c r="AH105" s="12" t="s">
        <v>578</v>
      </c>
      <c r="AI105" s="12" t="s">
        <v>578</v>
      </c>
      <c r="AJ105" s="12" t="s">
        <v>578</v>
      </c>
      <c r="AK105" s="12" t="s">
        <v>578</v>
      </c>
      <c r="AL105" s="12" t="s">
        <v>578</v>
      </c>
      <c r="AM105" s="12" t="s">
        <v>578</v>
      </c>
      <c r="AN105" s="12" t="s">
        <v>578</v>
      </c>
      <c r="AO105" s="12" t="s">
        <v>579</v>
      </c>
      <c r="AP105" s="12" t="s">
        <v>579</v>
      </c>
      <c r="AQ105" s="12" t="s">
        <v>579</v>
      </c>
      <c r="AR105" s="12" t="s">
        <v>579</v>
      </c>
      <c r="AS105" s="12" t="s">
        <v>579</v>
      </c>
      <c r="AT105" s="12" t="s">
        <v>623</v>
      </c>
      <c r="AU105" s="12" t="s">
        <v>623</v>
      </c>
      <c r="AV105" s="12" t="s">
        <v>672</v>
      </c>
      <c r="AW105" s="12" t="s">
        <v>624</v>
      </c>
      <c r="AX105" s="12" t="s">
        <v>624</v>
      </c>
      <c r="AY105" s="12" t="s">
        <v>624</v>
      </c>
      <c r="AZ105" s="12" t="s">
        <v>624</v>
      </c>
      <c r="BA105" s="12" t="s">
        <v>625</v>
      </c>
      <c r="BB105" s="12" t="s">
        <v>584</v>
      </c>
      <c r="BC105" s="12" t="s">
        <v>584</v>
      </c>
      <c r="BD105" s="12" t="s">
        <v>771</v>
      </c>
      <c r="BE105" s="12" t="s">
        <v>811</v>
      </c>
      <c r="BF105" s="12" t="s">
        <v>874</v>
      </c>
      <c r="BG105" s="12" t="s">
        <v>986</v>
      </c>
      <c r="BH105" s="12" t="s">
        <v>2029</v>
      </c>
      <c r="BI105" s="12" t="s">
        <v>1280</v>
      </c>
      <c r="BJ105" s="12" t="s">
        <v>727</v>
      </c>
      <c r="BK105" s="12" t="s">
        <v>1828</v>
      </c>
      <c r="BL105" s="12" t="s">
        <v>1424</v>
      </c>
      <c r="BM105" s="12" t="s">
        <v>1612</v>
      </c>
      <c r="BN105" s="12" t="s">
        <v>1688</v>
      </c>
      <c r="BO105" s="12" t="s">
        <v>2428</v>
      </c>
      <c r="BP105" s="12" t="s">
        <v>2062</v>
      </c>
      <c r="BQ105" s="12" t="s">
        <v>2068</v>
      </c>
      <c r="BR105" s="12" t="s">
        <v>1727</v>
      </c>
      <c r="BS105" s="12" t="s">
        <v>1992</v>
      </c>
      <c r="BT105" s="12" t="s">
        <v>2429</v>
      </c>
      <c r="BU105" s="12" t="s">
        <v>2235</v>
      </c>
      <c r="BV105" s="12" t="s">
        <v>781</v>
      </c>
      <c r="BW105" s="12" t="s">
        <v>1672</v>
      </c>
      <c r="BX105" s="12" t="s">
        <v>1291</v>
      </c>
      <c r="BY105" s="12" t="s">
        <v>2430</v>
      </c>
      <c r="BZ105" s="12" t="s">
        <v>835</v>
      </c>
      <c r="CA105" s="12" t="s">
        <v>1387</v>
      </c>
      <c r="CB105" s="12" t="s">
        <v>2431</v>
      </c>
      <c r="CC105" s="12" t="s">
        <v>2432</v>
      </c>
      <c r="CD105" s="12" t="s">
        <v>2433</v>
      </c>
      <c r="CE105" s="12" t="s">
        <v>2434</v>
      </c>
      <c r="CF105" s="12" t="s">
        <v>2130</v>
      </c>
      <c r="CG105" s="12" t="s">
        <v>2435</v>
      </c>
      <c r="CH105" s="12" t="s">
        <v>1301</v>
      </c>
      <c r="CI105" s="12" t="s">
        <v>1054</v>
      </c>
      <c r="CJ105" s="12" t="s">
        <v>1110</v>
      </c>
      <c r="CK105" s="12" t="s">
        <v>1780</v>
      </c>
      <c r="CL105" s="12" t="s">
        <v>2436</v>
      </c>
      <c r="CM105" s="12" t="s">
        <v>2437</v>
      </c>
      <c r="CN105" s="12" t="s">
        <v>2438</v>
      </c>
      <c r="CO105" s="12" t="s">
        <v>1149</v>
      </c>
      <c r="CP105" s="12" t="s">
        <v>2439</v>
      </c>
      <c r="CQ105" s="12" t="s">
        <v>1800</v>
      </c>
      <c r="CR105" s="12" t="s">
        <v>2440</v>
      </c>
      <c r="CS105" s="12" t="s">
        <v>1116</v>
      </c>
      <c r="CT105" s="12" t="s">
        <v>2441</v>
      </c>
    </row>
    <row r="106" spans="1:98" hidden="1" x14ac:dyDescent="0.3">
      <c r="A106" s="12" t="s">
        <v>25</v>
      </c>
      <c r="B106" s="12" t="s">
        <v>2442</v>
      </c>
      <c r="C106" s="12" t="s">
        <v>2443</v>
      </c>
      <c r="D106" s="12" t="s">
        <v>2444</v>
      </c>
      <c r="E106" s="12" t="s">
        <v>578</v>
      </c>
      <c r="F106" s="12" t="s">
        <v>578</v>
      </c>
      <c r="G106" s="12" t="s">
        <v>578</v>
      </c>
      <c r="H106" s="12" t="s">
        <v>578</v>
      </c>
      <c r="I106" s="12" t="s">
        <v>578</v>
      </c>
      <c r="J106" s="12" t="s">
        <v>578</v>
      </c>
      <c r="K106" s="12" t="s">
        <v>578</v>
      </c>
      <c r="L106" s="12" t="s">
        <v>578</v>
      </c>
      <c r="M106" s="12" t="s">
        <v>578</v>
      </c>
      <c r="N106" s="12" t="s">
        <v>578</v>
      </c>
      <c r="O106" s="12" t="s">
        <v>578</v>
      </c>
      <c r="P106" s="12" t="s">
        <v>578</v>
      </c>
      <c r="Q106" s="12" t="s">
        <v>578</v>
      </c>
      <c r="R106" s="12" t="s">
        <v>578</v>
      </c>
      <c r="S106" s="12" t="s">
        <v>578</v>
      </c>
      <c r="T106" s="12" t="s">
        <v>578</v>
      </c>
      <c r="U106" s="12" t="s">
        <v>578</v>
      </c>
      <c r="V106" s="12" t="s">
        <v>578</v>
      </c>
      <c r="W106" s="12" t="s">
        <v>578</v>
      </c>
      <c r="X106" s="12" t="s">
        <v>578</v>
      </c>
      <c r="Y106" s="12" t="s">
        <v>578</v>
      </c>
      <c r="Z106" s="12" t="s">
        <v>578</v>
      </c>
      <c r="AA106" s="12" t="s">
        <v>578</v>
      </c>
      <c r="AB106" s="12" t="s">
        <v>578</v>
      </c>
      <c r="AC106" s="12" t="s">
        <v>578</v>
      </c>
      <c r="AD106" s="12" t="s">
        <v>578</v>
      </c>
      <c r="AE106" s="12" t="s">
        <v>578</v>
      </c>
      <c r="AF106" s="12" t="s">
        <v>578</v>
      </c>
      <c r="AG106" s="12" t="s">
        <v>578</v>
      </c>
      <c r="AH106" s="12" t="s">
        <v>578</v>
      </c>
      <c r="AI106" s="12" t="s">
        <v>578</v>
      </c>
      <c r="AJ106" s="12" t="s">
        <v>578</v>
      </c>
      <c r="AK106" s="12" t="s">
        <v>578</v>
      </c>
      <c r="AL106" s="12" t="s">
        <v>578</v>
      </c>
      <c r="AM106" s="12" t="s">
        <v>578</v>
      </c>
      <c r="AN106" s="12" t="s">
        <v>578</v>
      </c>
      <c r="AO106" s="12" t="s">
        <v>578</v>
      </c>
      <c r="AP106" s="12" t="s">
        <v>578</v>
      </c>
      <c r="AQ106" s="12" t="s">
        <v>578</v>
      </c>
      <c r="AR106" s="12" t="s">
        <v>578</v>
      </c>
      <c r="AS106" s="12" t="s">
        <v>578</v>
      </c>
      <c r="AT106" s="12" t="s">
        <v>578</v>
      </c>
      <c r="AU106" s="12" t="s">
        <v>578</v>
      </c>
      <c r="AV106" s="12" t="s">
        <v>578</v>
      </c>
      <c r="AW106" s="12" t="s">
        <v>578</v>
      </c>
      <c r="AX106" s="12" t="s">
        <v>578</v>
      </c>
      <c r="AY106" s="12" t="s">
        <v>578</v>
      </c>
      <c r="AZ106" s="12" t="s">
        <v>578</v>
      </c>
      <c r="BA106" s="12" t="s">
        <v>578</v>
      </c>
      <c r="BB106" s="12" t="s">
        <v>578</v>
      </c>
      <c r="BC106" s="12" t="s">
        <v>578</v>
      </c>
      <c r="BD106" s="12" t="s">
        <v>578</v>
      </c>
      <c r="BE106" s="12" t="s">
        <v>579</v>
      </c>
      <c r="BF106" s="12" t="s">
        <v>579</v>
      </c>
      <c r="BG106" s="12" t="s">
        <v>579</v>
      </c>
      <c r="BH106" s="12" t="s">
        <v>579</v>
      </c>
      <c r="BI106" s="12" t="s">
        <v>579</v>
      </c>
      <c r="BJ106" s="12" t="s">
        <v>579</v>
      </c>
      <c r="BK106" s="12" t="s">
        <v>579</v>
      </c>
      <c r="BL106" s="12" t="s">
        <v>579</v>
      </c>
      <c r="BM106" s="12" t="s">
        <v>580</v>
      </c>
      <c r="BN106" s="12" t="s">
        <v>580</v>
      </c>
      <c r="BO106" s="12" t="s">
        <v>580</v>
      </c>
      <c r="BP106" s="12" t="s">
        <v>580</v>
      </c>
      <c r="BQ106" s="12" t="s">
        <v>851</v>
      </c>
      <c r="BR106" s="12" t="s">
        <v>761</v>
      </c>
      <c r="BS106" s="12" t="s">
        <v>761</v>
      </c>
      <c r="BT106" s="12" t="s">
        <v>761</v>
      </c>
      <c r="BU106" s="12" t="s">
        <v>761</v>
      </c>
      <c r="BV106" s="12" t="s">
        <v>761</v>
      </c>
      <c r="BW106" s="12" t="s">
        <v>761</v>
      </c>
      <c r="BX106" s="12" t="s">
        <v>761</v>
      </c>
      <c r="BY106" s="12" t="s">
        <v>761</v>
      </c>
      <c r="BZ106" s="12" t="s">
        <v>761</v>
      </c>
      <c r="CA106" s="12" t="s">
        <v>761</v>
      </c>
      <c r="CB106" s="12" t="s">
        <v>624</v>
      </c>
      <c r="CC106" s="12" t="s">
        <v>624</v>
      </c>
      <c r="CD106" s="12" t="s">
        <v>625</v>
      </c>
      <c r="CE106" s="12" t="s">
        <v>625</v>
      </c>
      <c r="CF106" s="12" t="s">
        <v>625</v>
      </c>
      <c r="CG106" s="12" t="s">
        <v>625</v>
      </c>
      <c r="CH106" s="12" t="s">
        <v>756</v>
      </c>
      <c r="CI106" s="12" t="s">
        <v>762</v>
      </c>
      <c r="CJ106" s="12" t="s">
        <v>762</v>
      </c>
      <c r="CK106" s="12" t="s">
        <v>762</v>
      </c>
      <c r="CL106" s="12" t="s">
        <v>584</v>
      </c>
      <c r="CM106" s="12" t="s">
        <v>584</v>
      </c>
      <c r="CN106" s="12" t="s">
        <v>586</v>
      </c>
      <c r="CO106" s="12" t="s">
        <v>586</v>
      </c>
      <c r="CP106" s="12" t="s">
        <v>587</v>
      </c>
      <c r="CQ106" s="12" t="s">
        <v>766</v>
      </c>
      <c r="CR106" s="12" t="s">
        <v>766</v>
      </c>
      <c r="CS106" s="12" t="s">
        <v>766</v>
      </c>
      <c r="CT106" s="12" t="s">
        <v>971</v>
      </c>
    </row>
    <row r="107" spans="1:98" hidden="1" x14ac:dyDescent="0.3">
      <c r="A107" s="12" t="s">
        <v>25</v>
      </c>
      <c r="B107" s="12" t="s">
        <v>2445</v>
      </c>
      <c r="C107" s="12" t="s">
        <v>2446</v>
      </c>
      <c r="D107" s="12" t="s">
        <v>2447</v>
      </c>
      <c r="E107" s="12" t="s">
        <v>578</v>
      </c>
      <c r="F107" s="12" t="s">
        <v>578</v>
      </c>
      <c r="G107" s="12" t="s">
        <v>578</v>
      </c>
      <c r="H107" s="12" t="s">
        <v>578</v>
      </c>
      <c r="I107" s="12" t="s">
        <v>578</v>
      </c>
      <c r="J107" s="12" t="s">
        <v>578</v>
      </c>
      <c r="K107" s="12" t="s">
        <v>578</v>
      </c>
      <c r="L107" s="12" t="s">
        <v>578</v>
      </c>
      <c r="M107" s="12" t="s">
        <v>578</v>
      </c>
      <c r="N107" s="12" t="s">
        <v>578</v>
      </c>
      <c r="O107" s="12" t="s">
        <v>578</v>
      </c>
      <c r="P107" s="12" t="s">
        <v>578</v>
      </c>
      <c r="Q107" s="12" t="s">
        <v>578</v>
      </c>
      <c r="R107" s="12" t="s">
        <v>578</v>
      </c>
      <c r="S107" s="12" t="s">
        <v>578</v>
      </c>
      <c r="T107" s="12" t="s">
        <v>578</v>
      </c>
      <c r="U107" s="12" t="s">
        <v>578</v>
      </c>
      <c r="V107" s="12" t="s">
        <v>578</v>
      </c>
      <c r="W107" s="12" t="s">
        <v>578</v>
      </c>
      <c r="X107" s="12" t="s">
        <v>578</v>
      </c>
      <c r="Y107" s="12" t="s">
        <v>578</v>
      </c>
      <c r="Z107" s="12" t="s">
        <v>578</v>
      </c>
      <c r="AA107" s="12" t="s">
        <v>578</v>
      </c>
      <c r="AB107" s="12" t="s">
        <v>578</v>
      </c>
      <c r="AC107" s="12" t="s">
        <v>578</v>
      </c>
      <c r="AD107" s="12" t="s">
        <v>578</v>
      </c>
      <c r="AE107" s="12" t="s">
        <v>578</v>
      </c>
      <c r="AF107" s="12" t="s">
        <v>578</v>
      </c>
      <c r="AG107" s="12" t="s">
        <v>578</v>
      </c>
      <c r="AH107" s="12" t="s">
        <v>578</v>
      </c>
      <c r="AI107" s="12" t="s">
        <v>578</v>
      </c>
      <c r="AJ107" s="12" t="s">
        <v>578</v>
      </c>
      <c r="AK107" s="12" t="s">
        <v>578</v>
      </c>
      <c r="AL107" s="12" t="s">
        <v>578</v>
      </c>
      <c r="AM107" s="12" t="s">
        <v>578</v>
      </c>
      <c r="AN107" s="12" t="s">
        <v>578</v>
      </c>
      <c r="AO107" s="12" t="s">
        <v>578</v>
      </c>
      <c r="AP107" s="12" t="s">
        <v>578</v>
      </c>
      <c r="AQ107" s="12" t="s">
        <v>578</v>
      </c>
      <c r="AR107" s="12" t="s">
        <v>578</v>
      </c>
      <c r="AS107" s="12" t="s">
        <v>578</v>
      </c>
      <c r="AT107" s="12" t="s">
        <v>578</v>
      </c>
      <c r="AU107" s="12" t="s">
        <v>578</v>
      </c>
      <c r="AV107" s="12" t="s">
        <v>578</v>
      </c>
      <c r="AW107" s="12" t="s">
        <v>578</v>
      </c>
      <c r="AX107" s="12" t="s">
        <v>578</v>
      </c>
      <c r="AY107" s="12" t="s">
        <v>578</v>
      </c>
      <c r="AZ107" s="12" t="s">
        <v>578</v>
      </c>
      <c r="BA107" s="12" t="s">
        <v>578</v>
      </c>
      <c r="BB107" s="12" t="s">
        <v>578</v>
      </c>
      <c r="BC107" s="12" t="s">
        <v>578</v>
      </c>
      <c r="BD107" s="12" t="s">
        <v>579</v>
      </c>
      <c r="BE107" s="12" t="s">
        <v>579</v>
      </c>
      <c r="BF107" s="12" t="s">
        <v>579</v>
      </c>
      <c r="BG107" s="12" t="s">
        <v>581</v>
      </c>
      <c r="BH107" s="12" t="s">
        <v>581</v>
      </c>
      <c r="BI107" s="12" t="s">
        <v>851</v>
      </c>
      <c r="BJ107" s="12" t="s">
        <v>851</v>
      </c>
      <c r="BK107" s="12" t="s">
        <v>761</v>
      </c>
      <c r="BL107" s="12" t="s">
        <v>761</v>
      </c>
      <c r="BM107" s="12" t="s">
        <v>583</v>
      </c>
      <c r="BN107" s="12" t="s">
        <v>583</v>
      </c>
      <c r="BO107" s="12" t="s">
        <v>625</v>
      </c>
      <c r="BP107" s="12" t="s">
        <v>625</v>
      </c>
      <c r="BQ107" s="12" t="s">
        <v>625</v>
      </c>
      <c r="BR107" s="12" t="s">
        <v>584</v>
      </c>
      <c r="BS107" s="12" t="s">
        <v>584</v>
      </c>
      <c r="BT107" s="12" t="s">
        <v>585</v>
      </c>
      <c r="BU107" s="12" t="s">
        <v>626</v>
      </c>
      <c r="BV107" s="12" t="s">
        <v>676</v>
      </c>
      <c r="BW107" s="12" t="s">
        <v>953</v>
      </c>
      <c r="BX107" s="12" t="s">
        <v>953</v>
      </c>
      <c r="BY107" s="12" t="s">
        <v>917</v>
      </c>
      <c r="BZ107" s="12" t="s">
        <v>628</v>
      </c>
      <c r="CA107" s="12" t="s">
        <v>1259</v>
      </c>
      <c r="CB107" s="12" t="s">
        <v>1096</v>
      </c>
      <c r="CC107" s="12" t="s">
        <v>809</v>
      </c>
      <c r="CD107" s="12" t="s">
        <v>631</v>
      </c>
      <c r="CE107" s="12" t="s">
        <v>769</v>
      </c>
      <c r="CF107" s="12" t="s">
        <v>870</v>
      </c>
      <c r="CG107" s="12" t="s">
        <v>974</v>
      </c>
      <c r="CH107" s="12" t="s">
        <v>854</v>
      </c>
      <c r="CI107" s="12" t="s">
        <v>589</v>
      </c>
      <c r="CJ107" s="12" t="s">
        <v>976</v>
      </c>
      <c r="CK107" s="12" t="s">
        <v>1124</v>
      </c>
      <c r="CL107" s="12" t="s">
        <v>871</v>
      </c>
      <c r="CM107" s="12" t="s">
        <v>859</v>
      </c>
      <c r="CN107" s="12" t="s">
        <v>864</v>
      </c>
      <c r="CO107" s="12" t="s">
        <v>1499</v>
      </c>
      <c r="CP107" s="12" t="s">
        <v>979</v>
      </c>
      <c r="CQ107" s="12" t="s">
        <v>1353</v>
      </c>
      <c r="CR107" s="12" t="s">
        <v>1500</v>
      </c>
      <c r="CS107" s="12" t="s">
        <v>1500</v>
      </c>
      <c r="CT107" s="12" t="s">
        <v>1417</v>
      </c>
    </row>
    <row r="108" spans="1:98" hidden="1" x14ac:dyDescent="0.3">
      <c r="A108" s="12" t="s">
        <v>25</v>
      </c>
      <c r="B108" s="12" t="s">
        <v>2448</v>
      </c>
      <c r="C108" s="12" t="s">
        <v>2449</v>
      </c>
      <c r="D108" s="12" t="s">
        <v>2450</v>
      </c>
      <c r="E108" s="12" t="s">
        <v>578</v>
      </c>
      <c r="F108" s="12" t="s">
        <v>578</v>
      </c>
      <c r="G108" s="12" t="s">
        <v>578</v>
      </c>
      <c r="H108" s="12" t="s">
        <v>578</v>
      </c>
      <c r="I108" s="12" t="s">
        <v>578</v>
      </c>
      <c r="J108" s="12" t="s">
        <v>578</v>
      </c>
      <c r="K108" s="12" t="s">
        <v>578</v>
      </c>
      <c r="L108" s="12" t="s">
        <v>578</v>
      </c>
      <c r="M108" s="12" t="s">
        <v>578</v>
      </c>
      <c r="N108" s="12" t="s">
        <v>578</v>
      </c>
      <c r="O108" s="12" t="s">
        <v>578</v>
      </c>
      <c r="P108" s="12" t="s">
        <v>578</v>
      </c>
      <c r="Q108" s="12" t="s">
        <v>578</v>
      </c>
      <c r="R108" s="12" t="s">
        <v>578</v>
      </c>
      <c r="S108" s="12" t="s">
        <v>578</v>
      </c>
      <c r="T108" s="12" t="s">
        <v>578</v>
      </c>
      <c r="U108" s="12" t="s">
        <v>578</v>
      </c>
      <c r="V108" s="12" t="s">
        <v>578</v>
      </c>
      <c r="W108" s="12" t="s">
        <v>578</v>
      </c>
      <c r="X108" s="12" t="s">
        <v>578</v>
      </c>
      <c r="Y108" s="12" t="s">
        <v>578</v>
      </c>
      <c r="Z108" s="12" t="s">
        <v>578</v>
      </c>
      <c r="AA108" s="12" t="s">
        <v>578</v>
      </c>
      <c r="AB108" s="12" t="s">
        <v>578</v>
      </c>
      <c r="AC108" s="12" t="s">
        <v>578</v>
      </c>
      <c r="AD108" s="12" t="s">
        <v>578</v>
      </c>
      <c r="AE108" s="12" t="s">
        <v>578</v>
      </c>
      <c r="AF108" s="12" t="s">
        <v>578</v>
      </c>
      <c r="AG108" s="12" t="s">
        <v>578</v>
      </c>
      <c r="AH108" s="12" t="s">
        <v>578</v>
      </c>
      <c r="AI108" s="12" t="s">
        <v>578</v>
      </c>
      <c r="AJ108" s="12" t="s">
        <v>578</v>
      </c>
      <c r="AK108" s="12" t="s">
        <v>578</v>
      </c>
      <c r="AL108" s="12" t="s">
        <v>578</v>
      </c>
      <c r="AM108" s="12" t="s">
        <v>578</v>
      </c>
      <c r="AN108" s="12" t="s">
        <v>578</v>
      </c>
      <c r="AO108" s="12" t="s">
        <v>578</v>
      </c>
      <c r="AP108" s="12" t="s">
        <v>578</v>
      </c>
      <c r="AQ108" s="12" t="s">
        <v>578</v>
      </c>
      <c r="AR108" s="12" t="s">
        <v>578</v>
      </c>
      <c r="AS108" s="12" t="s">
        <v>578</v>
      </c>
      <c r="AT108" s="12" t="s">
        <v>578</v>
      </c>
      <c r="AU108" s="12" t="s">
        <v>578</v>
      </c>
      <c r="AV108" s="12" t="s">
        <v>578</v>
      </c>
      <c r="AW108" s="12" t="s">
        <v>578</v>
      </c>
      <c r="AX108" s="12" t="s">
        <v>578</v>
      </c>
      <c r="AY108" s="12" t="s">
        <v>578</v>
      </c>
      <c r="AZ108" s="12" t="s">
        <v>578</v>
      </c>
      <c r="BA108" s="12" t="s">
        <v>578</v>
      </c>
      <c r="BB108" s="12" t="s">
        <v>578</v>
      </c>
      <c r="BC108" s="12" t="s">
        <v>578</v>
      </c>
      <c r="BD108" s="12" t="s">
        <v>578</v>
      </c>
      <c r="BE108" s="12" t="s">
        <v>578</v>
      </c>
      <c r="BF108" s="12" t="s">
        <v>578</v>
      </c>
      <c r="BG108" s="12" t="s">
        <v>578</v>
      </c>
      <c r="BH108" s="12" t="s">
        <v>578</v>
      </c>
      <c r="BI108" s="12" t="s">
        <v>578</v>
      </c>
      <c r="BJ108" s="12" t="s">
        <v>579</v>
      </c>
      <c r="BK108" s="12" t="s">
        <v>579</v>
      </c>
      <c r="BL108" s="12" t="s">
        <v>579</v>
      </c>
      <c r="BM108" s="12" t="s">
        <v>623</v>
      </c>
      <c r="BN108" s="12" t="s">
        <v>672</v>
      </c>
      <c r="BO108" s="12" t="s">
        <v>580</v>
      </c>
      <c r="BP108" s="12" t="s">
        <v>581</v>
      </c>
      <c r="BQ108" s="12" t="s">
        <v>581</v>
      </c>
      <c r="BR108" s="12" t="s">
        <v>581</v>
      </c>
      <c r="BS108" s="12" t="s">
        <v>581</v>
      </c>
      <c r="BT108" s="12" t="s">
        <v>581</v>
      </c>
      <c r="BU108" s="12" t="s">
        <v>581</v>
      </c>
      <c r="BV108" s="12" t="s">
        <v>581</v>
      </c>
      <c r="BW108" s="12" t="s">
        <v>581</v>
      </c>
      <c r="BX108" s="12" t="s">
        <v>582</v>
      </c>
      <c r="BY108" s="12" t="s">
        <v>582</v>
      </c>
      <c r="BZ108" s="12" t="s">
        <v>625</v>
      </c>
      <c r="CA108" s="12" t="s">
        <v>625</v>
      </c>
      <c r="CB108" s="12" t="s">
        <v>756</v>
      </c>
      <c r="CC108" s="12" t="s">
        <v>762</v>
      </c>
      <c r="CD108" s="12" t="s">
        <v>762</v>
      </c>
      <c r="CE108" s="12" t="s">
        <v>762</v>
      </c>
      <c r="CF108" s="12" t="s">
        <v>584</v>
      </c>
      <c r="CG108" s="12" t="s">
        <v>584</v>
      </c>
      <c r="CH108" s="12" t="s">
        <v>584</v>
      </c>
      <c r="CI108" s="12" t="s">
        <v>584</v>
      </c>
      <c r="CJ108" s="12" t="s">
        <v>584</v>
      </c>
      <c r="CK108" s="12" t="s">
        <v>584</v>
      </c>
      <c r="CL108" s="12" t="s">
        <v>673</v>
      </c>
      <c r="CM108" s="12" t="s">
        <v>673</v>
      </c>
      <c r="CN108" s="12" t="s">
        <v>673</v>
      </c>
      <c r="CO108" s="12" t="s">
        <v>673</v>
      </c>
      <c r="CP108" s="12" t="s">
        <v>808</v>
      </c>
      <c r="CQ108" s="12" t="s">
        <v>808</v>
      </c>
      <c r="CR108" s="12" t="s">
        <v>808</v>
      </c>
      <c r="CS108" s="12" t="s">
        <v>808</v>
      </c>
      <c r="CT108" s="12" t="s">
        <v>808</v>
      </c>
    </row>
    <row r="109" spans="1:98" hidden="1" x14ac:dyDescent="0.3">
      <c r="A109" s="12" t="s">
        <v>25</v>
      </c>
      <c r="B109" s="12" t="s">
        <v>2451</v>
      </c>
      <c r="C109" s="12" t="s">
        <v>2452</v>
      </c>
      <c r="D109" s="12" t="s">
        <v>2393</v>
      </c>
      <c r="E109" s="12" t="s">
        <v>578</v>
      </c>
      <c r="F109" s="12" t="s">
        <v>578</v>
      </c>
      <c r="G109" s="12" t="s">
        <v>578</v>
      </c>
      <c r="H109" s="12" t="s">
        <v>578</v>
      </c>
      <c r="I109" s="12" t="s">
        <v>578</v>
      </c>
      <c r="J109" s="12" t="s">
        <v>578</v>
      </c>
      <c r="K109" s="12" t="s">
        <v>578</v>
      </c>
      <c r="L109" s="12" t="s">
        <v>579</v>
      </c>
      <c r="M109" s="12" t="s">
        <v>579</v>
      </c>
      <c r="N109" s="12" t="s">
        <v>579</v>
      </c>
      <c r="O109" s="12" t="s">
        <v>579</v>
      </c>
      <c r="P109" s="12" t="s">
        <v>579</v>
      </c>
      <c r="Q109" s="12" t="s">
        <v>579</v>
      </c>
      <c r="R109" s="12" t="s">
        <v>579</v>
      </c>
      <c r="S109" s="12" t="s">
        <v>579</v>
      </c>
      <c r="T109" s="12" t="s">
        <v>579</v>
      </c>
      <c r="U109" s="12" t="s">
        <v>579</v>
      </c>
      <c r="V109" s="12" t="s">
        <v>579</v>
      </c>
      <c r="W109" s="12" t="s">
        <v>579</v>
      </c>
      <c r="X109" s="12" t="s">
        <v>579</v>
      </c>
      <c r="Y109" s="12" t="s">
        <v>579</v>
      </c>
      <c r="Z109" s="12" t="s">
        <v>579</v>
      </c>
      <c r="AA109" s="12" t="s">
        <v>579</v>
      </c>
      <c r="AB109" s="12" t="s">
        <v>579</v>
      </c>
      <c r="AC109" s="12" t="s">
        <v>579</v>
      </c>
      <c r="AD109" s="12" t="s">
        <v>579</v>
      </c>
      <c r="AE109" s="12" t="s">
        <v>579</v>
      </c>
      <c r="AF109" s="12" t="s">
        <v>579</v>
      </c>
      <c r="AG109" s="12" t="s">
        <v>579</v>
      </c>
      <c r="AH109" s="12" t="s">
        <v>579</v>
      </c>
      <c r="AI109" s="12" t="s">
        <v>579</v>
      </c>
      <c r="AJ109" s="12" t="s">
        <v>579</v>
      </c>
      <c r="AK109" s="12" t="s">
        <v>579</v>
      </c>
      <c r="AL109" s="12" t="s">
        <v>579</v>
      </c>
      <c r="AM109" s="12" t="s">
        <v>579</v>
      </c>
      <c r="AN109" s="12" t="s">
        <v>623</v>
      </c>
      <c r="AO109" s="12" t="s">
        <v>623</v>
      </c>
      <c r="AP109" s="12" t="s">
        <v>623</v>
      </c>
      <c r="AQ109" s="12" t="s">
        <v>672</v>
      </c>
      <c r="AR109" s="12" t="s">
        <v>851</v>
      </c>
      <c r="AS109" s="12" t="s">
        <v>851</v>
      </c>
      <c r="AT109" s="12" t="s">
        <v>851</v>
      </c>
      <c r="AU109" s="12" t="s">
        <v>851</v>
      </c>
      <c r="AV109" s="12" t="s">
        <v>625</v>
      </c>
      <c r="AW109" s="12" t="s">
        <v>762</v>
      </c>
      <c r="AX109" s="12" t="s">
        <v>762</v>
      </c>
      <c r="AY109" s="12" t="s">
        <v>626</v>
      </c>
      <c r="AZ109" s="12" t="s">
        <v>2018</v>
      </c>
      <c r="BA109" s="12" t="s">
        <v>588</v>
      </c>
      <c r="BB109" s="12" t="s">
        <v>632</v>
      </c>
      <c r="BC109" s="12" t="s">
        <v>632</v>
      </c>
      <c r="BD109" s="12" t="s">
        <v>1623</v>
      </c>
      <c r="BE109" s="12" t="s">
        <v>2029</v>
      </c>
      <c r="BF109" s="12" t="s">
        <v>1509</v>
      </c>
      <c r="BG109" s="12" t="s">
        <v>646</v>
      </c>
      <c r="BH109" s="12" t="s">
        <v>1311</v>
      </c>
      <c r="BI109" s="12" t="s">
        <v>2057</v>
      </c>
      <c r="BJ109" s="12" t="s">
        <v>652</v>
      </c>
      <c r="BK109" s="12" t="s">
        <v>2453</v>
      </c>
      <c r="BL109" s="12" t="s">
        <v>2037</v>
      </c>
      <c r="BM109" s="12" t="s">
        <v>1986</v>
      </c>
      <c r="BN109" s="12" t="s">
        <v>1140</v>
      </c>
      <c r="BO109" s="12" t="s">
        <v>2454</v>
      </c>
      <c r="BP109" s="12" t="s">
        <v>2455</v>
      </c>
      <c r="BQ109" s="12" t="s">
        <v>2456</v>
      </c>
      <c r="BR109" s="12" t="s">
        <v>2457</v>
      </c>
      <c r="BS109" s="12" t="s">
        <v>1298</v>
      </c>
      <c r="BT109" s="12" t="s">
        <v>2126</v>
      </c>
      <c r="BU109" s="12" t="s">
        <v>1773</v>
      </c>
      <c r="BV109" s="12" t="s">
        <v>2458</v>
      </c>
      <c r="BW109" s="12" t="s">
        <v>2459</v>
      </c>
      <c r="BX109" s="12" t="s">
        <v>1114</v>
      </c>
      <c r="BY109" s="12" t="s">
        <v>2460</v>
      </c>
      <c r="BZ109" s="12" t="s">
        <v>2461</v>
      </c>
      <c r="CA109" s="12" t="s">
        <v>2462</v>
      </c>
      <c r="CB109" s="12" t="s">
        <v>2463</v>
      </c>
      <c r="CC109" s="12" t="s">
        <v>2464</v>
      </c>
      <c r="CD109" s="12" t="s">
        <v>2465</v>
      </c>
      <c r="CE109" s="12" t="s">
        <v>2466</v>
      </c>
      <c r="CF109" s="12" t="s">
        <v>2467</v>
      </c>
      <c r="CG109" s="12" t="s">
        <v>2468</v>
      </c>
      <c r="CH109" s="12" t="s">
        <v>2469</v>
      </c>
      <c r="CI109" s="12" t="s">
        <v>2470</v>
      </c>
      <c r="CJ109" s="12" t="s">
        <v>2471</v>
      </c>
      <c r="CK109" s="12" t="s">
        <v>2472</v>
      </c>
      <c r="CL109" s="12" t="s">
        <v>2473</v>
      </c>
      <c r="CM109" s="12" t="s">
        <v>2474</v>
      </c>
      <c r="CN109" s="12" t="s">
        <v>2475</v>
      </c>
      <c r="CO109" s="12" t="s">
        <v>2476</v>
      </c>
      <c r="CP109" s="12" t="s">
        <v>2477</v>
      </c>
      <c r="CQ109" s="12" t="s">
        <v>2478</v>
      </c>
      <c r="CR109" s="12" t="s">
        <v>2479</v>
      </c>
      <c r="CS109" s="12" t="s">
        <v>2480</v>
      </c>
      <c r="CT109" s="12" t="s">
        <v>2481</v>
      </c>
    </row>
    <row r="110" spans="1:98" hidden="1" x14ac:dyDescent="0.3">
      <c r="A110" s="12" t="s">
        <v>2482</v>
      </c>
      <c r="B110" s="12" t="s">
        <v>2483</v>
      </c>
      <c r="C110" s="12" t="s">
        <v>2484</v>
      </c>
      <c r="D110" s="12" t="s">
        <v>2485</v>
      </c>
      <c r="E110" s="12" t="s">
        <v>578</v>
      </c>
      <c r="F110" s="12" t="s">
        <v>578</v>
      </c>
      <c r="G110" s="12" t="s">
        <v>578</v>
      </c>
      <c r="H110" s="12" t="s">
        <v>578</v>
      </c>
      <c r="I110" s="12" t="s">
        <v>578</v>
      </c>
      <c r="J110" s="12" t="s">
        <v>578</v>
      </c>
      <c r="K110" s="12" t="s">
        <v>578</v>
      </c>
      <c r="L110" s="12" t="s">
        <v>578</v>
      </c>
      <c r="M110" s="12" t="s">
        <v>578</v>
      </c>
      <c r="N110" s="12" t="s">
        <v>578</v>
      </c>
      <c r="O110" s="12" t="s">
        <v>578</v>
      </c>
      <c r="P110" s="12" t="s">
        <v>578</v>
      </c>
      <c r="Q110" s="12" t="s">
        <v>578</v>
      </c>
      <c r="R110" s="12" t="s">
        <v>578</v>
      </c>
      <c r="S110" s="12" t="s">
        <v>578</v>
      </c>
      <c r="T110" s="12" t="s">
        <v>578</v>
      </c>
      <c r="U110" s="12" t="s">
        <v>578</v>
      </c>
      <c r="V110" s="12" t="s">
        <v>578</v>
      </c>
      <c r="W110" s="12" t="s">
        <v>578</v>
      </c>
      <c r="X110" s="12" t="s">
        <v>578</v>
      </c>
      <c r="Y110" s="12" t="s">
        <v>578</v>
      </c>
      <c r="Z110" s="12" t="s">
        <v>578</v>
      </c>
      <c r="AA110" s="12" t="s">
        <v>578</v>
      </c>
      <c r="AB110" s="12" t="s">
        <v>578</v>
      </c>
      <c r="AC110" s="12" t="s">
        <v>578</v>
      </c>
      <c r="AD110" s="12" t="s">
        <v>578</v>
      </c>
      <c r="AE110" s="12" t="s">
        <v>578</v>
      </c>
      <c r="AF110" s="12" t="s">
        <v>578</v>
      </c>
      <c r="AG110" s="12" t="s">
        <v>578</v>
      </c>
      <c r="AH110" s="12" t="s">
        <v>578</v>
      </c>
      <c r="AI110" s="12" t="s">
        <v>578</v>
      </c>
      <c r="AJ110" s="12" t="s">
        <v>578</v>
      </c>
      <c r="AK110" s="12" t="s">
        <v>578</v>
      </c>
      <c r="AL110" s="12" t="s">
        <v>578</v>
      </c>
      <c r="AM110" s="12" t="s">
        <v>578</v>
      </c>
      <c r="AN110" s="12" t="s">
        <v>578</v>
      </c>
      <c r="AO110" s="12" t="s">
        <v>578</v>
      </c>
      <c r="AP110" s="12" t="s">
        <v>578</v>
      </c>
      <c r="AQ110" s="12" t="s">
        <v>578</v>
      </c>
      <c r="AR110" s="12" t="s">
        <v>578</v>
      </c>
      <c r="AS110" s="12" t="s">
        <v>578</v>
      </c>
      <c r="AT110" s="12" t="s">
        <v>578</v>
      </c>
      <c r="AU110" s="12" t="s">
        <v>578</v>
      </c>
      <c r="AV110" s="12" t="s">
        <v>578</v>
      </c>
      <c r="AW110" s="12" t="s">
        <v>578</v>
      </c>
      <c r="AX110" s="12" t="s">
        <v>581</v>
      </c>
      <c r="AY110" s="12" t="s">
        <v>581</v>
      </c>
      <c r="AZ110" s="12" t="s">
        <v>581</v>
      </c>
      <c r="BA110" s="12" t="s">
        <v>581</v>
      </c>
      <c r="BB110" s="12" t="s">
        <v>581</v>
      </c>
      <c r="BC110" s="12" t="s">
        <v>581</v>
      </c>
      <c r="BD110" s="12" t="s">
        <v>581</v>
      </c>
      <c r="BE110" s="12" t="s">
        <v>581</v>
      </c>
      <c r="BF110" s="12" t="s">
        <v>582</v>
      </c>
      <c r="BG110" s="12" t="s">
        <v>583</v>
      </c>
      <c r="BH110" s="12" t="s">
        <v>583</v>
      </c>
      <c r="BI110" s="12" t="s">
        <v>583</v>
      </c>
      <c r="BJ110" s="12" t="s">
        <v>583</v>
      </c>
      <c r="BK110" s="12" t="s">
        <v>762</v>
      </c>
      <c r="BL110" s="12" t="s">
        <v>808</v>
      </c>
      <c r="BM110" s="12" t="s">
        <v>808</v>
      </c>
      <c r="BN110" s="12" t="s">
        <v>675</v>
      </c>
      <c r="BO110" s="12" t="s">
        <v>626</v>
      </c>
      <c r="BP110" s="12" t="s">
        <v>869</v>
      </c>
      <c r="BQ110" s="12" t="s">
        <v>869</v>
      </c>
      <c r="BR110" s="12" t="s">
        <v>869</v>
      </c>
      <c r="BS110" s="12" t="s">
        <v>869</v>
      </c>
      <c r="BT110" s="12" t="s">
        <v>869</v>
      </c>
      <c r="BU110" s="12" t="s">
        <v>1259</v>
      </c>
      <c r="BV110" s="12" t="s">
        <v>1259</v>
      </c>
      <c r="BW110" s="12" t="s">
        <v>630</v>
      </c>
      <c r="BX110" s="12" t="s">
        <v>630</v>
      </c>
      <c r="BY110" s="12" t="s">
        <v>992</v>
      </c>
      <c r="BZ110" s="12" t="s">
        <v>919</v>
      </c>
      <c r="CA110" s="12" t="s">
        <v>919</v>
      </c>
      <c r="CB110" s="12" t="s">
        <v>975</v>
      </c>
      <c r="CC110" s="12" t="s">
        <v>975</v>
      </c>
      <c r="CD110" s="12" t="s">
        <v>855</v>
      </c>
      <c r="CE110" s="12" t="s">
        <v>1352</v>
      </c>
      <c r="CF110" s="12" t="s">
        <v>1352</v>
      </c>
      <c r="CG110" s="12" t="s">
        <v>1352</v>
      </c>
      <c r="CH110" s="12" t="s">
        <v>977</v>
      </c>
      <c r="CI110" s="12" t="s">
        <v>977</v>
      </c>
      <c r="CJ110" s="12" t="s">
        <v>977</v>
      </c>
      <c r="CK110" s="12" t="s">
        <v>977</v>
      </c>
      <c r="CL110" s="12" t="s">
        <v>977</v>
      </c>
      <c r="CM110" s="12" t="s">
        <v>859</v>
      </c>
      <c r="CN110" s="12" t="s">
        <v>859</v>
      </c>
      <c r="CO110" s="12" t="s">
        <v>859</v>
      </c>
      <c r="CP110" s="12" t="s">
        <v>772</v>
      </c>
      <c r="CQ110" s="12" t="s">
        <v>772</v>
      </c>
      <c r="CR110" s="12" t="s">
        <v>772</v>
      </c>
      <c r="CS110" s="12" t="s">
        <v>1260</v>
      </c>
      <c r="CT110" s="12" t="s">
        <v>979</v>
      </c>
    </row>
    <row r="111" spans="1:98" hidden="1" x14ac:dyDescent="0.3">
      <c r="A111" s="12" t="s">
        <v>2486</v>
      </c>
      <c r="B111" s="12" t="s">
        <v>2483</v>
      </c>
      <c r="C111" s="12" t="s">
        <v>2487</v>
      </c>
      <c r="D111" s="12" t="s">
        <v>2488</v>
      </c>
      <c r="E111" s="12" t="s">
        <v>578</v>
      </c>
      <c r="F111" s="12" t="s">
        <v>578</v>
      </c>
      <c r="G111" s="12" t="s">
        <v>578</v>
      </c>
      <c r="H111" s="12" t="s">
        <v>578</v>
      </c>
      <c r="I111" s="12" t="s">
        <v>578</v>
      </c>
      <c r="J111" s="12" t="s">
        <v>578</v>
      </c>
      <c r="K111" s="12" t="s">
        <v>578</v>
      </c>
      <c r="L111" s="12" t="s">
        <v>578</v>
      </c>
      <c r="M111" s="12" t="s">
        <v>578</v>
      </c>
      <c r="N111" s="12" t="s">
        <v>578</v>
      </c>
      <c r="O111" s="12" t="s">
        <v>578</v>
      </c>
      <c r="P111" s="12" t="s">
        <v>578</v>
      </c>
      <c r="Q111" s="12" t="s">
        <v>578</v>
      </c>
      <c r="R111" s="12" t="s">
        <v>578</v>
      </c>
      <c r="S111" s="12" t="s">
        <v>578</v>
      </c>
      <c r="T111" s="12" t="s">
        <v>578</v>
      </c>
      <c r="U111" s="12" t="s">
        <v>578</v>
      </c>
      <c r="V111" s="12" t="s">
        <v>578</v>
      </c>
      <c r="W111" s="12" t="s">
        <v>578</v>
      </c>
      <c r="X111" s="12" t="s">
        <v>578</v>
      </c>
      <c r="Y111" s="12" t="s">
        <v>578</v>
      </c>
      <c r="Z111" s="12" t="s">
        <v>578</v>
      </c>
      <c r="AA111" s="12" t="s">
        <v>578</v>
      </c>
      <c r="AB111" s="12" t="s">
        <v>578</v>
      </c>
      <c r="AC111" s="12" t="s">
        <v>578</v>
      </c>
      <c r="AD111" s="12" t="s">
        <v>578</v>
      </c>
      <c r="AE111" s="12" t="s">
        <v>578</v>
      </c>
      <c r="AF111" s="12" t="s">
        <v>578</v>
      </c>
      <c r="AG111" s="12" t="s">
        <v>578</v>
      </c>
      <c r="AH111" s="12" t="s">
        <v>578</v>
      </c>
      <c r="AI111" s="12" t="s">
        <v>578</v>
      </c>
      <c r="AJ111" s="12" t="s">
        <v>578</v>
      </c>
      <c r="AK111" s="12" t="s">
        <v>578</v>
      </c>
      <c r="AL111" s="12" t="s">
        <v>578</v>
      </c>
      <c r="AM111" s="12" t="s">
        <v>578</v>
      </c>
      <c r="AN111" s="12" t="s">
        <v>578</v>
      </c>
      <c r="AO111" s="12" t="s">
        <v>578</v>
      </c>
      <c r="AP111" s="12" t="s">
        <v>578</v>
      </c>
      <c r="AQ111" s="12" t="s">
        <v>578</v>
      </c>
      <c r="AR111" s="12" t="s">
        <v>578</v>
      </c>
      <c r="AS111" s="12" t="s">
        <v>578</v>
      </c>
      <c r="AT111" s="12" t="s">
        <v>578</v>
      </c>
      <c r="AU111" s="12" t="s">
        <v>578</v>
      </c>
      <c r="AV111" s="12" t="s">
        <v>578</v>
      </c>
      <c r="AW111" s="12" t="s">
        <v>578</v>
      </c>
      <c r="AX111" s="12" t="s">
        <v>578</v>
      </c>
      <c r="AY111" s="12" t="s">
        <v>578</v>
      </c>
      <c r="AZ111" s="12" t="s">
        <v>578</v>
      </c>
      <c r="BA111" s="12" t="s">
        <v>578</v>
      </c>
      <c r="BB111" s="12" t="s">
        <v>578</v>
      </c>
      <c r="BC111" s="12" t="s">
        <v>578</v>
      </c>
      <c r="BD111" s="12" t="s">
        <v>672</v>
      </c>
      <c r="BE111" s="12" t="s">
        <v>672</v>
      </c>
      <c r="BF111" s="12" t="s">
        <v>672</v>
      </c>
      <c r="BG111" s="12" t="s">
        <v>672</v>
      </c>
      <c r="BH111" s="12" t="s">
        <v>672</v>
      </c>
      <c r="BI111" s="12" t="s">
        <v>672</v>
      </c>
      <c r="BJ111" s="12" t="s">
        <v>851</v>
      </c>
      <c r="BK111" s="12" t="s">
        <v>583</v>
      </c>
      <c r="BL111" s="12" t="s">
        <v>762</v>
      </c>
      <c r="BM111" s="12" t="s">
        <v>808</v>
      </c>
      <c r="BN111" s="12" t="s">
        <v>808</v>
      </c>
      <c r="BO111" s="12" t="s">
        <v>757</v>
      </c>
      <c r="BP111" s="12" t="s">
        <v>757</v>
      </c>
      <c r="BQ111" s="12" t="s">
        <v>2018</v>
      </c>
      <c r="BR111" s="12" t="s">
        <v>2018</v>
      </c>
      <c r="BS111" s="12" t="s">
        <v>2018</v>
      </c>
      <c r="BT111" s="12" t="s">
        <v>2018</v>
      </c>
      <c r="BU111" s="12" t="s">
        <v>971</v>
      </c>
      <c r="BV111" s="12" t="s">
        <v>971</v>
      </c>
      <c r="BW111" s="12" t="s">
        <v>677</v>
      </c>
      <c r="BX111" s="12" t="s">
        <v>677</v>
      </c>
      <c r="BY111" s="12" t="s">
        <v>718</v>
      </c>
      <c r="BZ111" s="12" t="s">
        <v>588</v>
      </c>
      <c r="CA111" s="12" t="s">
        <v>1046</v>
      </c>
      <c r="CB111" s="12" t="s">
        <v>629</v>
      </c>
      <c r="CC111" s="12" t="s">
        <v>972</v>
      </c>
      <c r="CD111" s="12" t="s">
        <v>630</v>
      </c>
      <c r="CE111" s="12" t="s">
        <v>630</v>
      </c>
      <c r="CF111" s="12" t="s">
        <v>630</v>
      </c>
      <c r="CG111" s="12" t="s">
        <v>630</v>
      </c>
      <c r="CH111" s="12" t="s">
        <v>719</v>
      </c>
      <c r="CI111" s="12" t="s">
        <v>631</v>
      </c>
      <c r="CJ111" s="12" t="s">
        <v>631</v>
      </c>
      <c r="CK111" s="12" t="s">
        <v>631</v>
      </c>
      <c r="CL111" s="12" t="s">
        <v>631</v>
      </c>
      <c r="CM111" s="12" t="s">
        <v>631</v>
      </c>
      <c r="CN111" s="12" t="s">
        <v>631</v>
      </c>
      <c r="CO111" s="12" t="s">
        <v>631</v>
      </c>
      <c r="CP111" s="12" t="s">
        <v>769</v>
      </c>
      <c r="CQ111" s="12" t="s">
        <v>769</v>
      </c>
      <c r="CR111" s="12" t="s">
        <v>992</v>
      </c>
      <c r="CS111" s="12" t="s">
        <v>992</v>
      </c>
      <c r="CT111" s="12" t="s">
        <v>992</v>
      </c>
    </row>
    <row r="112" spans="1:98" hidden="1" x14ac:dyDescent="0.3">
      <c r="A112" s="12" t="s">
        <v>2489</v>
      </c>
      <c r="B112" s="12" t="s">
        <v>2483</v>
      </c>
      <c r="C112" s="12" t="s">
        <v>2490</v>
      </c>
      <c r="D112" s="12" t="s">
        <v>2491</v>
      </c>
      <c r="E112" s="12" t="s">
        <v>578</v>
      </c>
      <c r="F112" s="12" t="s">
        <v>578</v>
      </c>
      <c r="G112" s="12" t="s">
        <v>578</v>
      </c>
      <c r="H112" s="12" t="s">
        <v>578</v>
      </c>
      <c r="I112" s="12" t="s">
        <v>578</v>
      </c>
      <c r="J112" s="12" t="s">
        <v>578</v>
      </c>
      <c r="K112" s="12" t="s">
        <v>578</v>
      </c>
      <c r="L112" s="12" t="s">
        <v>578</v>
      </c>
      <c r="M112" s="12" t="s">
        <v>578</v>
      </c>
      <c r="N112" s="12" t="s">
        <v>578</v>
      </c>
      <c r="O112" s="12" t="s">
        <v>578</v>
      </c>
      <c r="P112" s="12" t="s">
        <v>578</v>
      </c>
      <c r="Q112" s="12" t="s">
        <v>578</v>
      </c>
      <c r="R112" s="12" t="s">
        <v>578</v>
      </c>
      <c r="S112" s="12" t="s">
        <v>578</v>
      </c>
      <c r="T112" s="12" t="s">
        <v>578</v>
      </c>
      <c r="U112" s="12" t="s">
        <v>578</v>
      </c>
      <c r="V112" s="12" t="s">
        <v>578</v>
      </c>
      <c r="W112" s="12" t="s">
        <v>578</v>
      </c>
      <c r="X112" s="12" t="s">
        <v>578</v>
      </c>
      <c r="Y112" s="12" t="s">
        <v>578</v>
      </c>
      <c r="Z112" s="12" t="s">
        <v>578</v>
      </c>
      <c r="AA112" s="12" t="s">
        <v>578</v>
      </c>
      <c r="AB112" s="12" t="s">
        <v>578</v>
      </c>
      <c r="AC112" s="12" t="s">
        <v>578</v>
      </c>
      <c r="AD112" s="12" t="s">
        <v>578</v>
      </c>
      <c r="AE112" s="12" t="s">
        <v>578</v>
      </c>
      <c r="AF112" s="12" t="s">
        <v>578</v>
      </c>
      <c r="AG112" s="12" t="s">
        <v>578</v>
      </c>
      <c r="AH112" s="12" t="s">
        <v>578</v>
      </c>
      <c r="AI112" s="12" t="s">
        <v>578</v>
      </c>
      <c r="AJ112" s="12" t="s">
        <v>578</v>
      </c>
      <c r="AK112" s="12" t="s">
        <v>578</v>
      </c>
      <c r="AL112" s="12" t="s">
        <v>578</v>
      </c>
      <c r="AM112" s="12" t="s">
        <v>578</v>
      </c>
      <c r="AN112" s="12" t="s">
        <v>578</v>
      </c>
      <c r="AO112" s="12" t="s">
        <v>578</v>
      </c>
      <c r="AP112" s="12" t="s">
        <v>578</v>
      </c>
      <c r="AQ112" s="12" t="s">
        <v>578</v>
      </c>
      <c r="AR112" s="12" t="s">
        <v>578</v>
      </c>
      <c r="AS112" s="12" t="s">
        <v>578</v>
      </c>
      <c r="AT112" s="12" t="s">
        <v>578</v>
      </c>
      <c r="AU112" s="12" t="s">
        <v>578</v>
      </c>
      <c r="AV112" s="12" t="s">
        <v>578</v>
      </c>
      <c r="AW112" s="12" t="s">
        <v>578</v>
      </c>
      <c r="AX112" s="12" t="s">
        <v>578</v>
      </c>
      <c r="AY112" s="12" t="s">
        <v>578</v>
      </c>
      <c r="AZ112" s="12" t="s">
        <v>578</v>
      </c>
      <c r="BA112" s="12" t="s">
        <v>578</v>
      </c>
      <c r="BB112" s="12" t="s">
        <v>578</v>
      </c>
      <c r="BC112" s="12" t="s">
        <v>578</v>
      </c>
      <c r="BD112" s="12" t="s">
        <v>579</v>
      </c>
      <c r="BE112" s="12" t="s">
        <v>579</v>
      </c>
      <c r="BF112" s="12" t="s">
        <v>672</v>
      </c>
      <c r="BG112" s="12" t="s">
        <v>851</v>
      </c>
      <c r="BH112" s="12" t="s">
        <v>808</v>
      </c>
      <c r="BI112" s="12" t="s">
        <v>913</v>
      </c>
      <c r="BJ112" s="12" t="s">
        <v>627</v>
      </c>
      <c r="BK112" s="12" t="s">
        <v>768</v>
      </c>
      <c r="BL112" s="12" t="s">
        <v>719</v>
      </c>
      <c r="BM112" s="12" t="s">
        <v>1413</v>
      </c>
      <c r="BN112" s="12" t="s">
        <v>853</v>
      </c>
      <c r="BO112" s="12" t="s">
        <v>853</v>
      </c>
      <c r="BP112" s="12" t="s">
        <v>1120</v>
      </c>
      <c r="BQ112" s="12" t="s">
        <v>1120</v>
      </c>
      <c r="BR112" s="12" t="s">
        <v>1120</v>
      </c>
      <c r="BS112" s="12" t="s">
        <v>863</v>
      </c>
      <c r="BT112" s="12" t="s">
        <v>1664</v>
      </c>
      <c r="BU112" s="12" t="s">
        <v>1664</v>
      </c>
      <c r="BV112" s="12" t="s">
        <v>1353</v>
      </c>
      <c r="BW112" s="12" t="s">
        <v>1751</v>
      </c>
      <c r="BX112" s="12" t="s">
        <v>773</v>
      </c>
      <c r="BY112" s="12" t="s">
        <v>2034</v>
      </c>
      <c r="BZ112" s="12" t="s">
        <v>873</v>
      </c>
      <c r="CA112" s="12" t="s">
        <v>1356</v>
      </c>
      <c r="CB112" s="12" t="s">
        <v>1356</v>
      </c>
      <c r="CC112" s="12" t="s">
        <v>683</v>
      </c>
      <c r="CD112" s="12" t="s">
        <v>2013</v>
      </c>
      <c r="CE112" s="12" t="s">
        <v>2013</v>
      </c>
      <c r="CF112" s="12" t="s">
        <v>1821</v>
      </c>
      <c r="CG112" s="12" t="s">
        <v>1821</v>
      </c>
      <c r="CH112" s="12" t="s">
        <v>1821</v>
      </c>
      <c r="CI112" s="12" t="s">
        <v>1821</v>
      </c>
      <c r="CJ112" s="12" t="s">
        <v>1886</v>
      </c>
      <c r="CK112" s="12" t="s">
        <v>1886</v>
      </c>
      <c r="CL112" s="12" t="s">
        <v>1886</v>
      </c>
      <c r="CM112" s="12" t="s">
        <v>1886</v>
      </c>
      <c r="CN112" s="12" t="s">
        <v>1505</v>
      </c>
      <c r="CO112" s="12" t="s">
        <v>1505</v>
      </c>
      <c r="CP112" s="12" t="s">
        <v>1505</v>
      </c>
      <c r="CQ112" s="12" t="s">
        <v>1505</v>
      </c>
      <c r="CR112" s="12" t="s">
        <v>1505</v>
      </c>
      <c r="CS112" s="12" t="s">
        <v>1505</v>
      </c>
      <c r="CT112" s="12" t="s">
        <v>2099</v>
      </c>
    </row>
    <row r="113" spans="1:98" hidden="1" x14ac:dyDescent="0.3">
      <c r="A113" s="12" t="s">
        <v>2492</v>
      </c>
      <c r="B113" s="12" t="s">
        <v>2483</v>
      </c>
      <c r="C113" s="12" t="s">
        <v>2493</v>
      </c>
      <c r="D113" s="12" t="s">
        <v>2494</v>
      </c>
      <c r="E113" s="12" t="s">
        <v>578</v>
      </c>
      <c r="F113" s="12" t="s">
        <v>578</v>
      </c>
      <c r="G113" s="12" t="s">
        <v>578</v>
      </c>
      <c r="H113" s="12" t="s">
        <v>578</v>
      </c>
      <c r="I113" s="12" t="s">
        <v>578</v>
      </c>
      <c r="J113" s="12" t="s">
        <v>578</v>
      </c>
      <c r="K113" s="12" t="s">
        <v>578</v>
      </c>
      <c r="L113" s="12" t="s">
        <v>578</v>
      </c>
      <c r="M113" s="12" t="s">
        <v>578</v>
      </c>
      <c r="N113" s="12" t="s">
        <v>578</v>
      </c>
      <c r="O113" s="12" t="s">
        <v>578</v>
      </c>
      <c r="P113" s="12" t="s">
        <v>578</v>
      </c>
      <c r="Q113" s="12" t="s">
        <v>578</v>
      </c>
      <c r="R113" s="12" t="s">
        <v>578</v>
      </c>
      <c r="S113" s="12" t="s">
        <v>578</v>
      </c>
      <c r="T113" s="12" t="s">
        <v>578</v>
      </c>
      <c r="U113" s="12" t="s">
        <v>578</v>
      </c>
      <c r="V113" s="12" t="s">
        <v>578</v>
      </c>
      <c r="W113" s="12" t="s">
        <v>578</v>
      </c>
      <c r="X113" s="12" t="s">
        <v>578</v>
      </c>
      <c r="Y113" s="12" t="s">
        <v>578</v>
      </c>
      <c r="Z113" s="12" t="s">
        <v>578</v>
      </c>
      <c r="AA113" s="12" t="s">
        <v>578</v>
      </c>
      <c r="AB113" s="12" t="s">
        <v>578</v>
      </c>
      <c r="AC113" s="12" t="s">
        <v>578</v>
      </c>
      <c r="AD113" s="12" t="s">
        <v>578</v>
      </c>
      <c r="AE113" s="12" t="s">
        <v>578</v>
      </c>
      <c r="AF113" s="12" t="s">
        <v>578</v>
      </c>
      <c r="AG113" s="12" t="s">
        <v>578</v>
      </c>
      <c r="AH113" s="12" t="s">
        <v>578</v>
      </c>
      <c r="AI113" s="12" t="s">
        <v>578</v>
      </c>
      <c r="AJ113" s="12" t="s">
        <v>578</v>
      </c>
      <c r="AK113" s="12" t="s">
        <v>578</v>
      </c>
      <c r="AL113" s="12" t="s">
        <v>578</v>
      </c>
      <c r="AM113" s="12" t="s">
        <v>578</v>
      </c>
      <c r="AN113" s="12" t="s">
        <v>578</v>
      </c>
      <c r="AO113" s="12" t="s">
        <v>578</v>
      </c>
      <c r="AP113" s="12" t="s">
        <v>578</v>
      </c>
      <c r="AQ113" s="12" t="s">
        <v>578</v>
      </c>
      <c r="AR113" s="12" t="s">
        <v>578</v>
      </c>
      <c r="AS113" s="12" t="s">
        <v>578</v>
      </c>
      <c r="AT113" s="12" t="s">
        <v>578</v>
      </c>
      <c r="AU113" s="12" t="s">
        <v>578</v>
      </c>
      <c r="AV113" s="12" t="s">
        <v>578</v>
      </c>
      <c r="AW113" s="12" t="s">
        <v>578</v>
      </c>
      <c r="AX113" s="12" t="s">
        <v>578</v>
      </c>
      <c r="AY113" s="12" t="s">
        <v>578</v>
      </c>
      <c r="AZ113" s="12" t="s">
        <v>578</v>
      </c>
      <c r="BA113" s="12" t="s">
        <v>578</v>
      </c>
      <c r="BB113" s="12" t="s">
        <v>578</v>
      </c>
      <c r="BC113" s="12" t="s">
        <v>578</v>
      </c>
      <c r="BD113" s="12" t="s">
        <v>578</v>
      </c>
      <c r="BE113" s="12" t="s">
        <v>578</v>
      </c>
      <c r="BF113" s="12" t="s">
        <v>579</v>
      </c>
      <c r="BG113" s="12" t="s">
        <v>579</v>
      </c>
      <c r="BH113" s="12" t="s">
        <v>579</v>
      </c>
      <c r="BI113" s="12" t="s">
        <v>672</v>
      </c>
      <c r="BJ113" s="12" t="s">
        <v>672</v>
      </c>
      <c r="BK113" s="12" t="s">
        <v>851</v>
      </c>
      <c r="BL113" s="12" t="s">
        <v>582</v>
      </c>
      <c r="BM113" s="12" t="s">
        <v>583</v>
      </c>
      <c r="BN113" s="12" t="s">
        <v>587</v>
      </c>
      <c r="BO113" s="12" t="s">
        <v>971</v>
      </c>
      <c r="BP113" s="12" t="s">
        <v>971</v>
      </c>
      <c r="BQ113" s="12" t="s">
        <v>971</v>
      </c>
      <c r="BR113" s="12" t="s">
        <v>954</v>
      </c>
      <c r="BS113" s="12" t="s">
        <v>1180</v>
      </c>
      <c r="BT113" s="12" t="s">
        <v>1180</v>
      </c>
      <c r="BU113" s="12" t="s">
        <v>976</v>
      </c>
      <c r="BV113" s="12" t="s">
        <v>591</v>
      </c>
      <c r="BW113" s="12" t="s">
        <v>591</v>
      </c>
      <c r="BX113" s="12" t="s">
        <v>1500</v>
      </c>
      <c r="BY113" s="12" t="s">
        <v>773</v>
      </c>
      <c r="BZ113" s="12" t="s">
        <v>873</v>
      </c>
      <c r="CA113" s="12" t="s">
        <v>1515</v>
      </c>
      <c r="CB113" s="12" t="s">
        <v>1515</v>
      </c>
      <c r="CC113" s="12" t="s">
        <v>874</v>
      </c>
      <c r="CD113" s="12" t="s">
        <v>874</v>
      </c>
      <c r="CE113" s="12" t="s">
        <v>921</v>
      </c>
      <c r="CF113" s="12" t="s">
        <v>1279</v>
      </c>
      <c r="CG113" s="12" t="s">
        <v>2137</v>
      </c>
      <c r="CH113" s="12" t="s">
        <v>2137</v>
      </c>
      <c r="CI113" s="12" t="s">
        <v>987</v>
      </c>
      <c r="CJ113" s="12" t="s">
        <v>1489</v>
      </c>
      <c r="CK113" s="12" t="s">
        <v>1489</v>
      </c>
      <c r="CL113" s="12" t="s">
        <v>1423</v>
      </c>
      <c r="CM113" s="12" t="s">
        <v>1816</v>
      </c>
      <c r="CN113" s="12" t="s">
        <v>1492</v>
      </c>
      <c r="CO113" s="12" t="s">
        <v>1459</v>
      </c>
      <c r="CP113" s="12" t="s">
        <v>1459</v>
      </c>
      <c r="CQ113" s="12" t="s">
        <v>1029</v>
      </c>
      <c r="CR113" s="12" t="s">
        <v>1612</v>
      </c>
      <c r="CS113" s="12" t="s">
        <v>1612</v>
      </c>
      <c r="CT113" s="12" t="s">
        <v>1267</v>
      </c>
    </row>
    <row r="114" spans="1:98" hidden="1" x14ac:dyDescent="0.3">
      <c r="A114" s="12" t="s">
        <v>2495</v>
      </c>
      <c r="B114" s="12" t="s">
        <v>2483</v>
      </c>
      <c r="C114" s="12" t="s">
        <v>2496</v>
      </c>
      <c r="D114" s="12" t="s">
        <v>2497</v>
      </c>
      <c r="E114" s="12" t="s">
        <v>578</v>
      </c>
      <c r="F114" s="12" t="s">
        <v>578</v>
      </c>
      <c r="G114" s="12" t="s">
        <v>578</v>
      </c>
      <c r="H114" s="12" t="s">
        <v>578</v>
      </c>
      <c r="I114" s="12" t="s">
        <v>578</v>
      </c>
      <c r="J114" s="12" t="s">
        <v>578</v>
      </c>
      <c r="K114" s="12" t="s">
        <v>578</v>
      </c>
      <c r="L114" s="12" t="s">
        <v>578</v>
      </c>
      <c r="M114" s="12" t="s">
        <v>578</v>
      </c>
      <c r="N114" s="12" t="s">
        <v>578</v>
      </c>
      <c r="O114" s="12" t="s">
        <v>578</v>
      </c>
      <c r="P114" s="12" t="s">
        <v>578</v>
      </c>
      <c r="Q114" s="12" t="s">
        <v>578</v>
      </c>
      <c r="R114" s="12" t="s">
        <v>578</v>
      </c>
      <c r="S114" s="12" t="s">
        <v>578</v>
      </c>
      <c r="T114" s="12" t="s">
        <v>578</v>
      </c>
      <c r="U114" s="12" t="s">
        <v>578</v>
      </c>
      <c r="V114" s="12" t="s">
        <v>578</v>
      </c>
      <c r="W114" s="12" t="s">
        <v>578</v>
      </c>
      <c r="X114" s="12" t="s">
        <v>578</v>
      </c>
      <c r="Y114" s="12" t="s">
        <v>578</v>
      </c>
      <c r="Z114" s="12" t="s">
        <v>578</v>
      </c>
      <c r="AA114" s="12" t="s">
        <v>578</v>
      </c>
      <c r="AB114" s="12" t="s">
        <v>578</v>
      </c>
      <c r="AC114" s="12" t="s">
        <v>578</v>
      </c>
      <c r="AD114" s="12" t="s">
        <v>578</v>
      </c>
      <c r="AE114" s="12" t="s">
        <v>578</v>
      </c>
      <c r="AF114" s="12" t="s">
        <v>578</v>
      </c>
      <c r="AG114" s="12" t="s">
        <v>578</v>
      </c>
      <c r="AH114" s="12" t="s">
        <v>578</v>
      </c>
      <c r="AI114" s="12" t="s">
        <v>578</v>
      </c>
      <c r="AJ114" s="12" t="s">
        <v>578</v>
      </c>
      <c r="AK114" s="12" t="s">
        <v>578</v>
      </c>
      <c r="AL114" s="12" t="s">
        <v>578</v>
      </c>
      <c r="AM114" s="12" t="s">
        <v>578</v>
      </c>
      <c r="AN114" s="12" t="s">
        <v>578</v>
      </c>
      <c r="AO114" s="12" t="s">
        <v>578</v>
      </c>
      <c r="AP114" s="12" t="s">
        <v>578</v>
      </c>
      <c r="AQ114" s="12" t="s">
        <v>578</v>
      </c>
      <c r="AR114" s="12" t="s">
        <v>578</v>
      </c>
      <c r="AS114" s="12" t="s">
        <v>578</v>
      </c>
      <c r="AT114" s="12" t="s">
        <v>578</v>
      </c>
      <c r="AU114" s="12" t="s">
        <v>578</v>
      </c>
      <c r="AV114" s="12" t="s">
        <v>578</v>
      </c>
      <c r="AW114" s="12" t="s">
        <v>578</v>
      </c>
      <c r="AX114" s="12" t="s">
        <v>578</v>
      </c>
      <c r="AY114" s="12" t="s">
        <v>578</v>
      </c>
      <c r="AZ114" s="12" t="s">
        <v>578</v>
      </c>
      <c r="BA114" s="12" t="s">
        <v>578</v>
      </c>
      <c r="BB114" s="12" t="s">
        <v>578</v>
      </c>
      <c r="BC114" s="12" t="s">
        <v>578</v>
      </c>
      <c r="BD114" s="12" t="s">
        <v>578</v>
      </c>
      <c r="BE114" s="12" t="s">
        <v>578</v>
      </c>
      <c r="BF114" s="12" t="s">
        <v>578</v>
      </c>
      <c r="BG114" s="12" t="s">
        <v>578</v>
      </c>
      <c r="BH114" s="12" t="s">
        <v>578</v>
      </c>
      <c r="BI114" s="12" t="s">
        <v>578</v>
      </c>
      <c r="BJ114" s="12" t="s">
        <v>623</v>
      </c>
      <c r="BK114" s="12" t="s">
        <v>623</v>
      </c>
      <c r="BL114" s="12" t="s">
        <v>580</v>
      </c>
      <c r="BM114" s="12" t="s">
        <v>580</v>
      </c>
      <c r="BN114" s="12" t="s">
        <v>755</v>
      </c>
      <c r="BO114" s="12" t="s">
        <v>624</v>
      </c>
      <c r="BP114" s="12" t="s">
        <v>756</v>
      </c>
      <c r="BQ114" s="12" t="s">
        <v>756</v>
      </c>
      <c r="BR114" s="12" t="s">
        <v>762</v>
      </c>
      <c r="BS114" s="12" t="s">
        <v>762</v>
      </c>
      <c r="BT114" s="12" t="s">
        <v>762</v>
      </c>
      <c r="BU114" s="12" t="s">
        <v>762</v>
      </c>
      <c r="BV114" s="12" t="s">
        <v>584</v>
      </c>
      <c r="BW114" s="12" t="s">
        <v>584</v>
      </c>
      <c r="BX114" s="12" t="s">
        <v>808</v>
      </c>
      <c r="BY114" s="12" t="s">
        <v>808</v>
      </c>
      <c r="BZ114" s="12" t="s">
        <v>673</v>
      </c>
      <c r="CA114" s="12" t="s">
        <v>808</v>
      </c>
      <c r="CB114" s="12" t="s">
        <v>808</v>
      </c>
      <c r="CC114" s="12" t="s">
        <v>808</v>
      </c>
      <c r="CD114" s="12" t="s">
        <v>808</v>
      </c>
      <c r="CE114" s="12" t="s">
        <v>808</v>
      </c>
      <c r="CF114" s="12" t="s">
        <v>808</v>
      </c>
      <c r="CG114" s="12" t="s">
        <v>808</v>
      </c>
      <c r="CH114" s="12" t="s">
        <v>808</v>
      </c>
      <c r="CI114" s="12" t="s">
        <v>808</v>
      </c>
      <c r="CJ114" s="12" t="s">
        <v>808</v>
      </c>
      <c r="CK114" s="12" t="s">
        <v>808</v>
      </c>
      <c r="CL114" s="12" t="s">
        <v>808</v>
      </c>
      <c r="CM114" s="12" t="s">
        <v>808</v>
      </c>
      <c r="CN114" s="12" t="s">
        <v>808</v>
      </c>
      <c r="CO114" s="12" t="s">
        <v>808</v>
      </c>
      <c r="CP114" s="12" t="s">
        <v>808</v>
      </c>
      <c r="CQ114" s="12" t="s">
        <v>808</v>
      </c>
      <c r="CR114" s="12" t="s">
        <v>808</v>
      </c>
      <c r="CS114" s="12" t="s">
        <v>808</v>
      </c>
      <c r="CT114" s="12" t="s">
        <v>808</v>
      </c>
    </row>
    <row r="115" spans="1:98" hidden="1" x14ac:dyDescent="0.3">
      <c r="A115" s="12" t="s">
        <v>2498</v>
      </c>
      <c r="B115" s="12" t="s">
        <v>2483</v>
      </c>
      <c r="C115" s="12" t="s">
        <v>2499</v>
      </c>
      <c r="D115" s="12" t="s">
        <v>2500</v>
      </c>
      <c r="E115" s="12" t="s">
        <v>578</v>
      </c>
      <c r="F115" s="12" t="s">
        <v>578</v>
      </c>
      <c r="G115" s="12" t="s">
        <v>578</v>
      </c>
      <c r="H115" s="12" t="s">
        <v>578</v>
      </c>
      <c r="I115" s="12" t="s">
        <v>578</v>
      </c>
      <c r="J115" s="12" t="s">
        <v>578</v>
      </c>
      <c r="K115" s="12" t="s">
        <v>578</v>
      </c>
      <c r="L115" s="12" t="s">
        <v>578</v>
      </c>
      <c r="M115" s="12" t="s">
        <v>578</v>
      </c>
      <c r="N115" s="12" t="s">
        <v>578</v>
      </c>
      <c r="O115" s="12" t="s">
        <v>578</v>
      </c>
      <c r="P115" s="12" t="s">
        <v>578</v>
      </c>
      <c r="Q115" s="12" t="s">
        <v>578</v>
      </c>
      <c r="R115" s="12" t="s">
        <v>578</v>
      </c>
      <c r="S115" s="12" t="s">
        <v>578</v>
      </c>
      <c r="T115" s="12" t="s">
        <v>578</v>
      </c>
      <c r="U115" s="12" t="s">
        <v>578</v>
      </c>
      <c r="V115" s="12" t="s">
        <v>578</v>
      </c>
      <c r="W115" s="12" t="s">
        <v>578</v>
      </c>
      <c r="X115" s="12" t="s">
        <v>578</v>
      </c>
      <c r="Y115" s="12" t="s">
        <v>578</v>
      </c>
      <c r="Z115" s="12" t="s">
        <v>578</v>
      </c>
      <c r="AA115" s="12" t="s">
        <v>578</v>
      </c>
      <c r="AB115" s="12" t="s">
        <v>578</v>
      </c>
      <c r="AC115" s="12" t="s">
        <v>578</v>
      </c>
      <c r="AD115" s="12" t="s">
        <v>578</v>
      </c>
      <c r="AE115" s="12" t="s">
        <v>578</v>
      </c>
      <c r="AF115" s="12" t="s">
        <v>578</v>
      </c>
      <c r="AG115" s="12" t="s">
        <v>578</v>
      </c>
      <c r="AH115" s="12" t="s">
        <v>578</v>
      </c>
      <c r="AI115" s="12" t="s">
        <v>578</v>
      </c>
      <c r="AJ115" s="12" t="s">
        <v>578</v>
      </c>
      <c r="AK115" s="12" t="s">
        <v>578</v>
      </c>
      <c r="AL115" s="12" t="s">
        <v>578</v>
      </c>
      <c r="AM115" s="12" t="s">
        <v>578</v>
      </c>
      <c r="AN115" s="12" t="s">
        <v>578</v>
      </c>
      <c r="AO115" s="12" t="s">
        <v>578</v>
      </c>
      <c r="AP115" s="12" t="s">
        <v>578</v>
      </c>
      <c r="AQ115" s="12" t="s">
        <v>578</v>
      </c>
      <c r="AR115" s="12" t="s">
        <v>578</v>
      </c>
      <c r="AS115" s="12" t="s">
        <v>578</v>
      </c>
      <c r="AT115" s="12" t="s">
        <v>578</v>
      </c>
      <c r="AU115" s="12" t="s">
        <v>578</v>
      </c>
      <c r="AV115" s="12" t="s">
        <v>578</v>
      </c>
      <c r="AW115" s="12" t="s">
        <v>578</v>
      </c>
      <c r="AX115" s="12" t="s">
        <v>578</v>
      </c>
      <c r="AY115" s="12" t="s">
        <v>578</v>
      </c>
      <c r="AZ115" s="12" t="s">
        <v>578</v>
      </c>
      <c r="BA115" s="12" t="s">
        <v>578</v>
      </c>
      <c r="BB115" s="12" t="s">
        <v>579</v>
      </c>
      <c r="BC115" s="12" t="s">
        <v>579</v>
      </c>
      <c r="BD115" s="12" t="s">
        <v>581</v>
      </c>
      <c r="BE115" s="12" t="s">
        <v>851</v>
      </c>
      <c r="BF115" s="12" t="s">
        <v>582</v>
      </c>
      <c r="BG115" s="12" t="s">
        <v>761</v>
      </c>
      <c r="BH115" s="12" t="s">
        <v>761</v>
      </c>
      <c r="BI115" s="12" t="s">
        <v>625</v>
      </c>
      <c r="BJ115" s="12" t="s">
        <v>756</v>
      </c>
      <c r="BK115" s="12" t="s">
        <v>869</v>
      </c>
      <c r="BL115" s="12" t="s">
        <v>768</v>
      </c>
      <c r="BM115" s="12" t="s">
        <v>633</v>
      </c>
      <c r="BN115" s="12" t="s">
        <v>854</v>
      </c>
      <c r="BO115" s="12" t="s">
        <v>591</v>
      </c>
      <c r="BP115" s="12" t="s">
        <v>979</v>
      </c>
      <c r="BQ115" s="12" t="s">
        <v>1356</v>
      </c>
      <c r="BR115" s="12" t="s">
        <v>1886</v>
      </c>
      <c r="BS115" s="12" t="s">
        <v>1263</v>
      </c>
      <c r="BT115" s="12" t="s">
        <v>1263</v>
      </c>
      <c r="BU115" s="12" t="s">
        <v>726</v>
      </c>
      <c r="BV115" s="12" t="s">
        <v>1510</v>
      </c>
      <c r="BW115" s="12" t="s">
        <v>598</v>
      </c>
      <c r="BX115" s="12" t="s">
        <v>728</v>
      </c>
      <c r="BY115" s="12" t="s">
        <v>1311</v>
      </c>
      <c r="BZ115" s="12" t="s">
        <v>729</v>
      </c>
      <c r="CA115" s="12" t="s">
        <v>2059</v>
      </c>
      <c r="CB115" s="12" t="s">
        <v>600</v>
      </c>
      <c r="CC115" s="12" t="s">
        <v>1438</v>
      </c>
      <c r="CD115" s="12" t="s">
        <v>1438</v>
      </c>
      <c r="CE115" s="12" t="s">
        <v>2501</v>
      </c>
      <c r="CF115" s="12" t="s">
        <v>2189</v>
      </c>
      <c r="CG115" s="12" t="s">
        <v>2502</v>
      </c>
      <c r="CH115" s="12" t="s">
        <v>1719</v>
      </c>
      <c r="CI115" s="12" t="s">
        <v>2002</v>
      </c>
      <c r="CJ115" s="12" t="s">
        <v>2002</v>
      </c>
      <c r="CK115" s="12" t="s">
        <v>2002</v>
      </c>
      <c r="CL115" s="12" t="s">
        <v>2167</v>
      </c>
      <c r="CM115" s="12" t="s">
        <v>2395</v>
      </c>
      <c r="CN115" s="12" t="s">
        <v>820</v>
      </c>
      <c r="CO115" s="12" t="s">
        <v>1667</v>
      </c>
      <c r="CP115" s="12" t="s">
        <v>1667</v>
      </c>
      <c r="CQ115" s="12" t="s">
        <v>1695</v>
      </c>
      <c r="CR115" s="12" t="s">
        <v>1695</v>
      </c>
      <c r="CS115" s="12" t="s">
        <v>2503</v>
      </c>
      <c r="CT115" s="12" t="s">
        <v>2503</v>
      </c>
    </row>
    <row r="116" spans="1:98" hidden="1" x14ac:dyDescent="0.3">
      <c r="A116" s="12" t="s">
        <v>2504</v>
      </c>
      <c r="B116" s="12" t="s">
        <v>2483</v>
      </c>
      <c r="C116" s="12" t="s">
        <v>2505</v>
      </c>
      <c r="D116" s="12" t="s">
        <v>2506</v>
      </c>
      <c r="E116" s="12" t="s">
        <v>578</v>
      </c>
      <c r="F116" s="12" t="s">
        <v>578</v>
      </c>
      <c r="G116" s="12" t="s">
        <v>578</v>
      </c>
      <c r="H116" s="12" t="s">
        <v>578</v>
      </c>
      <c r="I116" s="12" t="s">
        <v>578</v>
      </c>
      <c r="J116" s="12" t="s">
        <v>578</v>
      </c>
      <c r="K116" s="12" t="s">
        <v>578</v>
      </c>
      <c r="L116" s="12" t="s">
        <v>578</v>
      </c>
      <c r="M116" s="12" t="s">
        <v>578</v>
      </c>
      <c r="N116" s="12" t="s">
        <v>578</v>
      </c>
      <c r="O116" s="12" t="s">
        <v>578</v>
      </c>
      <c r="P116" s="12" t="s">
        <v>578</v>
      </c>
      <c r="Q116" s="12" t="s">
        <v>578</v>
      </c>
      <c r="R116" s="12" t="s">
        <v>578</v>
      </c>
      <c r="S116" s="12" t="s">
        <v>578</v>
      </c>
      <c r="T116" s="12" t="s">
        <v>578</v>
      </c>
      <c r="U116" s="12" t="s">
        <v>578</v>
      </c>
      <c r="V116" s="12" t="s">
        <v>578</v>
      </c>
      <c r="W116" s="12" t="s">
        <v>578</v>
      </c>
      <c r="X116" s="12" t="s">
        <v>578</v>
      </c>
      <c r="Y116" s="12" t="s">
        <v>578</v>
      </c>
      <c r="Z116" s="12" t="s">
        <v>578</v>
      </c>
      <c r="AA116" s="12" t="s">
        <v>578</v>
      </c>
      <c r="AB116" s="12" t="s">
        <v>578</v>
      </c>
      <c r="AC116" s="12" t="s">
        <v>578</v>
      </c>
      <c r="AD116" s="12" t="s">
        <v>578</v>
      </c>
      <c r="AE116" s="12" t="s">
        <v>578</v>
      </c>
      <c r="AF116" s="12" t="s">
        <v>578</v>
      </c>
      <c r="AG116" s="12" t="s">
        <v>578</v>
      </c>
      <c r="AH116" s="12" t="s">
        <v>578</v>
      </c>
      <c r="AI116" s="12" t="s">
        <v>578</v>
      </c>
      <c r="AJ116" s="12" t="s">
        <v>578</v>
      </c>
      <c r="AK116" s="12" t="s">
        <v>578</v>
      </c>
      <c r="AL116" s="12" t="s">
        <v>578</v>
      </c>
      <c r="AM116" s="12" t="s">
        <v>578</v>
      </c>
      <c r="AN116" s="12" t="s">
        <v>578</v>
      </c>
      <c r="AO116" s="12" t="s">
        <v>578</v>
      </c>
      <c r="AP116" s="12" t="s">
        <v>578</v>
      </c>
      <c r="AQ116" s="12" t="s">
        <v>578</v>
      </c>
      <c r="AR116" s="12" t="s">
        <v>578</v>
      </c>
      <c r="AS116" s="12" t="s">
        <v>578</v>
      </c>
      <c r="AT116" s="12" t="s">
        <v>578</v>
      </c>
      <c r="AU116" s="12" t="s">
        <v>672</v>
      </c>
      <c r="AV116" s="12" t="s">
        <v>672</v>
      </c>
      <c r="AW116" s="12" t="s">
        <v>672</v>
      </c>
      <c r="AX116" s="12" t="s">
        <v>672</v>
      </c>
      <c r="AY116" s="12" t="s">
        <v>672</v>
      </c>
      <c r="AZ116" s="12" t="s">
        <v>579</v>
      </c>
      <c r="BA116" s="12" t="s">
        <v>579</v>
      </c>
      <c r="BB116" s="12" t="s">
        <v>579</v>
      </c>
      <c r="BC116" s="12" t="s">
        <v>579</v>
      </c>
      <c r="BD116" s="12" t="s">
        <v>579</v>
      </c>
      <c r="BE116" s="12" t="s">
        <v>579</v>
      </c>
      <c r="BF116" s="12" t="s">
        <v>579</v>
      </c>
      <c r="BG116" s="12" t="s">
        <v>672</v>
      </c>
      <c r="BH116" s="12" t="s">
        <v>672</v>
      </c>
      <c r="BI116" s="12" t="s">
        <v>672</v>
      </c>
      <c r="BJ116" s="12" t="s">
        <v>672</v>
      </c>
      <c r="BK116" s="12" t="s">
        <v>672</v>
      </c>
      <c r="BL116" s="12" t="s">
        <v>672</v>
      </c>
      <c r="BM116" s="12" t="s">
        <v>672</v>
      </c>
      <c r="BN116" s="12" t="s">
        <v>672</v>
      </c>
      <c r="BO116" s="12" t="s">
        <v>672</v>
      </c>
      <c r="BP116" s="12" t="s">
        <v>672</v>
      </c>
      <c r="BQ116" s="12" t="s">
        <v>672</v>
      </c>
      <c r="BR116" s="12" t="s">
        <v>581</v>
      </c>
      <c r="BS116" s="12" t="s">
        <v>581</v>
      </c>
      <c r="BT116" s="12" t="s">
        <v>581</v>
      </c>
      <c r="BU116" s="12" t="s">
        <v>851</v>
      </c>
      <c r="BV116" s="12" t="s">
        <v>851</v>
      </c>
      <c r="BW116" s="12" t="s">
        <v>851</v>
      </c>
      <c r="BX116" s="12" t="s">
        <v>851</v>
      </c>
      <c r="BY116" s="12" t="s">
        <v>851</v>
      </c>
      <c r="BZ116" s="12" t="s">
        <v>851</v>
      </c>
      <c r="CA116" s="12" t="s">
        <v>851</v>
      </c>
      <c r="CB116" s="12" t="s">
        <v>851</v>
      </c>
      <c r="CC116" s="12" t="s">
        <v>851</v>
      </c>
      <c r="CD116" s="12" t="s">
        <v>851</v>
      </c>
      <c r="CE116" s="12" t="s">
        <v>851</v>
      </c>
      <c r="CF116" s="12" t="s">
        <v>851</v>
      </c>
      <c r="CG116" s="12" t="s">
        <v>851</v>
      </c>
      <c r="CH116" s="12" t="s">
        <v>851</v>
      </c>
      <c r="CI116" s="12" t="s">
        <v>851</v>
      </c>
      <c r="CJ116" s="12" t="s">
        <v>851</v>
      </c>
      <c r="CK116" s="12" t="s">
        <v>851</v>
      </c>
      <c r="CL116" s="12" t="s">
        <v>851</v>
      </c>
      <c r="CM116" s="12" t="s">
        <v>851</v>
      </c>
      <c r="CN116" s="12" t="s">
        <v>851</v>
      </c>
      <c r="CO116" s="12" t="s">
        <v>851</v>
      </c>
      <c r="CP116" s="12" t="s">
        <v>851</v>
      </c>
      <c r="CQ116" s="12" t="s">
        <v>851</v>
      </c>
      <c r="CR116" s="12" t="s">
        <v>851</v>
      </c>
      <c r="CS116" s="12" t="s">
        <v>851</v>
      </c>
      <c r="CT116" s="12" t="s">
        <v>851</v>
      </c>
    </row>
    <row r="117" spans="1:98" hidden="1" x14ac:dyDescent="0.3">
      <c r="A117" s="12" t="s">
        <v>2507</v>
      </c>
      <c r="B117" s="12" t="s">
        <v>2483</v>
      </c>
      <c r="C117" s="12" t="s">
        <v>2508</v>
      </c>
      <c r="D117" s="12" t="s">
        <v>2509</v>
      </c>
      <c r="E117" s="12" t="s">
        <v>578</v>
      </c>
      <c r="F117" s="12" t="s">
        <v>578</v>
      </c>
      <c r="G117" s="12" t="s">
        <v>578</v>
      </c>
      <c r="H117" s="12" t="s">
        <v>578</v>
      </c>
      <c r="I117" s="12" t="s">
        <v>578</v>
      </c>
      <c r="J117" s="12" t="s">
        <v>578</v>
      </c>
      <c r="K117" s="12" t="s">
        <v>578</v>
      </c>
      <c r="L117" s="12" t="s">
        <v>578</v>
      </c>
      <c r="M117" s="12" t="s">
        <v>578</v>
      </c>
      <c r="N117" s="12" t="s">
        <v>578</v>
      </c>
      <c r="O117" s="12" t="s">
        <v>578</v>
      </c>
      <c r="P117" s="12" t="s">
        <v>578</v>
      </c>
      <c r="Q117" s="12" t="s">
        <v>578</v>
      </c>
      <c r="R117" s="12" t="s">
        <v>578</v>
      </c>
      <c r="S117" s="12" t="s">
        <v>578</v>
      </c>
      <c r="T117" s="12" t="s">
        <v>578</v>
      </c>
      <c r="U117" s="12" t="s">
        <v>578</v>
      </c>
      <c r="V117" s="12" t="s">
        <v>578</v>
      </c>
      <c r="W117" s="12" t="s">
        <v>578</v>
      </c>
      <c r="X117" s="12" t="s">
        <v>578</v>
      </c>
      <c r="Y117" s="12" t="s">
        <v>578</v>
      </c>
      <c r="Z117" s="12" t="s">
        <v>578</v>
      </c>
      <c r="AA117" s="12" t="s">
        <v>578</v>
      </c>
      <c r="AB117" s="12" t="s">
        <v>578</v>
      </c>
      <c r="AC117" s="12" t="s">
        <v>578</v>
      </c>
      <c r="AD117" s="12" t="s">
        <v>578</v>
      </c>
      <c r="AE117" s="12" t="s">
        <v>578</v>
      </c>
      <c r="AF117" s="12" t="s">
        <v>578</v>
      </c>
      <c r="AG117" s="12" t="s">
        <v>578</v>
      </c>
      <c r="AH117" s="12" t="s">
        <v>578</v>
      </c>
      <c r="AI117" s="12" t="s">
        <v>578</v>
      </c>
      <c r="AJ117" s="12" t="s">
        <v>578</v>
      </c>
      <c r="AK117" s="12" t="s">
        <v>578</v>
      </c>
      <c r="AL117" s="12" t="s">
        <v>578</v>
      </c>
      <c r="AM117" s="12" t="s">
        <v>578</v>
      </c>
      <c r="AN117" s="12" t="s">
        <v>578</v>
      </c>
      <c r="AO117" s="12" t="s">
        <v>578</v>
      </c>
      <c r="AP117" s="12" t="s">
        <v>578</v>
      </c>
      <c r="AQ117" s="12" t="s">
        <v>578</v>
      </c>
      <c r="AR117" s="12" t="s">
        <v>578</v>
      </c>
      <c r="AS117" s="12" t="s">
        <v>578</v>
      </c>
      <c r="AT117" s="12" t="s">
        <v>578</v>
      </c>
      <c r="AU117" s="12" t="s">
        <v>578</v>
      </c>
      <c r="AV117" s="12" t="s">
        <v>578</v>
      </c>
      <c r="AW117" s="12" t="s">
        <v>578</v>
      </c>
      <c r="AX117" s="12" t="s">
        <v>578</v>
      </c>
      <c r="AY117" s="12" t="s">
        <v>578</v>
      </c>
      <c r="AZ117" s="12" t="s">
        <v>623</v>
      </c>
      <c r="BA117" s="12" t="s">
        <v>623</v>
      </c>
      <c r="BB117" s="12" t="s">
        <v>623</v>
      </c>
      <c r="BC117" s="12" t="s">
        <v>623</v>
      </c>
      <c r="BD117" s="12" t="s">
        <v>623</v>
      </c>
      <c r="BE117" s="12" t="s">
        <v>623</v>
      </c>
      <c r="BF117" s="12" t="s">
        <v>623</v>
      </c>
      <c r="BG117" s="12" t="s">
        <v>623</v>
      </c>
      <c r="BH117" s="12" t="s">
        <v>623</v>
      </c>
      <c r="BI117" s="12" t="s">
        <v>672</v>
      </c>
      <c r="BJ117" s="12" t="s">
        <v>580</v>
      </c>
      <c r="BK117" s="12" t="s">
        <v>580</v>
      </c>
      <c r="BL117" s="12" t="s">
        <v>580</v>
      </c>
      <c r="BM117" s="12" t="s">
        <v>581</v>
      </c>
      <c r="BN117" s="12" t="s">
        <v>755</v>
      </c>
      <c r="BO117" s="12" t="s">
        <v>755</v>
      </c>
      <c r="BP117" s="12" t="s">
        <v>583</v>
      </c>
      <c r="BQ117" s="12" t="s">
        <v>583</v>
      </c>
      <c r="BR117" s="12" t="s">
        <v>583</v>
      </c>
      <c r="BS117" s="12" t="s">
        <v>583</v>
      </c>
      <c r="BT117" s="12" t="s">
        <v>583</v>
      </c>
      <c r="BU117" s="12" t="s">
        <v>762</v>
      </c>
      <c r="BV117" s="12" t="s">
        <v>762</v>
      </c>
      <c r="BW117" s="12" t="s">
        <v>762</v>
      </c>
      <c r="BX117" s="12" t="s">
        <v>586</v>
      </c>
      <c r="BY117" s="12" t="s">
        <v>586</v>
      </c>
      <c r="BZ117" s="12" t="s">
        <v>587</v>
      </c>
      <c r="CA117" s="12" t="s">
        <v>852</v>
      </c>
      <c r="CB117" s="12" t="s">
        <v>852</v>
      </c>
      <c r="CC117" s="12" t="s">
        <v>852</v>
      </c>
      <c r="CD117" s="12" t="s">
        <v>852</v>
      </c>
      <c r="CE117" s="12" t="s">
        <v>852</v>
      </c>
      <c r="CF117" s="12" t="s">
        <v>852</v>
      </c>
      <c r="CG117" s="12" t="s">
        <v>852</v>
      </c>
      <c r="CH117" s="12" t="s">
        <v>852</v>
      </c>
      <c r="CI117" s="12" t="s">
        <v>852</v>
      </c>
      <c r="CJ117" s="12" t="s">
        <v>852</v>
      </c>
      <c r="CK117" s="12" t="s">
        <v>917</v>
      </c>
      <c r="CL117" s="12" t="s">
        <v>917</v>
      </c>
      <c r="CM117" s="12" t="s">
        <v>917</v>
      </c>
      <c r="CN117" s="12" t="s">
        <v>677</v>
      </c>
      <c r="CO117" s="12" t="s">
        <v>677</v>
      </c>
      <c r="CP117" s="12" t="s">
        <v>677</v>
      </c>
      <c r="CQ117" s="12" t="s">
        <v>677</v>
      </c>
      <c r="CR117" s="12" t="s">
        <v>628</v>
      </c>
      <c r="CS117" s="12" t="s">
        <v>628</v>
      </c>
      <c r="CT117" s="12" t="s">
        <v>628</v>
      </c>
    </row>
    <row r="118" spans="1:98" hidden="1" x14ac:dyDescent="0.3">
      <c r="A118" s="12" t="s">
        <v>2510</v>
      </c>
      <c r="B118" s="12" t="s">
        <v>2483</v>
      </c>
      <c r="C118" s="12" t="s">
        <v>2511</v>
      </c>
      <c r="D118" s="12" t="s">
        <v>2512</v>
      </c>
      <c r="E118" s="12" t="s">
        <v>578</v>
      </c>
      <c r="F118" s="12" t="s">
        <v>578</v>
      </c>
      <c r="G118" s="12" t="s">
        <v>578</v>
      </c>
      <c r="H118" s="12" t="s">
        <v>578</v>
      </c>
      <c r="I118" s="12" t="s">
        <v>578</v>
      </c>
      <c r="J118" s="12" t="s">
        <v>578</v>
      </c>
      <c r="K118" s="12" t="s">
        <v>578</v>
      </c>
      <c r="L118" s="12" t="s">
        <v>578</v>
      </c>
      <c r="M118" s="12" t="s">
        <v>578</v>
      </c>
      <c r="N118" s="12" t="s">
        <v>578</v>
      </c>
      <c r="O118" s="12" t="s">
        <v>578</v>
      </c>
      <c r="P118" s="12" t="s">
        <v>578</v>
      </c>
      <c r="Q118" s="12" t="s">
        <v>578</v>
      </c>
      <c r="R118" s="12" t="s">
        <v>578</v>
      </c>
      <c r="S118" s="12" t="s">
        <v>578</v>
      </c>
      <c r="T118" s="12" t="s">
        <v>578</v>
      </c>
      <c r="U118" s="12" t="s">
        <v>578</v>
      </c>
      <c r="V118" s="12" t="s">
        <v>578</v>
      </c>
      <c r="W118" s="12" t="s">
        <v>578</v>
      </c>
      <c r="X118" s="12" t="s">
        <v>578</v>
      </c>
      <c r="Y118" s="12" t="s">
        <v>578</v>
      </c>
      <c r="Z118" s="12" t="s">
        <v>578</v>
      </c>
      <c r="AA118" s="12" t="s">
        <v>578</v>
      </c>
      <c r="AB118" s="12" t="s">
        <v>578</v>
      </c>
      <c r="AC118" s="12" t="s">
        <v>578</v>
      </c>
      <c r="AD118" s="12" t="s">
        <v>578</v>
      </c>
      <c r="AE118" s="12" t="s">
        <v>578</v>
      </c>
      <c r="AF118" s="12" t="s">
        <v>578</v>
      </c>
      <c r="AG118" s="12" t="s">
        <v>578</v>
      </c>
      <c r="AH118" s="12" t="s">
        <v>578</v>
      </c>
      <c r="AI118" s="12" t="s">
        <v>578</v>
      </c>
      <c r="AJ118" s="12" t="s">
        <v>578</v>
      </c>
      <c r="AK118" s="12" t="s">
        <v>578</v>
      </c>
      <c r="AL118" s="12" t="s">
        <v>578</v>
      </c>
      <c r="AM118" s="12" t="s">
        <v>578</v>
      </c>
      <c r="AN118" s="12" t="s">
        <v>578</v>
      </c>
      <c r="AO118" s="12" t="s">
        <v>578</v>
      </c>
      <c r="AP118" s="12" t="s">
        <v>578</v>
      </c>
      <c r="AQ118" s="12" t="s">
        <v>578</v>
      </c>
      <c r="AR118" s="12" t="s">
        <v>578</v>
      </c>
      <c r="AS118" s="12" t="s">
        <v>578</v>
      </c>
      <c r="AT118" s="12" t="s">
        <v>578</v>
      </c>
      <c r="AU118" s="12" t="s">
        <v>578</v>
      </c>
      <c r="AV118" s="12" t="s">
        <v>578</v>
      </c>
      <c r="AW118" s="12" t="s">
        <v>578</v>
      </c>
      <c r="AX118" s="12" t="s">
        <v>623</v>
      </c>
      <c r="AY118" s="12" t="s">
        <v>623</v>
      </c>
      <c r="AZ118" s="12" t="s">
        <v>623</v>
      </c>
      <c r="BA118" s="12" t="s">
        <v>623</v>
      </c>
      <c r="BB118" s="12" t="s">
        <v>672</v>
      </c>
      <c r="BC118" s="12" t="s">
        <v>672</v>
      </c>
      <c r="BD118" s="12" t="s">
        <v>672</v>
      </c>
      <c r="BE118" s="12" t="s">
        <v>761</v>
      </c>
      <c r="BF118" s="12" t="s">
        <v>761</v>
      </c>
      <c r="BG118" s="12" t="s">
        <v>762</v>
      </c>
      <c r="BH118" s="12" t="s">
        <v>584</v>
      </c>
      <c r="BI118" s="12" t="s">
        <v>674</v>
      </c>
      <c r="BJ118" s="12" t="s">
        <v>626</v>
      </c>
      <c r="BK118" s="12" t="s">
        <v>852</v>
      </c>
      <c r="BL118" s="12" t="s">
        <v>852</v>
      </c>
      <c r="BM118" s="12" t="s">
        <v>1096</v>
      </c>
      <c r="BN118" s="12" t="s">
        <v>719</v>
      </c>
      <c r="BO118" s="12" t="s">
        <v>992</v>
      </c>
      <c r="BP118" s="12" t="s">
        <v>973</v>
      </c>
      <c r="BQ118" s="12" t="s">
        <v>973</v>
      </c>
      <c r="BR118" s="12" t="s">
        <v>1184</v>
      </c>
      <c r="BS118" s="12" t="s">
        <v>858</v>
      </c>
      <c r="BT118" s="12" t="s">
        <v>858</v>
      </c>
      <c r="BU118" s="12" t="s">
        <v>858</v>
      </c>
      <c r="BV118" s="12" t="s">
        <v>773</v>
      </c>
      <c r="BW118" s="12" t="s">
        <v>1356</v>
      </c>
      <c r="BX118" s="12" t="s">
        <v>1358</v>
      </c>
      <c r="BY118" s="12" t="s">
        <v>1821</v>
      </c>
      <c r="BZ118" s="12" t="s">
        <v>1886</v>
      </c>
      <c r="CA118" s="12" t="s">
        <v>2099</v>
      </c>
      <c r="CB118" s="12" t="s">
        <v>1309</v>
      </c>
      <c r="CC118" s="12" t="s">
        <v>1185</v>
      </c>
      <c r="CD118" s="12" t="s">
        <v>2101</v>
      </c>
      <c r="CE118" s="12" t="s">
        <v>2101</v>
      </c>
      <c r="CF118" s="12" t="s">
        <v>1623</v>
      </c>
      <c r="CG118" s="12" t="s">
        <v>1623</v>
      </c>
      <c r="CH118" s="12" t="s">
        <v>1623</v>
      </c>
      <c r="CI118" s="12" t="s">
        <v>1262</v>
      </c>
      <c r="CJ118" s="12" t="s">
        <v>1262</v>
      </c>
      <c r="CK118" s="12" t="s">
        <v>774</v>
      </c>
      <c r="CL118" s="12" t="s">
        <v>774</v>
      </c>
      <c r="CM118" s="12" t="s">
        <v>774</v>
      </c>
      <c r="CN118" s="12" t="s">
        <v>774</v>
      </c>
      <c r="CO118" s="12" t="s">
        <v>1186</v>
      </c>
      <c r="CP118" s="12" t="s">
        <v>1186</v>
      </c>
      <c r="CQ118" s="12" t="s">
        <v>1186</v>
      </c>
      <c r="CR118" s="12" t="s">
        <v>724</v>
      </c>
      <c r="CS118" s="12" t="s">
        <v>724</v>
      </c>
      <c r="CT118" s="12" t="s">
        <v>594</v>
      </c>
    </row>
    <row r="119" spans="1:98" hidden="1" x14ac:dyDescent="0.3">
      <c r="A119" s="12" t="s">
        <v>25</v>
      </c>
      <c r="B119" s="12" t="s">
        <v>2483</v>
      </c>
      <c r="C119" s="12" t="s">
        <v>2513</v>
      </c>
      <c r="D119" s="12" t="s">
        <v>2514</v>
      </c>
      <c r="E119" s="12" t="s">
        <v>578</v>
      </c>
      <c r="F119" s="12" t="s">
        <v>578</v>
      </c>
      <c r="G119" s="12" t="s">
        <v>623</v>
      </c>
      <c r="H119" s="12" t="s">
        <v>672</v>
      </c>
      <c r="I119" s="12" t="s">
        <v>672</v>
      </c>
      <c r="J119" s="12" t="s">
        <v>672</v>
      </c>
      <c r="K119" s="12" t="s">
        <v>580</v>
      </c>
      <c r="L119" s="12" t="s">
        <v>581</v>
      </c>
      <c r="M119" s="12" t="s">
        <v>581</v>
      </c>
      <c r="N119" s="12" t="s">
        <v>581</v>
      </c>
      <c r="O119" s="12" t="s">
        <v>851</v>
      </c>
      <c r="P119" s="12" t="s">
        <v>851</v>
      </c>
      <c r="Q119" s="12" t="s">
        <v>851</v>
      </c>
      <c r="R119" s="12" t="s">
        <v>851</v>
      </c>
      <c r="S119" s="12" t="s">
        <v>851</v>
      </c>
      <c r="T119" s="12" t="s">
        <v>851</v>
      </c>
      <c r="U119" s="12" t="s">
        <v>851</v>
      </c>
      <c r="V119" s="12" t="s">
        <v>583</v>
      </c>
      <c r="W119" s="12" t="s">
        <v>583</v>
      </c>
      <c r="X119" s="12" t="s">
        <v>583</v>
      </c>
      <c r="Y119" s="12" t="s">
        <v>583</v>
      </c>
      <c r="Z119" s="12" t="s">
        <v>583</v>
      </c>
      <c r="AA119" s="12" t="s">
        <v>583</v>
      </c>
      <c r="AB119" s="12" t="s">
        <v>583</v>
      </c>
      <c r="AC119" s="12" t="s">
        <v>625</v>
      </c>
      <c r="AD119" s="12" t="s">
        <v>625</v>
      </c>
      <c r="AE119" s="12" t="s">
        <v>625</v>
      </c>
      <c r="AF119" s="12" t="s">
        <v>625</v>
      </c>
      <c r="AG119" s="12" t="s">
        <v>625</v>
      </c>
      <c r="AH119" s="12" t="s">
        <v>625</v>
      </c>
      <c r="AI119" s="12" t="s">
        <v>625</v>
      </c>
      <c r="AJ119" s="12" t="s">
        <v>625</v>
      </c>
      <c r="AK119" s="12" t="s">
        <v>625</v>
      </c>
      <c r="AL119" s="12" t="s">
        <v>625</v>
      </c>
      <c r="AM119" s="12" t="s">
        <v>756</v>
      </c>
      <c r="AN119" s="12" t="s">
        <v>808</v>
      </c>
      <c r="AO119" s="12" t="s">
        <v>628</v>
      </c>
      <c r="AP119" s="12" t="s">
        <v>992</v>
      </c>
      <c r="AQ119" s="12" t="s">
        <v>861</v>
      </c>
      <c r="AR119" s="12" t="s">
        <v>2034</v>
      </c>
      <c r="AS119" s="12" t="s">
        <v>1279</v>
      </c>
      <c r="AT119" s="12" t="s">
        <v>2515</v>
      </c>
      <c r="AU119" s="12" t="s">
        <v>1129</v>
      </c>
      <c r="AV119" s="12" t="s">
        <v>650</v>
      </c>
      <c r="AW119" s="12" t="s">
        <v>1996</v>
      </c>
      <c r="AX119" s="12" t="s">
        <v>2516</v>
      </c>
      <c r="AY119" s="12" t="s">
        <v>2195</v>
      </c>
      <c r="AZ119" s="12" t="s">
        <v>2517</v>
      </c>
      <c r="BA119" s="12" t="s">
        <v>2518</v>
      </c>
      <c r="BB119" s="12" t="s">
        <v>2519</v>
      </c>
      <c r="BC119" s="12" t="s">
        <v>2519</v>
      </c>
      <c r="BD119" s="12" t="s">
        <v>2520</v>
      </c>
      <c r="BE119" s="12" t="s">
        <v>2521</v>
      </c>
      <c r="BF119" s="12" t="s">
        <v>2522</v>
      </c>
      <c r="BG119" s="12" t="s">
        <v>2523</v>
      </c>
      <c r="BH119" s="12" t="s">
        <v>2524</v>
      </c>
      <c r="BI119" s="12" t="s">
        <v>2525</v>
      </c>
      <c r="BJ119" s="12" t="s">
        <v>2526</v>
      </c>
      <c r="BK119" s="12" t="s">
        <v>2527</v>
      </c>
      <c r="BL119" s="12" t="s">
        <v>2528</v>
      </c>
      <c r="BM119" s="12" t="s">
        <v>2529</v>
      </c>
      <c r="BN119" s="12" t="s">
        <v>2530</v>
      </c>
      <c r="BO119" s="12" t="s">
        <v>2531</v>
      </c>
      <c r="BP119" s="12" t="s">
        <v>2532</v>
      </c>
      <c r="BQ119" s="12" t="s">
        <v>2533</v>
      </c>
      <c r="BR119" s="12" t="s">
        <v>2534</v>
      </c>
      <c r="BS119" s="12" t="s">
        <v>2535</v>
      </c>
      <c r="BT119" s="12" t="s">
        <v>2536</v>
      </c>
      <c r="BU119" s="12" t="s">
        <v>2537</v>
      </c>
      <c r="BV119" s="12" t="s">
        <v>2538</v>
      </c>
      <c r="BW119" s="12" t="s">
        <v>2539</v>
      </c>
      <c r="BX119" s="12" t="s">
        <v>2540</v>
      </c>
      <c r="BY119" s="12" t="s">
        <v>2541</v>
      </c>
      <c r="BZ119" s="12" t="s">
        <v>2542</v>
      </c>
      <c r="CA119" s="12" t="s">
        <v>2543</v>
      </c>
      <c r="CB119" s="12" t="s">
        <v>2544</v>
      </c>
      <c r="CC119" s="12" t="s">
        <v>2545</v>
      </c>
      <c r="CD119" s="12" t="s">
        <v>2546</v>
      </c>
      <c r="CE119" s="12" t="s">
        <v>2547</v>
      </c>
      <c r="CF119" s="12" t="s">
        <v>2548</v>
      </c>
      <c r="CG119" s="12" t="s">
        <v>2549</v>
      </c>
      <c r="CH119" s="12" t="s">
        <v>2550</v>
      </c>
      <c r="CI119" s="12" t="s">
        <v>2551</v>
      </c>
      <c r="CJ119" s="12" t="s">
        <v>2552</v>
      </c>
      <c r="CK119" s="12" t="s">
        <v>2553</v>
      </c>
      <c r="CL119" s="12" t="s">
        <v>2554</v>
      </c>
      <c r="CM119" s="12" t="s">
        <v>2555</v>
      </c>
      <c r="CN119" s="12" t="s">
        <v>2556</v>
      </c>
      <c r="CO119" s="12" t="s">
        <v>2557</v>
      </c>
      <c r="CP119" s="12" t="s">
        <v>2558</v>
      </c>
      <c r="CQ119" s="12" t="s">
        <v>2559</v>
      </c>
      <c r="CR119" s="12" t="s">
        <v>2560</v>
      </c>
      <c r="CS119" s="12" t="s">
        <v>2561</v>
      </c>
      <c r="CT119" s="12" t="s">
        <v>2562</v>
      </c>
    </row>
    <row r="120" spans="1:98" hidden="1" x14ac:dyDescent="0.3">
      <c r="A120" s="12" t="s">
        <v>25</v>
      </c>
      <c r="B120" s="12" t="s">
        <v>2563</v>
      </c>
      <c r="C120" s="12" t="s">
        <v>2564</v>
      </c>
      <c r="D120" s="12" t="s">
        <v>2565</v>
      </c>
      <c r="E120" s="12" t="s">
        <v>578</v>
      </c>
      <c r="F120" s="12" t="s">
        <v>578</v>
      </c>
      <c r="G120" s="12" t="s">
        <v>578</v>
      </c>
      <c r="H120" s="12" t="s">
        <v>578</v>
      </c>
      <c r="I120" s="12" t="s">
        <v>578</v>
      </c>
      <c r="J120" s="12" t="s">
        <v>578</v>
      </c>
      <c r="K120" s="12" t="s">
        <v>578</v>
      </c>
      <c r="L120" s="12" t="s">
        <v>578</v>
      </c>
      <c r="M120" s="12" t="s">
        <v>578</v>
      </c>
      <c r="N120" s="12" t="s">
        <v>578</v>
      </c>
      <c r="O120" s="12" t="s">
        <v>578</v>
      </c>
      <c r="P120" s="12" t="s">
        <v>578</v>
      </c>
      <c r="Q120" s="12" t="s">
        <v>578</v>
      </c>
      <c r="R120" s="12" t="s">
        <v>578</v>
      </c>
      <c r="S120" s="12" t="s">
        <v>578</v>
      </c>
      <c r="T120" s="12" t="s">
        <v>578</v>
      </c>
      <c r="U120" s="12" t="s">
        <v>578</v>
      </c>
      <c r="V120" s="12" t="s">
        <v>578</v>
      </c>
      <c r="W120" s="12" t="s">
        <v>578</v>
      </c>
      <c r="X120" s="12" t="s">
        <v>578</v>
      </c>
      <c r="Y120" s="12" t="s">
        <v>578</v>
      </c>
      <c r="Z120" s="12" t="s">
        <v>578</v>
      </c>
      <c r="AA120" s="12" t="s">
        <v>578</v>
      </c>
      <c r="AB120" s="12" t="s">
        <v>578</v>
      </c>
      <c r="AC120" s="12" t="s">
        <v>578</v>
      </c>
      <c r="AD120" s="12" t="s">
        <v>578</v>
      </c>
      <c r="AE120" s="12" t="s">
        <v>578</v>
      </c>
      <c r="AF120" s="12" t="s">
        <v>578</v>
      </c>
      <c r="AG120" s="12" t="s">
        <v>578</v>
      </c>
      <c r="AH120" s="12" t="s">
        <v>578</v>
      </c>
      <c r="AI120" s="12" t="s">
        <v>578</v>
      </c>
      <c r="AJ120" s="12" t="s">
        <v>578</v>
      </c>
      <c r="AK120" s="12" t="s">
        <v>578</v>
      </c>
      <c r="AL120" s="12" t="s">
        <v>578</v>
      </c>
      <c r="AM120" s="12" t="s">
        <v>578</v>
      </c>
      <c r="AN120" s="12" t="s">
        <v>578</v>
      </c>
      <c r="AO120" s="12" t="s">
        <v>578</v>
      </c>
      <c r="AP120" s="12" t="s">
        <v>578</v>
      </c>
      <c r="AQ120" s="12" t="s">
        <v>578</v>
      </c>
      <c r="AR120" s="12" t="s">
        <v>578</v>
      </c>
      <c r="AS120" s="12" t="s">
        <v>578</v>
      </c>
      <c r="AT120" s="12" t="s">
        <v>578</v>
      </c>
      <c r="AU120" s="12" t="s">
        <v>578</v>
      </c>
      <c r="AV120" s="12" t="s">
        <v>578</v>
      </c>
      <c r="AW120" s="12" t="s">
        <v>578</v>
      </c>
      <c r="AX120" s="12" t="s">
        <v>578</v>
      </c>
      <c r="AY120" s="12" t="s">
        <v>578</v>
      </c>
      <c r="AZ120" s="12" t="s">
        <v>578</v>
      </c>
      <c r="BA120" s="12" t="s">
        <v>578</v>
      </c>
      <c r="BB120" s="12" t="s">
        <v>578</v>
      </c>
      <c r="BC120" s="12" t="s">
        <v>578</v>
      </c>
      <c r="BD120" s="12" t="s">
        <v>578</v>
      </c>
      <c r="BE120" s="12" t="s">
        <v>579</v>
      </c>
      <c r="BF120" s="12" t="s">
        <v>579</v>
      </c>
      <c r="BG120" s="12" t="s">
        <v>579</v>
      </c>
      <c r="BH120" s="12" t="s">
        <v>579</v>
      </c>
      <c r="BI120" s="12" t="s">
        <v>579</v>
      </c>
      <c r="BJ120" s="12" t="s">
        <v>579</v>
      </c>
      <c r="BK120" s="12" t="s">
        <v>672</v>
      </c>
      <c r="BL120" s="12" t="s">
        <v>580</v>
      </c>
      <c r="BM120" s="12" t="s">
        <v>581</v>
      </c>
      <c r="BN120" s="12" t="s">
        <v>581</v>
      </c>
      <c r="BO120" s="12" t="s">
        <v>851</v>
      </c>
      <c r="BP120" s="12" t="s">
        <v>851</v>
      </c>
      <c r="BQ120" s="12" t="s">
        <v>582</v>
      </c>
      <c r="BR120" s="12" t="s">
        <v>582</v>
      </c>
      <c r="BS120" s="12" t="s">
        <v>582</v>
      </c>
      <c r="BT120" s="12" t="s">
        <v>582</v>
      </c>
      <c r="BU120" s="12" t="s">
        <v>582</v>
      </c>
      <c r="BV120" s="12" t="s">
        <v>584</v>
      </c>
      <c r="BW120" s="12" t="s">
        <v>808</v>
      </c>
      <c r="BX120" s="12" t="s">
        <v>585</v>
      </c>
      <c r="BY120" s="12" t="s">
        <v>585</v>
      </c>
      <c r="BZ120" s="12" t="s">
        <v>585</v>
      </c>
      <c r="CA120" s="12" t="s">
        <v>585</v>
      </c>
      <c r="CB120" s="12" t="s">
        <v>587</v>
      </c>
      <c r="CC120" s="12" t="s">
        <v>2018</v>
      </c>
      <c r="CD120" s="12" t="s">
        <v>767</v>
      </c>
      <c r="CE120" s="12" t="s">
        <v>1096</v>
      </c>
      <c r="CF120" s="12" t="s">
        <v>1096</v>
      </c>
      <c r="CG120" s="12" t="s">
        <v>918</v>
      </c>
      <c r="CH120" s="12" t="s">
        <v>991</v>
      </c>
      <c r="CI120" s="12" t="s">
        <v>992</v>
      </c>
      <c r="CJ120" s="12" t="s">
        <v>992</v>
      </c>
      <c r="CK120" s="12" t="s">
        <v>856</v>
      </c>
      <c r="CL120" s="12" t="s">
        <v>856</v>
      </c>
      <c r="CM120" s="12" t="s">
        <v>1499</v>
      </c>
      <c r="CN120" s="12" t="s">
        <v>1499</v>
      </c>
      <c r="CO120" s="12" t="s">
        <v>1208</v>
      </c>
      <c r="CP120" s="12" t="s">
        <v>593</v>
      </c>
      <c r="CQ120" s="12" t="s">
        <v>1603</v>
      </c>
      <c r="CR120" s="12" t="s">
        <v>1277</v>
      </c>
      <c r="CS120" s="12" t="s">
        <v>1487</v>
      </c>
      <c r="CT120" s="12" t="s">
        <v>1815</v>
      </c>
    </row>
    <row r="121" spans="1:98" hidden="1" x14ac:dyDescent="0.3">
      <c r="A121" s="12" t="s">
        <v>25</v>
      </c>
      <c r="B121" s="12" t="s">
        <v>2566</v>
      </c>
      <c r="C121" s="12" t="s">
        <v>2567</v>
      </c>
      <c r="D121" s="12" t="s">
        <v>2568</v>
      </c>
      <c r="E121" s="12" t="s">
        <v>578</v>
      </c>
      <c r="F121" s="12" t="s">
        <v>578</v>
      </c>
      <c r="G121" s="12" t="s">
        <v>578</v>
      </c>
      <c r="H121" s="12" t="s">
        <v>578</v>
      </c>
      <c r="I121" s="12" t="s">
        <v>578</v>
      </c>
      <c r="J121" s="12" t="s">
        <v>578</v>
      </c>
      <c r="K121" s="12" t="s">
        <v>578</v>
      </c>
      <c r="L121" s="12" t="s">
        <v>578</v>
      </c>
      <c r="M121" s="12" t="s">
        <v>578</v>
      </c>
      <c r="N121" s="12" t="s">
        <v>578</v>
      </c>
      <c r="O121" s="12" t="s">
        <v>578</v>
      </c>
      <c r="P121" s="12" t="s">
        <v>578</v>
      </c>
      <c r="Q121" s="12" t="s">
        <v>578</v>
      </c>
      <c r="R121" s="12" t="s">
        <v>578</v>
      </c>
      <c r="S121" s="12" t="s">
        <v>578</v>
      </c>
      <c r="T121" s="12" t="s">
        <v>578</v>
      </c>
      <c r="U121" s="12" t="s">
        <v>578</v>
      </c>
      <c r="V121" s="12" t="s">
        <v>578</v>
      </c>
      <c r="W121" s="12" t="s">
        <v>578</v>
      </c>
      <c r="X121" s="12" t="s">
        <v>578</v>
      </c>
      <c r="Y121" s="12" t="s">
        <v>578</v>
      </c>
      <c r="Z121" s="12" t="s">
        <v>578</v>
      </c>
      <c r="AA121" s="12" t="s">
        <v>578</v>
      </c>
      <c r="AB121" s="12" t="s">
        <v>578</v>
      </c>
      <c r="AC121" s="12" t="s">
        <v>578</v>
      </c>
      <c r="AD121" s="12" t="s">
        <v>578</v>
      </c>
      <c r="AE121" s="12" t="s">
        <v>578</v>
      </c>
      <c r="AF121" s="12" t="s">
        <v>578</v>
      </c>
      <c r="AG121" s="12" t="s">
        <v>578</v>
      </c>
      <c r="AH121" s="12" t="s">
        <v>578</v>
      </c>
      <c r="AI121" s="12" t="s">
        <v>578</v>
      </c>
      <c r="AJ121" s="12" t="s">
        <v>578</v>
      </c>
      <c r="AK121" s="12" t="s">
        <v>578</v>
      </c>
      <c r="AL121" s="12" t="s">
        <v>578</v>
      </c>
      <c r="AM121" s="12" t="s">
        <v>578</v>
      </c>
      <c r="AN121" s="12" t="s">
        <v>578</v>
      </c>
      <c r="AO121" s="12" t="s">
        <v>578</v>
      </c>
      <c r="AP121" s="12" t="s">
        <v>578</v>
      </c>
      <c r="AQ121" s="12" t="s">
        <v>578</v>
      </c>
      <c r="AR121" s="12" t="s">
        <v>578</v>
      </c>
      <c r="AS121" s="12" t="s">
        <v>578</v>
      </c>
      <c r="AT121" s="12" t="s">
        <v>578</v>
      </c>
      <c r="AU121" s="12" t="s">
        <v>578</v>
      </c>
      <c r="AV121" s="12" t="s">
        <v>578</v>
      </c>
      <c r="AW121" s="12" t="s">
        <v>578</v>
      </c>
      <c r="AX121" s="12" t="s">
        <v>578</v>
      </c>
      <c r="AY121" s="12" t="s">
        <v>578</v>
      </c>
      <c r="AZ121" s="12" t="s">
        <v>578</v>
      </c>
      <c r="BA121" s="12" t="s">
        <v>578</v>
      </c>
      <c r="BB121" s="12" t="s">
        <v>578</v>
      </c>
      <c r="BC121" s="12" t="s">
        <v>578</v>
      </c>
      <c r="BD121" s="12" t="s">
        <v>578</v>
      </c>
      <c r="BE121" s="12" t="s">
        <v>578</v>
      </c>
      <c r="BF121" s="12" t="s">
        <v>578</v>
      </c>
      <c r="BG121" s="12" t="s">
        <v>578</v>
      </c>
      <c r="BH121" s="12" t="s">
        <v>579</v>
      </c>
      <c r="BI121" s="12" t="s">
        <v>579</v>
      </c>
      <c r="BJ121" s="12" t="s">
        <v>579</v>
      </c>
      <c r="BK121" s="12" t="s">
        <v>579</v>
      </c>
      <c r="BL121" s="12" t="s">
        <v>579</v>
      </c>
      <c r="BM121" s="12" t="s">
        <v>579</v>
      </c>
      <c r="BN121" s="12" t="s">
        <v>623</v>
      </c>
      <c r="BO121" s="12" t="s">
        <v>672</v>
      </c>
      <c r="BP121" s="12" t="s">
        <v>672</v>
      </c>
      <c r="BQ121" s="12" t="s">
        <v>672</v>
      </c>
      <c r="BR121" s="12" t="s">
        <v>672</v>
      </c>
      <c r="BS121" s="12" t="s">
        <v>672</v>
      </c>
      <c r="BT121" s="12" t="s">
        <v>580</v>
      </c>
      <c r="BU121" s="12" t="s">
        <v>580</v>
      </c>
      <c r="BV121" s="12" t="s">
        <v>580</v>
      </c>
      <c r="BW121" s="12" t="s">
        <v>580</v>
      </c>
      <c r="BX121" s="12" t="s">
        <v>580</v>
      </c>
      <c r="BY121" s="12" t="s">
        <v>580</v>
      </c>
      <c r="BZ121" s="12" t="s">
        <v>580</v>
      </c>
      <c r="CA121" s="12" t="s">
        <v>580</v>
      </c>
      <c r="CB121" s="12" t="s">
        <v>580</v>
      </c>
      <c r="CC121" s="12" t="s">
        <v>580</v>
      </c>
      <c r="CD121" s="12" t="s">
        <v>580</v>
      </c>
      <c r="CE121" s="12" t="s">
        <v>580</v>
      </c>
      <c r="CF121" s="12" t="s">
        <v>580</v>
      </c>
      <c r="CG121" s="12" t="s">
        <v>761</v>
      </c>
      <c r="CH121" s="12" t="s">
        <v>761</v>
      </c>
      <c r="CI121" s="12" t="s">
        <v>761</v>
      </c>
      <c r="CJ121" s="12" t="s">
        <v>761</v>
      </c>
      <c r="CK121" s="12" t="s">
        <v>761</v>
      </c>
      <c r="CL121" s="12" t="s">
        <v>761</v>
      </c>
      <c r="CM121" s="12" t="s">
        <v>761</v>
      </c>
      <c r="CN121" s="12" t="s">
        <v>761</v>
      </c>
      <c r="CO121" s="12" t="s">
        <v>624</v>
      </c>
      <c r="CP121" s="12" t="s">
        <v>624</v>
      </c>
      <c r="CQ121" s="12" t="s">
        <v>624</v>
      </c>
      <c r="CR121" s="12" t="s">
        <v>624</v>
      </c>
      <c r="CS121" s="12" t="s">
        <v>624</v>
      </c>
      <c r="CT121" s="12" t="s">
        <v>624</v>
      </c>
    </row>
    <row r="122" spans="1:98" hidden="1" x14ac:dyDescent="0.3">
      <c r="A122" s="12" t="s">
        <v>25</v>
      </c>
      <c r="B122" s="12" t="s">
        <v>2569</v>
      </c>
      <c r="C122" s="12" t="s">
        <v>2570</v>
      </c>
      <c r="D122" s="12" t="s">
        <v>2571</v>
      </c>
      <c r="E122" s="12" t="s">
        <v>578</v>
      </c>
      <c r="F122" s="12" t="s">
        <v>578</v>
      </c>
      <c r="G122" s="12" t="s">
        <v>578</v>
      </c>
      <c r="H122" s="12" t="s">
        <v>578</v>
      </c>
      <c r="I122" s="12" t="s">
        <v>578</v>
      </c>
      <c r="J122" s="12" t="s">
        <v>578</v>
      </c>
      <c r="K122" s="12" t="s">
        <v>578</v>
      </c>
      <c r="L122" s="12" t="s">
        <v>578</v>
      </c>
      <c r="M122" s="12" t="s">
        <v>578</v>
      </c>
      <c r="N122" s="12" t="s">
        <v>578</v>
      </c>
      <c r="O122" s="12" t="s">
        <v>578</v>
      </c>
      <c r="P122" s="12" t="s">
        <v>578</v>
      </c>
      <c r="Q122" s="12" t="s">
        <v>578</v>
      </c>
      <c r="R122" s="12" t="s">
        <v>578</v>
      </c>
      <c r="S122" s="12" t="s">
        <v>578</v>
      </c>
      <c r="T122" s="12" t="s">
        <v>578</v>
      </c>
      <c r="U122" s="12" t="s">
        <v>578</v>
      </c>
      <c r="V122" s="12" t="s">
        <v>578</v>
      </c>
      <c r="W122" s="12" t="s">
        <v>578</v>
      </c>
      <c r="X122" s="12" t="s">
        <v>578</v>
      </c>
      <c r="Y122" s="12" t="s">
        <v>578</v>
      </c>
      <c r="Z122" s="12" t="s">
        <v>578</v>
      </c>
      <c r="AA122" s="12" t="s">
        <v>578</v>
      </c>
      <c r="AB122" s="12" t="s">
        <v>578</v>
      </c>
      <c r="AC122" s="12" t="s">
        <v>578</v>
      </c>
      <c r="AD122" s="12" t="s">
        <v>578</v>
      </c>
      <c r="AE122" s="12" t="s">
        <v>578</v>
      </c>
      <c r="AF122" s="12" t="s">
        <v>578</v>
      </c>
      <c r="AG122" s="12" t="s">
        <v>578</v>
      </c>
      <c r="AH122" s="12" t="s">
        <v>578</v>
      </c>
      <c r="AI122" s="12" t="s">
        <v>578</v>
      </c>
      <c r="AJ122" s="12" t="s">
        <v>578</v>
      </c>
      <c r="AK122" s="12" t="s">
        <v>578</v>
      </c>
      <c r="AL122" s="12" t="s">
        <v>578</v>
      </c>
      <c r="AM122" s="12" t="s">
        <v>578</v>
      </c>
      <c r="AN122" s="12" t="s">
        <v>579</v>
      </c>
      <c r="AO122" s="12" t="s">
        <v>579</v>
      </c>
      <c r="AP122" s="12" t="s">
        <v>579</v>
      </c>
      <c r="AQ122" s="12" t="s">
        <v>579</v>
      </c>
      <c r="AR122" s="12" t="s">
        <v>672</v>
      </c>
      <c r="AS122" s="12" t="s">
        <v>672</v>
      </c>
      <c r="AT122" s="12" t="s">
        <v>672</v>
      </c>
      <c r="AU122" s="12" t="s">
        <v>672</v>
      </c>
      <c r="AV122" s="12" t="s">
        <v>580</v>
      </c>
      <c r="AW122" s="12" t="s">
        <v>580</v>
      </c>
      <c r="AX122" s="12" t="s">
        <v>580</v>
      </c>
      <c r="AY122" s="12" t="s">
        <v>868</v>
      </c>
      <c r="AZ122" s="12" t="s">
        <v>762</v>
      </c>
      <c r="BA122" s="12" t="s">
        <v>762</v>
      </c>
      <c r="BB122" s="12" t="s">
        <v>587</v>
      </c>
      <c r="BC122" s="12" t="s">
        <v>587</v>
      </c>
      <c r="BD122" s="12" t="s">
        <v>757</v>
      </c>
      <c r="BE122" s="12" t="s">
        <v>2018</v>
      </c>
      <c r="BF122" s="12" t="s">
        <v>627</v>
      </c>
      <c r="BG122" s="12" t="s">
        <v>627</v>
      </c>
      <c r="BH122" s="12" t="s">
        <v>767</v>
      </c>
      <c r="BI122" s="12" t="s">
        <v>628</v>
      </c>
      <c r="BJ122" s="12" t="s">
        <v>588</v>
      </c>
      <c r="BK122" s="12" t="s">
        <v>1259</v>
      </c>
      <c r="BL122" s="12" t="s">
        <v>991</v>
      </c>
      <c r="BM122" s="12" t="s">
        <v>679</v>
      </c>
      <c r="BN122" s="12" t="s">
        <v>919</v>
      </c>
      <c r="BO122" s="12" t="s">
        <v>634</v>
      </c>
      <c r="BP122" s="12" t="s">
        <v>720</v>
      </c>
      <c r="BQ122" s="12" t="s">
        <v>771</v>
      </c>
      <c r="BR122" s="12" t="s">
        <v>1352</v>
      </c>
      <c r="BS122" s="12" t="s">
        <v>682</v>
      </c>
      <c r="BT122" s="12" t="s">
        <v>857</v>
      </c>
      <c r="BU122" s="12" t="s">
        <v>862</v>
      </c>
      <c r="BV122" s="12" t="s">
        <v>592</v>
      </c>
      <c r="BW122" s="12" t="s">
        <v>1417</v>
      </c>
      <c r="BX122" s="12" t="s">
        <v>873</v>
      </c>
      <c r="BY122" s="12" t="s">
        <v>1623</v>
      </c>
      <c r="BZ122" s="12" t="s">
        <v>1310</v>
      </c>
      <c r="CA122" s="12" t="s">
        <v>595</v>
      </c>
      <c r="CB122" s="12" t="s">
        <v>725</v>
      </c>
      <c r="CC122" s="12" t="s">
        <v>2137</v>
      </c>
      <c r="CD122" s="12" t="s">
        <v>1718</v>
      </c>
      <c r="CE122" s="12" t="s">
        <v>1163</v>
      </c>
      <c r="CF122" s="12" t="s">
        <v>2166</v>
      </c>
      <c r="CG122" s="12" t="s">
        <v>1363</v>
      </c>
      <c r="CH122" s="12" t="s">
        <v>956</v>
      </c>
      <c r="CI122" s="12" t="s">
        <v>1736</v>
      </c>
      <c r="CJ122" s="12" t="s">
        <v>1266</v>
      </c>
      <c r="CK122" s="12" t="s">
        <v>1424</v>
      </c>
      <c r="CL122" s="12" t="s">
        <v>2572</v>
      </c>
      <c r="CM122" s="12" t="s">
        <v>730</v>
      </c>
      <c r="CN122" s="12" t="s">
        <v>2502</v>
      </c>
      <c r="CO122" s="12" t="s">
        <v>2167</v>
      </c>
      <c r="CP122" s="12" t="s">
        <v>2395</v>
      </c>
      <c r="CQ122" s="12" t="s">
        <v>1667</v>
      </c>
      <c r="CR122" s="12" t="s">
        <v>654</v>
      </c>
      <c r="CS122" s="12" t="s">
        <v>1533</v>
      </c>
      <c r="CT122" s="12" t="s">
        <v>603</v>
      </c>
    </row>
    <row r="123" spans="1:98" hidden="1" x14ac:dyDescent="0.3">
      <c r="A123" s="12" t="s">
        <v>25</v>
      </c>
      <c r="B123" s="12" t="s">
        <v>2573</v>
      </c>
      <c r="C123" s="12" t="s">
        <v>2574</v>
      </c>
      <c r="D123" s="12" t="s">
        <v>2575</v>
      </c>
      <c r="E123" s="12" t="s">
        <v>578</v>
      </c>
      <c r="F123" s="12" t="s">
        <v>578</v>
      </c>
      <c r="G123" s="12" t="s">
        <v>578</v>
      </c>
      <c r="H123" s="12" t="s">
        <v>578</v>
      </c>
      <c r="I123" s="12" t="s">
        <v>578</v>
      </c>
      <c r="J123" s="12" t="s">
        <v>579</v>
      </c>
      <c r="K123" s="12" t="s">
        <v>580</v>
      </c>
      <c r="L123" s="12" t="s">
        <v>580</v>
      </c>
      <c r="M123" s="12" t="s">
        <v>580</v>
      </c>
      <c r="N123" s="12" t="s">
        <v>581</v>
      </c>
      <c r="O123" s="12" t="s">
        <v>755</v>
      </c>
      <c r="P123" s="12" t="s">
        <v>624</v>
      </c>
      <c r="Q123" s="12" t="s">
        <v>625</v>
      </c>
      <c r="R123" s="12" t="s">
        <v>625</v>
      </c>
      <c r="S123" s="12" t="s">
        <v>625</v>
      </c>
      <c r="T123" s="12" t="s">
        <v>625</v>
      </c>
      <c r="U123" s="12" t="s">
        <v>868</v>
      </c>
      <c r="V123" s="12" t="s">
        <v>868</v>
      </c>
      <c r="W123" s="12" t="s">
        <v>756</v>
      </c>
      <c r="X123" s="12" t="s">
        <v>756</v>
      </c>
      <c r="Y123" s="12" t="s">
        <v>584</v>
      </c>
      <c r="Z123" s="12" t="s">
        <v>584</v>
      </c>
      <c r="AA123" s="12" t="s">
        <v>584</v>
      </c>
      <c r="AB123" s="12" t="s">
        <v>584</v>
      </c>
      <c r="AC123" s="12" t="s">
        <v>584</v>
      </c>
      <c r="AD123" s="12" t="s">
        <v>584</v>
      </c>
      <c r="AE123" s="12" t="s">
        <v>584</v>
      </c>
      <c r="AF123" s="12" t="s">
        <v>584</v>
      </c>
      <c r="AG123" s="12" t="s">
        <v>584</v>
      </c>
      <c r="AH123" s="12" t="s">
        <v>584</v>
      </c>
      <c r="AI123" s="12" t="s">
        <v>584</v>
      </c>
      <c r="AJ123" s="12" t="s">
        <v>584</v>
      </c>
      <c r="AK123" s="12" t="s">
        <v>584</v>
      </c>
      <c r="AL123" s="12" t="s">
        <v>584</v>
      </c>
      <c r="AM123" s="12" t="s">
        <v>673</v>
      </c>
      <c r="AN123" s="12" t="s">
        <v>913</v>
      </c>
      <c r="AO123" s="12" t="s">
        <v>918</v>
      </c>
      <c r="AP123" s="12" t="s">
        <v>678</v>
      </c>
      <c r="AQ123" s="12" t="s">
        <v>771</v>
      </c>
      <c r="AR123" s="12" t="s">
        <v>2034</v>
      </c>
      <c r="AS123" s="12" t="s">
        <v>1733</v>
      </c>
      <c r="AT123" s="12" t="s">
        <v>2137</v>
      </c>
      <c r="AU123" s="12" t="s">
        <v>1494</v>
      </c>
      <c r="AV123" s="12" t="s">
        <v>822</v>
      </c>
      <c r="AW123" s="12" t="s">
        <v>2576</v>
      </c>
      <c r="AX123" s="12" t="s">
        <v>2577</v>
      </c>
      <c r="AY123" s="12" t="s">
        <v>1146</v>
      </c>
      <c r="AZ123" s="12" t="s">
        <v>617</v>
      </c>
      <c r="BA123" s="12" t="s">
        <v>2578</v>
      </c>
      <c r="BB123" s="12" t="s">
        <v>2209</v>
      </c>
      <c r="BC123" s="12" t="s">
        <v>2579</v>
      </c>
      <c r="BD123" s="12" t="s">
        <v>2580</v>
      </c>
      <c r="BE123" s="12" t="s">
        <v>2581</v>
      </c>
      <c r="BF123" s="12" t="s">
        <v>2582</v>
      </c>
      <c r="BG123" s="12" t="s">
        <v>2583</v>
      </c>
      <c r="BH123" s="12" t="s">
        <v>2584</v>
      </c>
      <c r="BI123" s="12" t="s">
        <v>2585</v>
      </c>
      <c r="BJ123" s="12" t="s">
        <v>2586</v>
      </c>
      <c r="BK123" s="12" t="s">
        <v>2587</v>
      </c>
      <c r="BL123" s="12" t="s">
        <v>2588</v>
      </c>
      <c r="BM123" s="12" t="s">
        <v>2589</v>
      </c>
      <c r="BN123" s="12" t="s">
        <v>2590</v>
      </c>
      <c r="BO123" s="12" t="s">
        <v>2591</v>
      </c>
      <c r="BP123" s="12" t="s">
        <v>2592</v>
      </c>
      <c r="BQ123" s="12" t="s">
        <v>2593</v>
      </c>
      <c r="BR123" s="12" t="s">
        <v>2594</v>
      </c>
      <c r="BS123" s="12" t="s">
        <v>2595</v>
      </c>
      <c r="BT123" s="12" t="s">
        <v>2596</v>
      </c>
      <c r="BU123" s="12" t="s">
        <v>2597</v>
      </c>
      <c r="BV123" s="12" t="s">
        <v>2598</v>
      </c>
      <c r="BW123" s="12" t="s">
        <v>2599</v>
      </c>
      <c r="BX123" s="12" t="s">
        <v>2600</v>
      </c>
      <c r="BY123" s="12" t="s">
        <v>2601</v>
      </c>
      <c r="BZ123" s="12" t="s">
        <v>2602</v>
      </c>
      <c r="CA123" s="12" t="s">
        <v>2603</v>
      </c>
      <c r="CB123" s="12" t="s">
        <v>2604</v>
      </c>
      <c r="CC123" s="12" t="s">
        <v>2605</v>
      </c>
      <c r="CD123" s="12" t="s">
        <v>2606</v>
      </c>
      <c r="CE123" s="12" t="s">
        <v>2607</v>
      </c>
      <c r="CF123" s="12" t="s">
        <v>2608</v>
      </c>
      <c r="CG123" s="12" t="s">
        <v>2609</v>
      </c>
      <c r="CH123" s="12" t="s">
        <v>2610</v>
      </c>
      <c r="CI123" s="12" t="s">
        <v>2611</v>
      </c>
      <c r="CJ123" s="12" t="s">
        <v>2612</v>
      </c>
      <c r="CK123" s="12" t="s">
        <v>2613</v>
      </c>
      <c r="CL123" s="12" t="s">
        <v>2614</v>
      </c>
      <c r="CM123" s="12" t="s">
        <v>2615</v>
      </c>
      <c r="CN123" s="12" t="s">
        <v>2616</v>
      </c>
      <c r="CO123" s="12" t="s">
        <v>2617</v>
      </c>
      <c r="CP123" s="12" t="s">
        <v>2618</v>
      </c>
      <c r="CQ123" s="12" t="s">
        <v>2619</v>
      </c>
      <c r="CR123" s="12" t="s">
        <v>2620</v>
      </c>
      <c r="CS123" s="12" t="s">
        <v>2621</v>
      </c>
      <c r="CT123" s="12" t="s">
        <v>2622</v>
      </c>
    </row>
    <row r="124" spans="1:98" hidden="1" x14ac:dyDescent="0.3">
      <c r="A124" s="12" t="s">
        <v>25</v>
      </c>
      <c r="B124" s="12" t="s">
        <v>2623</v>
      </c>
      <c r="C124" s="12" t="s">
        <v>2624</v>
      </c>
      <c r="D124" s="12" t="s">
        <v>2625</v>
      </c>
      <c r="E124" s="12" t="s">
        <v>578</v>
      </c>
      <c r="F124" s="12" t="s">
        <v>578</v>
      </c>
      <c r="G124" s="12" t="s">
        <v>578</v>
      </c>
      <c r="H124" s="12" t="s">
        <v>578</v>
      </c>
      <c r="I124" s="12" t="s">
        <v>578</v>
      </c>
      <c r="J124" s="12" t="s">
        <v>578</v>
      </c>
      <c r="K124" s="12" t="s">
        <v>578</v>
      </c>
      <c r="L124" s="12" t="s">
        <v>578</v>
      </c>
      <c r="M124" s="12" t="s">
        <v>578</v>
      </c>
      <c r="N124" s="12" t="s">
        <v>578</v>
      </c>
      <c r="O124" s="12" t="s">
        <v>578</v>
      </c>
      <c r="P124" s="12" t="s">
        <v>578</v>
      </c>
      <c r="Q124" s="12" t="s">
        <v>578</v>
      </c>
      <c r="R124" s="12" t="s">
        <v>578</v>
      </c>
      <c r="S124" s="12" t="s">
        <v>578</v>
      </c>
      <c r="T124" s="12" t="s">
        <v>578</v>
      </c>
      <c r="U124" s="12" t="s">
        <v>578</v>
      </c>
      <c r="V124" s="12" t="s">
        <v>578</v>
      </c>
      <c r="W124" s="12" t="s">
        <v>578</v>
      </c>
      <c r="X124" s="12" t="s">
        <v>578</v>
      </c>
      <c r="Y124" s="12" t="s">
        <v>578</v>
      </c>
      <c r="Z124" s="12" t="s">
        <v>578</v>
      </c>
      <c r="AA124" s="12" t="s">
        <v>578</v>
      </c>
      <c r="AB124" s="12" t="s">
        <v>578</v>
      </c>
      <c r="AC124" s="12" t="s">
        <v>578</v>
      </c>
      <c r="AD124" s="12" t="s">
        <v>578</v>
      </c>
      <c r="AE124" s="12" t="s">
        <v>578</v>
      </c>
      <c r="AF124" s="12" t="s">
        <v>578</v>
      </c>
      <c r="AG124" s="12" t="s">
        <v>578</v>
      </c>
      <c r="AH124" s="12" t="s">
        <v>578</v>
      </c>
      <c r="AI124" s="12" t="s">
        <v>578</v>
      </c>
      <c r="AJ124" s="12" t="s">
        <v>578</v>
      </c>
      <c r="AK124" s="12" t="s">
        <v>578</v>
      </c>
      <c r="AL124" s="12" t="s">
        <v>578</v>
      </c>
      <c r="AM124" s="12" t="s">
        <v>578</v>
      </c>
      <c r="AN124" s="12" t="s">
        <v>578</v>
      </c>
      <c r="AO124" s="12" t="s">
        <v>578</v>
      </c>
      <c r="AP124" s="12" t="s">
        <v>578</v>
      </c>
      <c r="AQ124" s="12" t="s">
        <v>578</v>
      </c>
      <c r="AR124" s="12" t="s">
        <v>578</v>
      </c>
      <c r="AS124" s="12" t="s">
        <v>578</v>
      </c>
      <c r="AT124" s="12" t="s">
        <v>578</v>
      </c>
      <c r="AU124" s="12" t="s">
        <v>578</v>
      </c>
      <c r="AV124" s="12" t="s">
        <v>578</v>
      </c>
      <c r="AW124" s="12" t="s">
        <v>578</v>
      </c>
      <c r="AX124" s="12" t="s">
        <v>578</v>
      </c>
      <c r="AY124" s="12" t="s">
        <v>578</v>
      </c>
      <c r="AZ124" s="12" t="s">
        <v>578</v>
      </c>
      <c r="BA124" s="12" t="s">
        <v>578</v>
      </c>
      <c r="BB124" s="12" t="s">
        <v>578</v>
      </c>
      <c r="BC124" s="12" t="s">
        <v>578</v>
      </c>
      <c r="BD124" s="12" t="s">
        <v>578</v>
      </c>
      <c r="BE124" s="12" t="s">
        <v>672</v>
      </c>
      <c r="BF124" s="12" t="s">
        <v>851</v>
      </c>
      <c r="BG124" s="12" t="s">
        <v>851</v>
      </c>
      <c r="BH124" s="12" t="s">
        <v>582</v>
      </c>
      <c r="BI124" s="12" t="s">
        <v>582</v>
      </c>
      <c r="BJ124" s="12" t="s">
        <v>583</v>
      </c>
      <c r="BK124" s="12" t="s">
        <v>584</v>
      </c>
      <c r="BL124" s="12" t="s">
        <v>674</v>
      </c>
      <c r="BM124" s="12" t="s">
        <v>626</v>
      </c>
      <c r="BN124" s="12" t="s">
        <v>913</v>
      </c>
      <c r="BO124" s="12" t="s">
        <v>719</v>
      </c>
      <c r="BP124" s="12" t="s">
        <v>858</v>
      </c>
      <c r="BQ124" s="12" t="s">
        <v>1261</v>
      </c>
      <c r="BR124" s="12" t="s">
        <v>1357</v>
      </c>
      <c r="BS124" s="12" t="s">
        <v>2013</v>
      </c>
      <c r="BT124" s="12" t="s">
        <v>1185</v>
      </c>
      <c r="BU124" s="12" t="s">
        <v>1185</v>
      </c>
      <c r="BV124" s="12" t="s">
        <v>2089</v>
      </c>
      <c r="BW124" s="12" t="s">
        <v>984</v>
      </c>
      <c r="BX124" s="12" t="s">
        <v>2515</v>
      </c>
      <c r="BY124" s="12" t="s">
        <v>986</v>
      </c>
      <c r="BZ124" s="12" t="s">
        <v>986</v>
      </c>
      <c r="CA124" s="12" t="s">
        <v>1126</v>
      </c>
      <c r="CB124" s="12" t="s">
        <v>1126</v>
      </c>
      <c r="CC124" s="12" t="s">
        <v>957</v>
      </c>
      <c r="CD124" s="12" t="s">
        <v>1608</v>
      </c>
      <c r="CE124" s="12" t="s">
        <v>1842</v>
      </c>
      <c r="CF124" s="12" t="s">
        <v>1842</v>
      </c>
      <c r="CG124" s="12" t="s">
        <v>1667</v>
      </c>
      <c r="CH124" s="12" t="s">
        <v>1707</v>
      </c>
      <c r="CI124" s="12" t="s">
        <v>1707</v>
      </c>
      <c r="CJ124" s="12" t="s">
        <v>1989</v>
      </c>
      <c r="CK124" s="12" t="s">
        <v>1989</v>
      </c>
      <c r="CL124" s="12" t="s">
        <v>1100</v>
      </c>
      <c r="CM124" s="12" t="s">
        <v>1100</v>
      </c>
      <c r="CN124" s="12" t="s">
        <v>2626</v>
      </c>
      <c r="CO124" s="12" t="s">
        <v>2627</v>
      </c>
      <c r="CP124" s="12" t="s">
        <v>2627</v>
      </c>
      <c r="CQ124" s="12" t="s">
        <v>2627</v>
      </c>
      <c r="CR124" s="12" t="s">
        <v>2628</v>
      </c>
      <c r="CS124" s="12" t="s">
        <v>2628</v>
      </c>
      <c r="CT124" s="12" t="s">
        <v>618</v>
      </c>
    </row>
    <row r="125" spans="1:98" hidden="1" x14ac:dyDescent="0.3">
      <c r="A125" s="12" t="s">
        <v>25</v>
      </c>
      <c r="B125" s="12" t="s">
        <v>2629</v>
      </c>
      <c r="C125" s="12" t="s">
        <v>2630</v>
      </c>
      <c r="D125" s="12" t="s">
        <v>2631</v>
      </c>
      <c r="E125" s="12" t="s">
        <v>578</v>
      </c>
      <c r="F125" s="12" t="s">
        <v>578</v>
      </c>
      <c r="G125" s="12" t="s">
        <v>578</v>
      </c>
      <c r="H125" s="12" t="s">
        <v>578</v>
      </c>
      <c r="I125" s="12" t="s">
        <v>578</v>
      </c>
      <c r="J125" s="12" t="s">
        <v>578</v>
      </c>
      <c r="K125" s="12" t="s">
        <v>578</v>
      </c>
      <c r="L125" s="12" t="s">
        <v>578</v>
      </c>
      <c r="M125" s="12" t="s">
        <v>578</v>
      </c>
      <c r="N125" s="12" t="s">
        <v>578</v>
      </c>
      <c r="O125" s="12" t="s">
        <v>578</v>
      </c>
      <c r="P125" s="12" t="s">
        <v>578</v>
      </c>
      <c r="Q125" s="12" t="s">
        <v>578</v>
      </c>
      <c r="R125" s="12" t="s">
        <v>578</v>
      </c>
      <c r="S125" s="12" t="s">
        <v>578</v>
      </c>
      <c r="T125" s="12" t="s">
        <v>578</v>
      </c>
      <c r="U125" s="12" t="s">
        <v>578</v>
      </c>
      <c r="V125" s="12" t="s">
        <v>578</v>
      </c>
      <c r="W125" s="12" t="s">
        <v>578</v>
      </c>
      <c r="X125" s="12" t="s">
        <v>578</v>
      </c>
      <c r="Y125" s="12" t="s">
        <v>578</v>
      </c>
      <c r="Z125" s="12" t="s">
        <v>578</v>
      </c>
      <c r="AA125" s="12" t="s">
        <v>578</v>
      </c>
      <c r="AB125" s="12" t="s">
        <v>578</v>
      </c>
      <c r="AC125" s="12" t="s">
        <v>578</v>
      </c>
      <c r="AD125" s="12" t="s">
        <v>578</v>
      </c>
      <c r="AE125" s="12" t="s">
        <v>578</v>
      </c>
      <c r="AF125" s="12" t="s">
        <v>578</v>
      </c>
      <c r="AG125" s="12" t="s">
        <v>578</v>
      </c>
      <c r="AH125" s="12" t="s">
        <v>578</v>
      </c>
      <c r="AI125" s="12" t="s">
        <v>578</v>
      </c>
      <c r="AJ125" s="12" t="s">
        <v>578</v>
      </c>
      <c r="AK125" s="12" t="s">
        <v>578</v>
      </c>
      <c r="AL125" s="12" t="s">
        <v>578</v>
      </c>
      <c r="AM125" s="12" t="s">
        <v>578</v>
      </c>
      <c r="AN125" s="12" t="s">
        <v>579</v>
      </c>
      <c r="AO125" s="12" t="s">
        <v>672</v>
      </c>
      <c r="AP125" s="12" t="s">
        <v>580</v>
      </c>
      <c r="AQ125" s="12" t="s">
        <v>580</v>
      </c>
      <c r="AR125" s="12" t="s">
        <v>582</v>
      </c>
      <c r="AS125" s="12" t="s">
        <v>582</v>
      </c>
      <c r="AT125" s="12" t="s">
        <v>582</v>
      </c>
      <c r="AU125" s="12" t="s">
        <v>761</v>
      </c>
      <c r="AV125" s="12" t="s">
        <v>766</v>
      </c>
      <c r="AW125" s="12" t="s">
        <v>768</v>
      </c>
      <c r="AX125" s="12" t="s">
        <v>918</v>
      </c>
      <c r="AY125" s="12" t="s">
        <v>1120</v>
      </c>
      <c r="AZ125" s="12" t="s">
        <v>1120</v>
      </c>
      <c r="BA125" s="12" t="s">
        <v>636</v>
      </c>
      <c r="BB125" s="12" t="s">
        <v>860</v>
      </c>
      <c r="BC125" s="12" t="s">
        <v>860</v>
      </c>
      <c r="BD125" s="12" t="s">
        <v>1838</v>
      </c>
      <c r="BE125" s="12" t="s">
        <v>1127</v>
      </c>
      <c r="BF125" s="12" t="s">
        <v>1365</v>
      </c>
      <c r="BG125" s="12" t="s">
        <v>1365</v>
      </c>
      <c r="BH125" s="12" t="s">
        <v>777</v>
      </c>
      <c r="BI125" s="12" t="s">
        <v>1697</v>
      </c>
      <c r="BJ125" s="12" t="s">
        <v>1697</v>
      </c>
      <c r="BK125" s="12" t="s">
        <v>1035</v>
      </c>
      <c r="BL125" s="12" t="s">
        <v>1669</v>
      </c>
      <c r="BM125" s="12" t="s">
        <v>1286</v>
      </c>
      <c r="BN125" s="12" t="s">
        <v>2234</v>
      </c>
      <c r="BO125" s="12" t="s">
        <v>930</v>
      </c>
      <c r="BP125" s="12" t="s">
        <v>1000</v>
      </c>
      <c r="BQ125" s="12" t="s">
        <v>1855</v>
      </c>
      <c r="BR125" s="12" t="s">
        <v>2632</v>
      </c>
      <c r="BS125" s="12" t="s">
        <v>2633</v>
      </c>
      <c r="BT125" s="12" t="s">
        <v>2634</v>
      </c>
      <c r="BU125" s="12" t="s">
        <v>1009</v>
      </c>
      <c r="BV125" s="12" t="s">
        <v>2635</v>
      </c>
      <c r="BW125" s="12" t="s">
        <v>1781</v>
      </c>
      <c r="BX125" s="12" t="s">
        <v>1799</v>
      </c>
      <c r="BY125" s="12" t="s">
        <v>2636</v>
      </c>
      <c r="BZ125" s="12" t="s">
        <v>2637</v>
      </c>
      <c r="CA125" s="12" t="s">
        <v>2638</v>
      </c>
      <c r="CB125" s="12" t="s">
        <v>2639</v>
      </c>
      <c r="CC125" s="12" t="s">
        <v>2207</v>
      </c>
      <c r="CD125" s="12" t="s">
        <v>2640</v>
      </c>
      <c r="CE125" s="12" t="s">
        <v>2641</v>
      </c>
      <c r="CF125" s="12" t="s">
        <v>2642</v>
      </c>
      <c r="CG125" s="12" t="s">
        <v>2643</v>
      </c>
      <c r="CH125" s="12" t="s">
        <v>2644</v>
      </c>
      <c r="CI125" s="12" t="s">
        <v>2645</v>
      </c>
      <c r="CJ125" s="12" t="s">
        <v>2646</v>
      </c>
      <c r="CK125" s="12" t="s">
        <v>2647</v>
      </c>
      <c r="CL125" s="12" t="s">
        <v>2648</v>
      </c>
      <c r="CM125" s="12" t="s">
        <v>2649</v>
      </c>
      <c r="CN125" s="12" t="s">
        <v>2650</v>
      </c>
      <c r="CO125" s="12" t="s">
        <v>2650</v>
      </c>
      <c r="CP125" s="12" t="s">
        <v>2651</v>
      </c>
      <c r="CQ125" s="12" t="s">
        <v>2652</v>
      </c>
      <c r="CR125" s="12" t="s">
        <v>2653</v>
      </c>
      <c r="CS125" s="12" t="s">
        <v>2654</v>
      </c>
      <c r="CT125" s="12" t="s">
        <v>2655</v>
      </c>
    </row>
    <row r="126" spans="1:98" hidden="1" x14ac:dyDescent="0.3">
      <c r="A126" s="12" t="s">
        <v>25</v>
      </c>
      <c r="B126" s="12" t="s">
        <v>2656</v>
      </c>
      <c r="C126" s="12" t="s">
        <v>2657</v>
      </c>
      <c r="D126" s="12" t="s">
        <v>2658</v>
      </c>
      <c r="E126" s="12" t="s">
        <v>578</v>
      </c>
      <c r="F126" s="12" t="s">
        <v>578</v>
      </c>
      <c r="G126" s="12" t="s">
        <v>578</v>
      </c>
      <c r="H126" s="12" t="s">
        <v>578</v>
      </c>
      <c r="I126" s="12" t="s">
        <v>578</v>
      </c>
      <c r="J126" s="12" t="s">
        <v>578</v>
      </c>
      <c r="K126" s="12" t="s">
        <v>578</v>
      </c>
      <c r="L126" s="12" t="s">
        <v>578</v>
      </c>
      <c r="M126" s="12" t="s">
        <v>578</v>
      </c>
      <c r="N126" s="12" t="s">
        <v>578</v>
      </c>
      <c r="O126" s="12" t="s">
        <v>578</v>
      </c>
      <c r="P126" s="12" t="s">
        <v>578</v>
      </c>
      <c r="Q126" s="12" t="s">
        <v>578</v>
      </c>
      <c r="R126" s="12" t="s">
        <v>578</v>
      </c>
      <c r="S126" s="12" t="s">
        <v>578</v>
      </c>
      <c r="T126" s="12" t="s">
        <v>578</v>
      </c>
      <c r="U126" s="12" t="s">
        <v>578</v>
      </c>
      <c r="V126" s="12" t="s">
        <v>578</v>
      </c>
      <c r="W126" s="12" t="s">
        <v>578</v>
      </c>
      <c r="X126" s="12" t="s">
        <v>578</v>
      </c>
      <c r="Y126" s="12" t="s">
        <v>578</v>
      </c>
      <c r="Z126" s="12" t="s">
        <v>578</v>
      </c>
      <c r="AA126" s="12" t="s">
        <v>578</v>
      </c>
      <c r="AB126" s="12" t="s">
        <v>578</v>
      </c>
      <c r="AC126" s="12" t="s">
        <v>578</v>
      </c>
      <c r="AD126" s="12" t="s">
        <v>578</v>
      </c>
      <c r="AE126" s="12" t="s">
        <v>578</v>
      </c>
      <c r="AF126" s="12" t="s">
        <v>578</v>
      </c>
      <c r="AG126" s="12" t="s">
        <v>578</v>
      </c>
      <c r="AH126" s="12" t="s">
        <v>578</v>
      </c>
      <c r="AI126" s="12" t="s">
        <v>578</v>
      </c>
      <c r="AJ126" s="12" t="s">
        <v>578</v>
      </c>
      <c r="AK126" s="12" t="s">
        <v>578</v>
      </c>
      <c r="AL126" s="12" t="s">
        <v>578</v>
      </c>
      <c r="AM126" s="12" t="s">
        <v>578</v>
      </c>
      <c r="AN126" s="12" t="s">
        <v>578</v>
      </c>
      <c r="AO126" s="12" t="s">
        <v>578</v>
      </c>
      <c r="AP126" s="12" t="s">
        <v>578</v>
      </c>
      <c r="AQ126" s="12" t="s">
        <v>578</v>
      </c>
      <c r="AR126" s="12" t="s">
        <v>578</v>
      </c>
      <c r="AS126" s="12" t="s">
        <v>578</v>
      </c>
      <c r="AT126" s="12" t="s">
        <v>578</v>
      </c>
      <c r="AU126" s="12" t="s">
        <v>578</v>
      </c>
      <c r="AV126" s="12" t="s">
        <v>578</v>
      </c>
      <c r="AW126" s="12" t="s">
        <v>578</v>
      </c>
      <c r="AX126" s="12" t="s">
        <v>578</v>
      </c>
      <c r="AY126" s="12" t="s">
        <v>578</v>
      </c>
      <c r="AZ126" s="12" t="s">
        <v>578</v>
      </c>
      <c r="BA126" s="12" t="s">
        <v>578</v>
      </c>
      <c r="BB126" s="12" t="s">
        <v>578</v>
      </c>
      <c r="BC126" s="12" t="s">
        <v>578</v>
      </c>
      <c r="BD126" s="12" t="s">
        <v>578</v>
      </c>
      <c r="BE126" s="12" t="s">
        <v>579</v>
      </c>
      <c r="BF126" s="12" t="s">
        <v>579</v>
      </c>
      <c r="BG126" s="12" t="s">
        <v>623</v>
      </c>
      <c r="BH126" s="12" t="s">
        <v>851</v>
      </c>
      <c r="BI126" s="12" t="s">
        <v>851</v>
      </c>
      <c r="BJ126" s="12" t="s">
        <v>761</v>
      </c>
      <c r="BK126" s="12" t="s">
        <v>625</v>
      </c>
      <c r="BL126" s="12" t="s">
        <v>673</v>
      </c>
      <c r="BM126" s="12" t="s">
        <v>674</v>
      </c>
      <c r="BN126" s="12" t="s">
        <v>675</v>
      </c>
      <c r="BO126" s="12" t="s">
        <v>585</v>
      </c>
      <c r="BP126" s="12" t="s">
        <v>587</v>
      </c>
      <c r="BQ126" s="12" t="s">
        <v>757</v>
      </c>
      <c r="BR126" s="12" t="s">
        <v>869</v>
      </c>
      <c r="BS126" s="12" t="s">
        <v>767</v>
      </c>
      <c r="BT126" s="12" t="s">
        <v>767</v>
      </c>
      <c r="BU126" s="12" t="s">
        <v>971</v>
      </c>
      <c r="BV126" s="12" t="s">
        <v>628</v>
      </c>
      <c r="BW126" s="12" t="s">
        <v>718</v>
      </c>
      <c r="BX126" s="12" t="s">
        <v>972</v>
      </c>
      <c r="BY126" s="12" t="s">
        <v>954</v>
      </c>
      <c r="BZ126" s="12" t="s">
        <v>919</v>
      </c>
      <c r="CA126" s="12" t="s">
        <v>919</v>
      </c>
      <c r="CB126" s="12" t="s">
        <v>634</v>
      </c>
      <c r="CC126" s="12" t="s">
        <v>855</v>
      </c>
      <c r="CD126" s="12" t="s">
        <v>681</v>
      </c>
      <c r="CE126" s="12" t="s">
        <v>1125</v>
      </c>
      <c r="CF126" s="12" t="s">
        <v>1276</v>
      </c>
      <c r="CG126" s="12" t="s">
        <v>1357</v>
      </c>
      <c r="CH126" s="12" t="s">
        <v>1623</v>
      </c>
      <c r="CI126" s="12" t="s">
        <v>1603</v>
      </c>
      <c r="CJ126" s="12" t="s">
        <v>1487</v>
      </c>
      <c r="CK126" s="12" t="s">
        <v>983</v>
      </c>
      <c r="CL126" s="12" t="s">
        <v>2137</v>
      </c>
      <c r="CM126" s="12" t="s">
        <v>1126</v>
      </c>
      <c r="CN126" s="12" t="s">
        <v>815</v>
      </c>
      <c r="CO126" s="12" t="s">
        <v>956</v>
      </c>
      <c r="CP126" s="12" t="s">
        <v>1607</v>
      </c>
      <c r="CQ126" s="12" t="s">
        <v>1739</v>
      </c>
      <c r="CR126" s="12" t="s">
        <v>1610</v>
      </c>
      <c r="CS126" s="12" t="s">
        <v>1398</v>
      </c>
      <c r="CT126" s="12" t="s">
        <v>2659</v>
      </c>
    </row>
    <row r="127" spans="1:98" hidden="1" x14ac:dyDescent="0.3">
      <c r="A127" s="12" t="s">
        <v>25</v>
      </c>
      <c r="B127" s="12" t="s">
        <v>2660</v>
      </c>
      <c r="C127" s="12" t="s">
        <v>2661</v>
      </c>
      <c r="D127" s="12" t="s">
        <v>2662</v>
      </c>
      <c r="E127" s="12" t="s">
        <v>578</v>
      </c>
      <c r="F127" s="12" t="s">
        <v>578</v>
      </c>
      <c r="G127" s="12" t="s">
        <v>578</v>
      </c>
      <c r="H127" s="12" t="s">
        <v>578</v>
      </c>
      <c r="I127" s="12" t="s">
        <v>578</v>
      </c>
      <c r="J127" s="12" t="s">
        <v>578</v>
      </c>
      <c r="K127" s="12" t="s">
        <v>578</v>
      </c>
      <c r="L127" s="12" t="s">
        <v>578</v>
      </c>
      <c r="M127" s="12" t="s">
        <v>578</v>
      </c>
      <c r="N127" s="12" t="s">
        <v>578</v>
      </c>
      <c r="O127" s="12" t="s">
        <v>578</v>
      </c>
      <c r="P127" s="12" t="s">
        <v>578</v>
      </c>
      <c r="Q127" s="12" t="s">
        <v>578</v>
      </c>
      <c r="R127" s="12" t="s">
        <v>578</v>
      </c>
      <c r="S127" s="12" t="s">
        <v>578</v>
      </c>
      <c r="T127" s="12" t="s">
        <v>578</v>
      </c>
      <c r="U127" s="12" t="s">
        <v>578</v>
      </c>
      <c r="V127" s="12" t="s">
        <v>578</v>
      </c>
      <c r="W127" s="12" t="s">
        <v>578</v>
      </c>
      <c r="X127" s="12" t="s">
        <v>578</v>
      </c>
      <c r="Y127" s="12" t="s">
        <v>578</v>
      </c>
      <c r="Z127" s="12" t="s">
        <v>578</v>
      </c>
      <c r="AA127" s="12" t="s">
        <v>578</v>
      </c>
      <c r="AB127" s="12" t="s">
        <v>578</v>
      </c>
      <c r="AC127" s="12" t="s">
        <v>578</v>
      </c>
      <c r="AD127" s="12" t="s">
        <v>578</v>
      </c>
      <c r="AE127" s="12" t="s">
        <v>578</v>
      </c>
      <c r="AF127" s="12" t="s">
        <v>578</v>
      </c>
      <c r="AG127" s="12" t="s">
        <v>578</v>
      </c>
      <c r="AH127" s="12" t="s">
        <v>578</v>
      </c>
      <c r="AI127" s="12" t="s">
        <v>578</v>
      </c>
      <c r="AJ127" s="12" t="s">
        <v>578</v>
      </c>
      <c r="AK127" s="12" t="s">
        <v>578</v>
      </c>
      <c r="AL127" s="12" t="s">
        <v>578</v>
      </c>
      <c r="AM127" s="12" t="s">
        <v>578</v>
      </c>
      <c r="AN127" s="12" t="s">
        <v>578</v>
      </c>
      <c r="AO127" s="12" t="s">
        <v>578</v>
      </c>
      <c r="AP127" s="12" t="s">
        <v>578</v>
      </c>
      <c r="AQ127" s="12" t="s">
        <v>578</v>
      </c>
      <c r="AR127" s="12" t="s">
        <v>578</v>
      </c>
      <c r="AS127" s="12" t="s">
        <v>578</v>
      </c>
      <c r="AT127" s="12" t="s">
        <v>578</v>
      </c>
      <c r="AU127" s="12" t="s">
        <v>578</v>
      </c>
      <c r="AV127" s="12" t="s">
        <v>578</v>
      </c>
      <c r="AW127" s="12" t="s">
        <v>578</v>
      </c>
      <c r="AX127" s="12" t="s">
        <v>578</v>
      </c>
      <c r="AY127" s="12" t="s">
        <v>578</v>
      </c>
      <c r="AZ127" s="12" t="s">
        <v>578</v>
      </c>
      <c r="BA127" s="12" t="s">
        <v>578</v>
      </c>
      <c r="BB127" s="12" t="s">
        <v>578</v>
      </c>
      <c r="BC127" s="12" t="s">
        <v>578</v>
      </c>
      <c r="BD127" s="12" t="s">
        <v>579</v>
      </c>
      <c r="BE127" s="12" t="s">
        <v>579</v>
      </c>
      <c r="BF127" s="12" t="s">
        <v>579</v>
      </c>
      <c r="BG127" s="12" t="s">
        <v>579</v>
      </c>
      <c r="BH127" s="12" t="s">
        <v>579</v>
      </c>
      <c r="BI127" s="12" t="s">
        <v>579</v>
      </c>
      <c r="BJ127" s="12" t="s">
        <v>579</v>
      </c>
      <c r="BK127" s="12" t="s">
        <v>579</v>
      </c>
      <c r="BL127" s="12" t="s">
        <v>623</v>
      </c>
      <c r="BM127" s="12" t="s">
        <v>623</v>
      </c>
      <c r="BN127" s="12" t="s">
        <v>580</v>
      </c>
      <c r="BO127" s="12" t="s">
        <v>580</v>
      </c>
      <c r="BP127" s="12" t="s">
        <v>580</v>
      </c>
      <c r="BQ127" s="12" t="s">
        <v>580</v>
      </c>
      <c r="BR127" s="12" t="s">
        <v>755</v>
      </c>
      <c r="BS127" s="12" t="s">
        <v>755</v>
      </c>
      <c r="BT127" s="12" t="s">
        <v>584</v>
      </c>
      <c r="BU127" s="12" t="s">
        <v>586</v>
      </c>
      <c r="BV127" s="12" t="s">
        <v>586</v>
      </c>
      <c r="BW127" s="12" t="s">
        <v>2018</v>
      </c>
      <c r="BX127" s="12" t="s">
        <v>809</v>
      </c>
      <c r="BY127" s="12" t="s">
        <v>1120</v>
      </c>
      <c r="BZ127" s="12" t="s">
        <v>979</v>
      </c>
      <c r="CA127" s="12" t="s">
        <v>993</v>
      </c>
      <c r="CB127" s="12" t="s">
        <v>773</v>
      </c>
      <c r="CC127" s="12" t="s">
        <v>920</v>
      </c>
      <c r="CD127" s="12" t="s">
        <v>724</v>
      </c>
      <c r="CE127" s="12" t="s">
        <v>814</v>
      </c>
      <c r="CF127" s="12" t="s">
        <v>642</v>
      </c>
      <c r="CG127" s="12" t="s">
        <v>1490</v>
      </c>
      <c r="CH127" s="12" t="s">
        <v>1490</v>
      </c>
      <c r="CI127" s="12" t="s">
        <v>923</v>
      </c>
      <c r="CJ127" s="12" t="s">
        <v>2060</v>
      </c>
      <c r="CK127" s="12" t="s">
        <v>2062</v>
      </c>
      <c r="CL127" s="12" t="s">
        <v>967</v>
      </c>
      <c r="CM127" s="12" t="s">
        <v>2663</v>
      </c>
      <c r="CN127" s="12" t="s">
        <v>660</v>
      </c>
      <c r="CO127" s="12" t="s">
        <v>1285</v>
      </c>
      <c r="CP127" s="12" t="s">
        <v>2070</v>
      </c>
      <c r="CQ127" s="12" t="s">
        <v>1139</v>
      </c>
      <c r="CR127" s="12" t="s">
        <v>1906</v>
      </c>
      <c r="CS127" s="12" t="s">
        <v>1895</v>
      </c>
      <c r="CT127" s="12" t="s">
        <v>2109</v>
      </c>
    </row>
    <row r="128" spans="1:98" hidden="1" x14ac:dyDescent="0.3">
      <c r="A128" s="12" t="s">
        <v>25</v>
      </c>
      <c r="B128" s="12" t="s">
        <v>2664</v>
      </c>
      <c r="C128" s="12" t="s">
        <v>2665</v>
      </c>
      <c r="D128" s="12" t="s">
        <v>2666</v>
      </c>
      <c r="E128" s="12" t="s">
        <v>578</v>
      </c>
      <c r="F128" s="12" t="s">
        <v>578</v>
      </c>
      <c r="G128" s="12" t="s">
        <v>578</v>
      </c>
      <c r="H128" s="12" t="s">
        <v>578</v>
      </c>
      <c r="I128" s="12" t="s">
        <v>578</v>
      </c>
      <c r="J128" s="12" t="s">
        <v>578</v>
      </c>
      <c r="K128" s="12" t="s">
        <v>578</v>
      </c>
      <c r="L128" s="12" t="s">
        <v>578</v>
      </c>
      <c r="M128" s="12" t="s">
        <v>578</v>
      </c>
      <c r="N128" s="12" t="s">
        <v>578</v>
      </c>
      <c r="O128" s="12" t="s">
        <v>578</v>
      </c>
      <c r="P128" s="12" t="s">
        <v>578</v>
      </c>
      <c r="Q128" s="12" t="s">
        <v>578</v>
      </c>
      <c r="R128" s="12" t="s">
        <v>578</v>
      </c>
      <c r="S128" s="12" t="s">
        <v>578</v>
      </c>
      <c r="T128" s="12" t="s">
        <v>578</v>
      </c>
      <c r="U128" s="12" t="s">
        <v>578</v>
      </c>
      <c r="V128" s="12" t="s">
        <v>578</v>
      </c>
      <c r="W128" s="12" t="s">
        <v>578</v>
      </c>
      <c r="X128" s="12" t="s">
        <v>578</v>
      </c>
      <c r="Y128" s="12" t="s">
        <v>578</v>
      </c>
      <c r="Z128" s="12" t="s">
        <v>578</v>
      </c>
      <c r="AA128" s="12" t="s">
        <v>578</v>
      </c>
      <c r="AB128" s="12" t="s">
        <v>578</v>
      </c>
      <c r="AC128" s="12" t="s">
        <v>578</v>
      </c>
      <c r="AD128" s="12" t="s">
        <v>578</v>
      </c>
      <c r="AE128" s="12" t="s">
        <v>578</v>
      </c>
      <c r="AF128" s="12" t="s">
        <v>578</v>
      </c>
      <c r="AG128" s="12" t="s">
        <v>578</v>
      </c>
      <c r="AH128" s="12" t="s">
        <v>578</v>
      </c>
      <c r="AI128" s="12" t="s">
        <v>578</v>
      </c>
      <c r="AJ128" s="12" t="s">
        <v>578</v>
      </c>
      <c r="AK128" s="12" t="s">
        <v>578</v>
      </c>
      <c r="AL128" s="12" t="s">
        <v>578</v>
      </c>
      <c r="AM128" s="12" t="s">
        <v>578</v>
      </c>
      <c r="AN128" s="12" t="s">
        <v>578</v>
      </c>
      <c r="AO128" s="12" t="s">
        <v>578</v>
      </c>
      <c r="AP128" s="12" t="s">
        <v>578</v>
      </c>
      <c r="AQ128" s="12" t="s">
        <v>578</v>
      </c>
      <c r="AR128" s="12" t="s">
        <v>578</v>
      </c>
      <c r="AS128" s="12" t="s">
        <v>578</v>
      </c>
      <c r="AT128" s="12" t="s">
        <v>578</v>
      </c>
      <c r="AU128" s="12" t="s">
        <v>578</v>
      </c>
      <c r="AV128" s="12" t="s">
        <v>578</v>
      </c>
      <c r="AW128" s="12" t="s">
        <v>578</v>
      </c>
      <c r="AX128" s="12" t="s">
        <v>578</v>
      </c>
      <c r="AY128" s="12" t="s">
        <v>578</v>
      </c>
      <c r="AZ128" s="12" t="s">
        <v>578</v>
      </c>
      <c r="BA128" s="12" t="s">
        <v>578</v>
      </c>
      <c r="BB128" s="12" t="s">
        <v>578</v>
      </c>
      <c r="BC128" s="12" t="s">
        <v>579</v>
      </c>
      <c r="BD128" s="12" t="s">
        <v>579</v>
      </c>
      <c r="BE128" s="12" t="s">
        <v>579</v>
      </c>
      <c r="BF128" s="12" t="s">
        <v>580</v>
      </c>
      <c r="BG128" s="12" t="s">
        <v>580</v>
      </c>
      <c r="BH128" s="12" t="s">
        <v>582</v>
      </c>
      <c r="BI128" s="12" t="s">
        <v>582</v>
      </c>
      <c r="BJ128" s="12" t="s">
        <v>582</v>
      </c>
      <c r="BK128" s="12" t="s">
        <v>582</v>
      </c>
      <c r="BL128" s="12" t="s">
        <v>582</v>
      </c>
      <c r="BM128" s="12" t="s">
        <v>674</v>
      </c>
      <c r="BN128" s="12" t="s">
        <v>675</v>
      </c>
      <c r="BO128" s="12" t="s">
        <v>581</v>
      </c>
      <c r="BP128" s="12" t="s">
        <v>581</v>
      </c>
      <c r="BQ128" s="12" t="s">
        <v>581</v>
      </c>
      <c r="BR128" s="12" t="s">
        <v>581</v>
      </c>
      <c r="BS128" s="12" t="s">
        <v>755</v>
      </c>
      <c r="BT128" s="12" t="s">
        <v>755</v>
      </c>
      <c r="BU128" s="12" t="s">
        <v>755</v>
      </c>
      <c r="BV128" s="12" t="s">
        <v>625</v>
      </c>
      <c r="BW128" s="12" t="s">
        <v>674</v>
      </c>
      <c r="BX128" s="12" t="s">
        <v>674</v>
      </c>
      <c r="BY128" s="12" t="s">
        <v>626</v>
      </c>
      <c r="BZ128" s="12" t="s">
        <v>626</v>
      </c>
      <c r="CA128" s="12" t="s">
        <v>587</v>
      </c>
      <c r="CB128" s="12" t="s">
        <v>766</v>
      </c>
      <c r="CC128" s="12" t="s">
        <v>627</v>
      </c>
      <c r="CD128" s="12" t="s">
        <v>677</v>
      </c>
      <c r="CE128" s="12" t="s">
        <v>677</v>
      </c>
      <c r="CF128" s="12" t="s">
        <v>677</v>
      </c>
      <c r="CG128" s="12" t="s">
        <v>768</v>
      </c>
      <c r="CH128" s="12" t="s">
        <v>768</v>
      </c>
      <c r="CI128" s="12" t="s">
        <v>768</v>
      </c>
      <c r="CJ128" s="12" t="s">
        <v>972</v>
      </c>
      <c r="CK128" s="12" t="s">
        <v>631</v>
      </c>
      <c r="CL128" s="12" t="s">
        <v>631</v>
      </c>
      <c r="CM128" s="12" t="s">
        <v>1180</v>
      </c>
      <c r="CN128" s="12" t="s">
        <v>1180</v>
      </c>
      <c r="CO128" s="12" t="s">
        <v>870</v>
      </c>
      <c r="CP128" s="12" t="s">
        <v>870</v>
      </c>
      <c r="CQ128" s="12" t="s">
        <v>973</v>
      </c>
      <c r="CR128" s="12" t="s">
        <v>955</v>
      </c>
      <c r="CS128" s="12" t="s">
        <v>634</v>
      </c>
      <c r="CT128" s="12" t="s">
        <v>1120</v>
      </c>
    </row>
    <row r="129" spans="1:98" hidden="1" x14ac:dyDescent="0.3">
      <c r="A129" s="12" t="s">
        <v>25</v>
      </c>
      <c r="B129" s="12" t="s">
        <v>2667</v>
      </c>
      <c r="C129" s="12" t="s">
        <v>2668</v>
      </c>
      <c r="D129" s="12" t="s">
        <v>2669</v>
      </c>
      <c r="E129" s="12" t="s">
        <v>578</v>
      </c>
      <c r="F129" s="12" t="s">
        <v>578</v>
      </c>
      <c r="G129" s="12" t="s">
        <v>578</v>
      </c>
      <c r="H129" s="12" t="s">
        <v>578</v>
      </c>
      <c r="I129" s="12" t="s">
        <v>578</v>
      </c>
      <c r="J129" s="12" t="s">
        <v>578</v>
      </c>
      <c r="K129" s="12" t="s">
        <v>578</v>
      </c>
      <c r="L129" s="12" t="s">
        <v>578</v>
      </c>
      <c r="M129" s="12" t="s">
        <v>578</v>
      </c>
      <c r="N129" s="12" t="s">
        <v>578</v>
      </c>
      <c r="O129" s="12" t="s">
        <v>578</v>
      </c>
      <c r="P129" s="12" t="s">
        <v>578</v>
      </c>
      <c r="Q129" s="12" t="s">
        <v>578</v>
      </c>
      <c r="R129" s="12" t="s">
        <v>578</v>
      </c>
      <c r="S129" s="12" t="s">
        <v>578</v>
      </c>
      <c r="T129" s="12" t="s">
        <v>578</v>
      </c>
      <c r="U129" s="12" t="s">
        <v>578</v>
      </c>
      <c r="V129" s="12" t="s">
        <v>578</v>
      </c>
      <c r="W129" s="12" t="s">
        <v>578</v>
      </c>
      <c r="X129" s="12" t="s">
        <v>578</v>
      </c>
      <c r="Y129" s="12" t="s">
        <v>578</v>
      </c>
      <c r="Z129" s="12" t="s">
        <v>578</v>
      </c>
      <c r="AA129" s="12" t="s">
        <v>578</v>
      </c>
      <c r="AB129" s="12" t="s">
        <v>578</v>
      </c>
      <c r="AC129" s="12" t="s">
        <v>578</v>
      </c>
      <c r="AD129" s="12" t="s">
        <v>578</v>
      </c>
      <c r="AE129" s="12" t="s">
        <v>578</v>
      </c>
      <c r="AF129" s="12" t="s">
        <v>578</v>
      </c>
      <c r="AG129" s="12" t="s">
        <v>578</v>
      </c>
      <c r="AH129" s="12" t="s">
        <v>578</v>
      </c>
      <c r="AI129" s="12" t="s">
        <v>578</v>
      </c>
      <c r="AJ129" s="12" t="s">
        <v>578</v>
      </c>
      <c r="AK129" s="12" t="s">
        <v>578</v>
      </c>
      <c r="AL129" s="12" t="s">
        <v>578</v>
      </c>
      <c r="AM129" s="12" t="s">
        <v>578</v>
      </c>
      <c r="AN129" s="12" t="s">
        <v>578</v>
      </c>
      <c r="AO129" s="12" t="s">
        <v>578</v>
      </c>
      <c r="AP129" s="12" t="s">
        <v>578</v>
      </c>
      <c r="AQ129" s="12" t="s">
        <v>578</v>
      </c>
      <c r="AR129" s="12" t="s">
        <v>578</v>
      </c>
      <c r="AS129" s="12" t="s">
        <v>578</v>
      </c>
      <c r="AT129" s="12" t="s">
        <v>578</v>
      </c>
      <c r="AU129" s="12" t="s">
        <v>578</v>
      </c>
      <c r="AV129" s="12" t="s">
        <v>578</v>
      </c>
      <c r="AW129" s="12" t="s">
        <v>578</v>
      </c>
      <c r="AX129" s="12" t="s">
        <v>578</v>
      </c>
      <c r="AY129" s="12" t="s">
        <v>578</v>
      </c>
      <c r="AZ129" s="12" t="s">
        <v>578</v>
      </c>
      <c r="BA129" s="12" t="s">
        <v>578</v>
      </c>
      <c r="BB129" s="12" t="s">
        <v>578</v>
      </c>
      <c r="BC129" s="12" t="s">
        <v>578</v>
      </c>
      <c r="BD129" s="12" t="s">
        <v>578</v>
      </c>
      <c r="BE129" s="12" t="s">
        <v>578</v>
      </c>
      <c r="BF129" s="12" t="s">
        <v>578</v>
      </c>
      <c r="BG129" s="12" t="s">
        <v>578</v>
      </c>
      <c r="BH129" s="12" t="s">
        <v>578</v>
      </c>
      <c r="BI129" s="12" t="s">
        <v>578</v>
      </c>
      <c r="BJ129" s="12" t="s">
        <v>578</v>
      </c>
      <c r="BK129" s="12" t="s">
        <v>623</v>
      </c>
      <c r="BL129" s="12" t="s">
        <v>623</v>
      </c>
      <c r="BM129" s="12" t="s">
        <v>623</v>
      </c>
      <c r="BN129" s="12" t="s">
        <v>851</v>
      </c>
      <c r="BO129" s="12" t="s">
        <v>582</v>
      </c>
      <c r="BP129" s="12" t="s">
        <v>755</v>
      </c>
      <c r="BQ129" s="12" t="s">
        <v>755</v>
      </c>
      <c r="BR129" s="12" t="s">
        <v>755</v>
      </c>
      <c r="BS129" s="12" t="s">
        <v>755</v>
      </c>
      <c r="BT129" s="12" t="s">
        <v>762</v>
      </c>
      <c r="BU129" s="12" t="s">
        <v>762</v>
      </c>
      <c r="BV129" s="12" t="s">
        <v>762</v>
      </c>
      <c r="BW129" s="12" t="s">
        <v>584</v>
      </c>
      <c r="BX129" s="12" t="s">
        <v>584</v>
      </c>
      <c r="BY129" s="12" t="s">
        <v>808</v>
      </c>
      <c r="BZ129" s="12" t="s">
        <v>675</v>
      </c>
      <c r="CA129" s="12" t="s">
        <v>585</v>
      </c>
      <c r="CB129" s="12" t="s">
        <v>587</v>
      </c>
      <c r="CC129" s="12" t="s">
        <v>757</v>
      </c>
      <c r="CD129" s="12" t="s">
        <v>913</v>
      </c>
      <c r="CE129" s="12" t="s">
        <v>2018</v>
      </c>
      <c r="CF129" s="12" t="s">
        <v>766</v>
      </c>
      <c r="CG129" s="12" t="s">
        <v>627</v>
      </c>
      <c r="CH129" s="12" t="s">
        <v>627</v>
      </c>
      <c r="CI129" s="12" t="s">
        <v>588</v>
      </c>
      <c r="CJ129" s="12" t="s">
        <v>588</v>
      </c>
      <c r="CK129" s="12" t="s">
        <v>1046</v>
      </c>
      <c r="CL129" s="12" t="s">
        <v>1046</v>
      </c>
      <c r="CM129" s="12" t="s">
        <v>1259</v>
      </c>
      <c r="CN129" s="12" t="s">
        <v>1096</v>
      </c>
      <c r="CO129" s="12" t="s">
        <v>972</v>
      </c>
      <c r="CP129" s="12" t="s">
        <v>992</v>
      </c>
      <c r="CQ129" s="12" t="s">
        <v>992</v>
      </c>
      <c r="CR129" s="12" t="s">
        <v>853</v>
      </c>
      <c r="CS129" s="12" t="s">
        <v>975</v>
      </c>
      <c r="CT129" s="12" t="s">
        <v>975</v>
      </c>
    </row>
    <row r="130" spans="1:98" hidden="1" x14ac:dyDescent="0.3">
      <c r="A130" s="12" t="s">
        <v>25</v>
      </c>
      <c r="B130" s="12" t="s">
        <v>2670</v>
      </c>
      <c r="C130" s="12" t="s">
        <v>2671</v>
      </c>
      <c r="D130" s="12" t="s">
        <v>2672</v>
      </c>
      <c r="E130" s="12" t="s">
        <v>578</v>
      </c>
      <c r="F130" s="12" t="s">
        <v>578</v>
      </c>
      <c r="G130" s="12" t="s">
        <v>578</v>
      </c>
      <c r="H130" s="12" t="s">
        <v>578</v>
      </c>
      <c r="I130" s="12" t="s">
        <v>578</v>
      </c>
      <c r="J130" s="12" t="s">
        <v>578</v>
      </c>
      <c r="K130" s="12" t="s">
        <v>578</v>
      </c>
      <c r="L130" s="12" t="s">
        <v>578</v>
      </c>
      <c r="M130" s="12" t="s">
        <v>578</v>
      </c>
      <c r="N130" s="12" t="s">
        <v>578</v>
      </c>
      <c r="O130" s="12" t="s">
        <v>578</v>
      </c>
      <c r="P130" s="12" t="s">
        <v>578</v>
      </c>
      <c r="Q130" s="12" t="s">
        <v>578</v>
      </c>
      <c r="R130" s="12" t="s">
        <v>578</v>
      </c>
      <c r="S130" s="12" t="s">
        <v>578</v>
      </c>
      <c r="T130" s="12" t="s">
        <v>578</v>
      </c>
      <c r="U130" s="12" t="s">
        <v>578</v>
      </c>
      <c r="V130" s="12" t="s">
        <v>578</v>
      </c>
      <c r="W130" s="12" t="s">
        <v>578</v>
      </c>
      <c r="X130" s="12" t="s">
        <v>578</v>
      </c>
      <c r="Y130" s="12" t="s">
        <v>578</v>
      </c>
      <c r="Z130" s="12" t="s">
        <v>578</v>
      </c>
      <c r="AA130" s="12" t="s">
        <v>578</v>
      </c>
      <c r="AB130" s="12" t="s">
        <v>578</v>
      </c>
      <c r="AC130" s="12" t="s">
        <v>578</v>
      </c>
      <c r="AD130" s="12" t="s">
        <v>578</v>
      </c>
      <c r="AE130" s="12" t="s">
        <v>578</v>
      </c>
      <c r="AF130" s="12" t="s">
        <v>578</v>
      </c>
      <c r="AG130" s="12" t="s">
        <v>578</v>
      </c>
      <c r="AH130" s="12" t="s">
        <v>578</v>
      </c>
      <c r="AI130" s="12" t="s">
        <v>578</v>
      </c>
      <c r="AJ130" s="12" t="s">
        <v>578</v>
      </c>
      <c r="AK130" s="12" t="s">
        <v>578</v>
      </c>
      <c r="AL130" s="12" t="s">
        <v>578</v>
      </c>
      <c r="AM130" s="12" t="s">
        <v>578</v>
      </c>
      <c r="AN130" s="12" t="s">
        <v>578</v>
      </c>
      <c r="AO130" s="12" t="s">
        <v>578</v>
      </c>
      <c r="AP130" s="12" t="s">
        <v>578</v>
      </c>
      <c r="AQ130" s="12" t="s">
        <v>578</v>
      </c>
      <c r="AR130" s="12" t="s">
        <v>578</v>
      </c>
      <c r="AS130" s="12" t="s">
        <v>578</v>
      </c>
      <c r="AT130" s="12" t="s">
        <v>578</v>
      </c>
      <c r="AU130" s="12" t="s">
        <v>578</v>
      </c>
      <c r="AV130" s="12" t="s">
        <v>578</v>
      </c>
      <c r="AW130" s="12" t="s">
        <v>579</v>
      </c>
      <c r="AX130" s="12" t="s">
        <v>579</v>
      </c>
      <c r="AY130" s="12" t="s">
        <v>579</v>
      </c>
      <c r="AZ130" s="12" t="s">
        <v>579</v>
      </c>
      <c r="BA130" s="12" t="s">
        <v>579</v>
      </c>
      <c r="BB130" s="12" t="s">
        <v>579</v>
      </c>
      <c r="BC130" s="12" t="s">
        <v>579</v>
      </c>
      <c r="BD130" s="12" t="s">
        <v>579</v>
      </c>
      <c r="BE130" s="12" t="s">
        <v>579</v>
      </c>
      <c r="BF130" s="12" t="s">
        <v>579</v>
      </c>
      <c r="BG130" s="12" t="s">
        <v>579</v>
      </c>
      <c r="BH130" s="12" t="s">
        <v>579</v>
      </c>
      <c r="BI130" s="12" t="s">
        <v>579</v>
      </c>
      <c r="BJ130" s="12" t="s">
        <v>579</v>
      </c>
      <c r="BK130" s="12" t="s">
        <v>579</v>
      </c>
      <c r="BL130" s="12" t="s">
        <v>579</v>
      </c>
      <c r="BM130" s="12" t="s">
        <v>579</v>
      </c>
      <c r="BN130" s="12" t="s">
        <v>579</v>
      </c>
      <c r="BO130" s="12" t="s">
        <v>580</v>
      </c>
      <c r="BP130" s="12" t="s">
        <v>580</v>
      </c>
      <c r="BQ130" s="12" t="s">
        <v>580</v>
      </c>
      <c r="BR130" s="12" t="s">
        <v>580</v>
      </c>
      <c r="BS130" s="12" t="s">
        <v>851</v>
      </c>
      <c r="BT130" s="12" t="s">
        <v>851</v>
      </c>
      <c r="BU130" s="12" t="s">
        <v>851</v>
      </c>
      <c r="BV130" s="12" t="s">
        <v>851</v>
      </c>
      <c r="BW130" s="12" t="s">
        <v>851</v>
      </c>
      <c r="BX130" s="12" t="s">
        <v>582</v>
      </c>
      <c r="BY130" s="12" t="s">
        <v>582</v>
      </c>
      <c r="BZ130" s="12" t="s">
        <v>582</v>
      </c>
      <c r="CA130" s="12" t="s">
        <v>582</v>
      </c>
      <c r="CB130" s="12" t="s">
        <v>582</v>
      </c>
      <c r="CC130" s="12" t="s">
        <v>582</v>
      </c>
      <c r="CD130" s="12" t="s">
        <v>755</v>
      </c>
      <c r="CE130" s="12" t="s">
        <v>755</v>
      </c>
      <c r="CF130" s="12" t="s">
        <v>755</v>
      </c>
      <c r="CG130" s="12" t="s">
        <v>755</v>
      </c>
      <c r="CH130" s="12" t="s">
        <v>755</v>
      </c>
      <c r="CI130" s="12" t="s">
        <v>755</v>
      </c>
      <c r="CJ130" s="12" t="s">
        <v>755</v>
      </c>
      <c r="CK130" s="12" t="s">
        <v>755</v>
      </c>
      <c r="CL130" s="12" t="s">
        <v>755</v>
      </c>
      <c r="CM130" s="12" t="s">
        <v>755</v>
      </c>
      <c r="CN130" s="12" t="s">
        <v>755</v>
      </c>
      <c r="CO130" s="12" t="s">
        <v>755</v>
      </c>
      <c r="CP130" s="12" t="s">
        <v>761</v>
      </c>
      <c r="CQ130" s="12" t="s">
        <v>761</v>
      </c>
      <c r="CR130" s="12" t="s">
        <v>761</v>
      </c>
      <c r="CS130" s="12" t="s">
        <v>761</v>
      </c>
      <c r="CT130" s="12" t="s">
        <v>761</v>
      </c>
    </row>
    <row r="131" spans="1:98" hidden="1" x14ac:dyDescent="0.3">
      <c r="A131" s="12" t="s">
        <v>25</v>
      </c>
      <c r="B131" s="12" t="s">
        <v>2673</v>
      </c>
      <c r="C131" s="12" t="s">
        <v>2188</v>
      </c>
      <c r="D131" s="12" t="s">
        <v>2674</v>
      </c>
      <c r="E131" s="12" t="s">
        <v>578</v>
      </c>
      <c r="F131" s="12" t="s">
        <v>578</v>
      </c>
      <c r="G131" s="12" t="s">
        <v>578</v>
      </c>
      <c r="H131" s="12" t="s">
        <v>578</v>
      </c>
      <c r="I131" s="12" t="s">
        <v>578</v>
      </c>
      <c r="J131" s="12" t="s">
        <v>578</v>
      </c>
      <c r="K131" s="12" t="s">
        <v>578</v>
      </c>
      <c r="L131" s="12" t="s">
        <v>578</v>
      </c>
      <c r="M131" s="12" t="s">
        <v>578</v>
      </c>
      <c r="N131" s="12" t="s">
        <v>578</v>
      </c>
      <c r="O131" s="12" t="s">
        <v>578</v>
      </c>
      <c r="P131" s="12" t="s">
        <v>578</v>
      </c>
      <c r="Q131" s="12" t="s">
        <v>578</v>
      </c>
      <c r="R131" s="12" t="s">
        <v>578</v>
      </c>
      <c r="S131" s="12" t="s">
        <v>578</v>
      </c>
      <c r="T131" s="12" t="s">
        <v>578</v>
      </c>
      <c r="U131" s="12" t="s">
        <v>578</v>
      </c>
      <c r="V131" s="12" t="s">
        <v>578</v>
      </c>
      <c r="W131" s="12" t="s">
        <v>578</v>
      </c>
      <c r="X131" s="12" t="s">
        <v>578</v>
      </c>
      <c r="Y131" s="12" t="s">
        <v>578</v>
      </c>
      <c r="Z131" s="12" t="s">
        <v>578</v>
      </c>
      <c r="AA131" s="12" t="s">
        <v>578</v>
      </c>
      <c r="AB131" s="12" t="s">
        <v>578</v>
      </c>
      <c r="AC131" s="12" t="s">
        <v>578</v>
      </c>
      <c r="AD131" s="12" t="s">
        <v>578</v>
      </c>
      <c r="AE131" s="12" t="s">
        <v>578</v>
      </c>
      <c r="AF131" s="12" t="s">
        <v>578</v>
      </c>
      <c r="AG131" s="12" t="s">
        <v>578</v>
      </c>
      <c r="AH131" s="12" t="s">
        <v>578</v>
      </c>
      <c r="AI131" s="12" t="s">
        <v>578</v>
      </c>
      <c r="AJ131" s="12" t="s">
        <v>578</v>
      </c>
      <c r="AK131" s="12" t="s">
        <v>578</v>
      </c>
      <c r="AL131" s="12" t="s">
        <v>578</v>
      </c>
      <c r="AM131" s="12" t="s">
        <v>578</v>
      </c>
      <c r="AN131" s="12" t="s">
        <v>578</v>
      </c>
      <c r="AO131" s="12" t="s">
        <v>578</v>
      </c>
      <c r="AP131" s="12" t="s">
        <v>578</v>
      </c>
      <c r="AQ131" s="12" t="s">
        <v>578</v>
      </c>
      <c r="AR131" s="12" t="s">
        <v>578</v>
      </c>
      <c r="AS131" s="12" t="s">
        <v>578</v>
      </c>
      <c r="AT131" s="12" t="s">
        <v>578</v>
      </c>
      <c r="AU131" s="12" t="s">
        <v>578</v>
      </c>
      <c r="AV131" s="12" t="s">
        <v>578</v>
      </c>
      <c r="AW131" s="12" t="s">
        <v>578</v>
      </c>
      <c r="AX131" s="12" t="s">
        <v>578</v>
      </c>
      <c r="AY131" s="12" t="s">
        <v>578</v>
      </c>
      <c r="AZ131" s="12" t="s">
        <v>578</v>
      </c>
      <c r="BA131" s="12" t="s">
        <v>578</v>
      </c>
      <c r="BB131" s="12" t="s">
        <v>623</v>
      </c>
      <c r="BC131" s="12" t="s">
        <v>623</v>
      </c>
      <c r="BD131" s="12" t="s">
        <v>623</v>
      </c>
      <c r="BE131" s="12" t="s">
        <v>623</v>
      </c>
      <c r="BF131" s="12" t="s">
        <v>672</v>
      </c>
      <c r="BG131" s="12" t="s">
        <v>851</v>
      </c>
      <c r="BH131" s="12" t="s">
        <v>755</v>
      </c>
      <c r="BI131" s="12" t="s">
        <v>761</v>
      </c>
      <c r="BJ131" s="12" t="s">
        <v>625</v>
      </c>
      <c r="BK131" s="12" t="s">
        <v>587</v>
      </c>
      <c r="BL131" s="12" t="s">
        <v>587</v>
      </c>
      <c r="BM131" s="12" t="s">
        <v>676</v>
      </c>
      <c r="BN131" s="12" t="s">
        <v>2018</v>
      </c>
      <c r="BO131" s="12" t="s">
        <v>2018</v>
      </c>
      <c r="BP131" s="12" t="s">
        <v>971</v>
      </c>
      <c r="BQ131" s="12" t="s">
        <v>809</v>
      </c>
      <c r="BR131" s="12" t="s">
        <v>770</v>
      </c>
      <c r="BS131" s="12" t="s">
        <v>1125</v>
      </c>
      <c r="BT131" s="12" t="s">
        <v>592</v>
      </c>
      <c r="BU131" s="12" t="s">
        <v>683</v>
      </c>
      <c r="BV131" s="12" t="s">
        <v>2013</v>
      </c>
      <c r="BW131" s="12" t="s">
        <v>1815</v>
      </c>
      <c r="BX131" s="12" t="s">
        <v>1570</v>
      </c>
      <c r="BY131" s="12" t="s">
        <v>1392</v>
      </c>
      <c r="BZ131" s="12" t="s">
        <v>686</v>
      </c>
      <c r="CA131" s="12" t="s">
        <v>1264</v>
      </c>
      <c r="CB131" s="12" t="s">
        <v>1098</v>
      </c>
      <c r="CC131" s="12" t="s">
        <v>958</v>
      </c>
      <c r="CD131" s="12" t="s">
        <v>1831</v>
      </c>
      <c r="CE131" s="12" t="s">
        <v>1745</v>
      </c>
      <c r="CF131" s="12" t="s">
        <v>2189</v>
      </c>
      <c r="CG131" s="12" t="s">
        <v>1031</v>
      </c>
      <c r="CH131" s="12" t="s">
        <v>1693</v>
      </c>
      <c r="CI131" s="12" t="s">
        <v>924</v>
      </c>
      <c r="CJ131" s="12" t="s">
        <v>820</v>
      </c>
      <c r="CK131" s="12" t="s">
        <v>1130</v>
      </c>
      <c r="CL131" s="12" t="s">
        <v>1698</v>
      </c>
      <c r="CM131" s="12" t="s">
        <v>1699</v>
      </c>
      <c r="CN131" s="12" t="s">
        <v>1369</v>
      </c>
      <c r="CO131" s="12" t="s">
        <v>1460</v>
      </c>
      <c r="CP131" s="12" t="s">
        <v>2663</v>
      </c>
      <c r="CQ131" s="12" t="s">
        <v>659</v>
      </c>
      <c r="CR131" s="12" t="s">
        <v>2675</v>
      </c>
      <c r="CS131" s="12" t="s">
        <v>1890</v>
      </c>
      <c r="CT131" s="12" t="s">
        <v>1670</v>
      </c>
    </row>
    <row r="132" spans="1:98" hidden="1" x14ac:dyDescent="0.3">
      <c r="A132" s="12" t="s">
        <v>25</v>
      </c>
      <c r="B132" s="12" t="s">
        <v>2676</v>
      </c>
      <c r="C132" s="12" t="s">
        <v>2677</v>
      </c>
      <c r="D132" s="12" t="s">
        <v>2678</v>
      </c>
      <c r="E132" s="12" t="s">
        <v>578</v>
      </c>
      <c r="F132" s="12" t="s">
        <v>578</v>
      </c>
      <c r="G132" s="12" t="s">
        <v>578</v>
      </c>
      <c r="H132" s="12" t="s">
        <v>578</v>
      </c>
      <c r="I132" s="12" t="s">
        <v>578</v>
      </c>
      <c r="J132" s="12" t="s">
        <v>578</v>
      </c>
      <c r="K132" s="12" t="s">
        <v>578</v>
      </c>
      <c r="L132" s="12" t="s">
        <v>578</v>
      </c>
      <c r="M132" s="12" t="s">
        <v>578</v>
      </c>
      <c r="N132" s="12" t="s">
        <v>578</v>
      </c>
      <c r="O132" s="12" t="s">
        <v>578</v>
      </c>
      <c r="P132" s="12" t="s">
        <v>578</v>
      </c>
      <c r="Q132" s="12" t="s">
        <v>578</v>
      </c>
      <c r="R132" s="12" t="s">
        <v>578</v>
      </c>
      <c r="S132" s="12" t="s">
        <v>578</v>
      </c>
      <c r="T132" s="12" t="s">
        <v>578</v>
      </c>
      <c r="U132" s="12" t="s">
        <v>578</v>
      </c>
      <c r="V132" s="12" t="s">
        <v>578</v>
      </c>
      <c r="W132" s="12" t="s">
        <v>578</v>
      </c>
      <c r="X132" s="12" t="s">
        <v>578</v>
      </c>
      <c r="Y132" s="12" t="s">
        <v>578</v>
      </c>
      <c r="Z132" s="12" t="s">
        <v>578</v>
      </c>
      <c r="AA132" s="12" t="s">
        <v>578</v>
      </c>
      <c r="AB132" s="12" t="s">
        <v>578</v>
      </c>
      <c r="AC132" s="12" t="s">
        <v>578</v>
      </c>
      <c r="AD132" s="12" t="s">
        <v>578</v>
      </c>
      <c r="AE132" s="12" t="s">
        <v>578</v>
      </c>
      <c r="AF132" s="12" t="s">
        <v>578</v>
      </c>
      <c r="AG132" s="12" t="s">
        <v>578</v>
      </c>
      <c r="AH132" s="12" t="s">
        <v>578</v>
      </c>
      <c r="AI132" s="12" t="s">
        <v>578</v>
      </c>
      <c r="AJ132" s="12" t="s">
        <v>578</v>
      </c>
      <c r="AK132" s="12" t="s">
        <v>578</v>
      </c>
      <c r="AL132" s="12" t="s">
        <v>578</v>
      </c>
      <c r="AM132" s="12" t="s">
        <v>578</v>
      </c>
      <c r="AN132" s="12" t="s">
        <v>578</v>
      </c>
      <c r="AO132" s="12" t="s">
        <v>578</v>
      </c>
      <c r="AP132" s="12" t="s">
        <v>578</v>
      </c>
      <c r="AQ132" s="12" t="s">
        <v>578</v>
      </c>
      <c r="AR132" s="12" t="s">
        <v>578</v>
      </c>
      <c r="AS132" s="12" t="s">
        <v>578</v>
      </c>
      <c r="AT132" s="12" t="s">
        <v>578</v>
      </c>
      <c r="AU132" s="12" t="s">
        <v>623</v>
      </c>
      <c r="AV132" s="12" t="s">
        <v>623</v>
      </c>
      <c r="AW132" s="12" t="s">
        <v>623</v>
      </c>
      <c r="AX132" s="12" t="s">
        <v>580</v>
      </c>
      <c r="AY132" s="12" t="s">
        <v>582</v>
      </c>
      <c r="AZ132" s="12" t="s">
        <v>761</v>
      </c>
      <c r="BA132" s="12" t="s">
        <v>761</v>
      </c>
      <c r="BB132" s="12" t="s">
        <v>868</v>
      </c>
      <c r="BC132" s="12" t="s">
        <v>868</v>
      </c>
      <c r="BD132" s="12" t="s">
        <v>674</v>
      </c>
      <c r="BE132" s="12" t="s">
        <v>2018</v>
      </c>
      <c r="BF132" s="12" t="s">
        <v>852</v>
      </c>
      <c r="BG132" s="12" t="s">
        <v>718</v>
      </c>
      <c r="BH132" s="12" t="s">
        <v>954</v>
      </c>
      <c r="BI132" s="12" t="s">
        <v>1413</v>
      </c>
      <c r="BJ132" s="12" t="s">
        <v>1120</v>
      </c>
      <c r="BK132" s="12" t="s">
        <v>1124</v>
      </c>
      <c r="BL132" s="12" t="s">
        <v>862</v>
      </c>
      <c r="BM132" s="12" t="s">
        <v>1047</v>
      </c>
      <c r="BN132" s="12" t="s">
        <v>1487</v>
      </c>
      <c r="BO132" s="12" t="s">
        <v>1362</v>
      </c>
      <c r="BP132" s="12" t="s">
        <v>1506</v>
      </c>
      <c r="BQ132" s="12" t="s">
        <v>1393</v>
      </c>
      <c r="BR132" s="12" t="s">
        <v>1266</v>
      </c>
      <c r="BS132" s="12" t="s">
        <v>1745</v>
      </c>
      <c r="BT132" s="12" t="s">
        <v>1667</v>
      </c>
      <c r="BU132" s="12" t="s">
        <v>2679</v>
      </c>
      <c r="BV132" s="12" t="s">
        <v>1982</v>
      </c>
      <c r="BW132" s="12" t="s">
        <v>737</v>
      </c>
      <c r="BX132" s="12" t="s">
        <v>1711</v>
      </c>
      <c r="BY132" s="12" t="s">
        <v>2680</v>
      </c>
      <c r="BZ132" s="12" t="s">
        <v>668</v>
      </c>
      <c r="CA132" s="12" t="s">
        <v>1671</v>
      </c>
      <c r="CB132" s="12" t="s">
        <v>2681</v>
      </c>
      <c r="CC132" s="12" t="s">
        <v>2682</v>
      </c>
      <c r="CD132" s="12" t="s">
        <v>1757</v>
      </c>
      <c r="CE132" s="12" t="s">
        <v>2683</v>
      </c>
      <c r="CF132" s="12" t="s">
        <v>2684</v>
      </c>
      <c r="CG132" s="12" t="s">
        <v>2685</v>
      </c>
      <c r="CH132" s="12" t="s">
        <v>2686</v>
      </c>
      <c r="CI132" s="12" t="s">
        <v>2687</v>
      </c>
      <c r="CJ132" s="12" t="s">
        <v>2438</v>
      </c>
      <c r="CK132" s="12" t="s">
        <v>1806</v>
      </c>
      <c r="CL132" s="12" t="s">
        <v>2688</v>
      </c>
      <c r="CM132" s="12" t="s">
        <v>2689</v>
      </c>
      <c r="CN132" s="12" t="s">
        <v>2690</v>
      </c>
      <c r="CO132" s="12" t="s">
        <v>2691</v>
      </c>
      <c r="CP132" s="12" t="s">
        <v>2692</v>
      </c>
      <c r="CQ132" s="12" t="s">
        <v>2693</v>
      </c>
      <c r="CR132" s="12" t="s">
        <v>2694</v>
      </c>
      <c r="CS132" s="12" t="s">
        <v>2695</v>
      </c>
      <c r="CT132" s="12" t="s">
        <v>795</v>
      </c>
    </row>
    <row r="133" spans="1:98" hidden="1" x14ac:dyDescent="0.3">
      <c r="A133" s="12" t="s">
        <v>25</v>
      </c>
      <c r="B133" s="12" t="s">
        <v>2696</v>
      </c>
      <c r="C133" s="12" t="s">
        <v>2697</v>
      </c>
      <c r="D133" s="12" t="s">
        <v>2698</v>
      </c>
      <c r="E133" s="12" t="s">
        <v>578</v>
      </c>
      <c r="F133" s="12" t="s">
        <v>578</v>
      </c>
      <c r="G133" s="12" t="s">
        <v>578</v>
      </c>
      <c r="H133" s="12" t="s">
        <v>578</v>
      </c>
      <c r="I133" s="12" t="s">
        <v>578</v>
      </c>
      <c r="J133" s="12" t="s">
        <v>578</v>
      </c>
      <c r="K133" s="12" t="s">
        <v>578</v>
      </c>
      <c r="L133" s="12" t="s">
        <v>578</v>
      </c>
      <c r="M133" s="12" t="s">
        <v>578</v>
      </c>
      <c r="N133" s="12" t="s">
        <v>578</v>
      </c>
      <c r="O133" s="12" t="s">
        <v>578</v>
      </c>
      <c r="P133" s="12" t="s">
        <v>578</v>
      </c>
      <c r="Q133" s="12" t="s">
        <v>578</v>
      </c>
      <c r="R133" s="12" t="s">
        <v>578</v>
      </c>
      <c r="S133" s="12" t="s">
        <v>578</v>
      </c>
      <c r="T133" s="12" t="s">
        <v>578</v>
      </c>
      <c r="U133" s="12" t="s">
        <v>578</v>
      </c>
      <c r="V133" s="12" t="s">
        <v>578</v>
      </c>
      <c r="W133" s="12" t="s">
        <v>578</v>
      </c>
      <c r="X133" s="12" t="s">
        <v>578</v>
      </c>
      <c r="Y133" s="12" t="s">
        <v>578</v>
      </c>
      <c r="Z133" s="12" t="s">
        <v>578</v>
      </c>
      <c r="AA133" s="12" t="s">
        <v>578</v>
      </c>
      <c r="AB133" s="12" t="s">
        <v>578</v>
      </c>
      <c r="AC133" s="12" t="s">
        <v>578</v>
      </c>
      <c r="AD133" s="12" t="s">
        <v>578</v>
      </c>
      <c r="AE133" s="12" t="s">
        <v>578</v>
      </c>
      <c r="AF133" s="12" t="s">
        <v>578</v>
      </c>
      <c r="AG133" s="12" t="s">
        <v>578</v>
      </c>
      <c r="AH133" s="12" t="s">
        <v>578</v>
      </c>
      <c r="AI133" s="12" t="s">
        <v>578</v>
      </c>
      <c r="AJ133" s="12" t="s">
        <v>578</v>
      </c>
      <c r="AK133" s="12" t="s">
        <v>578</v>
      </c>
      <c r="AL133" s="12" t="s">
        <v>578</v>
      </c>
      <c r="AM133" s="12" t="s">
        <v>578</v>
      </c>
      <c r="AN133" s="12" t="s">
        <v>578</v>
      </c>
      <c r="AO133" s="12" t="s">
        <v>578</v>
      </c>
      <c r="AP133" s="12" t="s">
        <v>579</v>
      </c>
      <c r="AQ133" s="12" t="s">
        <v>579</v>
      </c>
      <c r="AR133" s="12" t="s">
        <v>672</v>
      </c>
      <c r="AS133" s="12" t="s">
        <v>851</v>
      </c>
      <c r="AT133" s="12" t="s">
        <v>583</v>
      </c>
      <c r="AU133" s="12" t="s">
        <v>676</v>
      </c>
      <c r="AV133" s="12" t="s">
        <v>767</v>
      </c>
      <c r="AW133" s="12" t="s">
        <v>1259</v>
      </c>
      <c r="AX133" s="12" t="s">
        <v>954</v>
      </c>
      <c r="AY133" s="12" t="s">
        <v>954</v>
      </c>
      <c r="AZ133" s="12" t="s">
        <v>1413</v>
      </c>
      <c r="BA133" s="12" t="s">
        <v>974</v>
      </c>
      <c r="BB133" s="12" t="s">
        <v>1124</v>
      </c>
      <c r="BC133" s="12" t="s">
        <v>862</v>
      </c>
      <c r="BD133" s="12" t="s">
        <v>873</v>
      </c>
      <c r="BE133" s="12" t="s">
        <v>1603</v>
      </c>
      <c r="BF133" s="12" t="s">
        <v>874</v>
      </c>
      <c r="BG133" s="12" t="s">
        <v>983</v>
      </c>
      <c r="BH133" s="12" t="s">
        <v>1605</v>
      </c>
      <c r="BI133" s="12" t="s">
        <v>1490</v>
      </c>
      <c r="BJ133" s="12" t="s">
        <v>1164</v>
      </c>
      <c r="BK133" s="12" t="s">
        <v>653</v>
      </c>
      <c r="BL133" s="12" t="s">
        <v>2699</v>
      </c>
      <c r="BM133" s="12" t="s">
        <v>2700</v>
      </c>
      <c r="BN133" s="12" t="s">
        <v>1534</v>
      </c>
      <c r="BO133" s="12" t="s">
        <v>2701</v>
      </c>
      <c r="BP133" s="12" t="s">
        <v>1525</v>
      </c>
      <c r="BQ133" s="12" t="s">
        <v>1893</v>
      </c>
      <c r="BR133" s="12" t="s">
        <v>1896</v>
      </c>
      <c r="BS133" s="12" t="s">
        <v>2193</v>
      </c>
      <c r="BT133" s="12" t="s">
        <v>2702</v>
      </c>
      <c r="BU133" s="12" t="s">
        <v>2703</v>
      </c>
      <c r="BV133" s="12" t="s">
        <v>1006</v>
      </c>
      <c r="BW133" s="12" t="s">
        <v>2704</v>
      </c>
      <c r="BX133" s="12" t="s">
        <v>1016</v>
      </c>
      <c r="BY133" s="12" t="s">
        <v>1777</v>
      </c>
      <c r="BZ133" s="12" t="s">
        <v>2705</v>
      </c>
      <c r="CA133" s="12" t="s">
        <v>1191</v>
      </c>
      <c r="CB133" s="12" t="s">
        <v>2706</v>
      </c>
      <c r="CC133" s="12" t="s">
        <v>2707</v>
      </c>
      <c r="CD133" s="12" t="s">
        <v>2708</v>
      </c>
      <c r="CE133" s="12" t="s">
        <v>2709</v>
      </c>
      <c r="CF133" s="12" t="s">
        <v>2710</v>
      </c>
      <c r="CG133" s="12" t="s">
        <v>2711</v>
      </c>
      <c r="CH133" s="12" t="s">
        <v>2712</v>
      </c>
      <c r="CI133" s="12" t="s">
        <v>2713</v>
      </c>
      <c r="CJ133" s="12" t="s">
        <v>2714</v>
      </c>
      <c r="CK133" s="12" t="s">
        <v>2715</v>
      </c>
      <c r="CL133" s="12" t="s">
        <v>2716</v>
      </c>
      <c r="CM133" s="12" t="s">
        <v>2717</v>
      </c>
      <c r="CN133" s="12" t="s">
        <v>2718</v>
      </c>
      <c r="CO133" s="12" t="s">
        <v>2719</v>
      </c>
      <c r="CP133" s="12" t="s">
        <v>1153</v>
      </c>
      <c r="CQ133" s="12" t="s">
        <v>2720</v>
      </c>
      <c r="CR133" s="12" t="s">
        <v>2721</v>
      </c>
      <c r="CS133" s="12" t="s">
        <v>2722</v>
      </c>
      <c r="CT133" s="12" t="s">
        <v>2722</v>
      </c>
    </row>
    <row r="134" spans="1:98" hidden="1" x14ac:dyDescent="0.3">
      <c r="A134" s="12" t="s">
        <v>25</v>
      </c>
      <c r="B134" s="12" t="s">
        <v>2723</v>
      </c>
      <c r="C134" s="12" t="s">
        <v>2724</v>
      </c>
      <c r="D134" s="12" t="s">
        <v>2725</v>
      </c>
      <c r="E134" s="12" t="s">
        <v>578</v>
      </c>
      <c r="F134" s="12" t="s">
        <v>578</v>
      </c>
      <c r="G134" s="12" t="s">
        <v>578</v>
      </c>
      <c r="H134" s="12" t="s">
        <v>578</v>
      </c>
      <c r="I134" s="12" t="s">
        <v>578</v>
      </c>
      <c r="J134" s="12" t="s">
        <v>578</v>
      </c>
      <c r="K134" s="12" t="s">
        <v>578</v>
      </c>
      <c r="L134" s="12" t="s">
        <v>578</v>
      </c>
      <c r="M134" s="12" t="s">
        <v>579</v>
      </c>
      <c r="N134" s="12" t="s">
        <v>579</v>
      </c>
      <c r="O134" s="12" t="s">
        <v>579</v>
      </c>
      <c r="P134" s="12" t="s">
        <v>623</v>
      </c>
      <c r="Q134" s="12" t="s">
        <v>672</v>
      </c>
      <c r="R134" s="12" t="s">
        <v>672</v>
      </c>
      <c r="S134" s="12" t="s">
        <v>672</v>
      </c>
      <c r="T134" s="12" t="s">
        <v>672</v>
      </c>
      <c r="U134" s="12" t="s">
        <v>672</v>
      </c>
      <c r="V134" s="12" t="s">
        <v>672</v>
      </c>
      <c r="W134" s="12" t="s">
        <v>672</v>
      </c>
      <c r="X134" s="12" t="s">
        <v>672</v>
      </c>
      <c r="Y134" s="12" t="s">
        <v>672</v>
      </c>
      <c r="Z134" s="12" t="s">
        <v>672</v>
      </c>
      <c r="AA134" s="12" t="s">
        <v>672</v>
      </c>
      <c r="AB134" s="12" t="s">
        <v>672</v>
      </c>
      <c r="AC134" s="12" t="s">
        <v>672</v>
      </c>
      <c r="AD134" s="12" t="s">
        <v>672</v>
      </c>
      <c r="AE134" s="12" t="s">
        <v>672</v>
      </c>
      <c r="AF134" s="12" t="s">
        <v>672</v>
      </c>
      <c r="AG134" s="12" t="s">
        <v>672</v>
      </c>
      <c r="AH134" s="12" t="s">
        <v>672</v>
      </c>
      <c r="AI134" s="12" t="s">
        <v>672</v>
      </c>
      <c r="AJ134" s="12" t="s">
        <v>672</v>
      </c>
      <c r="AK134" s="12" t="s">
        <v>672</v>
      </c>
      <c r="AL134" s="12" t="s">
        <v>672</v>
      </c>
      <c r="AM134" s="12" t="s">
        <v>672</v>
      </c>
      <c r="AN134" s="12" t="s">
        <v>672</v>
      </c>
      <c r="AO134" s="12" t="s">
        <v>672</v>
      </c>
      <c r="AP134" s="12" t="s">
        <v>672</v>
      </c>
      <c r="AQ134" s="12" t="s">
        <v>672</v>
      </c>
      <c r="AR134" s="12" t="s">
        <v>672</v>
      </c>
      <c r="AS134" s="12" t="s">
        <v>581</v>
      </c>
      <c r="AT134" s="12" t="s">
        <v>581</v>
      </c>
      <c r="AU134" s="12" t="s">
        <v>869</v>
      </c>
      <c r="AV134" s="12" t="s">
        <v>2018</v>
      </c>
      <c r="AW134" s="12" t="s">
        <v>766</v>
      </c>
      <c r="AX134" s="12" t="s">
        <v>767</v>
      </c>
      <c r="AY134" s="12" t="s">
        <v>718</v>
      </c>
      <c r="AZ134" s="12" t="s">
        <v>1259</v>
      </c>
      <c r="BA134" s="12" t="s">
        <v>769</v>
      </c>
      <c r="BB134" s="12" t="s">
        <v>853</v>
      </c>
      <c r="BC134" s="12" t="s">
        <v>1120</v>
      </c>
      <c r="BD134" s="12" t="s">
        <v>976</v>
      </c>
      <c r="BE134" s="12" t="s">
        <v>863</v>
      </c>
      <c r="BF134" s="12" t="s">
        <v>722</v>
      </c>
      <c r="BG134" s="12" t="s">
        <v>1418</v>
      </c>
      <c r="BH134" s="12" t="s">
        <v>2014</v>
      </c>
      <c r="BI134" s="12" t="s">
        <v>1603</v>
      </c>
      <c r="BJ134" s="12" t="s">
        <v>814</v>
      </c>
      <c r="BK134" s="12" t="s">
        <v>1509</v>
      </c>
      <c r="BL134" s="12" t="s">
        <v>1164</v>
      </c>
      <c r="BM134" s="12" t="s">
        <v>960</v>
      </c>
      <c r="BN134" s="12" t="s">
        <v>1133</v>
      </c>
      <c r="BO134" s="12" t="s">
        <v>2067</v>
      </c>
      <c r="BP134" s="12" t="s">
        <v>2190</v>
      </c>
      <c r="BQ134" s="12" t="s">
        <v>2726</v>
      </c>
      <c r="BR134" s="12" t="s">
        <v>1144</v>
      </c>
      <c r="BS134" s="12" t="s">
        <v>942</v>
      </c>
      <c r="BT134" s="12" t="s">
        <v>949</v>
      </c>
      <c r="BU134" s="12" t="s">
        <v>694</v>
      </c>
      <c r="BV134" s="12" t="s">
        <v>2727</v>
      </c>
      <c r="BW134" s="12" t="s">
        <v>2728</v>
      </c>
      <c r="BX134" s="12" t="s">
        <v>2729</v>
      </c>
      <c r="BY134" s="12" t="s">
        <v>2730</v>
      </c>
      <c r="BZ134" s="12" t="s">
        <v>2731</v>
      </c>
      <c r="CA134" s="12" t="s">
        <v>2732</v>
      </c>
      <c r="CB134" s="12" t="s">
        <v>2733</v>
      </c>
      <c r="CC134" s="12" t="s">
        <v>2734</v>
      </c>
      <c r="CD134" s="12" t="s">
        <v>2735</v>
      </c>
      <c r="CE134" s="12" t="s">
        <v>2736</v>
      </c>
      <c r="CF134" s="12" t="s">
        <v>2737</v>
      </c>
      <c r="CG134" s="12" t="s">
        <v>2738</v>
      </c>
      <c r="CH134" s="12" t="s">
        <v>2739</v>
      </c>
      <c r="CI134" s="12" t="s">
        <v>2740</v>
      </c>
      <c r="CJ134" s="12" t="s">
        <v>2741</v>
      </c>
      <c r="CK134" s="12" t="s">
        <v>2742</v>
      </c>
      <c r="CL134" s="12" t="s">
        <v>2743</v>
      </c>
      <c r="CM134" s="12" t="s">
        <v>2744</v>
      </c>
      <c r="CN134" s="12" t="s">
        <v>2745</v>
      </c>
      <c r="CO134" s="12" t="s">
        <v>2746</v>
      </c>
      <c r="CP134" s="12" t="s">
        <v>2747</v>
      </c>
      <c r="CQ134" s="12" t="s">
        <v>2748</v>
      </c>
      <c r="CR134" s="12" t="s">
        <v>2749</v>
      </c>
      <c r="CS134" s="12" t="s">
        <v>2750</v>
      </c>
      <c r="CT134" s="12" t="s">
        <v>2751</v>
      </c>
    </row>
    <row r="135" spans="1:98" hidden="1" x14ac:dyDescent="0.3">
      <c r="A135" s="12" t="s">
        <v>25</v>
      </c>
      <c r="B135" s="12" t="s">
        <v>2752</v>
      </c>
      <c r="C135" s="12" t="s">
        <v>2753</v>
      </c>
      <c r="D135" s="12" t="s">
        <v>2754</v>
      </c>
      <c r="E135" s="12" t="s">
        <v>578</v>
      </c>
      <c r="F135" s="12" t="s">
        <v>578</v>
      </c>
      <c r="G135" s="12" t="s">
        <v>578</v>
      </c>
      <c r="H135" s="12" t="s">
        <v>578</v>
      </c>
      <c r="I135" s="12" t="s">
        <v>578</v>
      </c>
      <c r="J135" s="12" t="s">
        <v>578</v>
      </c>
      <c r="K135" s="12" t="s">
        <v>578</v>
      </c>
      <c r="L135" s="12" t="s">
        <v>578</v>
      </c>
      <c r="M135" s="12" t="s">
        <v>578</v>
      </c>
      <c r="N135" s="12" t="s">
        <v>578</v>
      </c>
      <c r="O135" s="12" t="s">
        <v>578</v>
      </c>
      <c r="P135" s="12" t="s">
        <v>578</v>
      </c>
      <c r="Q135" s="12" t="s">
        <v>578</v>
      </c>
      <c r="R135" s="12" t="s">
        <v>578</v>
      </c>
      <c r="S135" s="12" t="s">
        <v>578</v>
      </c>
      <c r="T135" s="12" t="s">
        <v>578</v>
      </c>
      <c r="U135" s="12" t="s">
        <v>578</v>
      </c>
      <c r="V135" s="12" t="s">
        <v>578</v>
      </c>
      <c r="W135" s="12" t="s">
        <v>578</v>
      </c>
      <c r="X135" s="12" t="s">
        <v>578</v>
      </c>
      <c r="Y135" s="12" t="s">
        <v>578</v>
      </c>
      <c r="Z135" s="12" t="s">
        <v>578</v>
      </c>
      <c r="AA135" s="12" t="s">
        <v>578</v>
      </c>
      <c r="AB135" s="12" t="s">
        <v>578</v>
      </c>
      <c r="AC135" s="12" t="s">
        <v>578</v>
      </c>
      <c r="AD135" s="12" t="s">
        <v>578</v>
      </c>
      <c r="AE135" s="12" t="s">
        <v>578</v>
      </c>
      <c r="AF135" s="12" t="s">
        <v>578</v>
      </c>
      <c r="AG135" s="12" t="s">
        <v>578</v>
      </c>
      <c r="AH135" s="12" t="s">
        <v>578</v>
      </c>
      <c r="AI135" s="12" t="s">
        <v>578</v>
      </c>
      <c r="AJ135" s="12" t="s">
        <v>578</v>
      </c>
      <c r="AK135" s="12" t="s">
        <v>578</v>
      </c>
      <c r="AL135" s="12" t="s">
        <v>578</v>
      </c>
      <c r="AM135" s="12" t="s">
        <v>578</v>
      </c>
      <c r="AN135" s="12" t="s">
        <v>578</v>
      </c>
      <c r="AO135" s="12" t="s">
        <v>578</v>
      </c>
      <c r="AP135" s="12" t="s">
        <v>578</v>
      </c>
      <c r="AQ135" s="12" t="s">
        <v>578</v>
      </c>
      <c r="AR135" s="12" t="s">
        <v>578</v>
      </c>
      <c r="AS135" s="12" t="s">
        <v>623</v>
      </c>
      <c r="AT135" s="12" t="s">
        <v>623</v>
      </c>
      <c r="AU135" s="12" t="s">
        <v>623</v>
      </c>
      <c r="AV135" s="12" t="s">
        <v>623</v>
      </c>
      <c r="AW135" s="12" t="s">
        <v>580</v>
      </c>
      <c r="AX135" s="12" t="s">
        <v>580</v>
      </c>
      <c r="AY135" s="12" t="s">
        <v>851</v>
      </c>
      <c r="AZ135" s="12" t="s">
        <v>674</v>
      </c>
      <c r="BA135" s="12" t="s">
        <v>913</v>
      </c>
      <c r="BB135" s="12" t="s">
        <v>767</v>
      </c>
      <c r="BC135" s="12" t="s">
        <v>767</v>
      </c>
      <c r="BD135" s="12" t="s">
        <v>974</v>
      </c>
      <c r="BE135" s="12" t="s">
        <v>859</v>
      </c>
      <c r="BF135" s="12" t="s">
        <v>1417</v>
      </c>
      <c r="BG135" s="12" t="s">
        <v>873</v>
      </c>
      <c r="BH135" s="12" t="s">
        <v>1815</v>
      </c>
      <c r="BI135" s="12" t="s">
        <v>1839</v>
      </c>
      <c r="BJ135" s="12" t="s">
        <v>1029</v>
      </c>
      <c r="BK135" s="12" t="s">
        <v>2428</v>
      </c>
      <c r="BL135" s="12" t="s">
        <v>2453</v>
      </c>
      <c r="BM135" s="12" t="s">
        <v>1037</v>
      </c>
      <c r="BN135" s="12" t="s">
        <v>1285</v>
      </c>
      <c r="BO135" s="12" t="s">
        <v>2177</v>
      </c>
      <c r="BP135" s="12" t="s">
        <v>2191</v>
      </c>
      <c r="BQ135" s="12" t="s">
        <v>2755</v>
      </c>
      <c r="BR135" s="12" t="s">
        <v>2756</v>
      </c>
      <c r="BS135" s="12" t="s">
        <v>2113</v>
      </c>
      <c r="BT135" s="12" t="s">
        <v>1300</v>
      </c>
      <c r="BU135" s="12" t="s">
        <v>2757</v>
      </c>
      <c r="BV135" s="12" t="s">
        <v>1149</v>
      </c>
      <c r="BW135" s="12" t="s">
        <v>2758</v>
      </c>
      <c r="BX135" s="12" t="s">
        <v>2759</v>
      </c>
      <c r="BY135" s="12" t="s">
        <v>2760</v>
      </c>
      <c r="BZ135" s="12" t="s">
        <v>2761</v>
      </c>
      <c r="CA135" s="12" t="s">
        <v>2762</v>
      </c>
      <c r="CB135" s="12" t="s">
        <v>2763</v>
      </c>
      <c r="CC135" s="12" t="s">
        <v>1636</v>
      </c>
      <c r="CD135" s="12" t="s">
        <v>2764</v>
      </c>
      <c r="CE135" s="12" t="s">
        <v>2765</v>
      </c>
      <c r="CF135" s="12" t="s">
        <v>2766</v>
      </c>
      <c r="CG135" s="12" t="s">
        <v>2767</v>
      </c>
      <c r="CH135" s="12" t="s">
        <v>2768</v>
      </c>
      <c r="CI135" s="12" t="s">
        <v>2769</v>
      </c>
      <c r="CJ135" s="12" t="s">
        <v>2770</v>
      </c>
      <c r="CK135" s="12" t="s">
        <v>2771</v>
      </c>
      <c r="CL135" s="12" t="s">
        <v>2772</v>
      </c>
      <c r="CM135" s="12" t="s">
        <v>2773</v>
      </c>
      <c r="CN135" s="12" t="s">
        <v>2774</v>
      </c>
      <c r="CO135" s="12" t="s">
        <v>2775</v>
      </c>
      <c r="CP135" s="12" t="s">
        <v>2776</v>
      </c>
      <c r="CQ135" s="12" t="s">
        <v>2777</v>
      </c>
      <c r="CR135" s="12" t="s">
        <v>2778</v>
      </c>
      <c r="CS135" s="12" t="s">
        <v>2779</v>
      </c>
      <c r="CT135" s="12" t="s">
        <v>2780</v>
      </c>
    </row>
    <row r="136" spans="1:98" hidden="1" x14ac:dyDescent="0.3">
      <c r="A136" s="12" t="s">
        <v>25</v>
      </c>
      <c r="B136" s="12" t="s">
        <v>2781</v>
      </c>
      <c r="C136" s="12" t="s">
        <v>2782</v>
      </c>
      <c r="D136" s="12" t="s">
        <v>2783</v>
      </c>
      <c r="E136" s="12" t="s">
        <v>578</v>
      </c>
      <c r="F136" s="12" t="s">
        <v>578</v>
      </c>
      <c r="G136" s="12" t="s">
        <v>578</v>
      </c>
      <c r="H136" s="12" t="s">
        <v>578</v>
      </c>
      <c r="I136" s="12" t="s">
        <v>578</v>
      </c>
      <c r="J136" s="12" t="s">
        <v>578</v>
      </c>
      <c r="K136" s="12" t="s">
        <v>578</v>
      </c>
      <c r="L136" s="12" t="s">
        <v>578</v>
      </c>
      <c r="M136" s="12" t="s">
        <v>578</v>
      </c>
      <c r="N136" s="12" t="s">
        <v>578</v>
      </c>
      <c r="O136" s="12" t="s">
        <v>578</v>
      </c>
      <c r="P136" s="12" t="s">
        <v>578</v>
      </c>
      <c r="Q136" s="12" t="s">
        <v>578</v>
      </c>
      <c r="R136" s="12" t="s">
        <v>578</v>
      </c>
      <c r="S136" s="12" t="s">
        <v>578</v>
      </c>
      <c r="T136" s="12" t="s">
        <v>578</v>
      </c>
      <c r="U136" s="12" t="s">
        <v>578</v>
      </c>
      <c r="V136" s="12" t="s">
        <v>578</v>
      </c>
      <c r="W136" s="12" t="s">
        <v>578</v>
      </c>
      <c r="X136" s="12" t="s">
        <v>578</v>
      </c>
      <c r="Y136" s="12" t="s">
        <v>578</v>
      </c>
      <c r="Z136" s="12" t="s">
        <v>578</v>
      </c>
      <c r="AA136" s="12" t="s">
        <v>578</v>
      </c>
      <c r="AB136" s="12" t="s">
        <v>578</v>
      </c>
      <c r="AC136" s="12" t="s">
        <v>578</v>
      </c>
      <c r="AD136" s="12" t="s">
        <v>578</v>
      </c>
      <c r="AE136" s="12" t="s">
        <v>578</v>
      </c>
      <c r="AF136" s="12" t="s">
        <v>578</v>
      </c>
      <c r="AG136" s="12" t="s">
        <v>623</v>
      </c>
      <c r="AH136" s="12" t="s">
        <v>581</v>
      </c>
      <c r="AI136" s="12" t="s">
        <v>808</v>
      </c>
      <c r="AJ136" s="12" t="s">
        <v>869</v>
      </c>
      <c r="AK136" s="12" t="s">
        <v>1259</v>
      </c>
      <c r="AL136" s="12" t="s">
        <v>919</v>
      </c>
      <c r="AM136" s="12" t="s">
        <v>1125</v>
      </c>
      <c r="AN136" s="12" t="s">
        <v>683</v>
      </c>
      <c r="AO136" s="12" t="s">
        <v>1816</v>
      </c>
      <c r="AP136" s="12" t="s">
        <v>2502</v>
      </c>
      <c r="AQ136" s="12" t="s">
        <v>1375</v>
      </c>
      <c r="AR136" s="12" t="s">
        <v>2784</v>
      </c>
      <c r="AS136" s="12" t="s">
        <v>1790</v>
      </c>
      <c r="AT136" s="12" t="s">
        <v>2785</v>
      </c>
      <c r="AU136" s="12" t="s">
        <v>2786</v>
      </c>
      <c r="AV136" s="12" t="s">
        <v>2787</v>
      </c>
      <c r="AW136" s="12" t="s">
        <v>2788</v>
      </c>
      <c r="AX136" s="12" t="s">
        <v>2789</v>
      </c>
      <c r="AY136" s="12" t="s">
        <v>2790</v>
      </c>
      <c r="AZ136" s="12" t="s">
        <v>2377</v>
      </c>
      <c r="BA136" s="12" t="s">
        <v>2791</v>
      </c>
      <c r="BB136" s="12" t="s">
        <v>2792</v>
      </c>
      <c r="BC136" s="12" t="s">
        <v>2793</v>
      </c>
      <c r="BD136" s="12" t="s">
        <v>2794</v>
      </c>
      <c r="BE136" s="12" t="s">
        <v>2795</v>
      </c>
      <c r="BF136" s="12" t="s">
        <v>2796</v>
      </c>
      <c r="BG136" s="12" t="s">
        <v>2797</v>
      </c>
      <c r="BH136" s="12" t="s">
        <v>2798</v>
      </c>
      <c r="BI136" s="12" t="s">
        <v>2799</v>
      </c>
      <c r="BJ136" s="12" t="s">
        <v>2800</v>
      </c>
      <c r="BK136" s="12" t="s">
        <v>2801</v>
      </c>
      <c r="BL136" s="12" t="s">
        <v>2802</v>
      </c>
      <c r="BM136" s="12" t="s">
        <v>2803</v>
      </c>
      <c r="BN136" s="12" t="s">
        <v>2804</v>
      </c>
      <c r="BO136" s="12" t="s">
        <v>2805</v>
      </c>
      <c r="BP136" s="12" t="s">
        <v>2806</v>
      </c>
      <c r="BQ136" s="12" t="s">
        <v>2807</v>
      </c>
      <c r="BR136" s="12" t="s">
        <v>2808</v>
      </c>
      <c r="BS136" s="12" t="s">
        <v>2809</v>
      </c>
      <c r="BT136" s="12" t="s">
        <v>2810</v>
      </c>
      <c r="BU136" s="12" t="s">
        <v>2811</v>
      </c>
      <c r="BV136" s="12" t="s">
        <v>2812</v>
      </c>
      <c r="BW136" s="12" t="s">
        <v>2813</v>
      </c>
      <c r="BX136" s="12" t="s">
        <v>2814</v>
      </c>
      <c r="BY136" s="12" t="s">
        <v>2815</v>
      </c>
      <c r="BZ136" s="12" t="s">
        <v>2816</v>
      </c>
      <c r="CA136" s="12" t="s">
        <v>2817</v>
      </c>
      <c r="CB136" s="12" t="s">
        <v>2818</v>
      </c>
      <c r="CC136" s="12" t="s">
        <v>2819</v>
      </c>
      <c r="CD136" s="12" t="s">
        <v>2820</v>
      </c>
      <c r="CE136" s="12" t="s">
        <v>2821</v>
      </c>
      <c r="CF136" s="12" t="s">
        <v>2822</v>
      </c>
      <c r="CG136" s="12" t="s">
        <v>2823</v>
      </c>
      <c r="CH136" s="12" t="s">
        <v>2824</v>
      </c>
      <c r="CI136" s="12" t="s">
        <v>2825</v>
      </c>
      <c r="CJ136" s="12" t="s">
        <v>2826</v>
      </c>
      <c r="CK136" s="12" t="s">
        <v>2827</v>
      </c>
      <c r="CL136" s="12" t="s">
        <v>2828</v>
      </c>
      <c r="CM136" s="12" t="s">
        <v>2829</v>
      </c>
      <c r="CN136" s="12" t="s">
        <v>2830</v>
      </c>
      <c r="CO136" s="12" t="s">
        <v>2831</v>
      </c>
      <c r="CP136" s="12" t="s">
        <v>2832</v>
      </c>
      <c r="CQ136" s="12" t="s">
        <v>2833</v>
      </c>
      <c r="CR136" s="12" t="s">
        <v>2834</v>
      </c>
      <c r="CS136" s="12" t="s">
        <v>2835</v>
      </c>
      <c r="CT136" s="12" t="s">
        <v>2836</v>
      </c>
    </row>
    <row r="137" spans="1:98" hidden="1" x14ac:dyDescent="0.3">
      <c r="A137" s="12" t="s">
        <v>25</v>
      </c>
      <c r="B137" s="12" t="s">
        <v>2837</v>
      </c>
      <c r="C137" s="12" t="s">
        <v>576</v>
      </c>
      <c r="D137" s="12" t="s">
        <v>2838</v>
      </c>
      <c r="E137" s="12" t="s">
        <v>578</v>
      </c>
      <c r="F137" s="12" t="s">
        <v>578</v>
      </c>
      <c r="G137" s="12" t="s">
        <v>578</v>
      </c>
      <c r="H137" s="12" t="s">
        <v>578</v>
      </c>
      <c r="I137" s="12" t="s">
        <v>578</v>
      </c>
      <c r="J137" s="12" t="s">
        <v>578</v>
      </c>
      <c r="K137" s="12" t="s">
        <v>578</v>
      </c>
      <c r="L137" s="12" t="s">
        <v>578</v>
      </c>
      <c r="M137" s="12" t="s">
        <v>578</v>
      </c>
      <c r="N137" s="12" t="s">
        <v>578</v>
      </c>
      <c r="O137" s="12" t="s">
        <v>578</v>
      </c>
      <c r="P137" s="12" t="s">
        <v>578</v>
      </c>
      <c r="Q137" s="12" t="s">
        <v>578</v>
      </c>
      <c r="R137" s="12" t="s">
        <v>578</v>
      </c>
      <c r="S137" s="12" t="s">
        <v>578</v>
      </c>
      <c r="T137" s="12" t="s">
        <v>578</v>
      </c>
      <c r="U137" s="12" t="s">
        <v>578</v>
      </c>
      <c r="V137" s="12" t="s">
        <v>578</v>
      </c>
      <c r="W137" s="12" t="s">
        <v>578</v>
      </c>
      <c r="X137" s="12" t="s">
        <v>578</v>
      </c>
      <c r="Y137" s="12" t="s">
        <v>578</v>
      </c>
      <c r="Z137" s="12" t="s">
        <v>578</v>
      </c>
      <c r="AA137" s="12" t="s">
        <v>578</v>
      </c>
      <c r="AB137" s="12" t="s">
        <v>578</v>
      </c>
      <c r="AC137" s="12" t="s">
        <v>578</v>
      </c>
      <c r="AD137" s="12" t="s">
        <v>578</v>
      </c>
      <c r="AE137" s="12" t="s">
        <v>578</v>
      </c>
      <c r="AF137" s="12" t="s">
        <v>578</v>
      </c>
      <c r="AG137" s="12" t="s">
        <v>578</v>
      </c>
      <c r="AH137" s="12" t="s">
        <v>578</v>
      </c>
      <c r="AI137" s="12" t="s">
        <v>578</v>
      </c>
      <c r="AJ137" s="12" t="s">
        <v>578</v>
      </c>
      <c r="AK137" s="12" t="s">
        <v>578</v>
      </c>
      <c r="AL137" s="12" t="s">
        <v>579</v>
      </c>
      <c r="AM137" s="12" t="s">
        <v>579</v>
      </c>
      <c r="AN137" s="12" t="s">
        <v>581</v>
      </c>
      <c r="AO137" s="12" t="s">
        <v>582</v>
      </c>
      <c r="AP137" s="12" t="s">
        <v>582</v>
      </c>
      <c r="AQ137" s="12" t="s">
        <v>868</v>
      </c>
      <c r="AR137" s="12" t="s">
        <v>674</v>
      </c>
      <c r="AS137" s="12" t="s">
        <v>676</v>
      </c>
      <c r="AT137" s="12" t="s">
        <v>852</v>
      </c>
      <c r="AU137" s="12" t="s">
        <v>917</v>
      </c>
      <c r="AV137" s="12" t="s">
        <v>917</v>
      </c>
      <c r="AW137" s="12" t="s">
        <v>588</v>
      </c>
      <c r="AX137" s="12" t="s">
        <v>679</v>
      </c>
      <c r="AY137" s="12" t="s">
        <v>680</v>
      </c>
      <c r="AZ137" s="12" t="s">
        <v>680</v>
      </c>
      <c r="BA137" s="12" t="s">
        <v>854</v>
      </c>
      <c r="BB137" s="12" t="s">
        <v>854</v>
      </c>
      <c r="BC137" s="12" t="s">
        <v>854</v>
      </c>
      <c r="BD137" s="12" t="s">
        <v>1732</v>
      </c>
      <c r="BE137" s="12" t="s">
        <v>592</v>
      </c>
      <c r="BF137" s="12" t="s">
        <v>1500</v>
      </c>
      <c r="BG137" s="12" t="s">
        <v>1750</v>
      </c>
      <c r="BH137" s="12" t="s">
        <v>2101</v>
      </c>
      <c r="BI137" s="12" t="s">
        <v>724</v>
      </c>
      <c r="BJ137" s="12" t="s">
        <v>2839</v>
      </c>
      <c r="BK137" s="12" t="s">
        <v>1887</v>
      </c>
      <c r="BL137" s="12" t="s">
        <v>1126</v>
      </c>
      <c r="BM137" s="12" t="s">
        <v>1423</v>
      </c>
      <c r="BN137" s="12" t="s">
        <v>775</v>
      </c>
      <c r="BO137" s="12" t="s">
        <v>1610</v>
      </c>
      <c r="BP137" s="12" t="s">
        <v>1366</v>
      </c>
      <c r="BQ137" s="12" t="s">
        <v>2189</v>
      </c>
      <c r="BR137" s="12" t="s">
        <v>1131</v>
      </c>
      <c r="BS137" s="12" t="s">
        <v>1036</v>
      </c>
      <c r="BT137" s="12" t="s">
        <v>2083</v>
      </c>
      <c r="BU137" s="12" t="s">
        <v>2840</v>
      </c>
      <c r="BV137" s="12" t="s">
        <v>2241</v>
      </c>
      <c r="BW137" s="12" t="s">
        <v>2841</v>
      </c>
      <c r="BX137" s="12" t="s">
        <v>1526</v>
      </c>
      <c r="BY137" s="12" t="s">
        <v>782</v>
      </c>
      <c r="BZ137" s="12" t="s">
        <v>1383</v>
      </c>
      <c r="CA137" s="12" t="s">
        <v>2430</v>
      </c>
      <c r="CB137" s="12" t="s">
        <v>2842</v>
      </c>
      <c r="CC137" s="12" t="s">
        <v>2843</v>
      </c>
      <c r="CD137" s="12" t="s">
        <v>2844</v>
      </c>
      <c r="CE137" s="12" t="s">
        <v>2122</v>
      </c>
      <c r="CF137" s="12" t="s">
        <v>618</v>
      </c>
      <c r="CG137" s="12" t="s">
        <v>2845</v>
      </c>
      <c r="CH137" s="12" t="s">
        <v>1773</v>
      </c>
      <c r="CI137" s="12" t="s">
        <v>1778</v>
      </c>
      <c r="CJ137" s="12" t="s">
        <v>1780</v>
      </c>
      <c r="CK137" s="12" t="s">
        <v>1781</v>
      </c>
      <c r="CL137" s="12" t="s">
        <v>2436</v>
      </c>
      <c r="CM137" s="12" t="s">
        <v>2846</v>
      </c>
      <c r="CN137" s="12" t="s">
        <v>2847</v>
      </c>
      <c r="CO137" s="12" t="s">
        <v>1798</v>
      </c>
      <c r="CP137" s="12" t="s">
        <v>2848</v>
      </c>
      <c r="CQ137" s="12" t="s">
        <v>2849</v>
      </c>
      <c r="CR137" s="12" t="s">
        <v>2850</v>
      </c>
      <c r="CS137" s="12" t="s">
        <v>2758</v>
      </c>
      <c r="CT137" s="12" t="s">
        <v>2851</v>
      </c>
    </row>
    <row r="138" spans="1:98" hidden="1" x14ac:dyDescent="0.3">
      <c r="A138" s="12" t="s">
        <v>25</v>
      </c>
      <c r="B138" s="12" t="s">
        <v>2852</v>
      </c>
      <c r="C138" s="12" t="s">
        <v>2853</v>
      </c>
      <c r="D138" s="12" t="s">
        <v>2854</v>
      </c>
      <c r="E138" s="12" t="s">
        <v>578</v>
      </c>
      <c r="F138" s="12" t="s">
        <v>578</v>
      </c>
      <c r="G138" s="12" t="s">
        <v>578</v>
      </c>
      <c r="H138" s="12" t="s">
        <v>578</v>
      </c>
      <c r="I138" s="12" t="s">
        <v>578</v>
      </c>
      <c r="J138" s="12" t="s">
        <v>578</v>
      </c>
      <c r="K138" s="12" t="s">
        <v>578</v>
      </c>
      <c r="L138" s="12" t="s">
        <v>578</v>
      </c>
      <c r="M138" s="12" t="s">
        <v>578</v>
      </c>
      <c r="N138" s="12" t="s">
        <v>578</v>
      </c>
      <c r="O138" s="12" t="s">
        <v>578</v>
      </c>
      <c r="P138" s="12" t="s">
        <v>578</v>
      </c>
      <c r="Q138" s="12" t="s">
        <v>578</v>
      </c>
      <c r="R138" s="12" t="s">
        <v>578</v>
      </c>
      <c r="S138" s="12" t="s">
        <v>578</v>
      </c>
      <c r="T138" s="12" t="s">
        <v>578</v>
      </c>
      <c r="U138" s="12" t="s">
        <v>578</v>
      </c>
      <c r="V138" s="12" t="s">
        <v>578</v>
      </c>
      <c r="W138" s="12" t="s">
        <v>578</v>
      </c>
      <c r="X138" s="12" t="s">
        <v>578</v>
      </c>
      <c r="Y138" s="12" t="s">
        <v>578</v>
      </c>
      <c r="Z138" s="12" t="s">
        <v>578</v>
      </c>
      <c r="AA138" s="12" t="s">
        <v>578</v>
      </c>
      <c r="AB138" s="12" t="s">
        <v>578</v>
      </c>
      <c r="AC138" s="12" t="s">
        <v>578</v>
      </c>
      <c r="AD138" s="12" t="s">
        <v>578</v>
      </c>
      <c r="AE138" s="12" t="s">
        <v>578</v>
      </c>
      <c r="AF138" s="12" t="s">
        <v>578</v>
      </c>
      <c r="AG138" s="12" t="s">
        <v>578</v>
      </c>
      <c r="AH138" s="12" t="s">
        <v>578</v>
      </c>
      <c r="AI138" s="12" t="s">
        <v>578</v>
      </c>
      <c r="AJ138" s="12" t="s">
        <v>578</v>
      </c>
      <c r="AK138" s="12" t="s">
        <v>578</v>
      </c>
      <c r="AL138" s="12" t="s">
        <v>578</v>
      </c>
      <c r="AM138" s="12" t="s">
        <v>578</v>
      </c>
      <c r="AN138" s="12" t="s">
        <v>578</v>
      </c>
      <c r="AO138" s="12" t="s">
        <v>578</v>
      </c>
      <c r="AP138" s="12" t="s">
        <v>578</v>
      </c>
      <c r="AQ138" s="12" t="s">
        <v>579</v>
      </c>
      <c r="AR138" s="12" t="s">
        <v>579</v>
      </c>
      <c r="AS138" s="12" t="s">
        <v>579</v>
      </c>
      <c r="AT138" s="12" t="s">
        <v>623</v>
      </c>
      <c r="AU138" s="12" t="s">
        <v>851</v>
      </c>
      <c r="AV138" s="12" t="s">
        <v>851</v>
      </c>
      <c r="AW138" s="12" t="s">
        <v>808</v>
      </c>
      <c r="AX138" s="12" t="s">
        <v>808</v>
      </c>
      <c r="AY138" s="12" t="s">
        <v>674</v>
      </c>
      <c r="AZ138" s="12" t="s">
        <v>585</v>
      </c>
      <c r="BA138" s="12" t="s">
        <v>767</v>
      </c>
      <c r="BB138" s="12" t="s">
        <v>1259</v>
      </c>
      <c r="BC138" s="12" t="s">
        <v>1259</v>
      </c>
      <c r="BD138" s="12" t="s">
        <v>682</v>
      </c>
      <c r="BE138" s="12" t="s">
        <v>1355</v>
      </c>
      <c r="BF138" s="12" t="s">
        <v>1355</v>
      </c>
      <c r="BG138" s="12" t="s">
        <v>982</v>
      </c>
      <c r="BH138" s="12" t="s">
        <v>643</v>
      </c>
      <c r="BI138" s="12" t="s">
        <v>1738</v>
      </c>
      <c r="BJ138" s="12" t="s">
        <v>1403</v>
      </c>
      <c r="BK138" s="12" t="s">
        <v>2855</v>
      </c>
      <c r="BL138" s="12" t="s">
        <v>2856</v>
      </c>
      <c r="BM138" s="12" t="s">
        <v>612</v>
      </c>
      <c r="BN138" s="12" t="s">
        <v>2857</v>
      </c>
      <c r="BO138" s="12" t="s">
        <v>1018</v>
      </c>
      <c r="BP138" s="12" t="s">
        <v>1802</v>
      </c>
      <c r="BQ138" s="12" t="s">
        <v>2858</v>
      </c>
      <c r="BR138" s="12" t="s">
        <v>2859</v>
      </c>
      <c r="BS138" s="12" t="s">
        <v>2860</v>
      </c>
      <c r="BT138" s="12" t="s">
        <v>2861</v>
      </c>
      <c r="BU138" s="12" t="s">
        <v>712</v>
      </c>
      <c r="BV138" s="12" t="s">
        <v>2862</v>
      </c>
      <c r="BW138" s="12" t="s">
        <v>2863</v>
      </c>
      <c r="BX138" s="12" t="s">
        <v>2864</v>
      </c>
      <c r="BY138" s="12" t="s">
        <v>2865</v>
      </c>
      <c r="BZ138" s="12" t="s">
        <v>2866</v>
      </c>
      <c r="CA138" s="12" t="s">
        <v>2867</v>
      </c>
      <c r="CB138" s="12" t="s">
        <v>2868</v>
      </c>
      <c r="CC138" s="12" t="s">
        <v>2869</v>
      </c>
      <c r="CD138" s="12" t="s">
        <v>2870</v>
      </c>
      <c r="CE138" s="12" t="s">
        <v>2871</v>
      </c>
      <c r="CF138" s="12" t="s">
        <v>2872</v>
      </c>
      <c r="CG138" s="12" t="s">
        <v>2873</v>
      </c>
      <c r="CH138" s="12" t="s">
        <v>2874</v>
      </c>
      <c r="CI138" s="12" t="s">
        <v>2875</v>
      </c>
      <c r="CJ138" s="12" t="s">
        <v>2876</v>
      </c>
      <c r="CK138" s="12" t="s">
        <v>2877</v>
      </c>
      <c r="CL138" s="12" t="s">
        <v>2878</v>
      </c>
      <c r="CM138" s="12" t="s">
        <v>2879</v>
      </c>
      <c r="CN138" s="12" t="s">
        <v>2880</v>
      </c>
      <c r="CO138" s="12" t="s">
        <v>2881</v>
      </c>
      <c r="CP138" s="12" t="s">
        <v>2882</v>
      </c>
      <c r="CQ138" s="12" t="s">
        <v>2883</v>
      </c>
      <c r="CR138" s="12" t="s">
        <v>2884</v>
      </c>
      <c r="CS138" s="12" t="s">
        <v>2885</v>
      </c>
      <c r="CT138" s="12" t="s">
        <v>2886</v>
      </c>
    </row>
    <row r="139" spans="1:98" hidden="1" x14ac:dyDescent="0.3">
      <c r="A139" s="12" t="s">
        <v>25</v>
      </c>
      <c r="B139" s="12" t="s">
        <v>2887</v>
      </c>
      <c r="C139" s="12" t="s">
        <v>2888</v>
      </c>
      <c r="D139" s="12" t="s">
        <v>2889</v>
      </c>
      <c r="E139" s="12" t="s">
        <v>578</v>
      </c>
      <c r="F139" s="12" t="s">
        <v>578</v>
      </c>
      <c r="G139" s="12" t="s">
        <v>578</v>
      </c>
      <c r="H139" s="12" t="s">
        <v>578</v>
      </c>
      <c r="I139" s="12" t="s">
        <v>578</v>
      </c>
      <c r="J139" s="12" t="s">
        <v>578</v>
      </c>
      <c r="K139" s="12" t="s">
        <v>578</v>
      </c>
      <c r="L139" s="12" t="s">
        <v>578</v>
      </c>
      <c r="M139" s="12" t="s">
        <v>578</v>
      </c>
      <c r="N139" s="12" t="s">
        <v>578</v>
      </c>
      <c r="O139" s="12" t="s">
        <v>578</v>
      </c>
      <c r="P139" s="12" t="s">
        <v>578</v>
      </c>
      <c r="Q139" s="12" t="s">
        <v>578</v>
      </c>
      <c r="R139" s="12" t="s">
        <v>578</v>
      </c>
      <c r="S139" s="12" t="s">
        <v>578</v>
      </c>
      <c r="T139" s="12" t="s">
        <v>578</v>
      </c>
      <c r="U139" s="12" t="s">
        <v>578</v>
      </c>
      <c r="V139" s="12" t="s">
        <v>578</v>
      </c>
      <c r="W139" s="12" t="s">
        <v>578</v>
      </c>
      <c r="X139" s="12" t="s">
        <v>578</v>
      </c>
      <c r="Y139" s="12" t="s">
        <v>578</v>
      </c>
      <c r="Z139" s="12" t="s">
        <v>578</v>
      </c>
      <c r="AA139" s="12" t="s">
        <v>578</v>
      </c>
      <c r="AB139" s="12" t="s">
        <v>578</v>
      </c>
      <c r="AC139" s="12" t="s">
        <v>578</v>
      </c>
      <c r="AD139" s="12" t="s">
        <v>578</v>
      </c>
      <c r="AE139" s="12" t="s">
        <v>578</v>
      </c>
      <c r="AF139" s="12" t="s">
        <v>578</v>
      </c>
      <c r="AG139" s="12" t="s">
        <v>578</v>
      </c>
      <c r="AH139" s="12" t="s">
        <v>578</v>
      </c>
      <c r="AI139" s="12" t="s">
        <v>579</v>
      </c>
      <c r="AJ139" s="12" t="s">
        <v>579</v>
      </c>
      <c r="AK139" s="12" t="s">
        <v>579</v>
      </c>
      <c r="AL139" s="12" t="s">
        <v>579</v>
      </c>
      <c r="AM139" s="12" t="s">
        <v>579</v>
      </c>
      <c r="AN139" s="12" t="s">
        <v>623</v>
      </c>
      <c r="AO139" s="12" t="s">
        <v>672</v>
      </c>
      <c r="AP139" s="12" t="s">
        <v>580</v>
      </c>
      <c r="AQ139" s="12" t="s">
        <v>582</v>
      </c>
      <c r="AR139" s="12" t="s">
        <v>624</v>
      </c>
      <c r="AS139" s="12" t="s">
        <v>624</v>
      </c>
      <c r="AT139" s="12" t="s">
        <v>625</v>
      </c>
      <c r="AU139" s="12" t="s">
        <v>762</v>
      </c>
      <c r="AV139" s="12" t="s">
        <v>675</v>
      </c>
      <c r="AW139" s="12" t="s">
        <v>677</v>
      </c>
      <c r="AX139" s="12" t="s">
        <v>1259</v>
      </c>
      <c r="AY139" s="12" t="s">
        <v>919</v>
      </c>
      <c r="AZ139" s="12" t="s">
        <v>919</v>
      </c>
      <c r="BA139" s="12" t="s">
        <v>720</v>
      </c>
      <c r="BB139" s="12" t="s">
        <v>771</v>
      </c>
      <c r="BC139" s="12" t="s">
        <v>861</v>
      </c>
      <c r="BD139" s="12" t="s">
        <v>1276</v>
      </c>
      <c r="BE139" s="12" t="s">
        <v>1623</v>
      </c>
      <c r="BF139" s="12" t="s">
        <v>2028</v>
      </c>
      <c r="BG139" s="12" t="s">
        <v>1163</v>
      </c>
      <c r="BH139" s="12" t="s">
        <v>1490</v>
      </c>
      <c r="BI139" s="12" t="s">
        <v>647</v>
      </c>
      <c r="BJ139" s="12" t="s">
        <v>2890</v>
      </c>
      <c r="BK139" s="12" t="s">
        <v>1722</v>
      </c>
      <c r="BL139" s="12" t="s">
        <v>2217</v>
      </c>
      <c r="BM139" s="12" t="s">
        <v>2891</v>
      </c>
      <c r="BN139" s="12" t="s">
        <v>2892</v>
      </c>
      <c r="BO139" s="12" t="s">
        <v>2125</v>
      </c>
      <c r="BP139" s="12" t="s">
        <v>2893</v>
      </c>
      <c r="BQ139" s="12" t="s">
        <v>2894</v>
      </c>
      <c r="BR139" s="12" t="s">
        <v>2895</v>
      </c>
      <c r="BS139" s="12" t="s">
        <v>2896</v>
      </c>
      <c r="BT139" s="12" t="s">
        <v>2897</v>
      </c>
      <c r="BU139" s="12" t="s">
        <v>2898</v>
      </c>
      <c r="BV139" s="12" t="s">
        <v>2899</v>
      </c>
      <c r="BW139" s="12" t="s">
        <v>2900</v>
      </c>
      <c r="BX139" s="12" t="s">
        <v>2901</v>
      </c>
      <c r="BY139" s="12" t="s">
        <v>2902</v>
      </c>
      <c r="BZ139" s="12" t="s">
        <v>2903</v>
      </c>
      <c r="CA139" s="12" t="s">
        <v>2904</v>
      </c>
      <c r="CB139" s="12" t="s">
        <v>2905</v>
      </c>
      <c r="CC139" s="12" t="s">
        <v>2906</v>
      </c>
      <c r="CD139" s="12" t="s">
        <v>2907</v>
      </c>
      <c r="CE139" s="12" t="s">
        <v>2908</v>
      </c>
      <c r="CF139" s="12" t="s">
        <v>2909</v>
      </c>
      <c r="CG139" s="12" t="s">
        <v>2910</v>
      </c>
      <c r="CH139" s="12" t="s">
        <v>2911</v>
      </c>
      <c r="CI139" s="12" t="s">
        <v>2912</v>
      </c>
      <c r="CJ139" s="12" t="s">
        <v>2913</v>
      </c>
      <c r="CK139" s="12" t="s">
        <v>2914</v>
      </c>
      <c r="CL139" s="12" t="s">
        <v>2915</v>
      </c>
      <c r="CM139" s="12" t="s">
        <v>2916</v>
      </c>
      <c r="CN139" s="12" t="s">
        <v>2917</v>
      </c>
      <c r="CO139" s="12" t="s">
        <v>2918</v>
      </c>
      <c r="CP139" s="12" t="s">
        <v>2919</v>
      </c>
      <c r="CQ139" s="12" t="s">
        <v>2920</v>
      </c>
      <c r="CR139" s="12" t="s">
        <v>2921</v>
      </c>
      <c r="CS139" s="12" t="s">
        <v>2922</v>
      </c>
      <c r="CT139" s="12" t="s">
        <v>2923</v>
      </c>
    </row>
    <row r="140" spans="1:98" x14ac:dyDescent="0.3">
      <c r="A140" s="12" t="s">
        <v>25</v>
      </c>
      <c r="B140" s="12" t="s">
        <v>357</v>
      </c>
      <c r="C140" s="12" t="s">
        <v>2924</v>
      </c>
      <c r="D140" s="12" t="s">
        <v>2925</v>
      </c>
      <c r="E140" s="12" t="s">
        <v>578</v>
      </c>
      <c r="F140" s="12" t="s">
        <v>578</v>
      </c>
      <c r="G140" s="12" t="s">
        <v>578</v>
      </c>
      <c r="H140" s="12" t="s">
        <v>578</v>
      </c>
      <c r="I140" s="12" t="s">
        <v>578</v>
      </c>
      <c r="J140" s="12" t="s">
        <v>578</v>
      </c>
      <c r="K140" s="12" t="s">
        <v>578</v>
      </c>
      <c r="L140" s="12" t="s">
        <v>578</v>
      </c>
      <c r="M140" s="12" t="s">
        <v>578</v>
      </c>
      <c r="N140" s="12" t="s">
        <v>623</v>
      </c>
      <c r="O140" s="12" t="s">
        <v>623</v>
      </c>
      <c r="P140" s="12" t="s">
        <v>623</v>
      </c>
      <c r="Q140" s="12" t="s">
        <v>623</v>
      </c>
      <c r="R140" s="12" t="s">
        <v>623</v>
      </c>
      <c r="S140" s="12" t="s">
        <v>623</v>
      </c>
      <c r="T140" s="12" t="s">
        <v>623</v>
      </c>
      <c r="U140" s="12" t="s">
        <v>672</v>
      </c>
      <c r="V140" s="12" t="s">
        <v>672</v>
      </c>
      <c r="W140" s="12" t="s">
        <v>672</v>
      </c>
      <c r="X140" s="12" t="s">
        <v>672</v>
      </c>
      <c r="Y140" s="12" t="s">
        <v>672</v>
      </c>
      <c r="Z140" s="12" t="s">
        <v>672</v>
      </c>
      <c r="AA140" s="12" t="s">
        <v>672</v>
      </c>
      <c r="AB140" s="12" t="s">
        <v>672</v>
      </c>
      <c r="AC140" s="12" t="s">
        <v>672</v>
      </c>
      <c r="AD140" s="12" t="s">
        <v>672</v>
      </c>
      <c r="AE140" s="12" t="s">
        <v>672</v>
      </c>
      <c r="AF140" s="12" t="s">
        <v>672</v>
      </c>
      <c r="AG140" s="12" t="s">
        <v>672</v>
      </c>
      <c r="AH140" s="12" t="s">
        <v>672</v>
      </c>
      <c r="AI140" s="12" t="s">
        <v>675</v>
      </c>
      <c r="AJ140" s="12" t="s">
        <v>853</v>
      </c>
      <c r="AK140" s="12" t="s">
        <v>1623</v>
      </c>
      <c r="AL140" s="12" t="s">
        <v>994</v>
      </c>
      <c r="AM140" s="12" t="s">
        <v>1742</v>
      </c>
      <c r="AN140" s="12" t="s">
        <v>1032</v>
      </c>
      <c r="AO140" s="12" t="s">
        <v>1051</v>
      </c>
      <c r="AP140" s="12" t="s">
        <v>2926</v>
      </c>
      <c r="AQ140" s="12" t="s">
        <v>2927</v>
      </c>
      <c r="AR140" s="12" t="s">
        <v>2928</v>
      </c>
      <c r="AS140" s="12" t="s">
        <v>2929</v>
      </c>
      <c r="AT140" s="12" t="s">
        <v>2930</v>
      </c>
      <c r="AU140" s="12" t="s">
        <v>2931</v>
      </c>
      <c r="AV140" s="12" t="s">
        <v>2253</v>
      </c>
      <c r="AW140" s="12" t="s">
        <v>2932</v>
      </c>
      <c r="AX140" s="12" t="s">
        <v>2933</v>
      </c>
      <c r="AY140" s="12" t="s">
        <v>2934</v>
      </c>
      <c r="AZ140" s="12" t="s">
        <v>2935</v>
      </c>
      <c r="BA140" s="12" t="s">
        <v>2936</v>
      </c>
      <c r="BB140" s="12" t="s">
        <v>2937</v>
      </c>
      <c r="BC140" s="12" t="s">
        <v>2937</v>
      </c>
      <c r="BD140" s="12" t="s">
        <v>2938</v>
      </c>
      <c r="BE140" s="12" t="s">
        <v>2939</v>
      </c>
      <c r="BF140" s="12" t="s">
        <v>2940</v>
      </c>
      <c r="BG140" s="12" t="s">
        <v>2941</v>
      </c>
      <c r="BH140" s="12" t="s">
        <v>2942</v>
      </c>
      <c r="BI140" s="12" t="s">
        <v>2943</v>
      </c>
      <c r="BJ140" s="12" t="s">
        <v>2944</v>
      </c>
      <c r="BK140" s="12" t="s">
        <v>2945</v>
      </c>
      <c r="BL140" s="12" t="s">
        <v>2946</v>
      </c>
      <c r="BM140" s="12" t="s">
        <v>2947</v>
      </c>
      <c r="BN140" s="12" t="s">
        <v>2948</v>
      </c>
      <c r="BO140" s="12" t="s">
        <v>2949</v>
      </c>
      <c r="BP140" s="12" t="s">
        <v>2950</v>
      </c>
      <c r="BQ140" s="12" t="s">
        <v>2951</v>
      </c>
      <c r="BR140" s="12" t="s">
        <v>2952</v>
      </c>
      <c r="BS140" s="12" t="s">
        <v>2953</v>
      </c>
      <c r="BT140" s="12" t="s">
        <v>2954</v>
      </c>
      <c r="BU140" s="12" t="s">
        <v>2955</v>
      </c>
      <c r="BV140" s="12" t="s">
        <v>2956</v>
      </c>
      <c r="BW140" s="12" t="s">
        <v>2957</v>
      </c>
      <c r="BX140" s="12" t="s">
        <v>2958</v>
      </c>
      <c r="BY140" s="12" t="s">
        <v>2959</v>
      </c>
      <c r="BZ140" s="12" t="s">
        <v>2960</v>
      </c>
      <c r="CA140" s="12" t="s">
        <v>2961</v>
      </c>
      <c r="CB140" s="12" t="s">
        <v>2962</v>
      </c>
      <c r="CC140" s="12" t="s">
        <v>2963</v>
      </c>
      <c r="CD140" s="12" t="s">
        <v>2964</v>
      </c>
      <c r="CE140" s="12" t="s">
        <v>2965</v>
      </c>
      <c r="CF140" s="12" t="s">
        <v>2966</v>
      </c>
      <c r="CG140" s="12" t="s">
        <v>2967</v>
      </c>
      <c r="CH140" s="12" t="s">
        <v>2968</v>
      </c>
      <c r="CI140" s="12" t="s">
        <v>2969</v>
      </c>
      <c r="CJ140" s="12" t="s">
        <v>2970</v>
      </c>
      <c r="CK140" s="12" t="s">
        <v>2971</v>
      </c>
      <c r="CL140" s="12" t="s">
        <v>2972</v>
      </c>
      <c r="CM140" s="12" t="s">
        <v>2973</v>
      </c>
      <c r="CN140" s="12" t="s">
        <v>2974</v>
      </c>
      <c r="CO140" s="12" t="s">
        <v>2975</v>
      </c>
      <c r="CP140" s="12" t="s">
        <v>2976</v>
      </c>
      <c r="CQ140" s="12" t="s">
        <v>2977</v>
      </c>
      <c r="CR140" s="12" t="s">
        <v>2978</v>
      </c>
      <c r="CS140" s="12" t="s">
        <v>2979</v>
      </c>
      <c r="CT140" s="12" t="s">
        <v>2980</v>
      </c>
    </row>
    <row r="141" spans="1:98" hidden="1" x14ac:dyDescent="0.3">
      <c r="A141" s="12" t="s">
        <v>25</v>
      </c>
      <c r="B141" s="12" t="s">
        <v>2981</v>
      </c>
      <c r="C141" s="12" t="s">
        <v>2982</v>
      </c>
      <c r="D141" s="12" t="s">
        <v>2983</v>
      </c>
      <c r="E141" s="12" t="s">
        <v>578</v>
      </c>
      <c r="F141" s="12" t="s">
        <v>578</v>
      </c>
      <c r="G141" s="12" t="s">
        <v>578</v>
      </c>
      <c r="H141" s="12" t="s">
        <v>578</v>
      </c>
      <c r="I141" s="12" t="s">
        <v>578</v>
      </c>
      <c r="J141" s="12" t="s">
        <v>578</v>
      </c>
      <c r="K141" s="12" t="s">
        <v>578</v>
      </c>
      <c r="L141" s="12" t="s">
        <v>578</v>
      </c>
      <c r="M141" s="12" t="s">
        <v>578</v>
      </c>
      <c r="N141" s="12" t="s">
        <v>578</v>
      </c>
      <c r="O141" s="12" t="s">
        <v>578</v>
      </c>
      <c r="P141" s="12" t="s">
        <v>578</v>
      </c>
      <c r="Q141" s="12" t="s">
        <v>578</v>
      </c>
      <c r="R141" s="12" t="s">
        <v>578</v>
      </c>
      <c r="S141" s="12" t="s">
        <v>578</v>
      </c>
      <c r="T141" s="12" t="s">
        <v>578</v>
      </c>
      <c r="U141" s="12" t="s">
        <v>578</v>
      </c>
      <c r="V141" s="12" t="s">
        <v>578</v>
      </c>
      <c r="W141" s="12" t="s">
        <v>578</v>
      </c>
      <c r="X141" s="12" t="s">
        <v>578</v>
      </c>
      <c r="Y141" s="12" t="s">
        <v>578</v>
      </c>
      <c r="Z141" s="12" t="s">
        <v>578</v>
      </c>
      <c r="AA141" s="12" t="s">
        <v>578</v>
      </c>
      <c r="AB141" s="12" t="s">
        <v>578</v>
      </c>
      <c r="AC141" s="12" t="s">
        <v>578</v>
      </c>
      <c r="AD141" s="12" t="s">
        <v>578</v>
      </c>
      <c r="AE141" s="12" t="s">
        <v>578</v>
      </c>
      <c r="AF141" s="12" t="s">
        <v>578</v>
      </c>
      <c r="AG141" s="12" t="s">
        <v>578</v>
      </c>
      <c r="AH141" s="12" t="s">
        <v>578</v>
      </c>
      <c r="AI141" s="12" t="s">
        <v>578</v>
      </c>
      <c r="AJ141" s="12" t="s">
        <v>578</v>
      </c>
      <c r="AK141" s="12" t="s">
        <v>578</v>
      </c>
      <c r="AL141" s="12" t="s">
        <v>578</v>
      </c>
      <c r="AM141" s="12" t="s">
        <v>578</v>
      </c>
      <c r="AN141" s="12" t="s">
        <v>578</v>
      </c>
      <c r="AO141" s="12" t="s">
        <v>578</v>
      </c>
      <c r="AP141" s="12" t="s">
        <v>578</v>
      </c>
      <c r="AQ141" s="12" t="s">
        <v>578</v>
      </c>
      <c r="AR141" s="12" t="s">
        <v>578</v>
      </c>
      <c r="AS141" s="12" t="s">
        <v>578</v>
      </c>
      <c r="AT141" s="12" t="s">
        <v>578</v>
      </c>
      <c r="AU141" s="12" t="s">
        <v>578</v>
      </c>
      <c r="AV141" s="12" t="s">
        <v>578</v>
      </c>
      <c r="AW141" s="12" t="s">
        <v>578</v>
      </c>
      <c r="AX141" s="12" t="s">
        <v>578</v>
      </c>
      <c r="AY141" s="12" t="s">
        <v>578</v>
      </c>
      <c r="AZ141" s="12" t="s">
        <v>578</v>
      </c>
      <c r="BA141" s="12" t="s">
        <v>578</v>
      </c>
      <c r="BB141" s="12" t="s">
        <v>579</v>
      </c>
      <c r="BC141" s="12" t="s">
        <v>623</v>
      </c>
      <c r="BD141" s="12" t="s">
        <v>755</v>
      </c>
      <c r="BE141" s="12" t="s">
        <v>755</v>
      </c>
      <c r="BF141" s="12" t="s">
        <v>624</v>
      </c>
      <c r="BG141" s="12" t="s">
        <v>624</v>
      </c>
      <c r="BH141" s="12" t="s">
        <v>625</v>
      </c>
      <c r="BI141" s="12" t="s">
        <v>868</v>
      </c>
      <c r="BJ141" s="12" t="s">
        <v>762</v>
      </c>
      <c r="BK141" s="12" t="s">
        <v>584</v>
      </c>
      <c r="BL141" s="12" t="s">
        <v>584</v>
      </c>
      <c r="BM141" s="12" t="s">
        <v>674</v>
      </c>
      <c r="BN141" s="12" t="s">
        <v>674</v>
      </c>
      <c r="BO141" s="12" t="s">
        <v>585</v>
      </c>
      <c r="BP141" s="12" t="s">
        <v>676</v>
      </c>
      <c r="BQ141" s="12" t="s">
        <v>676</v>
      </c>
      <c r="BR141" s="12" t="s">
        <v>676</v>
      </c>
      <c r="BS141" s="12" t="s">
        <v>2018</v>
      </c>
      <c r="BT141" s="12" t="s">
        <v>852</v>
      </c>
      <c r="BU141" s="12" t="s">
        <v>971</v>
      </c>
      <c r="BV141" s="12" t="s">
        <v>971</v>
      </c>
      <c r="BW141" s="12" t="s">
        <v>1096</v>
      </c>
      <c r="BX141" s="12" t="s">
        <v>972</v>
      </c>
      <c r="BY141" s="12" t="s">
        <v>972</v>
      </c>
      <c r="BZ141" s="12" t="s">
        <v>719</v>
      </c>
      <c r="CA141" s="12" t="s">
        <v>1413</v>
      </c>
      <c r="CB141" s="12" t="s">
        <v>1413</v>
      </c>
      <c r="CC141" s="12" t="s">
        <v>1180</v>
      </c>
      <c r="CD141" s="12" t="s">
        <v>1180</v>
      </c>
      <c r="CE141" s="12" t="s">
        <v>1180</v>
      </c>
      <c r="CF141" s="12" t="s">
        <v>1180</v>
      </c>
      <c r="CG141" s="12" t="s">
        <v>870</v>
      </c>
      <c r="CH141" s="12" t="s">
        <v>974</v>
      </c>
      <c r="CI141" s="12" t="s">
        <v>1120</v>
      </c>
      <c r="CJ141" s="12" t="s">
        <v>1120</v>
      </c>
      <c r="CK141" s="12" t="s">
        <v>1751</v>
      </c>
      <c r="CL141" s="12" t="s">
        <v>1821</v>
      </c>
      <c r="CM141" s="12" t="s">
        <v>1821</v>
      </c>
      <c r="CN141" s="12" t="s">
        <v>1186</v>
      </c>
      <c r="CO141" s="12" t="s">
        <v>1516</v>
      </c>
      <c r="CP141" s="12" t="s">
        <v>643</v>
      </c>
      <c r="CQ141" s="12" t="s">
        <v>643</v>
      </c>
      <c r="CR141" s="12" t="s">
        <v>1423</v>
      </c>
      <c r="CS141" s="12" t="s">
        <v>956</v>
      </c>
      <c r="CT141" s="12" t="s">
        <v>1395</v>
      </c>
    </row>
    <row r="142" spans="1:98" hidden="1" x14ac:dyDescent="0.3">
      <c r="A142" s="12" t="s">
        <v>25</v>
      </c>
      <c r="B142" s="12" t="s">
        <v>2984</v>
      </c>
      <c r="C142" s="12" t="s">
        <v>2985</v>
      </c>
      <c r="D142" s="12" t="s">
        <v>2986</v>
      </c>
      <c r="E142" s="12" t="s">
        <v>623</v>
      </c>
      <c r="F142" s="12" t="s">
        <v>623</v>
      </c>
      <c r="G142" s="12" t="s">
        <v>623</v>
      </c>
      <c r="H142" s="12" t="s">
        <v>623</v>
      </c>
      <c r="I142" s="12" t="s">
        <v>580</v>
      </c>
      <c r="J142" s="12" t="s">
        <v>580</v>
      </c>
      <c r="K142" s="12" t="s">
        <v>582</v>
      </c>
      <c r="L142" s="12" t="s">
        <v>582</v>
      </c>
      <c r="M142" s="12" t="s">
        <v>583</v>
      </c>
      <c r="N142" s="12" t="s">
        <v>762</v>
      </c>
      <c r="O142" s="12" t="s">
        <v>675</v>
      </c>
      <c r="P142" s="12" t="s">
        <v>675</v>
      </c>
      <c r="Q142" s="12" t="s">
        <v>675</v>
      </c>
      <c r="R142" s="12" t="s">
        <v>586</v>
      </c>
      <c r="S142" s="12" t="s">
        <v>586</v>
      </c>
      <c r="T142" s="12" t="s">
        <v>586</v>
      </c>
      <c r="U142" s="12" t="s">
        <v>757</v>
      </c>
      <c r="V142" s="12" t="s">
        <v>757</v>
      </c>
      <c r="W142" s="12" t="s">
        <v>676</v>
      </c>
      <c r="X142" s="12" t="s">
        <v>676</v>
      </c>
      <c r="Y142" s="12" t="s">
        <v>676</v>
      </c>
      <c r="Z142" s="12" t="s">
        <v>869</v>
      </c>
      <c r="AA142" s="12" t="s">
        <v>869</v>
      </c>
      <c r="AB142" s="12" t="s">
        <v>953</v>
      </c>
      <c r="AC142" s="12" t="s">
        <v>1259</v>
      </c>
      <c r="AD142" s="12" t="s">
        <v>632</v>
      </c>
      <c r="AE142" s="12" t="s">
        <v>973</v>
      </c>
      <c r="AF142" s="12" t="s">
        <v>589</v>
      </c>
      <c r="AG142" s="12" t="s">
        <v>590</v>
      </c>
      <c r="AH142" s="12" t="s">
        <v>591</v>
      </c>
      <c r="AI142" s="12" t="s">
        <v>864</v>
      </c>
      <c r="AJ142" s="12" t="s">
        <v>980</v>
      </c>
      <c r="AK142" s="12" t="s">
        <v>1515</v>
      </c>
      <c r="AL142" s="12" t="s">
        <v>1733</v>
      </c>
      <c r="AM142" s="12" t="s">
        <v>594</v>
      </c>
      <c r="AN142" s="12" t="s">
        <v>1976</v>
      </c>
      <c r="AO142" s="12" t="s">
        <v>1126</v>
      </c>
      <c r="AP142" s="12" t="s">
        <v>1127</v>
      </c>
      <c r="AQ142" s="12" t="s">
        <v>1508</v>
      </c>
      <c r="AR142" s="12" t="s">
        <v>1128</v>
      </c>
      <c r="AS142" s="12" t="s">
        <v>1687</v>
      </c>
      <c r="AT142" s="12" t="s">
        <v>1364</v>
      </c>
      <c r="AU142" s="12" t="s">
        <v>1365</v>
      </c>
      <c r="AV142" s="12" t="s">
        <v>1841</v>
      </c>
      <c r="AW142" s="12" t="s">
        <v>963</v>
      </c>
      <c r="AX142" s="12" t="s">
        <v>2987</v>
      </c>
      <c r="AY142" s="12" t="s">
        <v>778</v>
      </c>
      <c r="AZ142" s="12" t="s">
        <v>689</v>
      </c>
      <c r="BA142" s="12" t="s">
        <v>1406</v>
      </c>
      <c r="BB142" s="12" t="s">
        <v>2071</v>
      </c>
      <c r="BC142" s="12" t="s">
        <v>2071</v>
      </c>
      <c r="BD142" s="12" t="s">
        <v>2988</v>
      </c>
      <c r="BE142" s="12" t="s">
        <v>2046</v>
      </c>
      <c r="BF142" s="12" t="s">
        <v>2989</v>
      </c>
      <c r="BG142" s="12" t="s">
        <v>2989</v>
      </c>
      <c r="BH142" s="12" t="s">
        <v>1383</v>
      </c>
      <c r="BI142" s="12" t="s">
        <v>1674</v>
      </c>
      <c r="BJ142" s="12" t="s">
        <v>2990</v>
      </c>
      <c r="BK142" s="12" t="s">
        <v>2193</v>
      </c>
      <c r="BL142" s="12" t="s">
        <v>946</v>
      </c>
      <c r="BM142" s="12" t="s">
        <v>2991</v>
      </c>
      <c r="BN142" s="12" t="s">
        <v>2927</v>
      </c>
      <c r="BO142" s="12" t="s">
        <v>2992</v>
      </c>
      <c r="BP142" s="12" t="s">
        <v>2993</v>
      </c>
      <c r="BQ142" s="12" t="s">
        <v>2994</v>
      </c>
      <c r="BR142" s="12" t="s">
        <v>697</v>
      </c>
      <c r="BS142" s="12" t="s">
        <v>2995</v>
      </c>
      <c r="BT142" s="12" t="s">
        <v>2996</v>
      </c>
      <c r="BU142" s="12" t="s">
        <v>2996</v>
      </c>
      <c r="BV142" s="12" t="s">
        <v>2997</v>
      </c>
      <c r="BW142" s="12" t="s">
        <v>2998</v>
      </c>
      <c r="BX142" s="12" t="s">
        <v>2999</v>
      </c>
      <c r="BY142" s="12" t="s">
        <v>3000</v>
      </c>
      <c r="BZ142" s="12" t="s">
        <v>3001</v>
      </c>
      <c r="CA142" s="12" t="s">
        <v>3001</v>
      </c>
      <c r="CB142" s="12" t="s">
        <v>3002</v>
      </c>
      <c r="CC142" s="12" t="s">
        <v>3003</v>
      </c>
      <c r="CD142" s="12" t="s">
        <v>3004</v>
      </c>
      <c r="CE142" s="12" t="s">
        <v>3005</v>
      </c>
      <c r="CF142" s="12" t="s">
        <v>3006</v>
      </c>
      <c r="CG142" s="12" t="s">
        <v>3007</v>
      </c>
      <c r="CH142" s="12" t="s">
        <v>3008</v>
      </c>
      <c r="CI142" s="12" t="s">
        <v>3009</v>
      </c>
      <c r="CJ142" s="12" t="s">
        <v>3010</v>
      </c>
      <c r="CK142" s="12" t="s">
        <v>3011</v>
      </c>
      <c r="CL142" s="12" t="s">
        <v>3012</v>
      </c>
      <c r="CM142" s="12" t="s">
        <v>3013</v>
      </c>
      <c r="CN142" s="12" t="s">
        <v>3014</v>
      </c>
      <c r="CO142" s="12" t="s">
        <v>3015</v>
      </c>
      <c r="CP142" s="12" t="s">
        <v>3015</v>
      </c>
      <c r="CQ142" s="12" t="s">
        <v>3016</v>
      </c>
      <c r="CR142" s="12" t="s">
        <v>3017</v>
      </c>
      <c r="CS142" s="12" t="s">
        <v>3018</v>
      </c>
      <c r="CT142" s="12" t="s">
        <v>3019</v>
      </c>
    </row>
    <row r="143" spans="1:98" hidden="1" x14ac:dyDescent="0.3">
      <c r="A143" s="12" t="s">
        <v>25</v>
      </c>
      <c r="B143" s="12" t="s">
        <v>3020</v>
      </c>
      <c r="C143" s="12" t="s">
        <v>3021</v>
      </c>
      <c r="D143" s="12" t="s">
        <v>3022</v>
      </c>
      <c r="E143" s="12" t="s">
        <v>578</v>
      </c>
      <c r="F143" s="12" t="s">
        <v>578</v>
      </c>
      <c r="G143" s="12" t="s">
        <v>578</v>
      </c>
      <c r="H143" s="12" t="s">
        <v>578</v>
      </c>
      <c r="I143" s="12" t="s">
        <v>578</v>
      </c>
      <c r="J143" s="12" t="s">
        <v>578</v>
      </c>
      <c r="K143" s="12" t="s">
        <v>578</v>
      </c>
      <c r="L143" s="12" t="s">
        <v>578</v>
      </c>
      <c r="M143" s="12" t="s">
        <v>578</v>
      </c>
      <c r="N143" s="12" t="s">
        <v>578</v>
      </c>
      <c r="O143" s="12" t="s">
        <v>578</v>
      </c>
      <c r="P143" s="12" t="s">
        <v>578</v>
      </c>
      <c r="Q143" s="12" t="s">
        <v>578</v>
      </c>
      <c r="R143" s="12" t="s">
        <v>578</v>
      </c>
      <c r="S143" s="12" t="s">
        <v>578</v>
      </c>
      <c r="T143" s="12" t="s">
        <v>578</v>
      </c>
      <c r="U143" s="12" t="s">
        <v>578</v>
      </c>
      <c r="V143" s="12" t="s">
        <v>578</v>
      </c>
      <c r="W143" s="12" t="s">
        <v>578</v>
      </c>
      <c r="X143" s="12" t="s">
        <v>578</v>
      </c>
      <c r="Y143" s="12" t="s">
        <v>578</v>
      </c>
      <c r="Z143" s="12" t="s">
        <v>578</v>
      </c>
      <c r="AA143" s="12" t="s">
        <v>578</v>
      </c>
      <c r="AB143" s="12" t="s">
        <v>578</v>
      </c>
      <c r="AC143" s="12" t="s">
        <v>578</v>
      </c>
      <c r="AD143" s="12" t="s">
        <v>578</v>
      </c>
      <c r="AE143" s="12" t="s">
        <v>578</v>
      </c>
      <c r="AF143" s="12" t="s">
        <v>578</v>
      </c>
      <c r="AG143" s="12" t="s">
        <v>578</v>
      </c>
      <c r="AH143" s="12" t="s">
        <v>578</v>
      </c>
      <c r="AI143" s="12" t="s">
        <v>578</v>
      </c>
      <c r="AJ143" s="12" t="s">
        <v>578</v>
      </c>
      <c r="AK143" s="12" t="s">
        <v>578</v>
      </c>
      <c r="AL143" s="12" t="s">
        <v>578</v>
      </c>
      <c r="AM143" s="12" t="s">
        <v>578</v>
      </c>
      <c r="AN143" s="12" t="s">
        <v>578</v>
      </c>
      <c r="AO143" s="12" t="s">
        <v>578</v>
      </c>
      <c r="AP143" s="12" t="s">
        <v>578</v>
      </c>
      <c r="AQ143" s="12" t="s">
        <v>578</v>
      </c>
      <c r="AR143" s="12" t="s">
        <v>578</v>
      </c>
      <c r="AS143" s="12" t="s">
        <v>578</v>
      </c>
      <c r="AT143" s="12" t="s">
        <v>579</v>
      </c>
      <c r="AU143" s="12" t="s">
        <v>579</v>
      </c>
      <c r="AV143" s="12" t="s">
        <v>579</v>
      </c>
      <c r="AW143" s="12" t="s">
        <v>579</v>
      </c>
      <c r="AX143" s="12" t="s">
        <v>579</v>
      </c>
      <c r="AY143" s="12" t="s">
        <v>579</v>
      </c>
      <c r="AZ143" s="12" t="s">
        <v>579</v>
      </c>
      <c r="BA143" s="12" t="s">
        <v>579</v>
      </c>
      <c r="BB143" s="12" t="s">
        <v>579</v>
      </c>
      <c r="BC143" s="12" t="s">
        <v>579</v>
      </c>
      <c r="BD143" s="12" t="s">
        <v>579</v>
      </c>
      <c r="BE143" s="12" t="s">
        <v>579</v>
      </c>
      <c r="BF143" s="12" t="s">
        <v>755</v>
      </c>
      <c r="BG143" s="12" t="s">
        <v>673</v>
      </c>
      <c r="BH143" s="12" t="s">
        <v>767</v>
      </c>
      <c r="BI143" s="12" t="s">
        <v>809</v>
      </c>
      <c r="BJ143" s="12" t="s">
        <v>974</v>
      </c>
      <c r="BK143" s="12" t="s">
        <v>1124</v>
      </c>
      <c r="BL143" s="12" t="s">
        <v>1124</v>
      </c>
      <c r="BM143" s="12" t="s">
        <v>872</v>
      </c>
      <c r="BN143" s="12" t="s">
        <v>1354</v>
      </c>
      <c r="BO143" s="12" t="s">
        <v>2101</v>
      </c>
      <c r="BP143" s="12" t="s">
        <v>1815</v>
      </c>
      <c r="BQ143" s="12" t="s">
        <v>642</v>
      </c>
      <c r="BR143" s="12" t="s">
        <v>815</v>
      </c>
      <c r="BS143" s="12" t="s">
        <v>1049</v>
      </c>
      <c r="BT143" s="12" t="s">
        <v>645</v>
      </c>
      <c r="BU143" s="12" t="s">
        <v>1264</v>
      </c>
      <c r="BV143" s="12" t="s">
        <v>1687</v>
      </c>
      <c r="BW143" s="12" t="s">
        <v>1028</v>
      </c>
      <c r="BX143" s="12" t="s">
        <v>599</v>
      </c>
      <c r="BY143" s="12" t="s">
        <v>1518</v>
      </c>
      <c r="BZ143" s="12" t="s">
        <v>1281</v>
      </c>
      <c r="CA143" s="12" t="s">
        <v>1397</v>
      </c>
      <c r="CB143" s="12" t="s">
        <v>600</v>
      </c>
      <c r="CC143" s="12" t="s">
        <v>877</v>
      </c>
      <c r="CD143" s="12" t="s">
        <v>1438</v>
      </c>
      <c r="CE143" s="12" t="s">
        <v>1312</v>
      </c>
      <c r="CF143" s="12" t="s">
        <v>1312</v>
      </c>
      <c r="CG143" s="12" t="s">
        <v>1692</v>
      </c>
      <c r="CH143" s="12" t="s">
        <v>1719</v>
      </c>
      <c r="CI143" s="12" t="s">
        <v>2002</v>
      </c>
      <c r="CJ143" s="12" t="s">
        <v>924</v>
      </c>
      <c r="CK143" s="12" t="s">
        <v>3023</v>
      </c>
      <c r="CL143" s="12" t="s">
        <v>2395</v>
      </c>
      <c r="CM143" s="12" t="s">
        <v>820</v>
      </c>
      <c r="CN143" s="12" t="s">
        <v>1696</v>
      </c>
      <c r="CO143" s="12" t="s">
        <v>2079</v>
      </c>
      <c r="CP143" s="12" t="s">
        <v>1533</v>
      </c>
      <c r="CQ143" s="12" t="s">
        <v>733</v>
      </c>
      <c r="CR143" s="12" t="s">
        <v>965</v>
      </c>
      <c r="CS143" s="12" t="s">
        <v>966</v>
      </c>
      <c r="CT143" s="12" t="s">
        <v>1268</v>
      </c>
    </row>
    <row r="144" spans="1:98" hidden="1" x14ac:dyDescent="0.3">
      <c r="A144" s="12" t="s">
        <v>25</v>
      </c>
      <c r="B144" s="12" t="s">
        <v>3024</v>
      </c>
      <c r="C144" s="12" t="s">
        <v>3025</v>
      </c>
      <c r="D144" s="12" t="s">
        <v>3026</v>
      </c>
      <c r="E144" s="12" t="s">
        <v>578</v>
      </c>
      <c r="F144" s="12" t="s">
        <v>578</v>
      </c>
      <c r="G144" s="12" t="s">
        <v>578</v>
      </c>
      <c r="H144" s="12" t="s">
        <v>578</v>
      </c>
      <c r="I144" s="12" t="s">
        <v>578</v>
      </c>
      <c r="J144" s="12" t="s">
        <v>578</v>
      </c>
      <c r="K144" s="12" t="s">
        <v>578</v>
      </c>
      <c r="L144" s="12" t="s">
        <v>578</v>
      </c>
      <c r="M144" s="12" t="s">
        <v>578</v>
      </c>
      <c r="N144" s="12" t="s">
        <v>578</v>
      </c>
      <c r="O144" s="12" t="s">
        <v>578</v>
      </c>
      <c r="P144" s="12" t="s">
        <v>578</v>
      </c>
      <c r="Q144" s="12" t="s">
        <v>578</v>
      </c>
      <c r="R144" s="12" t="s">
        <v>578</v>
      </c>
      <c r="S144" s="12" t="s">
        <v>578</v>
      </c>
      <c r="T144" s="12" t="s">
        <v>578</v>
      </c>
      <c r="U144" s="12" t="s">
        <v>578</v>
      </c>
      <c r="V144" s="12" t="s">
        <v>578</v>
      </c>
      <c r="W144" s="12" t="s">
        <v>578</v>
      </c>
      <c r="X144" s="12" t="s">
        <v>578</v>
      </c>
      <c r="Y144" s="12" t="s">
        <v>578</v>
      </c>
      <c r="Z144" s="12" t="s">
        <v>578</v>
      </c>
      <c r="AA144" s="12" t="s">
        <v>578</v>
      </c>
      <c r="AB144" s="12" t="s">
        <v>578</v>
      </c>
      <c r="AC144" s="12" t="s">
        <v>578</v>
      </c>
      <c r="AD144" s="12" t="s">
        <v>578</v>
      </c>
      <c r="AE144" s="12" t="s">
        <v>578</v>
      </c>
      <c r="AF144" s="12" t="s">
        <v>578</v>
      </c>
      <c r="AG144" s="12" t="s">
        <v>578</v>
      </c>
      <c r="AH144" s="12" t="s">
        <v>578</v>
      </c>
      <c r="AI144" s="12" t="s">
        <v>578</v>
      </c>
      <c r="AJ144" s="12" t="s">
        <v>578</v>
      </c>
      <c r="AK144" s="12" t="s">
        <v>578</v>
      </c>
      <c r="AL144" s="12" t="s">
        <v>578</v>
      </c>
      <c r="AM144" s="12" t="s">
        <v>578</v>
      </c>
      <c r="AN144" s="12" t="s">
        <v>578</v>
      </c>
      <c r="AO144" s="12" t="s">
        <v>578</v>
      </c>
      <c r="AP144" s="12" t="s">
        <v>578</v>
      </c>
      <c r="AQ144" s="12" t="s">
        <v>578</v>
      </c>
      <c r="AR144" s="12" t="s">
        <v>578</v>
      </c>
      <c r="AS144" s="12" t="s">
        <v>578</v>
      </c>
      <c r="AT144" s="12" t="s">
        <v>578</v>
      </c>
      <c r="AU144" s="12" t="s">
        <v>578</v>
      </c>
      <c r="AV144" s="12" t="s">
        <v>578</v>
      </c>
      <c r="AW144" s="12" t="s">
        <v>578</v>
      </c>
      <c r="AX144" s="12" t="s">
        <v>578</v>
      </c>
      <c r="AY144" s="12" t="s">
        <v>578</v>
      </c>
      <c r="AZ144" s="12" t="s">
        <v>578</v>
      </c>
      <c r="BA144" s="12" t="s">
        <v>578</v>
      </c>
      <c r="BB144" s="12" t="s">
        <v>578</v>
      </c>
      <c r="BC144" s="12" t="s">
        <v>578</v>
      </c>
      <c r="BD144" s="12" t="s">
        <v>580</v>
      </c>
      <c r="BE144" s="12" t="s">
        <v>851</v>
      </c>
      <c r="BF144" s="12" t="s">
        <v>761</v>
      </c>
      <c r="BG144" s="12" t="s">
        <v>624</v>
      </c>
      <c r="BH144" s="12" t="s">
        <v>627</v>
      </c>
      <c r="BI144" s="12" t="s">
        <v>917</v>
      </c>
      <c r="BJ144" s="12" t="s">
        <v>1096</v>
      </c>
      <c r="BK144" s="12" t="s">
        <v>991</v>
      </c>
      <c r="BL144" s="12" t="s">
        <v>719</v>
      </c>
      <c r="BM144" s="12" t="s">
        <v>680</v>
      </c>
      <c r="BN144" s="12" t="s">
        <v>853</v>
      </c>
      <c r="BO144" s="12" t="s">
        <v>975</v>
      </c>
      <c r="BP144" s="12" t="s">
        <v>1184</v>
      </c>
      <c r="BQ144" s="12" t="s">
        <v>979</v>
      </c>
      <c r="BR144" s="12" t="s">
        <v>1814</v>
      </c>
      <c r="BS144" s="12" t="s">
        <v>1127</v>
      </c>
      <c r="BT144" s="12" t="s">
        <v>3027</v>
      </c>
      <c r="BU144" s="12" t="s">
        <v>687</v>
      </c>
      <c r="BV144" s="12" t="s">
        <v>1745</v>
      </c>
      <c r="BW144" s="12" t="s">
        <v>1691</v>
      </c>
      <c r="BX144" s="12" t="s">
        <v>965</v>
      </c>
      <c r="BY144" s="12" t="s">
        <v>1843</v>
      </c>
      <c r="BZ144" s="12" t="s">
        <v>1372</v>
      </c>
      <c r="CA144" s="12" t="s">
        <v>664</v>
      </c>
      <c r="CB144" s="12" t="s">
        <v>2175</v>
      </c>
      <c r="CC144" s="12" t="s">
        <v>3028</v>
      </c>
      <c r="CD144" s="12" t="s">
        <v>2726</v>
      </c>
      <c r="CE144" s="12" t="s">
        <v>931</v>
      </c>
      <c r="CF144" s="12" t="s">
        <v>3029</v>
      </c>
      <c r="CG144" s="12" t="s">
        <v>2397</v>
      </c>
      <c r="CH144" s="12" t="s">
        <v>3030</v>
      </c>
      <c r="CI144" s="12" t="s">
        <v>3031</v>
      </c>
      <c r="CJ144" s="12" t="s">
        <v>2122</v>
      </c>
      <c r="CK144" s="12" t="s">
        <v>3032</v>
      </c>
      <c r="CL144" s="12" t="s">
        <v>3033</v>
      </c>
      <c r="CM144" s="12" t="s">
        <v>1315</v>
      </c>
      <c r="CN144" s="12" t="s">
        <v>2460</v>
      </c>
      <c r="CO144" s="12" t="s">
        <v>3034</v>
      </c>
      <c r="CP144" s="12" t="s">
        <v>3035</v>
      </c>
      <c r="CQ144" s="12" t="s">
        <v>3036</v>
      </c>
      <c r="CR144" s="12" t="s">
        <v>3037</v>
      </c>
      <c r="CS144" s="12" t="s">
        <v>3038</v>
      </c>
      <c r="CT144" s="12" t="s">
        <v>3039</v>
      </c>
    </row>
    <row r="145" spans="1:98" hidden="1" x14ac:dyDescent="0.3">
      <c r="A145" s="12" t="s">
        <v>25</v>
      </c>
      <c r="B145" s="12" t="s">
        <v>3040</v>
      </c>
      <c r="C145" s="12" t="s">
        <v>3041</v>
      </c>
      <c r="D145" s="12" t="s">
        <v>3042</v>
      </c>
      <c r="E145" s="12" t="s">
        <v>578</v>
      </c>
      <c r="F145" s="12" t="s">
        <v>578</v>
      </c>
      <c r="G145" s="12" t="s">
        <v>578</v>
      </c>
      <c r="H145" s="12" t="s">
        <v>578</v>
      </c>
      <c r="I145" s="12" t="s">
        <v>578</v>
      </c>
      <c r="J145" s="12" t="s">
        <v>578</v>
      </c>
      <c r="K145" s="12" t="s">
        <v>578</v>
      </c>
      <c r="L145" s="12" t="s">
        <v>578</v>
      </c>
      <c r="M145" s="12" t="s">
        <v>578</v>
      </c>
      <c r="N145" s="12" t="s">
        <v>578</v>
      </c>
      <c r="O145" s="12" t="s">
        <v>578</v>
      </c>
      <c r="P145" s="12" t="s">
        <v>578</v>
      </c>
      <c r="Q145" s="12" t="s">
        <v>578</v>
      </c>
      <c r="R145" s="12" t="s">
        <v>578</v>
      </c>
      <c r="S145" s="12" t="s">
        <v>578</v>
      </c>
      <c r="T145" s="12" t="s">
        <v>578</v>
      </c>
      <c r="U145" s="12" t="s">
        <v>578</v>
      </c>
      <c r="V145" s="12" t="s">
        <v>578</v>
      </c>
      <c r="W145" s="12" t="s">
        <v>578</v>
      </c>
      <c r="X145" s="12" t="s">
        <v>578</v>
      </c>
      <c r="Y145" s="12" t="s">
        <v>578</v>
      </c>
      <c r="Z145" s="12" t="s">
        <v>578</v>
      </c>
      <c r="AA145" s="12" t="s">
        <v>578</v>
      </c>
      <c r="AB145" s="12" t="s">
        <v>578</v>
      </c>
      <c r="AC145" s="12" t="s">
        <v>578</v>
      </c>
      <c r="AD145" s="12" t="s">
        <v>578</v>
      </c>
      <c r="AE145" s="12" t="s">
        <v>578</v>
      </c>
      <c r="AF145" s="12" t="s">
        <v>578</v>
      </c>
      <c r="AG145" s="12" t="s">
        <v>578</v>
      </c>
      <c r="AH145" s="12" t="s">
        <v>578</v>
      </c>
      <c r="AI145" s="12" t="s">
        <v>578</v>
      </c>
      <c r="AJ145" s="12" t="s">
        <v>578</v>
      </c>
      <c r="AK145" s="12" t="s">
        <v>578</v>
      </c>
      <c r="AL145" s="12" t="s">
        <v>578</v>
      </c>
      <c r="AM145" s="12" t="s">
        <v>578</v>
      </c>
      <c r="AN145" s="12" t="s">
        <v>578</v>
      </c>
      <c r="AO145" s="12" t="s">
        <v>578</v>
      </c>
      <c r="AP145" s="12" t="s">
        <v>578</v>
      </c>
      <c r="AQ145" s="12" t="s">
        <v>578</v>
      </c>
      <c r="AR145" s="12" t="s">
        <v>578</v>
      </c>
      <c r="AS145" s="12" t="s">
        <v>578</v>
      </c>
      <c r="AT145" s="12" t="s">
        <v>578</v>
      </c>
      <c r="AU145" s="12" t="s">
        <v>578</v>
      </c>
      <c r="AV145" s="12" t="s">
        <v>578</v>
      </c>
      <c r="AW145" s="12" t="s">
        <v>578</v>
      </c>
      <c r="AX145" s="12" t="s">
        <v>578</v>
      </c>
      <c r="AY145" s="12" t="s">
        <v>578</v>
      </c>
      <c r="AZ145" s="12" t="s">
        <v>578</v>
      </c>
      <c r="BA145" s="12" t="s">
        <v>578</v>
      </c>
      <c r="BB145" s="12" t="s">
        <v>578</v>
      </c>
      <c r="BC145" s="12" t="s">
        <v>578</v>
      </c>
      <c r="BD145" s="12" t="s">
        <v>579</v>
      </c>
      <c r="BE145" s="12" t="s">
        <v>579</v>
      </c>
      <c r="BF145" s="12" t="s">
        <v>672</v>
      </c>
      <c r="BG145" s="12" t="s">
        <v>672</v>
      </c>
      <c r="BH145" s="12" t="s">
        <v>672</v>
      </c>
      <c r="BI145" s="12" t="s">
        <v>672</v>
      </c>
      <c r="BJ145" s="12" t="s">
        <v>582</v>
      </c>
      <c r="BK145" s="12" t="s">
        <v>582</v>
      </c>
      <c r="BL145" s="12" t="s">
        <v>582</v>
      </c>
      <c r="BM145" s="12" t="s">
        <v>762</v>
      </c>
      <c r="BN145" s="12" t="s">
        <v>584</v>
      </c>
      <c r="BO145" s="12" t="s">
        <v>757</v>
      </c>
      <c r="BP145" s="12" t="s">
        <v>869</v>
      </c>
      <c r="BQ145" s="12" t="s">
        <v>766</v>
      </c>
      <c r="BR145" s="12" t="s">
        <v>766</v>
      </c>
      <c r="BS145" s="12" t="s">
        <v>628</v>
      </c>
      <c r="BT145" s="12" t="s">
        <v>629</v>
      </c>
      <c r="BU145" s="12" t="s">
        <v>954</v>
      </c>
      <c r="BV145" s="12" t="s">
        <v>632</v>
      </c>
      <c r="BW145" s="12" t="s">
        <v>1184</v>
      </c>
      <c r="BX145" s="12" t="s">
        <v>592</v>
      </c>
      <c r="BY145" s="12" t="s">
        <v>980</v>
      </c>
      <c r="BZ145" s="12" t="s">
        <v>1276</v>
      </c>
      <c r="CA145" s="12" t="s">
        <v>2014</v>
      </c>
      <c r="CB145" s="12" t="s">
        <v>774</v>
      </c>
      <c r="CC145" s="12" t="s">
        <v>1815</v>
      </c>
      <c r="CD145" s="12" t="s">
        <v>1734</v>
      </c>
      <c r="CE145" s="12" t="s">
        <v>921</v>
      </c>
      <c r="CF145" s="12" t="s">
        <v>1976</v>
      </c>
      <c r="CG145" s="12" t="s">
        <v>1279</v>
      </c>
      <c r="CH145" s="12" t="s">
        <v>641</v>
      </c>
      <c r="CI145" s="12" t="s">
        <v>1887</v>
      </c>
      <c r="CJ145" s="12" t="s">
        <v>3043</v>
      </c>
      <c r="CK145" s="12" t="s">
        <v>2029</v>
      </c>
      <c r="CL145" s="12" t="s">
        <v>2166</v>
      </c>
      <c r="CM145" s="12" t="s">
        <v>1049</v>
      </c>
      <c r="CN145" s="12" t="s">
        <v>1494</v>
      </c>
      <c r="CO145" s="12" t="s">
        <v>3044</v>
      </c>
      <c r="CP145" s="12" t="s">
        <v>598</v>
      </c>
      <c r="CQ145" s="12" t="s">
        <v>1740</v>
      </c>
      <c r="CR145" s="12" t="s">
        <v>1741</v>
      </c>
      <c r="CS145" s="12" t="s">
        <v>1611</v>
      </c>
      <c r="CT145" s="12" t="s">
        <v>2057</v>
      </c>
    </row>
    <row r="146" spans="1:98" hidden="1" x14ac:dyDescent="0.3">
      <c r="A146" s="12" t="s">
        <v>25</v>
      </c>
      <c r="B146" s="12" t="s">
        <v>3045</v>
      </c>
      <c r="C146" s="12" t="s">
        <v>2985</v>
      </c>
      <c r="D146" s="12" t="s">
        <v>3046</v>
      </c>
      <c r="E146" s="12" t="s">
        <v>579</v>
      </c>
      <c r="F146" s="12" t="s">
        <v>579</v>
      </c>
      <c r="G146" s="12" t="s">
        <v>623</v>
      </c>
      <c r="H146" s="12" t="s">
        <v>623</v>
      </c>
      <c r="I146" s="12" t="s">
        <v>672</v>
      </c>
      <c r="J146" s="12" t="s">
        <v>580</v>
      </c>
      <c r="K146" s="12" t="s">
        <v>580</v>
      </c>
      <c r="L146" s="12" t="s">
        <v>580</v>
      </c>
      <c r="M146" s="12" t="s">
        <v>580</v>
      </c>
      <c r="N146" s="12" t="s">
        <v>583</v>
      </c>
      <c r="O146" s="12" t="s">
        <v>625</v>
      </c>
      <c r="P146" s="12" t="s">
        <v>762</v>
      </c>
      <c r="Q146" s="12" t="s">
        <v>762</v>
      </c>
      <c r="R146" s="12" t="s">
        <v>584</v>
      </c>
      <c r="S146" s="12" t="s">
        <v>674</v>
      </c>
      <c r="T146" s="12" t="s">
        <v>626</v>
      </c>
      <c r="U146" s="12" t="s">
        <v>587</v>
      </c>
      <c r="V146" s="12" t="s">
        <v>587</v>
      </c>
      <c r="W146" s="12" t="s">
        <v>757</v>
      </c>
      <c r="X146" s="12" t="s">
        <v>913</v>
      </c>
      <c r="Y146" s="12" t="s">
        <v>869</v>
      </c>
      <c r="Z146" s="12" t="s">
        <v>869</v>
      </c>
      <c r="AA146" s="12" t="s">
        <v>869</v>
      </c>
      <c r="AB146" s="12" t="s">
        <v>869</v>
      </c>
      <c r="AC146" s="12" t="s">
        <v>869</v>
      </c>
      <c r="AD146" s="12" t="s">
        <v>953</v>
      </c>
      <c r="AE146" s="12" t="s">
        <v>2018</v>
      </c>
      <c r="AF146" s="12" t="s">
        <v>766</v>
      </c>
      <c r="AG146" s="12" t="s">
        <v>766</v>
      </c>
      <c r="AH146" s="12" t="s">
        <v>637</v>
      </c>
      <c r="AI146" s="12" t="s">
        <v>2515</v>
      </c>
      <c r="AJ146" s="12" t="s">
        <v>655</v>
      </c>
      <c r="AK146" s="12" t="s">
        <v>3047</v>
      </c>
      <c r="AL146" s="12" t="s">
        <v>828</v>
      </c>
      <c r="AM146" s="12" t="s">
        <v>2287</v>
      </c>
      <c r="AN146" s="12" t="s">
        <v>1762</v>
      </c>
      <c r="AO146" s="12" t="s">
        <v>3048</v>
      </c>
      <c r="AP146" s="12" t="s">
        <v>3049</v>
      </c>
      <c r="AQ146" s="12" t="s">
        <v>3050</v>
      </c>
      <c r="AR146" s="12" t="s">
        <v>3051</v>
      </c>
      <c r="AS146" s="12" t="s">
        <v>2350</v>
      </c>
      <c r="AT146" s="12" t="s">
        <v>3052</v>
      </c>
      <c r="AU146" s="12" t="s">
        <v>3053</v>
      </c>
      <c r="AV146" s="12" t="s">
        <v>3054</v>
      </c>
      <c r="AW146" s="12" t="s">
        <v>3055</v>
      </c>
      <c r="AX146" s="12" t="s">
        <v>3056</v>
      </c>
      <c r="AY146" s="12" t="s">
        <v>3057</v>
      </c>
      <c r="AZ146" s="12" t="s">
        <v>3058</v>
      </c>
      <c r="BA146" s="12" t="s">
        <v>3059</v>
      </c>
      <c r="BB146" s="12" t="s">
        <v>3060</v>
      </c>
      <c r="BC146" s="12" t="s">
        <v>3061</v>
      </c>
      <c r="BD146" s="12" t="s">
        <v>3062</v>
      </c>
      <c r="BE146" s="12" t="s">
        <v>3063</v>
      </c>
      <c r="BF146" s="12" t="s">
        <v>3064</v>
      </c>
      <c r="BG146" s="12" t="s">
        <v>3065</v>
      </c>
      <c r="BH146" s="12" t="s">
        <v>3066</v>
      </c>
      <c r="BI146" s="12" t="s">
        <v>3067</v>
      </c>
      <c r="BJ146" s="12" t="s">
        <v>3068</v>
      </c>
      <c r="BK146" s="12" t="s">
        <v>3069</v>
      </c>
      <c r="BL146" s="12" t="s">
        <v>3070</v>
      </c>
      <c r="BM146" s="12" t="s">
        <v>3071</v>
      </c>
      <c r="BN146" s="12" t="s">
        <v>3071</v>
      </c>
      <c r="BO146" s="12" t="s">
        <v>3072</v>
      </c>
      <c r="BP146" s="12" t="s">
        <v>3073</v>
      </c>
      <c r="BQ146" s="12" t="s">
        <v>3074</v>
      </c>
      <c r="BR146" s="12" t="s">
        <v>3075</v>
      </c>
      <c r="BS146" s="12" t="s">
        <v>3076</v>
      </c>
      <c r="BT146" s="12" t="s">
        <v>3077</v>
      </c>
      <c r="BU146" s="12" t="s">
        <v>3078</v>
      </c>
      <c r="BV146" s="12" t="s">
        <v>3079</v>
      </c>
      <c r="BW146" s="12" t="s">
        <v>3080</v>
      </c>
      <c r="BX146" s="12" t="s">
        <v>3081</v>
      </c>
      <c r="BY146" s="12" t="s">
        <v>3082</v>
      </c>
      <c r="BZ146" s="12" t="s">
        <v>3083</v>
      </c>
      <c r="CA146" s="12" t="s">
        <v>3084</v>
      </c>
      <c r="CB146" s="12" t="s">
        <v>3085</v>
      </c>
      <c r="CC146" s="12" t="s">
        <v>3086</v>
      </c>
      <c r="CD146" s="12" t="s">
        <v>3087</v>
      </c>
      <c r="CE146" s="12" t="s">
        <v>3088</v>
      </c>
      <c r="CF146" s="12" t="s">
        <v>3089</v>
      </c>
      <c r="CG146" s="12" t="s">
        <v>3090</v>
      </c>
      <c r="CH146" s="12" t="s">
        <v>3091</v>
      </c>
      <c r="CI146" s="12" t="s">
        <v>3092</v>
      </c>
      <c r="CJ146" s="12" t="s">
        <v>3093</v>
      </c>
      <c r="CK146" s="12" t="s">
        <v>3094</v>
      </c>
      <c r="CL146" s="12" t="s">
        <v>3095</v>
      </c>
      <c r="CM146" s="12" t="s">
        <v>3096</v>
      </c>
      <c r="CN146" s="12" t="s">
        <v>3097</v>
      </c>
      <c r="CO146" s="12" t="s">
        <v>3098</v>
      </c>
      <c r="CP146" s="12" t="s">
        <v>3099</v>
      </c>
      <c r="CQ146" s="12" t="s">
        <v>3100</v>
      </c>
      <c r="CR146" s="12" t="s">
        <v>3101</v>
      </c>
      <c r="CS146" s="12" t="s">
        <v>3102</v>
      </c>
      <c r="CT146" s="12" t="s">
        <v>3103</v>
      </c>
    </row>
    <row r="147" spans="1:98" hidden="1" x14ac:dyDescent="0.3">
      <c r="A147" s="12" t="s">
        <v>25</v>
      </c>
      <c r="B147" s="12" t="s">
        <v>3104</v>
      </c>
      <c r="C147" s="12" t="s">
        <v>3105</v>
      </c>
      <c r="D147" s="12" t="s">
        <v>3106</v>
      </c>
      <c r="E147" s="12" t="s">
        <v>578</v>
      </c>
      <c r="F147" s="12" t="s">
        <v>578</v>
      </c>
      <c r="G147" s="12" t="s">
        <v>578</v>
      </c>
      <c r="H147" s="12" t="s">
        <v>578</v>
      </c>
      <c r="I147" s="12" t="s">
        <v>578</v>
      </c>
      <c r="J147" s="12" t="s">
        <v>578</v>
      </c>
      <c r="K147" s="12" t="s">
        <v>578</v>
      </c>
      <c r="L147" s="12" t="s">
        <v>578</v>
      </c>
      <c r="M147" s="12" t="s">
        <v>578</v>
      </c>
      <c r="N147" s="12" t="s">
        <v>578</v>
      </c>
      <c r="O147" s="12" t="s">
        <v>578</v>
      </c>
      <c r="P147" s="12" t="s">
        <v>578</v>
      </c>
      <c r="Q147" s="12" t="s">
        <v>578</v>
      </c>
      <c r="R147" s="12" t="s">
        <v>578</v>
      </c>
      <c r="S147" s="12" t="s">
        <v>578</v>
      </c>
      <c r="T147" s="12" t="s">
        <v>578</v>
      </c>
      <c r="U147" s="12" t="s">
        <v>578</v>
      </c>
      <c r="V147" s="12" t="s">
        <v>578</v>
      </c>
      <c r="W147" s="12" t="s">
        <v>578</v>
      </c>
      <c r="X147" s="12" t="s">
        <v>578</v>
      </c>
      <c r="Y147" s="12" t="s">
        <v>578</v>
      </c>
      <c r="Z147" s="12" t="s">
        <v>578</v>
      </c>
      <c r="AA147" s="12" t="s">
        <v>578</v>
      </c>
      <c r="AB147" s="12" t="s">
        <v>578</v>
      </c>
      <c r="AC147" s="12" t="s">
        <v>578</v>
      </c>
      <c r="AD147" s="12" t="s">
        <v>578</v>
      </c>
      <c r="AE147" s="12" t="s">
        <v>578</v>
      </c>
      <c r="AF147" s="12" t="s">
        <v>578</v>
      </c>
      <c r="AG147" s="12" t="s">
        <v>578</v>
      </c>
      <c r="AH147" s="12" t="s">
        <v>578</v>
      </c>
      <c r="AI147" s="12" t="s">
        <v>578</v>
      </c>
      <c r="AJ147" s="12" t="s">
        <v>578</v>
      </c>
      <c r="AK147" s="12" t="s">
        <v>578</v>
      </c>
      <c r="AL147" s="12" t="s">
        <v>579</v>
      </c>
      <c r="AM147" s="12" t="s">
        <v>583</v>
      </c>
      <c r="AN147" s="12" t="s">
        <v>676</v>
      </c>
      <c r="AO147" s="12" t="s">
        <v>1259</v>
      </c>
      <c r="AP147" s="12" t="s">
        <v>768</v>
      </c>
      <c r="AQ147" s="12" t="s">
        <v>768</v>
      </c>
      <c r="AR147" s="12" t="s">
        <v>768</v>
      </c>
      <c r="AS147" s="12" t="s">
        <v>769</v>
      </c>
      <c r="AT147" s="12" t="s">
        <v>769</v>
      </c>
      <c r="AU147" s="12" t="s">
        <v>769</v>
      </c>
      <c r="AV147" s="12" t="s">
        <v>1413</v>
      </c>
      <c r="AW147" s="12" t="s">
        <v>1413</v>
      </c>
      <c r="AX147" s="12" t="s">
        <v>919</v>
      </c>
      <c r="AY147" s="12" t="s">
        <v>633</v>
      </c>
      <c r="AZ147" s="12" t="s">
        <v>633</v>
      </c>
      <c r="BA147" s="12" t="s">
        <v>974</v>
      </c>
      <c r="BB147" s="12" t="s">
        <v>975</v>
      </c>
      <c r="BC147" s="12" t="s">
        <v>856</v>
      </c>
      <c r="BD147" s="12" t="s">
        <v>856</v>
      </c>
      <c r="BE147" s="12" t="s">
        <v>637</v>
      </c>
      <c r="BF147" s="12" t="s">
        <v>872</v>
      </c>
      <c r="BG147" s="12" t="s">
        <v>638</v>
      </c>
      <c r="BH147" s="12" t="s">
        <v>2034</v>
      </c>
      <c r="BI147" s="12" t="s">
        <v>2014</v>
      </c>
      <c r="BJ147" s="12" t="s">
        <v>1505</v>
      </c>
      <c r="BK147" s="12" t="s">
        <v>1733</v>
      </c>
      <c r="BL147" s="12" t="s">
        <v>1278</v>
      </c>
      <c r="BM147" s="12" t="s">
        <v>725</v>
      </c>
      <c r="BN147" s="12" t="s">
        <v>1976</v>
      </c>
      <c r="BO147" s="12" t="s">
        <v>1279</v>
      </c>
      <c r="BP147" s="12" t="s">
        <v>984</v>
      </c>
      <c r="BQ147" s="12" t="s">
        <v>1887</v>
      </c>
      <c r="BR147" s="12" t="s">
        <v>2029</v>
      </c>
      <c r="BS147" s="12" t="s">
        <v>815</v>
      </c>
      <c r="BT147" s="12" t="s">
        <v>1493</v>
      </c>
      <c r="BU147" s="12" t="s">
        <v>775</v>
      </c>
      <c r="BV147" s="12" t="s">
        <v>1607</v>
      </c>
      <c r="BW147" s="12" t="s">
        <v>1832</v>
      </c>
      <c r="BX147" s="12" t="s">
        <v>1519</v>
      </c>
      <c r="BY147" s="12" t="s">
        <v>2079</v>
      </c>
      <c r="BZ147" s="12" t="s">
        <v>1845</v>
      </c>
      <c r="CA147" s="12" t="s">
        <v>3107</v>
      </c>
      <c r="CB147" s="12" t="s">
        <v>608</v>
      </c>
      <c r="CC147" s="12" t="s">
        <v>930</v>
      </c>
      <c r="CD147" s="12" t="s">
        <v>3108</v>
      </c>
      <c r="CE147" s="12" t="s">
        <v>1675</v>
      </c>
      <c r="CF147" s="12" t="s">
        <v>3109</v>
      </c>
      <c r="CG147" s="12" t="s">
        <v>2628</v>
      </c>
      <c r="CH147" s="12" t="s">
        <v>1388</v>
      </c>
      <c r="CI147" s="12" t="s">
        <v>3110</v>
      </c>
      <c r="CJ147" s="12" t="s">
        <v>1537</v>
      </c>
      <c r="CK147" s="12" t="s">
        <v>883</v>
      </c>
      <c r="CL147" s="12" t="s">
        <v>1794</v>
      </c>
      <c r="CM147" s="12" t="s">
        <v>3111</v>
      </c>
      <c r="CN147" s="12" t="s">
        <v>3112</v>
      </c>
      <c r="CO147" s="12" t="s">
        <v>3113</v>
      </c>
      <c r="CP147" s="12" t="s">
        <v>3036</v>
      </c>
      <c r="CQ147" s="12" t="s">
        <v>3114</v>
      </c>
      <c r="CR147" s="12" t="s">
        <v>3115</v>
      </c>
      <c r="CS147" s="12" t="s">
        <v>3116</v>
      </c>
      <c r="CT147" s="12" t="s">
        <v>3117</v>
      </c>
    </row>
    <row r="148" spans="1:98" hidden="1" x14ac:dyDescent="0.3">
      <c r="A148" s="12" t="s">
        <v>25</v>
      </c>
      <c r="B148" s="12" t="s">
        <v>3118</v>
      </c>
      <c r="C148" s="12" t="s">
        <v>3119</v>
      </c>
      <c r="D148" s="12" t="s">
        <v>3120</v>
      </c>
      <c r="E148" s="12" t="s">
        <v>578</v>
      </c>
      <c r="F148" s="12" t="s">
        <v>578</v>
      </c>
      <c r="G148" s="12" t="s">
        <v>578</v>
      </c>
      <c r="H148" s="12" t="s">
        <v>578</v>
      </c>
      <c r="I148" s="12" t="s">
        <v>578</v>
      </c>
      <c r="J148" s="12" t="s">
        <v>578</v>
      </c>
      <c r="K148" s="12" t="s">
        <v>578</v>
      </c>
      <c r="L148" s="12" t="s">
        <v>578</v>
      </c>
      <c r="M148" s="12" t="s">
        <v>578</v>
      </c>
      <c r="N148" s="12" t="s">
        <v>578</v>
      </c>
      <c r="O148" s="12" t="s">
        <v>578</v>
      </c>
      <c r="P148" s="12" t="s">
        <v>578</v>
      </c>
      <c r="Q148" s="12" t="s">
        <v>578</v>
      </c>
      <c r="R148" s="12" t="s">
        <v>578</v>
      </c>
      <c r="S148" s="12" t="s">
        <v>578</v>
      </c>
      <c r="T148" s="12" t="s">
        <v>578</v>
      </c>
      <c r="U148" s="12" t="s">
        <v>578</v>
      </c>
      <c r="V148" s="12" t="s">
        <v>578</v>
      </c>
      <c r="W148" s="12" t="s">
        <v>578</v>
      </c>
      <c r="X148" s="12" t="s">
        <v>578</v>
      </c>
      <c r="Y148" s="12" t="s">
        <v>578</v>
      </c>
      <c r="Z148" s="12" t="s">
        <v>578</v>
      </c>
      <c r="AA148" s="12" t="s">
        <v>578</v>
      </c>
      <c r="AB148" s="12" t="s">
        <v>578</v>
      </c>
      <c r="AC148" s="12" t="s">
        <v>578</v>
      </c>
      <c r="AD148" s="12" t="s">
        <v>578</v>
      </c>
      <c r="AE148" s="12" t="s">
        <v>578</v>
      </c>
      <c r="AF148" s="12" t="s">
        <v>578</v>
      </c>
      <c r="AG148" s="12" t="s">
        <v>578</v>
      </c>
      <c r="AH148" s="12" t="s">
        <v>578</v>
      </c>
      <c r="AI148" s="12" t="s">
        <v>578</v>
      </c>
      <c r="AJ148" s="12" t="s">
        <v>578</v>
      </c>
      <c r="AK148" s="12" t="s">
        <v>578</v>
      </c>
      <c r="AL148" s="12" t="s">
        <v>578</v>
      </c>
      <c r="AM148" s="12" t="s">
        <v>578</v>
      </c>
      <c r="AN148" s="12" t="s">
        <v>578</v>
      </c>
      <c r="AO148" s="12" t="s">
        <v>578</v>
      </c>
      <c r="AP148" s="12" t="s">
        <v>578</v>
      </c>
      <c r="AQ148" s="12" t="s">
        <v>578</v>
      </c>
      <c r="AR148" s="12" t="s">
        <v>578</v>
      </c>
      <c r="AS148" s="12" t="s">
        <v>578</v>
      </c>
      <c r="AT148" s="12" t="s">
        <v>578</v>
      </c>
      <c r="AU148" s="12" t="s">
        <v>578</v>
      </c>
      <c r="AV148" s="12" t="s">
        <v>578</v>
      </c>
      <c r="AW148" s="12" t="s">
        <v>578</v>
      </c>
      <c r="AX148" s="12" t="s">
        <v>578</v>
      </c>
      <c r="AY148" s="12" t="s">
        <v>578</v>
      </c>
      <c r="AZ148" s="12" t="s">
        <v>578</v>
      </c>
      <c r="BA148" s="12" t="s">
        <v>578</v>
      </c>
      <c r="BB148" s="12" t="s">
        <v>578</v>
      </c>
      <c r="BC148" s="12" t="s">
        <v>578</v>
      </c>
      <c r="BD148" s="12" t="s">
        <v>578</v>
      </c>
      <c r="BE148" s="12" t="s">
        <v>578</v>
      </c>
      <c r="BF148" s="12" t="s">
        <v>578</v>
      </c>
      <c r="BG148" s="12" t="s">
        <v>578</v>
      </c>
      <c r="BH148" s="12" t="s">
        <v>578</v>
      </c>
      <c r="BI148" s="12" t="s">
        <v>672</v>
      </c>
      <c r="BJ148" s="12" t="s">
        <v>672</v>
      </c>
      <c r="BK148" s="12" t="s">
        <v>851</v>
      </c>
      <c r="BL148" s="12" t="s">
        <v>756</v>
      </c>
      <c r="BM148" s="12" t="s">
        <v>756</v>
      </c>
      <c r="BN148" s="12" t="s">
        <v>584</v>
      </c>
      <c r="BO148" s="12" t="s">
        <v>629</v>
      </c>
      <c r="BP148" s="12" t="s">
        <v>1096</v>
      </c>
      <c r="BQ148" s="12" t="s">
        <v>1096</v>
      </c>
      <c r="BR148" s="12" t="s">
        <v>1413</v>
      </c>
      <c r="BS148" s="12" t="s">
        <v>1413</v>
      </c>
      <c r="BT148" s="12" t="s">
        <v>590</v>
      </c>
      <c r="BU148" s="12" t="s">
        <v>591</v>
      </c>
      <c r="BV148" s="12" t="s">
        <v>1260</v>
      </c>
      <c r="BW148" s="12" t="s">
        <v>979</v>
      </c>
      <c r="BX148" s="12" t="s">
        <v>1500</v>
      </c>
      <c r="BY148" s="12" t="s">
        <v>2034</v>
      </c>
      <c r="BZ148" s="12" t="s">
        <v>920</v>
      </c>
      <c r="CA148" s="12" t="s">
        <v>1515</v>
      </c>
      <c r="CB148" s="12" t="s">
        <v>3043</v>
      </c>
      <c r="CC148" s="12" t="s">
        <v>1127</v>
      </c>
      <c r="CD148" s="12" t="s">
        <v>3044</v>
      </c>
      <c r="CE148" s="12" t="s">
        <v>3121</v>
      </c>
      <c r="CF148" s="12" t="s">
        <v>1098</v>
      </c>
      <c r="CG148" s="12" t="s">
        <v>2058</v>
      </c>
      <c r="CH148" s="12" t="s">
        <v>650</v>
      </c>
      <c r="CI148" s="12" t="s">
        <v>1130</v>
      </c>
      <c r="CJ148" s="12" t="s">
        <v>2659</v>
      </c>
      <c r="CK148" s="12" t="s">
        <v>3122</v>
      </c>
      <c r="CL148" s="12" t="s">
        <v>735</v>
      </c>
      <c r="CM148" s="12" t="s">
        <v>1848</v>
      </c>
      <c r="CN148" s="12" t="s">
        <v>1036</v>
      </c>
      <c r="CO148" s="12" t="s">
        <v>2085</v>
      </c>
      <c r="CP148" s="12" t="s">
        <v>2700</v>
      </c>
      <c r="CQ148" s="12" t="s">
        <v>1714</v>
      </c>
      <c r="CR148" s="12" t="s">
        <v>2172</v>
      </c>
      <c r="CS148" s="12" t="s">
        <v>1987</v>
      </c>
      <c r="CT148" s="12" t="s">
        <v>608</v>
      </c>
    </row>
    <row r="149" spans="1:98" hidden="1" x14ac:dyDescent="0.3">
      <c r="A149" s="12" t="s">
        <v>25</v>
      </c>
      <c r="B149" s="12" t="s">
        <v>3123</v>
      </c>
      <c r="C149" s="12" t="s">
        <v>3124</v>
      </c>
      <c r="D149" s="12" t="s">
        <v>3125</v>
      </c>
      <c r="E149" s="12" t="s">
        <v>578</v>
      </c>
      <c r="F149" s="12" t="s">
        <v>578</v>
      </c>
      <c r="G149" s="12" t="s">
        <v>578</v>
      </c>
      <c r="H149" s="12" t="s">
        <v>578</v>
      </c>
      <c r="I149" s="12" t="s">
        <v>578</v>
      </c>
      <c r="J149" s="12" t="s">
        <v>578</v>
      </c>
      <c r="K149" s="12" t="s">
        <v>578</v>
      </c>
      <c r="L149" s="12" t="s">
        <v>578</v>
      </c>
      <c r="M149" s="12" t="s">
        <v>578</v>
      </c>
      <c r="N149" s="12" t="s">
        <v>578</v>
      </c>
      <c r="O149" s="12" t="s">
        <v>578</v>
      </c>
      <c r="P149" s="12" t="s">
        <v>578</v>
      </c>
      <c r="Q149" s="12" t="s">
        <v>578</v>
      </c>
      <c r="R149" s="12" t="s">
        <v>578</v>
      </c>
      <c r="S149" s="12" t="s">
        <v>578</v>
      </c>
      <c r="T149" s="12" t="s">
        <v>578</v>
      </c>
      <c r="U149" s="12" t="s">
        <v>578</v>
      </c>
      <c r="V149" s="12" t="s">
        <v>578</v>
      </c>
      <c r="W149" s="12" t="s">
        <v>578</v>
      </c>
      <c r="X149" s="12" t="s">
        <v>578</v>
      </c>
      <c r="Y149" s="12" t="s">
        <v>578</v>
      </c>
      <c r="Z149" s="12" t="s">
        <v>578</v>
      </c>
      <c r="AA149" s="12" t="s">
        <v>578</v>
      </c>
      <c r="AB149" s="12" t="s">
        <v>578</v>
      </c>
      <c r="AC149" s="12" t="s">
        <v>578</v>
      </c>
      <c r="AD149" s="12" t="s">
        <v>578</v>
      </c>
      <c r="AE149" s="12" t="s">
        <v>578</v>
      </c>
      <c r="AF149" s="12" t="s">
        <v>578</v>
      </c>
      <c r="AG149" s="12" t="s">
        <v>578</v>
      </c>
      <c r="AH149" s="12" t="s">
        <v>578</v>
      </c>
      <c r="AI149" s="12" t="s">
        <v>578</v>
      </c>
      <c r="AJ149" s="12" t="s">
        <v>578</v>
      </c>
      <c r="AK149" s="12" t="s">
        <v>578</v>
      </c>
      <c r="AL149" s="12" t="s">
        <v>578</v>
      </c>
      <c r="AM149" s="12" t="s">
        <v>578</v>
      </c>
      <c r="AN149" s="12" t="s">
        <v>578</v>
      </c>
      <c r="AO149" s="12" t="s">
        <v>578</v>
      </c>
      <c r="AP149" s="12" t="s">
        <v>578</v>
      </c>
      <c r="AQ149" s="12" t="s">
        <v>578</v>
      </c>
      <c r="AR149" s="12" t="s">
        <v>578</v>
      </c>
      <c r="AS149" s="12" t="s">
        <v>579</v>
      </c>
      <c r="AT149" s="12" t="s">
        <v>579</v>
      </c>
      <c r="AU149" s="12" t="s">
        <v>579</v>
      </c>
      <c r="AV149" s="12" t="s">
        <v>579</v>
      </c>
      <c r="AW149" s="12" t="s">
        <v>579</v>
      </c>
      <c r="AX149" s="12" t="s">
        <v>579</v>
      </c>
      <c r="AY149" s="12" t="s">
        <v>623</v>
      </c>
      <c r="AZ149" s="12" t="s">
        <v>851</v>
      </c>
      <c r="BA149" s="12" t="s">
        <v>755</v>
      </c>
      <c r="BB149" s="12" t="s">
        <v>624</v>
      </c>
      <c r="BC149" s="12" t="s">
        <v>624</v>
      </c>
      <c r="BD149" s="12" t="s">
        <v>673</v>
      </c>
      <c r="BE149" s="12" t="s">
        <v>676</v>
      </c>
      <c r="BF149" s="12" t="s">
        <v>2018</v>
      </c>
      <c r="BG149" s="12" t="s">
        <v>767</v>
      </c>
      <c r="BH149" s="12" t="s">
        <v>991</v>
      </c>
      <c r="BI149" s="12" t="s">
        <v>854</v>
      </c>
      <c r="BJ149" s="12" t="s">
        <v>977</v>
      </c>
      <c r="BK149" s="12" t="s">
        <v>979</v>
      </c>
      <c r="BL149" s="12" t="s">
        <v>1750</v>
      </c>
      <c r="BM149" s="12" t="s">
        <v>683</v>
      </c>
      <c r="BN149" s="12" t="s">
        <v>983</v>
      </c>
      <c r="BO149" s="12" t="s">
        <v>641</v>
      </c>
      <c r="BP149" s="12" t="s">
        <v>922</v>
      </c>
      <c r="BQ149" s="12" t="s">
        <v>1509</v>
      </c>
      <c r="BR149" s="12" t="s">
        <v>3121</v>
      </c>
      <c r="BS149" s="12" t="s">
        <v>958</v>
      </c>
      <c r="BT149" s="12" t="s">
        <v>2035</v>
      </c>
      <c r="BU149" s="12" t="s">
        <v>731</v>
      </c>
      <c r="BV149" s="12" t="s">
        <v>3126</v>
      </c>
      <c r="BW149" s="12" t="s">
        <v>656</v>
      </c>
      <c r="BX149" s="12" t="s">
        <v>1131</v>
      </c>
      <c r="BY149" s="12" t="s">
        <v>926</v>
      </c>
      <c r="BZ149" s="12" t="s">
        <v>1425</v>
      </c>
      <c r="CA149" s="12" t="s">
        <v>1284</v>
      </c>
      <c r="CB149" s="12" t="s">
        <v>1402</v>
      </c>
      <c r="CC149" s="12" t="s">
        <v>662</v>
      </c>
      <c r="CD149" s="12" t="s">
        <v>1374</v>
      </c>
      <c r="CE149" s="12" t="s">
        <v>779</v>
      </c>
      <c r="CF149" s="12" t="s">
        <v>2172</v>
      </c>
      <c r="CG149" s="12" t="s">
        <v>2840</v>
      </c>
      <c r="CH149" s="12" t="s">
        <v>1994</v>
      </c>
      <c r="CI149" s="12" t="s">
        <v>1051</v>
      </c>
      <c r="CJ149" s="12" t="s">
        <v>2190</v>
      </c>
      <c r="CK149" s="12" t="s">
        <v>3127</v>
      </c>
      <c r="CL149" s="12" t="s">
        <v>1379</v>
      </c>
      <c r="CM149" s="12" t="s">
        <v>1891</v>
      </c>
      <c r="CN149" s="12" t="s">
        <v>2217</v>
      </c>
      <c r="CO149" s="12" t="s">
        <v>2726</v>
      </c>
      <c r="CP149" s="12" t="s">
        <v>3128</v>
      </c>
      <c r="CQ149" s="12" t="s">
        <v>3129</v>
      </c>
      <c r="CR149" s="12" t="s">
        <v>1906</v>
      </c>
      <c r="CS149" s="12" t="s">
        <v>2049</v>
      </c>
      <c r="CT149" s="12" t="s">
        <v>610</v>
      </c>
    </row>
    <row r="150" spans="1:98" hidden="1" x14ac:dyDescent="0.3">
      <c r="A150" s="12" t="s">
        <v>25</v>
      </c>
      <c r="B150" s="12" t="s">
        <v>3130</v>
      </c>
      <c r="C150" s="12" t="s">
        <v>3131</v>
      </c>
      <c r="D150" s="12" t="s">
        <v>3132</v>
      </c>
      <c r="E150" s="12" t="s">
        <v>578</v>
      </c>
      <c r="F150" s="12" t="s">
        <v>578</v>
      </c>
      <c r="G150" s="12" t="s">
        <v>578</v>
      </c>
      <c r="H150" s="12" t="s">
        <v>578</v>
      </c>
      <c r="I150" s="12" t="s">
        <v>578</v>
      </c>
      <c r="J150" s="12" t="s">
        <v>578</v>
      </c>
      <c r="K150" s="12" t="s">
        <v>578</v>
      </c>
      <c r="L150" s="12" t="s">
        <v>578</v>
      </c>
      <c r="M150" s="12" t="s">
        <v>578</v>
      </c>
      <c r="N150" s="12" t="s">
        <v>578</v>
      </c>
      <c r="O150" s="12" t="s">
        <v>578</v>
      </c>
      <c r="P150" s="12" t="s">
        <v>578</v>
      </c>
      <c r="Q150" s="12" t="s">
        <v>578</v>
      </c>
      <c r="R150" s="12" t="s">
        <v>578</v>
      </c>
      <c r="S150" s="12" t="s">
        <v>578</v>
      </c>
      <c r="T150" s="12" t="s">
        <v>578</v>
      </c>
      <c r="U150" s="12" t="s">
        <v>578</v>
      </c>
      <c r="V150" s="12" t="s">
        <v>578</v>
      </c>
      <c r="W150" s="12" t="s">
        <v>578</v>
      </c>
      <c r="X150" s="12" t="s">
        <v>578</v>
      </c>
      <c r="Y150" s="12" t="s">
        <v>578</v>
      </c>
      <c r="Z150" s="12" t="s">
        <v>578</v>
      </c>
      <c r="AA150" s="12" t="s">
        <v>578</v>
      </c>
      <c r="AB150" s="12" t="s">
        <v>578</v>
      </c>
      <c r="AC150" s="12" t="s">
        <v>578</v>
      </c>
      <c r="AD150" s="12" t="s">
        <v>578</v>
      </c>
      <c r="AE150" s="12" t="s">
        <v>578</v>
      </c>
      <c r="AF150" s="12" t="s">
        <v>578</v>
      </c>
      <c r="AG150" s="12" t="s">
        <v>578</v>
      </c>
      <c r="AH150" s="12" t="s">
        <v>578</v>
      </c>
      <c r="AI150" s="12" t="s">
        <v>579</v>
      </c>
      <c r="AJ150" s="12" t="s">
        <v>579</v>
      </c>
      <c r="AK150" s="12" t="s">
        <v>579</v>
      </c>
      <c r="AL150" s="12" t="s">
        <v>579</v>
      </c>
      <c r="AM150" s="12" t="s">
        <v>579</v>
      </c>
      <c r="AN150" s="12" t="s">
        <v>623</v>
      </c>
      <c r="AO150" s="12" t="s">
        <v>623</v>
      </c>
      <c r="AP150" s="12" t="s">
        <v>623</v>
      </c>
      <c r="AQ150" s="12" t="s">
        <v>580</v>
      </c>
      <c r="AR150" s="12" t="s">
        <v>624</v>
      </c>
      <c r="AS150" s="12" t="s">
        <v>868</v>
      </c>
      <c r="AT150" s="12" t="s">
        <v>868</v>
      </c>
      <c r="AU150" s="12" t="s">
        <v>868</v>
      </c>
      <c r="AV150" s="12" t="s">
        <v>584</v>
      </c>
      <c r="AW150" s="12" t="s">
        <v>586</v>
      </c>
      <c r="AX150" s="12" t="s">
        <v>586</v>
      </c>
      <c r="AY150" s="12" t="s">
        <v>852</v>
      </c>
      <c r="AZ150" s="12" t="s">
        <v>852</v>
      </c>
      <c r="BA150" s="12" t="s">
        <v>1046</v>
      </c>
      <c r="BB150" s="12" t="s">
        <v>919</v>
      </c>
      <c r="BC150" s="12" t="s">
        <v>919</v>
      </c>
      <c r="BD150" s="12" t="s">
        <v>855</v>
      </c>
      <c r="BE150" s="12" t="s">
        <v>858</v>
      </c>
      <c r="BF150" s="12" t="s">
        <v>592</v>
      </c>
      <c r="BG150" s="12" t="s">
        <v>592</v>
      </c>
      <c r="BH150" s="12" t="s">
        <v>593</v>
      </c>
      <c r="BI150" s="12" t="s">
        <v>723</v>
      </c>
      <c r="BJ150" s="12" t="s">
        <v>1262</v>
      </c>
      <c r="BK150" s="12" t="s">
        <v>1186</v>
      </c>
      <c r="BL150" s="12" t="s">
        <v>1362</v>
      </c>
      <c r="BM150" s="12" t="s">
        <v>2030</v>
      </c>
      <c r="BN150" s="12" t="s">
        <v>727</v>
      </c>
      <c r="BO150" s="12" t="s">
        <v>1396</v>
      </c>
      <c r="BP150" s="12" t="s">
        <v>648</v>
      </c>
      <c r="BQ150" s="12" t="s">
        <v>1282</v>
      </c>
      <c r="BR150" s="12" t="s">
        <v>2002</v>
      </c>
      <c r="BS150" s="12" t="s">
        <v>2503</v>
      </c>
      <c r="BT150" s="12" t="s">
        <v>967</v>
      </c>
      <c r="BU150" s="12" t="s">
        <v>656</v>
      </c>
      <c r="BV150" s="12" t="s">
        <v>1844</v>
      </c>
      <c r="BW150" s="12" t="s">
        <v>1845</v>
      </c>
      <c r="BX150" s="12" t="s">
        <v>659</v>
      </c>
      <c r="BY150" s="12" t="s">
        <v>2080</v>
      </c>
      <c r="BZ150" s="12" t="s">
        <v>996</v>
      </c>
      <c r="CA150" s="12" t="s">
        <v>1039</v>
      </c>
      <c r="CB150" s="12" t="s">
        <v>1040</v>
      </c>
      <c r="CC150" s="12" t="s">
        <v>662</v>
      </c>
      <c r="CD150" s="12" t="s">
        <v>1405</v>
      </c>
      <c r="CE150" s="12" t="s">
        <v>1710</v>
      </c>
      <c r="CF150" s="12" t="s">
        <v>665</v>
      </c>
      <c r="CG150" s="12" t="s">
        <v>3133</v>
      </c>
      <c r="CH150" s="12" t="s">
        <v>2840</v>
      </c>
      <c r="CI150" s="12" t="s">
        <v>1627</v>
      </c>
      <c r="CJ150" s="12" t="s">
        <v>1100</v>
      </c>
      <c r="CK150" s="12" t="s">
        <v>1427</v>
      </c>
      <c r="CL150" s="12" t="s">
        <v>667</v>
      </c>
      <c r="CM150" s="12" t="s">
        <v>3134</v>
      </c>
      <c r="CN150" s="12" t="s">
        <v>1138</v>
      </c>
      <c r="CO150" s="12" t="s">
        <v>745</v>
      </c>
      <c r="CP150" s="12" t="s">
        <v>3135</v>
      </c>
      <c r="CQ150" s="12" t="s">
        <v>3135</v>
      </c>
      <c r="CR150" s="12" t="s">
        <v>1891</v>
      </c>
      <c r="CS150" s="12" t="s">
        <v>1139</v>
      </c>
      <c r="CT150" s="12" t="s">
        <v>746</v>
      </c>
    </row>
    <row r="151" spans="1:98" hidden="1" x14ac:dyDescent="0.3">
      <c r="A151" s="12" t="s">
        <v>25</v>
      </c>
      <c r="B151" s="12" t="s">
        <v>3136</v>
      </c>
      <c r="C151" s="12" t="s">
        <v>3137</v>
      </c>
      <c r="D151" s="12" t="s">
        <v>3138</v>
      </c>
      <c r="E151" s="12" t="s">
        <v>578</v>
      </c>
      <c r="F151" s="12" t="s">
        <v>578</v>
      </c>
      <c r="G151" s="12" t="s">
        <v>578</v>
      </c>
      <c r="H151" s="12" t="s">
        <v>578</v>
      </c>
      <c r="I151" s="12" t="s">
        <v>578</v>
      </c>
      <c r="J151" s="12" t="s">
        <v>578</v>
      </c>
      <c r="K151" s="12" t="s">
        <v>578</v>
      </c>
      <c r="L151" s="12" t="s">
        <v>578</v>
      </c>
      <c r="M151" s="12" t="s">
        <v>578</v>
      </c>
      <c r="N151" s="12" t="s">
        <v>578</v>
      </c>
      <c r="O151" s="12" t="s">
        <v>578</v>
      </c>
      <c r="P151" s="12" t="s">
        <v>578</v>
      </c>
      <c r="Q151" s="12" t="s">
        <v>578</v>
      </c>
      <c r="R151" s="12" t="s">
        <v>578</v>
      </c>
      <c r="S151" s="12" t="s">
        <v>578</v>
      </c>
      <c r="T151" s="12" t="s">
        <v>578</v>
      </c>
      <c r="U151" s="12" t="s">
        <v>578</v>
      </c>
      <c r="V151" s="12" t="s">
        <v>578</v>
      </c>
      <c r="W151" s="12" t="s">
        <v>578</v>
      </c>
      <c r="X151" s="12" t="s">
        <v>578</v>
      </c>
      <c r="Y151" s="12" t="s">
        <v>578</v>
      </c>
      <c r="Z151" s="12" t="s">
        <v>578</v>
      </c>
      <c r="AA151" s="12" t="s">
        <v>578</v>
      </c>
      <c r="AB151" s="12" t="s">
        <v>578</v>
      </c>
      <c r="AC151" s="12" t="s">
        <v>578</v>
      </c>
      <c r="AD151" s="12" t="s">
        <v>578</v>
      </c>
      <c r="AE151" s="12" t="s">
        <v>578</v>
      </c>
      <c r="AF151" s="12" t="s">
        <v>578</v>
      </c>
      <c r="AG151" s="12" t="s">
        <v>578</v>
      </c>
      <c r="AH151" s="12" t="s">
        <v>578</v>
      </c>
      <c r="AI151" s="12" t="s">
        <v>578</v>
      </c>
      <c r="AJ151" s="12" t="s">
        <v>578</v>
      </c>
      <c r="AK151" s="12" t="s">
        <v>578</v>
      </c>
      <c r="AL151" s="12" t="s">
        <v>578</v>
      </c>
      <c r="AM151" s="12" t="s">
        <v>578</v>
      </c>
      <c r="AN151" s="12" t="s">
        <v>578</v>
      </c>
      <c r="AO151" s="12" t="s">
        <v>578</v>
      </c>
      <c r="AP151" s="12" t="s">
        <v>578</v>
      </c>
      <c r="AQ151" s="12" t="s">
        <v>578</v>
      </c>
      <c r="AR151" s="12" t="s">
        <v>578</v>
      </c>
      <c r="AS151" s="12" t="s">
        <v>578</v>
      </c>
      <c r="AT151" s="12" t="s">
        <v>578</v>
      </c>
      <c r="AU151" s="12" t="s">
        <v>578</v>
      </c>
      <c r="AV151" s="12" t="s">
        <v>578</v>
      </c>
      <c r="AW151" s="12" t="s">
        <v>578</v>
      </c>
      <c r="AX151" s="12" t="s">
        <v>578</v>
      </c>
      <c r="AY151" s="12" t="s">
        <v>578</v>
      </c>
      <c r="AZ151" s="12" t="s">
        <v>578</v>
      </c>
      <c r="BA151" s="12" t="s">
        <v>578</v>
      </c>
      <c r="BB151" s="12" t="s">
        <v>578</v>
      </c>
      <c r="BC151" s="12" t="s">
        <v>578</v>
      </c>
      <c r="BD151" s="12" t="s">
        <v>578</v>
      </c>
      <c r="BE151" s="12" t="s">
        <v>578</v>
      </c>
      <c r="BF151" s="12" t="s">
        <v>578</v>
      </c>
      <c r="BG151" s="12" t="s">
        <v>579</v>
      </c>
      <c r="BH151" s="12" t="s">
        <v>579</v>
      </c>
      <c r="BI151" s="12" t="s">
        <v>623</v>
      </c>
      <c r="BJ151" s="12" t="s">
        <v>623</v>
      </c>
      <c r="BK151" s="12" t="s">
        <v>623</v>
      </c>
      <c r="BL151" s="12" t="s">
        <v>672</v>
      </c>
      <c r="BM151" s="12" t="s">
        <v>672</v>
      </c>
      <c r="BN151" s="12" t="s">
        <v>672</v>
      </c>
      <c r="BO151" s="12" t="s">
        <v>672</v>
      </c>
      <c r="BP151" s="12" t="s">
        <v>672</v>
      </c>
      <c r="BQ151" s="12" t="s">
        <v>672</v>
      </c>
      <c r="BR151" s="12" t="s">
        <v>672</v>
      </c>
      <c r="BS151" s="12" t="s">
        <v>672</v>
      </c>
      <c r="BT151" s="12" t="s">
        <v>672</v>
      </c>
      <c r="BU151" s="12" t="s">
        <v>672</v>
      </c>
      <c r="BV151" s="12" t="s">
        <v>672</v>
      </c>
      <c r="BW151" s="12" t="s">
        <v>851</v>
      </c>
      <c r="BX151" s="12" t="s">
        <v>851</v>
      </c>
      <c r="BY151" s="12" t="s">
        <v>582</v>
      </c>
      <c r="BZ151" s="12" t="s">
        <v>624</v>
      </c>
      <c r="CA151" s="12" t="s">
        <v>868</v>
      </c>
      <c r="CB151" s="12" t="s">
        <v>756</v>
      </c>
      <c r="CC151" s="12" t="s">
        <v>756</v>
      </c>
      <c r="CD151" s="12" t="s">
        <v>766</v>
      </c>
      <c r="CE151" s="12" t="s">
        <v>766</v>
      </c>
      <c r="CF151" s="12" t="s">
        <v>677</v>
      </c>
      <c r="CG151" s="12" t="s">
        <v>678</v>
      </c>
      <c r="CH151" s="12" t="s">
        <v>954</v>
      </c>
      <c r="CI151" s="12" t="s">
        <v>632</v>
      </c>
      <c r="CJ151" s="12" t="s">
        <v>632</v>
      </c>
      <c r="CK151" s="12" t="s">
        <v>632</v>
      </c>
      <c r="CL151" s="12" t="s">
        <v>632</v>
      </c>
      <c r="CM151" s="12" t="s">
        <v>635</v>
      </c>
      <c r="CN151" s="12" t="s">
        <v>635</v>
      </c>
      <c r="CO151" s="12" t="s">
        <v>857</v>
      </c>
      <c r="CP151" s="12" t="s">
        <v>860</v>
      </c>
      <c r="CQ151" s="12" t="s">
        <v>1732</v>
      </c>
      <c r="CR151" s="12" t="s">
        <v>1732</v>
      </c>
      <c r="CS151" s="12" t="s">
        <v>1732</v>
      </c>
      <c r="CT151" s="12" t="s">
        <v>1417</v>
      </c>
    </row>
    <row r="152" spans="1:98" hidden="1" x14ac:dyDescent="0.3">
      <c r="A152" s="12" t="s">
        <v>25</v>
      </c>
      <c r="B152" s="12" t="s">
        <v>3139</v>
      </c>
      <c r="C152" s="12" t="s">
        <v>3140</v>
      </c>
      <c r="D152" s="12" t="s">
        <v>3141</v>
      </c>
      <c r="E152" s="12" t="s">
        <v>578</v>
      </c>
      <c r="F152" s="12" t="s">
        <v>578</v>
      </c>
      <c r="G152" s="12" t="s">
        <v>578</v>
      </c>
      <c r="H152" s="12" t="s">
        <v>578</v>
      </c>
      <c r="I152" s="12" t="s">
        <v>578</v>
      </c>
      <c r="J152" s="12" t="s">
        <v>578</v>
      </c>
      <c r="K152" s="12" t="s">
        <v>578</v>
      </c>
      <c r="L152" s="12" t="s">
        <v>578</v>
      </c>
      <c r="M152" s="12" t="s">
        <v>578</v>
      </c>
      <c r="N152" s="12" t="s">
        <v>578</v>
      </c>
      <c r="O152" s="12" t="s">
        <v>578</v>
      </c>
      <c r="P152" s="12" t="s">
        <v>578</v>
      </c>
      <c r="Q152" s="12" t="s">
        <v>578</v>
      </c>
      <c r="R152" s="12" t="s">
        <v>578</v>
      </c>
      <c r="S152" s="12" t="s">
        <v>578</v>
      </c>
      <c r="T152" s="12" t="s">
        <v>578</v>
      </c>
      <c r="U152" s="12" t="s">
        <v>578</v>
      </c>
      <c r="V152" s="12" t="s">
        <v>578</v>
      </c>
      <c r="W152" s="12" t="s">
        <v>578</v>
      </c>
      <c r="X152" s="12" t="s">
        <v>578</v>
      </c>
      <c r="Y152" s="12" t="s">
        <v>578</v>
      </c>
      <c r="Z152" s="12" t="s">
        <v>578</v>
      </c>
      <c r="AA152" s="12" t="s">
        <v>578</v>
      </c>
      <c r="AB152" s="12" t="s">
        <v>578</v>
      </c>
      <c r="AC152" s="12" t="s">
        <v>578</v>
      </c>
      <c r="AD152" s="12" t="s">
        <v>578</v>
      </c>
      <c r="AE152" s="12" t="s">
        <v>578</v>
      </c>
      <c r="AF152" s="12" t="s">
        <v>578</v>
      </c>
      <c r="AG152" s="12" t="s">
        <v>578</v>
      </c>
      <c r="AH152" s="12" t="s">
        <v>578</v>
      </c>
      <c r="AI152" s="12" t="s">
        <v>578</v>
      </c>
      <c r="AJ152" s="12" t="s">
        <v>578</v>
      </c>
      <c r="AK152" s="12" t="s">
        <v>578</v>
      </c>
      <c r="AL152" s="12" t="s">
        <v>578</v>
      </c>
      <c r="AM152" s="12" t="s">
        <v>578</v>
      </c>
      <c r="AN152" s="12" t="s">
        <v>578</v>
      </c>
      <c r="AO152" s="12" t="s">
        <v>578</v>
      </c>
      <c r="AP152" s="12" t="s">
        <v>578</v>
      </c>
      <c r="AQ152" s="12" t="s">
        <v>578</v>
      </c>
      <c r="AR152" s="12" t="s">
        <v>578</v>
      </c>
      <c r="AS152" s="12" t="s">
        <v>578</v>
      </c>
      <c r="AT152" s="12" t="s">
        <v>578</v>
      </c>
      <c r="AU152" s="12" t="s">
        <v>579</v>
      </c>
      <c r="AV152" s="12" t="s">
        <v>579</v>
      </c>
      <c r="AW152" s="12" t="s">
        <v>579</v>
      </c>
      <c r="AX152" s="12" t="s">
        <v>579</v>
      </c>
      <c r="AY152" s="12" t="s">
        <v>579</v>
      </c>
      <c r="AZ152" s="12" t="s">
        <v>579</v>
      </c>
      <c r="BA152" s="12" t="s">
        <v>579</v>
      </c>
      <c r="BB152" s="12" t="s">
        <v>579</v>
      </c>
      <c r="BC152" s="12" t="s">
        <v>579</v>
      </c>
      <c r="BD152" s="12" t="s">
        <v>579</v>
      </c>
      <c r="BE152" s="12" t="s">
        <v>580</v>
      </c>
      <c r="BF152" s="12" t="s">
        <v>580</v>
      </c>
      <c r="BG152" s="12" t="s">
        <v>580</v>
      </c>
      <c r="BH152" s="12" t="s">
        <v>582</v>
      </c>
      <c r="BI152" s="12" t="s">
        <v>869</v>
      </c>
      <c r="BJ152" s="12" t="s">
        <v>869</v>
      </c>
      <c r="BK152" s="12" t="s">
        <v>869</v>
      </c>
      <c r="BL152" s="12" t="s">
        <v>677</v>
      </c>
      <c r="BM152" s="12" t="s">
        <v>677</v>
      </c>
      <c r="BN152" s="12" t="s">
        <v>630</v>
      </c>
      <c r="BO152" s="12" t="s">
        <v>630</v>
      </c>
      <c r="BP152" s="12" t="s">
        <v>630</v>
      </c>
      <c r="BQ152" s="12" t="s">
        <v>769</v>
      </c>
      <c r="BR152" s="12" t="s">
        <v>769</v>
      </c>
      <c r="BS152" s="12" t="s">
        <v>769</v>
      </c>
      <c r="BT152" s="12" t="s">
        <v>769</v>
      </c>
      <c r="BU152" s="12" t="s">
        <v>853</v>
      </c>
      <c r="BV152" s="12" t="s">
        <v>770</v>
      </c>
      <c r="BW152" s="12" t="s">
        <v>770</v>
      </c>
      <c r="BX152" s="12" t="s">
        <v>720</v>
      </c>
      <c r="BY152" s="12" t="s">
        <v>720</v>
      </c>
      <c r="BZ152" s="12" t="s">
        <v>855</v>
      </c>
      <c r="CA152" s="12" t="s">
        <v>855</v>
      </c>
      <c r="CB152" s="12" t="s">
        <v>855</v>
      </c>
      <c r="CC152" s="12" t="s">
        <v>810</v>
      </c>
      <c r="CD152" s="12" t="s">
        <v>810</v>
      </c>
      <c r="CE152" s="12" t="s">
        <v>810</v>
      </c>
      <c r="CF152" s="12" t="s">
        <v>771</v>
      </c>
      <c r="CG152" s="12" t="s">
        <v>771</v>
      </c>
      <c r="CH152" s="12" t="s">
        <v>771</v>
      </c>
      <c r="CI152" s="12" t="s">
        <v>771</v>
      </c>
      <c r="CJ152" s="12" t="s">
        <v>771</v>
      </c>
      <c r="CK152" s="12" t="s">
        <v>771</v>
      </c>
      <c r="CL152" s="12" t="s">
        <v>771</v>
      </c>
      <c r="CM152" s="12" t="s">
        <v>771</v>
      </c>
      <c r="CN152" s="12" t="s">
        <v>771</v>
      </c>
      <c r="CO152" s="12" t="s">
        <v>1184</v>
      </c>
      <c r="CP152" s="12" t="s">
        <v>1184</v>
      </c>
      <c r="CQ152" s="12" t="s">
        <v>1184</v>
      </c>
      <c r="CR152" s="12" t="s">
        <v>1184</v>
      </c>
      <c r="CS152" s="12" t="s">
        <v>1184</v>
      </c>
      <c r="CT152" s="12" t="s">
        <v>1184</v>
      </c>
    </row>
    <row r="153" spans="1:98" hidden="1" x14ac:dyDescent="0.3">
      <c r="A153" s="12" t="s">
        <v>25</v>
      </c>
      <c r="B153" s="12" t="s">
        <v>3142</v>
      </c>
      <c r="C153" s="12" t="s">
        <v>3143</v>
      </c>
      <c r="D153" s="12" t="s">
        <v>3144</v>
      </c>
      <c r="E153" s="12" t="s">
        <v>578</v>
      </c>
      <c r="F153" s="12" t="s">
        <v>578</v>
      </c>
      <c r="G153" s="12" t="s">
        <v>578</v>
      </c>
      <c r="H153" s="12" t="s">
        <v>578</v>
      </c>
      <c r="I153" s="12" t="s">
        <v>578</v>
      </c>
      <c r="J153" s="12" t="s">
        <v>578</v>
      </c>
      <c r="K153" s="12" t="s">
        <v>578</v>
      </c>
      <c r="L153" s="12" t="s">
        <v>578</v>
      </c>
      <c r="M153" s="12" t="s">
        <v>578</v>
      </c>
      <c r="N153" s="12" t="s">
        <v>578</v>
      </c>
      <c r="O153" s="12" t="s">
        <v>578</v>
      </c>
      <c r="P153" s="12" t="s">
        <v>578</v>
      </c>
      <c r="Q153" s="12" t="s">
        <v>578</v>
      </c>
      <c r="R153" s="12" t="s">
        <v>578</v>
      </c>
      <c r="S153" s="12" t="s">
        <v>578</v>
      </c>
      <c r="T153" s="12" t="s">
        <v>578</v>
      </c>
      <c r="U153" s="12" t="s">
        <v>578</v>
      </c>
      <c r="V153" s="12" t="s">
        <v>578</v>
      </c>
      <c r="W153" s="12" t="s">
        <v>578</v>
      </c>
      <c r="X153" s="12" t="s">
        <v>578</v>
      </c>
      <c r="Y153" s="12" t="s">
        <v>578</v>
      </c>
      <c r="Z153" s="12" t="s">
        <v>578</v>
      </c>
      <c r="AA153" s="12" t="s">
        <v>578</v>
      </c>
      <c r="AB153" s="12" t="s">
        <v>578</v>
      </c>
      <c r="AC153" s="12" t="s">
        <v>578</v>
      </c>
      <c r="AD153" s="12" t="s">
        <v>578</v>
      </c>
      <c r="AE153" s="12" t="s">
        <v>578</v>
      </c>
      <c r="AF153" s="12" t="s">
        <v>578</v>
      </c>
      <c r="AG153" s="12" t="s">
        <v>578</v>
      </c>
      <c r="AH153" s="12" t="s">
        <v>578</v>
      </c>
      <c r="AI153" s="12" t="s">
        <v>578</v>
      </c>
      <c r="AJ153" s="12" t="s">
        <v>578</v>
      </c>
      <c r="AK153" s="12" t="s">
        <v>578</v>
      </c>
      <c r="AL153" s="12" t="s">
        <v>578</v>
      </c>
      <c r="AM153" s="12" t="s">
        <v>578</v>
      </c>
      <c r="AN153" s="12" t="s">
        <v>578</v>
      </c>
      <c r="AO153" s="12" t="s">
        <v>578</v>
      </c>
      <c r="AP153" s="12" t="s">
        <v>579</v>
      </c>
      <c r="AQ153" s="12" t="s">
        <v>579</v>
      </c>
      <c r="AR153" s="12" t="s">
        <v>579</v>
      </c>
      <c r="AS153" s="12" t="s">
        <v>579</v>
      </c>
      <c r="AT153" s="12" t="s">
        <v>579</v>
      </c>
      <c r="AU153" s="12" t="s">
        <v>579</v>
      </c>
      <c r="AV153" s="12" t="s">
        <v>579</v>
      </c>
      <c r="AW153" s="12" t="s">
        <v>579</v>
      </c>
      <c r="AX153" s="12" t="s">
        <v>579</v>
      </c>
      <c r="AY153" s="12" t="s">
        <v>579</v>
      </c>
      <c r="AZ153" s="12" t="s">
        <v>579</v>
      </c>
      <c r="BA153" s="12" t="s">
        <v>579</v>
      </c>
      <c r="BB153" s="12" t="s">
        <v>672</v>
      </c>
      <c r="BC153" s="12" t="s">
        <v>672</v>
      </c>
      <c r="BD153" s="12" t="s">
        <v>851</v>
      </c>
      <c r="BE153" s="12" t="s">
        <v>755</v>
      </c>
      <c r="BF153" s="12" t="s">
        <v>625</v>
      </c>
      <c r="BG153" s="12" t="s">
        <v>673</v>
      </c>
      <c r="BH153" s="12" t="s">
        <v>757</v>
      </c>
      <c r="BI153" s="12" t="s">
        <v>913</v>
      </c>
      <c r="BJ153" s="12" t="s">
        <v>971</v>
      </c>
      <c r="BK153" s="12" t="s">
        <v>991</v>
      </c>
      <c r="BL153" s="12" t="s">
        <v>1352</v>
      </c>
      <c r="BM153" s="12" t="s">
        <v>1821</v>
      </c>
      <c r="BN153" s="12" t="s">
        <v>1734</v>
      </c>
      <c r="BO153" s="12" t="s">
        <v>1097</v>
      </c>
      <c r="BP153" s="12" t="s">
        <v>1687</v>
      </c>
      <c r="BQ153" s="12" t="s">
        <v>599</v>
      </c>
      <c r="BR153" s="12" t="s">
        <v>1438</v>
      </c>
      <c r="BS153" s="12" t="s">
        <v>2167</v>
      </c>
      <c r="BT153" s="12" t="s">
        <v>1033</v>
      </c>
      <c r="BU153" s="12" t="s">
        <v>1703</v>
      </c>
      <c r="BV153" s="12" t="s">
        <v>1626</v>
      </c>
      <c r="BW153" s="12" t="s">
        <v>1406</v>
      </c>
      <c r="BX153" s="12" t="s">
        <v>1523</v>
      </c>
      <c r="BY153" s="12" t="s">
        <v>746</v>
      </c>
      <c r="BZ153" s="12" t="s">
        <v>2004</v>
      </c>
      <c r="CA153" s="12" t="s">
        <v>1142</v>
      </c>
      <c r="CB153" s="12" t="s">
        <v>3145</v>
      </c>
      <c r="CC153" s="12" t="s">
        <v>2455</v>
      </c>
      <c r="CD153" s="12" t="s">
        <v>1967</v>
      </c>
      <c r="CE153" s="12" t="s">
        <v>3146</v>
      </c>
      <c r="CF153" s="12" t="s">
        <v>944</v>
      </c>
      <c r="CG153" s="12" t="s">
        <v>615</v>
      </c>
      <c r="CH153" s="12" t="s">
        <v>3147</v>
      </c>
      <c r="CI153" s="12" t="s">
        <v>3148</v>
      </c>
      <c r="CJ153" s="12" t="s">
        <v>2399</v>
      </c>
      <c r="CK153" s="12" t="s">
        <v>3031</v>
      </c>
      <c r="CL153" s="12" t="s">
        <v>2927</v>
      </c>
      <c r="CM153" s="12" t="s">
        <v>2432</v>
      </c>
      <c r="CN153" s="12" t="s">
        <v>3149</v>
      </c>
      <c r="CO153" s="12" t="s">
        <v>3150</v>
      </c>
      <c r="CP153" s="12" t="s">
        <v>2290</v>
      </c>
      <c r="CQ153" s="12" t="s">
        <v>1772</v>
      </c>
      <c r="CR153" s="12" t="s">
        <v>1469</v>
      </c>
      <c r="CS153" s="12" t="s">
        <v>1111</v>
      </c>
      <c r="CT153" s="12" t="s">
        <v>2686</v>
      </c>
    </row>
    <row r="154" spans="1:98" hidden="1" x14ac:dyDescent="0.3">
      <c r="A154" s="12" t="s">
        <v>25</v>
      </c>
      <c r="B154" s="12" t="s">
        <v>3151</v>
      </c>
      <c r="C154" s="12" t="s">
        <v>3152</v>
      </c>
      <c r="D154" s="12" t="s">
        <v>3153</v>
      </c>
      <c r="E154" s="12" t="s">
        <v>578</v>
      </c>
      <c r="F154" s="12" t="s">
        <v>578</v>
      </c>
      <c r="G154" s="12" t="s">
        <v>578</v>
      </c>
      <c r="H154" s="12" t="s">
        <v>578</v>
      </c>
      <c r="I154" s="12" t="s">
        <v>578</v>
      </c>
      <c r="J154" s="12" t="s">
        <v>578</v>
      </c>
      <c r="K154" s="12" t="s">
        <v>578</v>
      </c>
      <c r="L154" s="12" t="s">
        <v>578</v>
      </c>
      <c r="M154" s="12" t="s">
        <v>578</v>
      </c>
      <c r="N154" s="12" t="s">
        <v>578</v>
      </c>
      <c r="O154" s="12" t="s">
        <v>578</v>
      </c>
      <c r="P154" s="12" t="s">
        <v>578</v>
      </c>
      <c r="Q154" s="12" t="s">
        <v>578</v>
      </c>
      <c r="R154" s="12" t="s">
        <v>578</v>
      </c>
      <c r="S154" s="12" t="s">
        <v>578</v>
      </c>
      <c r="T154" s="12" t="s">
        <v>578</v>
      </c>
      <c r="U154" s="12" t="s">
        <v>578</v>
      </c>
      <c r="V154" s="12" t="s">
        <v>578</v>
      </c>
      <c r="W154" s="12" t="s">
        <v>578</v>
      </c>
      <c r="X154" s="12" t="s">
        <v>578</v>
      </c>
      <c r="Y154" s="12" t="s">
        <v>578</v>
      </c>
      <c r="Z154" s="12" t="s">
        <v>578</v>
      </c>
      <c r="AA154" s="12" t="s">
        <v>578</v>
      </c>
      <c r="AB154" s="12" t="s">
        <v>578</v>
      </c>
      <c r="AC154" s="12" t="s">
        <v>578</v>
      </c>
      <c r="AD154" s="12" t="s">
        <v>578</v>
      </c>
      <c r="AE154" s="12" t="s">
        <v>578</v>
      </c>
      <c r="AF154" s="12" t="s">
        <v>578</v>
      </c>
      <c r="AG154" s="12" t="s">
        <v>578</v>
      </c>
      <c r="AH154" s="12" t="s">
        <v>578</v>
      </c>
      <c r="AI154" s="12" t="s">
        <v>578</v>
      </c>
      <c r="AJ154" s="12" t="s">
        <v>578</v>
      </c>
      <c r="AK154" s="12" t="s">
        <v>578</v>
      </c>
      <c r="AL154" s="12" t="s">
        <v>578</v>
      </c>
      <c r="AM154" s="12" t="s">
        <v>578</v>
      </c>
      <c r="AN154" s="12" t="s">
        <v>578</v>
      </c>
      <c r="AO154" s="12" t="s">
        <v>578</v>
      </c>
      <c r="AP154" s="12" t="s">
        <v>578</v>
      </c>
      <c r="AQ154" s="12" t="s">
        <v>579</v>
      </c>
      <c r="AR154" s="12" t="s">
        <v>579</v>
      </c>
      <c r="AS154" s="12" t="s">
        <v>579</v>
      </c>
      <c r="AT154" s="12" t="s">
        <v>579</v>
      </c>
      <c r="AU154" s="12" t="s">
        <v>579</v>
      </c>
      <c r="AV154" s="12" t="s">
        <v>579</v>
      </c>
      <c r="AW154" s="12" t="s">
        <v>623</v>
      </c>
      <c r="AX154" s="12" t="s">
        <v>623</v>
      </c>
      <c r="AY154" s="12" t="s">
        <v>672</v>
      </c>
      <c r="AZ154" s="12" t="s">
        <v>672</v>
      </c>
      <c r="BA154" s="12" t="s">
        <v>581</v>
      </c>
      <c r="BB154" s="12" t="s">
        <v>582</v>
      </c>
      <c r="BC154" s="12" t="s">
        <v>674</v>
      </c>
      <c r="BD154" s="12" t="s">
        <v>767</v>
      </c>
      <c r="BE154" s="12" t="s">
        <v>630</v>
      </c>
      <c r="BF154" s="12" t="s">
        <v>632</v>
      </c>
      <c r="BG154" s="12" t="s">
        <v>855</v>
      </c>
      <c r="BH154" s="12" t="s">
        <v>1025</v>
      </c>
      <c r="BI154" s="12" t="s">
        <v>1488</v>
      </c>
      <c r="BJ154" s="12" t="s">
        <v>2056</v>
      </c>
      <c r="BK154" s="12" t="s">
        <v>604</v>
      </c>
      <c r="BL154" s="12" t="s">
        <v>2576</v>
      </c>
      <c r="BM154" s="12" t="s">
        <v>2140</v>
      </c>
      <c r="BN154" s="12" t="s">
        <v>3154</v>
      </c>
      <c r="BO154" s="12" t="s">
        <v>3155</v>
      </c>
      <c r="BP154" s="12" t="s">
        <v>1767</v>
      </c>
      <c r="BQ154" s="12" t="s">
        <v>3156</v>
      </c>
      <c r="BR154" s="12" t="s">
        <v>2441</v>
      </c>
      <c r="BS154" s="12" t="s">
        <v>3157</v>
      </c>
      <c r="BT154" s="12" t="s">
        <v>2210</v>
      </c>
      <c r="BU154" s="12" t="s">
        <v>3158</v>
      </c>
      <c r="BV154" s="12" t="s">
        <v>2998</v>
      </c>
      <c r="BW154" s="12" t="s">
        <v>3159</v>
      </c>
      <c r="BX154" s="12" t="s">
        <v>2465</v>
      </c>
      <c r="BY154" s="12" t="s">
        <v>3160</v>
      </c>
      <c r="BZ154" s="12" t="s">
        <v>3161</v>
      </c>
      <c r="CA154" s="12" t="s">
        <v>3162</v>
      </c>
      <c r="CB154" s="12" t="s">
        <v>3163</v>
      </c>
      <c r="CC154" s="12" t="s">
        <v>3164</v>
      </c>
      <c r="CD154" s="12" t="s">
        <v>3165</v>
      </c>
      <c r="CE154" s="12" t="s">
        <v>3166</v>
      </c>
      <c r="CF154" s="12" t="s">
        <v>3167</v>
      </c>
      <c r="CG154" s="12" t="s">
        <v>3168</v>
      </c>
      <c r="CH154" s="12" t="s">
        <v>1196</v>
      </c>
      <c r="CI154" s="12" t="s">
        <v>3169</v>
      </c>
      <c r="CJ154" s="12" t="s">
        <v>3170</v>
      </c>
      <c r="CK154" s="12" t="s">
        <v>3171</v>
      </c>
      <c r="CL154" s="12" t="s">
        <v>3172</v>
      </c>
      <c r="CM154" s="12" t="s">
        <v>3173</v>
      </c>
      <c r="CN154" s="12" t="s">
        <v>3174</v>
      </c>
      <c r="CO154" s="12" t="s">
        <v>3175</v>
      </c>
      <c r="CP154" s="12" t="s">
        <v>3176</v>
      </c>
      <c r="CQ154" s="12" t="s">
        <v>3177</v>
      </c>
      <c r="CR154" s="12" t="s">
        <v>3002</v>
      </c>
      <c r="CS154" s="12" t="s">
        <v>3178</v>
      </c>
      <c r="CT154" s="12" t="s">
        <v>3179</v>
      </c>
    </row>
    <row r="155" spans="1:98" hidden="1" x14ac:dyDescent="0.3">
      <c r="A155" s="12" t="s">
        <v>25</v>
      </c>
      <c r="B155" s="12" t="s">
        <v>3180</v>
      </c>
      <c r="C155" s="12" t="s">
        <v>3181</v>
      </c>
      <c r="D155" s="12" t="s">
        <v>3182</v>
      </c>
      <c r="E155" s="12" t="s">
        <v>578</v>
      </c>
      <c r="F155" s="12" t="s">
        <v>578</v>
      </c>
      <c r="G155" s="12" t="s">
        <v>578</v>
      </c>
      <c r="H155" s="12" t="s">
        <v>578</v>
      </c>
      <c r="I155" s="12" t="s">
        <v>578</v>
      </c>
      <c r="J155" s="12" t="s">
        <v>578</v>
      </c>
      <c r="K155" s="12" t="s">
        <v>578</v>
      </c>
      <c r="L155" s="12" t="s">
        <v>578</v>
      </c>
      <c r="M155" s="12" t="s">
        <v>578</v>
      </c>
      <c r="N155" s="12" t="s">
        <v>578</v>
      </c>
      <c r="O155" s="12" t="s">
        <v>578</v>
      </c>
      <c r="P155" s="12" t="s">
        <v>578</v>
      </c>
      <c r="Q155" s="12" t="s">
        <v>578</v>
      </c>
      <c r="R155" s="12" t="s">
        <v>578</v>
      </c>
      <c r="S155" s="12" t="s">
        <v>578</v>
      </c>
      <c r="T155" s="12" t="s">
        <v>578</v>
      </c>
      <c r="U155" s="12" t="s">
        <v>578</v>
      </c>
      <c r="V155" s="12" t="s">
        <v>578</v>
      </c>
      <c r="W155" s="12" t="s">
        <v>578</v>
      </c>
      <c r="X155" s="12" t="s">
        <v>578</v>
      </c>
      <c r="Y155" s="12" t="s">
        <v>578</v>
      </c>
      <c r="Z155" s="12" t="s">
        <v>578</v>
      </c>
      <c r="AA155" s="12" t="s">
        <v>578</v>
      </c>
      <c r="AB155" s="12" t="s">
        <v>578</v>
      </c>
      <c r="AC155" s="12" t="s">
        <v>578</v>
      </c>
      <c r="AD155" s="12" t="s">
        <v>578</v>
      </c>
      <c r="AE155" s="12" t="s">
        <v>578</v>
      </c>
      <c r="AF155" s="12" t="s">
        <v>578</v>
      </c>
      <c r="AG155" s="12" t="s">
        <v>578</v>
      </c>
      <c r="AH155" s="12" t="s">
        <v>578</v>
      </c>
      <c r="AI155" s="12" t="s">
        <v>578</v>
      </c>
      <c r="AJ155" s="12" t="s">
        <v>578</v>
      </c>
      <c r="AK155" s="12" t="s">
        <v>578</v>
      </c>
      <c r="AL155" s="12" t="s">
        <v>578</v>
      </c>
      <c r="AM155" s="12" t="s">
        <v>578</v>
      </c>
      <c r="AN155" s="12" t="s">
        <v>578</v>
      </c>
      <c r="AO155" s="12" t="s">
        <v>578</v>
      </c>
      <c r="AP155" s="12" t="s">
        <v>578</v>
      </c>
      <c r="AQ155" s="12" t="s">
        <v>578</v>
      </c>
      <c r="AR155" s="12" t="s">
        <v>578</v>
      </c>
      <c r="AS155" s="12" t="s">
        <v>578</v>
      </c>
      <c r="AT155" s="12" t="s">
        <v>578</v>
      </c>
      <c r="AU155" s="12" t="s">
        <v>578</v>
      </c>
      <c r="AV155" s="12" t="s">
        <v>578</v>
      </c>
      <c r="AW155" s="12" t="s">
        <v>578</v>
      </c>
      <c r="AX155" s="12" t="s">
        <v>578</v>
      </c>
      <c r="AY155" s="12" t="s">
        <v>578</v>
      </c>
      <c r="AZ155" s="12" t="s">
        <v>578</v>
      </c>
      <c r="BA155" s="12" t="s">
        <v>578</v>
      </c>
      <c r="BB155" s="12" t="s">
        <v>578</v>
      </c>
      <c r="BC155" s="12" t="s">
        <v>578</v>
      </c>
      <c r="BD155" s="12" t="s">
        <v>578</v>
      </c>
      <c r="BE155" s="12" t="s">
        <v>578</v>
      </c>
      <c r="BF155" s="12" t="s">
        <v>578</v>
      </c>
      <c r="BG155" s="12" t="s">
        <v>578</v>
      </c>
      <c r="BH155" s="12" t="s">
        <v>578</v>
      </c>
      <c r="BI155" s="12" t="s">
        <v>578</v>
      </c>
      <c r="BJ155" s="12" t="s">
        <v>578</v>
      </c>
      <c r="BK155" s="12" t="s">
        <v>672</v>
      </c>
      <c r="BL155" s="12" t="s">
        <v>672</v>
      </c>
      <c r="BM155" s="12" t="s">
        <v>672</v>
      </c>
      <c r="BN155" s="12" t="s">
        <v>625</v>
      </c>
      <c r="BO155" s="12" t="s">
        <v>673</v>
      </c>
      <c r="BP155" s="12" t="s">
        <v>674</v>
      </c>
      <c r="BQ155" s="12" t="s">
        <v>626</v>
      </c>
      <c r="BR155" s="12" t="s">
        <v>676</v>
      </c>
      <c r="BS155" s="12" t="s">
        <v>676</v>
      </c>
      <c r="BT155" s="12" t="s">
        <v>718</v>
      </c>
      <c r="BU155" s="12" t="s">
        <v>1259</v>
      </c>
      <c r="BV155" s="12" t="s">
        <v>992</v>
      </c>
      <c r="BW155" s="12" t="s">
        <v>992</v>
      </c>
      <c r="BX155" s="12" t="s">
        <v>632</v>
      </c>
      <c r="BY155" s="12" t="s">
        <v>634</v>
      </c>
      <c r="BZ155" s="12" t="s">
        <v>634</v>
      </c>
      <c r="CA155" s="12" t="s">
        <v>975</v>
      </c>
      <c r="CB155" s="12" t="s">
        <v>976</v>
      </c>
      <c r="CC155" s="12" t="s">
        <v>721</v>
      </c>
      <c r="CD155" s="12" t="s">
        <v>858</v>
      </c>
      <c r="CE155" s="12" t="s">
        <v>858</v>
      </c>
      <c r="CF155" s="12" t="s">
        <v>858</v>
      </c>
      <c r="CG155" s="12" t="s">
        <v>863</v>
      </c>
      <c r="CH155" s="12" t="s">
        <v>1664</v>
      </c>
      <c r="CI155" s="12" t="s">
        <v>1664</v>
      </c>
      <c r="CJ155" s="12" t="s">
        <v>1499</v>
      </c>
      <c r="CK155" s="12" t="s">
        <v>592</v>
      </c>
      <c r="CL155" s="12" t="s">
        <v>979</v>
      </c>
      <c r="CM155" s="12" t="s">
        <v>1417</v>
      </c>
      <c r="CN155" s="12" t="s">
        <v>593</v>
      </c>
      <c r="CO155" s="12" t="s">
        <v>993</v>
      </c>
      <c r="CP155" s="12" t="s">
        <v>993</v>
      </c>
      <c r="CQ155" s="12" t="s">
        <v>993</v>
      </c>
      <c r="CR155" s="12" t="s">
        <v>993</v>
      </c>
      <c r="CS155" s="12" t="s">
        <v>993</v>
      </c>
      <c r="CT155" s="12" t="s">
        <v>980</v>
      </c>
    </row>
    <row r="156" spans="1:98" hidden="1" x14ac:dyDescent="0.3">
      <c r="A156" s="12" t="s">
        <v>25</v>
      </c>
      <c r="B156" s="12" t="s">
        <v>3183</v>
      </c>
      <c r="C156" s="12" t="s">
        <v>3184</v>
      </c>
      <c r="D156" s="12" t="s">
        <v>3185</v>
      </c>
      <c r="E156" s="12" t="s">
        <v>578</v>
      </c>
      <c r="F156" s="12" t="s">
        <v>578</v>
      </c>
      <c r="G156" s="12" t="s">
        <v>578</v>
      </c>
      <c r="H156" s="12" t="s">
        <v>672</v>
      </c>
      <c r="I156" s="12" t="s">
        <v>580</v>
      </c>
      <c r="J156" s="12" t="s">
        <v>580</v>
      </c>
      <c r="K156" s="12" t="s">
        <v>580</v>
      </c>
      <c r="L156" s="12" t="s">
        <v>582</v>
      </c>
      <c r="M156" s="12" t="s">
        <v>755</v>
      </c>
      <c r="N156" s="12" t="s">
        <v>755</v>
      </c>
      <c r="O156" s="12" t="s">
        <v>755</v>
      </c>
      <c r="P156" s="12" t="s">
        <v>755</v>
      </c>
      <c r="Q156" s="12" t="s">
        <v>755</v>
      </c>
      <c r="R156" s="12" t="s">
        <v>624</v>
      </c>
      <c r="S156" s="12" t="s">
        <v>625</v>
      </c>
      <c r="T156" s="12" t="s">
        <v>625</v>
      </c>
      <c r="U156" s="12" t="s">
        <v>625</v>
      </c>
      <c r="V156" s="12" t="s">
        <v>584</v>
      </c>
      <c r="W156" s="12" t="s">
        <v>584</v>
      </c>
      <c r="X156" s="12" t="s">
        <v>808</v>
      </c>
      <c r="Y156" s="12" t="s">
        <v>808</v>
      </c>
      <c r="Z156" s="12" t="s">
        <v>808</v>
      </c>
      <c r="AA156" s="12" t="s">
        <v>674</v>
      </c>
      <c r="AB156" s="12" t="s">
        <v>674</v>
      </c>
      <c r="AC156" s="12" t="s">
        <v>586</v>
      </c>
      <c r="AD156" s="12" t="s">
        <v>586</v>
      </c>
      <c r="AE156" s="12" t="s">
        <v>586</v>
      </c>
      <c r="AF156" s="12" t="s">
        <v>586</v>
      </c>
      <c r="AG156" s="12" t="s">
        <v>586</v>
      </c>
      <c r="AH156" s="12" t="s">
        <v>586</v>
      </c>
      <c r="AI156" s="12" t="s">
        <v>586</v>
      </c>
      <c r="AJ156" s="12" t="s">
        <v>586</v>
      </c>
      <c r="AK156" s="12" t="s">
        <v>586</v>
      </c>
      <c r="AL156" s="12" t="s">
        <v>586</v>
      </c>
      <c r="AM156" s="12" t="s">
        <v>586</v>
      </c>
      <c r="AN156" s="12" t="s">
        <v>586</v>
      </c>
      <c r="AO156" s="12" t="s">
        <v>626</v>
      </c>
      <c r="AP156" s="12" t="s">
        <v>626</v>
      </c>
      <c r="AQ156" s="12" t="s">
        <v>757</v>
      </c>
      <c r="AR156" s="12" t="s">
        <v>953</v>
      </c>
      <c r="AS156" s="12" t="s">
        <v>953</v>
      </c>
      <c r="AT156" s="12" t="s">
        <v>971</v>
      </c>
      <c r="AU156" s="12" t="s">
        <v>954</v>
      </c>
      <c r="AV156" s="12" t="s">
        <v>954</v>
      </c>
      <c r="AW156" s="12" t="s">
        <v>1352</v>
      </c>
      <c r="AX156" s="12" t="s">
        <v>858</v>
      </c>
      <c r="AY156" s="12" t="s">
        <v>860</v>
      </c>
      <c r="AZ156" s="12" t="s">
        <v>1417</v>
      </c>
      <c r="BA156" s="12" t="s">
        <v>1355</v>
      </c>
      <c r="BB156" s="12" t="s">
        <v>2099</v>
      </c>
      <c r="BC156" s="12" t="s">
        <v>2099</v>
      </c>
      <c r="BD156" s="12" t="s">
        <v>641</v>
      </c>
      <c r="BE156" s="12" t="s">
        <v>1624</v>
      </c>
      <c r="BF156" s="12" t="s">
        <v>733</v>
      </c>
      <c r="BG156" s="12" t="s">
        <v>1707</v>
      </c>
      <c r="BH156" s="12" t="s">
        <v>745</v>
      </c>
      <c r="BI156" s="12" t="s">
        <v>2191</v>
      </c>
      <c r="BJ156" s="12" t="s">
        <v>934</v>
      </c>
      <c r="BK156" s="12" t="s">
        <v>3186</v>
      </c>
      <c r="BL156" s="12" t="s">
        <v>3187</v>
      </c>
      <c r="BM156" s="12" t="s">
        <v>1631</v>
      </c>
      <c r="BN156" s="12" t="s">
        <v>1114</v>
      </c>
      <c r="BO156" s="12" t="s">
        <v>3188</v>
      </c>
      <c r="BP156" s="12" t="s">
        <v>3189</v>
      </c>
      <c r="BQ156" s="12" t="s">
        <v>3190</v>
      </c>
      <c r="BR156" s="12" t="s">
        <v>3191</v>
      </c>
      <c r="BS156" s="12" t="s">
        <v>3192</v>
      </c>
      <c r="BT156" s="12" t="s">
        <v>3193</v>
      </c>
      <c r="BU156" s="12" t="s">
        <v>3194</v>
      </c>
      <c r="BV156" s="12" t="s">
        <v>3195</v>
      </c>
      <c r="BW156" s="12" t="s">
        <v>1452</v>
      </c>
      <c r="BX156" s="12" t="s">
        <v>3196</v>
      </c>
      <c r="BY156" s="12" t="s">
        <v>2411</v>
      </c>
      <c r="BZ156" s="12" t="s">
        <v>3197</v>
      </c>
      <c r="CA156" s="12" t="s">
        <v>3198</v>
      </c>
      <c r="CB156" s="12" t="s">
        <v>3199</v>
      </c>
      <c r="CC156" s="12" t="s">
        <v>3200</v>
      </c>
      <c r="CD156" s="12" t="s">
        <v>3201</v>
      </c>
      <c r="CE156" s="12" t="s">
        <v>3202</v>
      </c>
      <c r="CF156" s="12" t="s">
        <v>3203</v>
      </c>
      <c r="CG156" s="12" t="s">
        <v>3204</v>
      </c>
      <c r="CH156" s="12" t="s">
        <v>3205</v>
      </c>
      <c r="CI156" s="12" t="s">
        <v>3206</v>
      </c>
      <c r="CJ156" s="12" t="s">
        <v>3207</v>
      </c>
      <c r="CK156" s="12" t="s">
        <v>3208</v>
      </c>
      <c r="CL156" s="12" t="s">
        <v>3209</v>
      </c>
      <c r="CM156" s="12" t="s">
        <v>3210</v>
      </c>
      <c r="CN156" s="12" t="s">
        <v>3211</v>
      </c>
      <c r="CO156" s="12" t="s">
        <v>3212</v>
      </c>
      <c r="CP156" s="12" t="s">
        <v>3213</v>
      </c>
      <c r="CQ156" s="12" t="s">
        <v>3214</v>
      </c>
      <c r="CR156" s="12" t="s">
        <v>3215</v>
      </c>
      <c r="CS156" s="12" t="s">
        <v>3216</v>
      </c>
      <c r="CT156" s="12" t="s">
        <v>3217</v>
      </c>
    </row>
    <row r="157" spans="1:98" hidden="1" x14ac:dyDescent="0.3">
      <c r="A157" s="12" t="s">
        <v>25</v>
      </c>
      <c r="B157" s="12" t="s">
        <v>3218</v>
      </c>
      <c r="C157" s="12" t="s">
        <v>3219</v>
      </c>
      <c r="D157" s="12" t="s">
        <v>3220</v>
      </c>
      <c r="E157" s="12" t="s">
        <v>578</v>
      </c>
      <c r="F157" s="12" t="s">
        <v>578</v>
      </c>
      <c r="G157" s="12" t="s">
        <v>578</v>
      </c>
      <c r="H157" s="12" t="s">
        <v>578</v>
      </c>
      <c r="I157" s="12" t="s">
        <v>578</v>
      </c>
      <c r="J157" s="12" t="s">
        <v>578</v>
      </c>
      <c r="K157" s="12" t="s">
        <v>578</v>
      </c>
      <c r="L157" s="12" t="s">
        <v>578</v>
      </c>
      <c r="M157" s="12" t="s">
        <v>578</v>
      </c>
      <c r="N157" s="12" t="s">
        <v>578</v>
      </c>
      <c r="O157" s="12" t="s">
        <v>578</v>
      </c>
      <c r="P157" s="12" t="s">
        <v>578</v>
      </c>
      <c r="Q157" s="12" t="s">
        <v>578</v>
      </c>
      <c r="R157" s="12" t="s">
        <v>578</v>
      </c>
      <c r="S157" s="12" t="s">
        <v>578</v>
      </c>
      <c r="T157" s="12" t="s">
        <v>578</v>
      </c>
      <c r="U157" s="12" t="s">
        <v>578</v>
      </c>
      <c r="V157" s="12" t="s">
        <v>578</v>
      </c>
      <c r="W157" s="12" t="s">
        <v>578</v>
      </c>
      <c r="X157" s="12" t="s">
        <v>578</v>
      </c>
      <c r="Y157" s="12" t="s">
        <v>578</v>
      </c>
      <c r="Z157" s="12" t="s">
        <v>578</v>
      </c>
      <c r="AA157" s="12" t="s">
        <v>578</v>
      </c>
      <c r="AB157" s="12" t="s">
        <v>578</v>
      </c>
      <c r="AC157" s="12" t="s">
        <v>578</v>
      </c>
      <c r="AD157" s="12" t="s">
        <v>578</v>
      </c>
      <c r="AE157" s="12" t="s">
        <v>578</v>
      </c>
      <c r="AF157" s="12" t="s">
        <v>578</v>
      </c>
      <c r="AG157" s="12" t="s">
        <v>578</v>
      </c>
      <c r="AH157" s="12" t="s">
        <v>578</v>
      </c>
      <c r="AI157" s="12" t="s">
        <v>578</v>
      </c>
      <c r="AJ157" s="12" t="s">
        <v>578</v>
      </c>
      <c r="AK157" s="12" t="s">
        <v>578</v>
      </c>
      <c r="AL157" s="12" t="s">
        <v>578</v>
      </c>
      <c r="AM157" s="12" t="s">
        <v>578</v>
      </c>
      <c r="AN157" s="12" t="s">
        <v>578</v>
      </c>
      <c r="AO157" s="12" t="s">
        <v>578</v>
      </c>
      <c r="AP157" s="12" t="s">
        <v>578</v>
      </c>
      <c r="AQ157" s="12" t="s">
        <v>578</v>
      </c>
      <c r="AR157" s="12" t="s">
        <v>578</v>
      </c>
      <c r="AS157" s="12" t="s">
        <v>578</v>
      </c>
      <c r="AT157" s="12" t="s">
        <v>578</v>
      </c>
      <c r="AU157" s="12" t="s">
        <v>578</v>
      </c>
      <c r="AV157" s="12" t="s">
        <v>578</v>
      </c>
      <c r="AW157" s="12" t="s">
        <v>578</v>
      </c>
      <c r="AX157" s="12" t="s">
        <v>578</v>
      </c>
      <c r="AY157" s="12" t="s">
        <v>580</v>
      </c>
      <c r="AZ157" s="12" t="s">
        <v>580</v>
      </c>
      <c r="BA157" s="12" t="s">
        <v>851</v>
      </c>
      <c r="BB157" s="12" t="s">
        <v>755</v>
      </c>
      <c r="BC157" s="12" t="s">
        <v>755</v>
      </c>
      <c r="BD157" s="12" t="s">
        <v>761</v>
      </c>
      <c r="BE157" s="12" t="s">
        <v>624</v>
      </c>
      <c r="BF157" s="12" t="s">
        <v>868</v>
      </c>
      <c r="BG157" s="12" t="s">
        <v>868</v>
      </c>
      <c r="BH157" s="12" t="s">
        <v>868</v>
      </c>
      <c r="BI157" s="12" t="s">
        <v>868</v>
      </c>
      <c r="BJ157" s="12" t="s">
        <v>868</v>
      </c>
      <c r="BK157" s="12" t="s">
        <v>868</v>
      </c>
      <c r="BL157" s="12" t="s">
        <v>868</v>
      </c>
      <c r="BM157" s="12" t="s">
        <v>868</v>
      </c>
      <c r="BN157" s="12" t="s">
        <v>868</v>
      </c>
      <c r="BO157" s="12" t="s">
        <v>868</v>
      </c>
      <c r="BP157" s="12" t="s">
        <v>868</v>
      </c>
      <c r="BQ157" s="12" t="s">
        <v>868</v>
      </c>
      <c r="BR157" s="12" t="s">
        <v>584</v>
      </c>
      <c r="BS157" s="12" t="s">
        <v>584</v>
      </c>
      <c r="BT157" s="12" t="s">
        <v>673</v>
      </c>
      <c r="BU157" s="12" t="s">
        <v>673</v>
      </c>
      <c r="BV157" s="12" t="s">
        <v>808</v>
      </c>
      <c r="BW157" s="12" t="s">
        <v>674</v>
      </c>
      <c r="BX157" s="12" t="s">
        <v>674</v>
      </c>
      <c r="BY157" s="12" t="s">
        <v>674</v>
      </c>
      <c r="BZ157" s="12" t="s">
        <v>674</v>
      </c>
      <c r="CA157" s="12" t="s">
        <v>674</v>
      </c>
      <c r="CB157" s="12" t="s">
        <v>674</v>
      </c>
      <c r="CC157" s="12" t="s">
        <v>674</v>
      </c>
      <c r="CD157" s="12" t="s">
        <v>674</v>
      </c>
      <c r="CE157" s="12" t="s">
        <v>674</v>
      </c>
      <c r="CF157" s="12" t="s">
        <v>674</v>
      </c>
      <c r="CG157" s="12" t="s">
        <v>674</v>
      </c>
      <c r="CH157" s="12" t="s">
        <v>675</v>
      </c>
      <c r="CI157" s="12" t="s">
        <v>675</v>
      </c>
      <c r="CJ157" s="12" t="s">
        <v>675</v>
      </c>
      <c r="CK157" s="12" t="s">
        <v>586</v>
      </c>
      <c r="CL157" s="12" t="s">
        <v>757</v>
      </c>
      <c r="CM157" s="12" t="s">
        <v>869</v>
      </c>
      <c r="CN157" s="12" t="s">
        <v>917</v>
      </c>
      <c r="CO157" s="12" t="s">
        <v>809</v>
      </c>
      <c r="CP157" s="12" t="s">
        <v>974</v>
      </c>
      <c r="CQ157" s="12" t="s">
        <v>1352</v>
      </c>
      <c r="CR157" s="12" t="s">
        <v>977</v>
      </c>
      <c r="CS157" s="12" t="s">
        <v>1499</v>
      </c>
      <c r="CT157" s="12" t="s">
        <v>1355</v>
      </c>
    </row>
    <row r="158" spans="1:98" hidden="1" x14ac:dyDescent="0.3">
      <c r="A158" s="12" t="s">
        <v>25</v>
      </c>
      <c r="B158" s="12" t="s">
        <v>3221</v>
      </c>
      <c r="C158" s="12" t="s">
        <v>3222</v>
      </c>
      <c r="D158" s="12" t="s">
        <v>3223</v>
      </c>
      <c r="E158" s="12" t="s">
        <v>578</v>
      </c>
      <c r="F158" s="12" t="s">
        <v>578</v>
      </c>
      <c r="G158" s="12" t="s">
        <v>578</v>
      </c>
      <c r="H158" s="12" t="s">
        <v>578</v>
      </c>
      <c r="I158" s="12" t="s">
        <v>578</v>
      </c>
      <c r="J158" s="12" t="s">
        <v>578</v>
      </c>
      <c r="K158" s="12" t="s">
        <v>578</v>
      </c>
      <c r="L158" s="12" t="s">
        <v>578</v>
      </c>
      <c r="M158" s="12" t="s">
        <v>578</v>
      </c>
      <c r="N158" s="12" t="s">
        <v>578</v>
      </c>
      <c r="O158" s="12" t="s">
        <v>578</v>
      </c>
      <c r="P158" s="12" t="s">
        <v>578</v>
      </c>
      <c r="Q158" s="12" t="s">
        <v>578</v>
      </c>
      <c r="R158" s="12" t="s">
        <v>578</v>
      </c>
      <c r="S158" s="12" t="s">
        <v>578</v>
      </c>
      <c r="T158" s="12" t="s">
        <v>578</v>
      </c>
      <c r="U158" s="12" t="s">
        <v>578</v>
      </c>
      <c r="V158" s="12" t="s">
        <v>578</v>
      </c>
      <c r="W158" s="12" t="s">
        <v>578</v>
      </c>
      <c r="X158" s="12" t="s">
        <v>578</v>
      </c>
      <c r="Y158" s="12" t="s">
        <v>578</v>
      </c>
      <c r="Z158" s="12" t="s">
        <v>578</v>
      </c>
      <c r="AA158" s="12" t="s">
        <v>578</v>
      </c>
      <c r="AB158" s="12" t="s">
        <v>578</v>
      </c>
      <c r="AC158" s="12" t="s">
        <v>578</v>
      </c>
      <c r="AD158" s="12" t="s">
        <v>578</v>
      </c>
      <c r="AE158" s="12" t="s">
        <v>578</v>
      </c>
      <c r="AF158" s="12" t="s">
        <v>578</v>
      </c>
      <c r="AG158" s="12" t="s">
        <v>578</v>
      </c>
      <c r="AH158" s="12" t="s">
        <v>578</v>
      </c>
      <c r="AI158" s="12" t="s">
        <v>578</v>
      </c>
      <c r="AJ158" s="12" t="s">
        <v>578</v>
      </c>
      <c r="AK158" s="12" t="s">
        <v>578</v>
      </c>
      <c r="AL158" s="12" t="s">
        <v>578</v>
      </c>
      <c r="AM158" s="12" t="s">
        <v>578</v>
      </c>
      <c r="AN158" s="12" t="s">
        <v>578</v>
      </c>
      <c r="AO158" s="12" t="s">
        <v>578</v>
      </c>
      <c r="AP158" s="12" t="s">
        <v>578</v>
      </c>
      <c r="AQ158" s="12" t="s">
        <v>578</v>
      </c>
      <c r="AR158" s="12" t="s">
        <v>578</v>
      </c>
      <c r="AS158" s="12" t="s">
        <v>578</v>
      </c>
      <c r="AT158" s="12" t="s">
        <v>578</v>
      </c>
      <c r="AU158" s="12" t="s">
        <v>578</v>
      </c>
      <c r="AV158" s="12" t="s">
        <v>578</v>
      </c>
      <c r="AW158" s="12" t="s">
        <v>578</v>
      </c>
      <c r="AX158" s="12" t="s">
        <v>672</v>
      </c>
      <c r="AY158" s="12" t="s">
        <v>672</v>
      </c>
      <c r="AZ158" s="12" t="s">
        <v>672</v>
      </c>
      <c r="BA158" s="12" t="s">
        <v>581</v>
      </c>
      <c r="BB158" s="12" t="s">
        <v>851</v>
      </c>
      <c r="BC158" s="12" t="s">
        <v>851</v>
      </c>
      <c r="BD158" s="12" t="s">
        <v>625</v>
      </c>
      <c r="BE158" s="12" t="s">
        <v>808</v>
      </c>
      <c r="BF158" s="12" t="s">
        <v>585</v>
      </c>
      <c r="BG158" s="12" t="s">
        <v>2018</v>
      </c>
      <c r="BH158" s="12" t="s">
        <v>628</v>
      </c>
      <c r="BI158" s="12" t="s">
        <v>628</v>
      </c>
      <c r="BJ158" s="12" t="s">
        <v>719</v>
      </c>
      <c r="BK158" s="12" t="s">
        <v>633</v>
      </c>
      <c r="BL158" s="12" t="s">
        <v>1120</v>
      </c>
      <c r="BM158" s="12" t="s">
        <v>682</v>
      </c>
      <c r="BN158" s="12" t="s">
        <v>1260</v>
      </c>
      <c r="BO158" s="12" t="s">
        <v>592</v>
      </c>
      <c r="BP158" s="12" t="s">
        <v>1355</v>
      </c>
      <c r="BQ158" s="12" t="s">
        <v>873</v>
      </c>
      <c r="BR158" s="12" t="s">
        <v>683</v>
      </c>
      <c r="BS158" s="12" t="s">
        <v>2099</v>
      </c>
      <c r="BT158" s="12" t="s">
        <v>1309</v>
      </c>
      <c r="BU158" s="12" t="s">
        <v>1603</v>
      </c>
      <c r="BV158" s="12" t="s">
        <v>982</v>
      </c>
      <c r="BW158" s="12" t="s">
        <v>725</v>
      </c>
      <c r="BX158" s="12" t="s">
        <v>2137</v>
      </c>
      <c r="BY158" s="12" t="s">
        <v>1980</v>
      </c>
      <c r="BZ158" s="12" t="s">
        <v>2028</v>
      </c>
      <c r="CA158" s="12" t="s">
        <v>1839</v>
      </c>
      <c r="CB158" s="12" t="s">
        <v>1508</v>
      </c>
      <c r="CC158" s="12" t="s">
        <v>1364</v>
      </c>
      <c r="CD158" s="12" t="s">
        <v>599</v>
      </c>
      <c r="CE158" s="12" t="s">
        <v>959</v>
      </c>
      <c r="CF158" s="12" t="s">
        <v>1746</v>
      </c>
      <c r="CG158" s="12" t="s">
        <v>730</v>
      </c>
      <c r="CH158" s="12" t="s">
        <v>1842</v>
      </c>
      <c r="CI158" s="12" t="s">
        <v>1398</v>
      </c>
      <c r="CJ158" s="12" t="s">
        <v>1693</v>
      </c>
      <c r="CK158" s="12" t="s">
        <v>1367</v>
      </c>
      <c r="CL158" s="12" t="s">
        <v>2503</v>
      </c>
      <c r="CM158" s="12" t="s">
        <v>1368</v>
      </c>
      <c r="CN158" s="12" t="s">
        <v>1698</v>
      </c>
      <c r="CO158" s="12" t="s">
        <v>2890</v>
      </c>
      <c r="CP158" s="12" t="s">
        <v>3224</v>
      </c>
      <c r="CQ158" s="12" t="s">
        <v>925</v>
      </c>
      <c r="CR158" s="12" t="s">
        <v>603</v>
      </c>
      <c r="CS158" s="12" t="s">
        <v>1520</v>
      </c>
      <c r="CT158" s="12" t="s">
        <v>2679</v>
      </c>
    </row>
    <row r="159" spans="1:98" hidden="1" x14ac:dyDescent="0.3">
      <c r="A159" s="12" t="s">
        <v>25</v>
      </c>
      <c r="B159" s="12" t="s">
        <v>3225</v>
      </c>
      <c r="C159" s="12" t="s">
        <v>3226</v>
      </c>
      <c r="D159" s="12" t="s">
        <v>3227</v>
      </c>
      <c r="E159" s="12" t="s">
        <v>578</v>
      </c>
      <c r="F159" s="12" t="s">
        <v>578</v>
      </c>
      <c r="G159" s="12" t="s">
        <v>578</v>
      </c>
      <c r="H159" s="12" t="s">
        <v>578</v>
      </c>
      <c r="I159" s="12" t="s">
        <v>578</v>
      </c>
      <c r="J159" s="12" t="s">
        <v>578</v>
      </c>
      <c r="K159" s="12" t="s">
        <v>578</v>
      </c>
      <c r="L159" s="12" t="s">
        <v>578</v>
      </c>
      <c r="M159" s="12" t="s">
        <v>578</v>
      </c>
      <c r="N159" s="12" t="s">
        <v>578</v>
      </c>
      <c r="O159" s="12" t="s">
        <v>578</v>
      </c>
      <c r="P159" s="12" t="s">
        <v>578</v>
      </c>
      <c r="Q159" s="12" t="s">
        <v>578</v>
      </c>
      <c r="R159" s="12" t="s">
        <v>578</v>
      </c>
      <c r="S159" s="12" t="s">
        <v>578</v>
      </c>
      <c r="T159" s="12" t="s">
        <v>578</v>
      </c>
      <c r="U159" s="12" t="s">
        <v>578</v>
      </c>
      <c r="V159" s="12" t="s">
        <v>578</v>
      </c>
      <c r="W159" s="12" t="s">
        <v>578</v>
      </c>
      <c r="X159" s="12" t="s">
        <v>578</v>
      </c>
      <c r="Y159" s="12" t="s">
        <v>578</v>
      </c>
      <c r="Z159" s="12" t="s">
        <v>578</v>
      </c>
      <c r="AA159" s="12" t="s">
        <v>578</v>
      </c>
      <c r="AB159" s="12" t="s">
        <v>578</v>
      </c>
      <c r="AC159" s="12" t="s">
        <v>578</v>
      </c>
      <c r="AD159" s="12" t="s">
        <v>578</v>
      </c>
      <c r="AE159" s="12" t="s">
        <v>578</v>
      </c>
      <c r="AF159" s="12" t="s">
        <v>578</v>
      </c>
      <c r="AG159" s="12" t="s">
        <v>578</v>
      </c>
      <c r="AH159" s="12" t="s">
        <v>578</v>
      </c>
      <c r="AI159" s="12" t="s">
        <v>578</v>
      </c>
      <c r="AJ159" s="12" t="s">
        <v>578</v>
      </c>
      <c r="AK159" s="12" t="s">
        <v>578</v>
      </c>
      <c r="AL159" s="12" t="s">
        <v>578</v>
      </c>
      <c r="AM159" s="12" t="s">
        <v>578</v>
      </c>
      <c r="AN159" s="12" t="s">
        <v>578</v>
      </c>
      <c r="AO159" s="12" t="s">
        <v>578</v>
      </c>
      <c r="AP159" s="12" t="s">
        <v>578</v>
      </c>
      <c r="AQ159" s="12" t="s">
        <v>578</v>
      </c>
      <c r="AR159" s="12" t="s">
        <v>578</v>
      </c>
      <c r="AS159" s="12" t="s">
        <v>578</v>
      </c>
      <c r="AT159" s="12" t="s">
        <v>578</v>
      </c>
      <c r="AU159" s="12" t="s">
        <v>578</v>
      </c>
      <c r="AV159" s="12" t="s">
        <v>578</v>
      </c>
      <c r="AW159" s="12" t="s">
        <v>578</v>
      </c>
      <c r="AX159" s="12" t="s">
        <v>578</v>
      </c>
      <c r="AY159" s="12" t="s">
        <v>578</v>
      </c>
      <c r="AZ159" s="12" t="s">
        <v>578</v>
      </c>
      <c r="BA159" s="12" t="s">
        <v>578</v>
      </c>
      <c r="BB159" s="12" t="s">
        <v>578</v>
      </c>
      <c r="BC159" s="12" t="s">
        <v>578</v>
      </c>
      <c r="BD159" s="12" t="s">
        <v>578</v>
      </c>
      <c r="BE159" s="12" t="s">
        <v>579</v>
      </c>
      <c r="BF159" s="12" t="s">
        <v>579</v>
      </c>
      <c r="BG159" s="12" t="s">
        <v>579</v>
      </c>
      <c r="BH159" s="12" t="s">
        <v>579</v>
      </c>
      <c r="BI159" s="12" t="s">
        <v>579</v>
      </c>
      <c r="BJ159" s="12" t="s">
        <v>623</v>
      </c>
      <c r="BK159" s="12" t="s">
        <v>623</v>
      </c>
      <c r="BL159" s="12" t="s">
        <v>623</v>
      </c>
      <c r="BM159" s="12" t="s">
        <v>623</v>
      </c>
      <c r="BN159" s="12" t="s">
        <v>623</v>
      </c>
      <c r="BO159" s="12" t="s">
        <v>623</v>
      </c>
      <c r="BP159" s="12" t="s">
        <v>623</v>
      </c>
      <c r="BQ159" s="12" t="s">
        <v>672</v>
      </c>
      <c r="BR159" s="12" t="s">
        <v>672</v>
      </c>
      <c r="BS159" s="12" t="s">
        <v>581</v>
      </c>
      <c r="BT159" s="12" t="s">
        <v>581</v>
      </c>
      <c r="BU159" s="12" t="s">
        <v>581</v>
      </c>
      <c r="BV159" s="12" t="s">
        <v>851</v>
      </c>
      <c r="BW159" s="12" t="s">
        <v>851</v>
      </c>
      <c r="BX159" s="12" t="s">
        <v>851</v>
      </c>
      <c r="BY159" s="12" t="s">
        <v>851</v>
      </c>
      <c r="BZ159" s="12" t="s">
        <v>851</v>
      </c>
      <c r="CA159" s="12" t="s">
        <v>851</v>
      </c>
      <c r="CB159" s="12" t="s">
        <v>851</v>
      </c>
      <c r="CC159" s="12" t="s">
        <v>851</v>
      </c>
      <c r="CD159" s="12" t="s">
        <v>851</v>
      </c>
      <c r="CE159" s="12" t="s">
        <v>582</v>
      </c>
      <c r="CF159" s="12" t="s">
        <v>582</v>
      </c>
      <c r="CG159" s="12" t="s">
        <v>582</v>
      </c>
      <c r="CH159" s="12" t="s">
        <v>582</v>
      </c>
      <c r="CI159" s="12" t="s">
        <v>582</v>
      </c>
      <c r="CJ159" s="12" t="s">
        <v>582</v>
      </c>
      <c r="CK159" s="12" t="s">
        <v>582</v>
      </c>
      <c r="CL159" s="12" t="s">
        <v>582</v>
      </c>
      <c r="CM159" s="12" t="s">
        <v>582</v>
      </c>
      <c r="CN159" s="12" t="s">
        <v>582</v>
      </c>
      <c r="CO159" s="12" t="s">
        <v>582</v>
      </c>
      <c r="CP159" s="12" t="s">
        <v>582</v>
      </c>
      <c r="CQ159" s="12" t="s">
        <v>582</v>
      </c>
      <c r="CR159" s="12" t="s">
        <v>582</v>
      </c>
      <c r="CS159" s="12" t="s">
        <v>582</v>
      </c>
      <c r="CT159" s="12" t="s">
        <v>582</v>
      </c>
    </row>
    <row r="160" spans="1:98" hidden="1" x14ac:dyDescent="0.3">
      <c r="A160" s="12" t="s">
        <v>25</v>
      </c>
      <c r="B160" s="12" t="s">
        <v>3228</v>
      </c>
      <c r="C160" s="12" t="s">
        <v>3229</v>
      </c>
      <c r="D160" s="12" t="s">
        <v>3230</v>
      </c>
      <c r="E160" s="12" t="s">
        <v>578</v>
      </c>
      <c r="F160" s="12" t="s">
        <v>578</v>
      </c>
      <c r="G160" s="12" t="s">
        <v>578</v>
      </c>
      <c r="H160" s="12" t="s">
        <v>578</v>
      </c>
      <c r="I160" s="12" t="s">
        <v>578</v>
      </c>
      <c r="J160" s="12" t="s">
        <v>578</v>
      </c>
      <c r="K160" s="12" t="s">
        <v>578</v>
      </c>
      <c r="L160" s="12" t="s">
        <v>578</v>
      </c>
      <c r="M160" s="12" t="s">
        <v>578</v>
      </c>
      <c r="N160" s="12" t="s">
        <v>578</v>
      </c>
      <c r="O160" s="12" t="s">
        <v>578</v>
      </c>
      <c r="P160" s="12" t="s">
        <v>578</v>
      </c>
      <c r="Q160" s="12" t="s">
        <v>578</v>
      </c>
      <c r="R160" s="12" t="s">
        <v>578</v>
      </c>
      <c r="S160" s="12" t="s">
        <v>578</v>
      </c>
      <c r="T160" s="12" t="s">
        <v>578</v>
      </c>
      <c r="U160" s="12" t="s">
        <v>578</v>
      </c>
      <c r="V160" s="12" t="s">
        <v>578</v>
      </c>
      <c r="W160" s="12" t="s">
        <v>578</v>
      </c>
      <c r="X160" s="12" t="s">
        <v>578</v>
      </c>
      <c r="Y160" s="12" t="s">
        <v>578</v>
      </c>
      <c r="Z160" s="12" t="s">
        <v>578</v>
      </c>
      <c r="AA160" s="12" t="s">
        <v>578</v>
      </c>
      <c r="AB160" s="12" t="s">
        <v>578</v>
      </c>
      <c r="AC160" s="12" t="s">
        <v>578</v>
      </c>
      <c r="AD160" s="12" t="s">
        <v>578</v>
      </c>
      <c r="AE160" s="12" t="s">
        <v>578</v>
      </c>
      <c r="AF160" s="12" t="s">
        <v>578</v>
      </c>
      <c r="AG160" s="12" t="s">
        <v>578</v>
      </c>
      <c r="AH160" s="12" t="s">
        <v>578</v>
      </c>
      <c r="AI160" s="12" t="s">
        <v>578</v>
      </c>
      <c r="AJ160" s="12" t="s">
        <v>578</v>
      </c>
      <c r="AK160" s="12" t="s">
        <v>578</v>
      </c>
      <c r="AL160" s="12" t="s">
        <v>578</v>
      </c>
      <c r="AM160" s="12" t="s">
        <v>578</v>
      </c>
      <c r="AN160" s="12" t="s">
        <v>578</v>
      </c>
      <c r="AO160" s="12" t="s">
        <v>578</v>
      </c>
      <c r="AP160" s="12" t="s">
        <v>578</v>
      </c>
      <c r="AQ160" s="12" t="s">
        <v>578</v>
      </c>
      <c r="AR160" s="12" t="s">
        <v>578</v>
      </c>
      <c r="AS160" s="12" t="s">
        <v>578</v>
      </c>
      <c r="AT160" s="12" t="s">
        <v>578</v>
      </c>
      <c r="AU160" s="12" t="s">
        <v>578</v>
      </c>
      <c r="AV160" s="12" t="s">
        <v>578</v>
      </c>
      <c r="AW160" s="12" t="s">
        <v>578</v>
      </c>
      <c r="AX160" s="12" t="s">
        <v>578</v>
      </c>
      <c r="AY160" s="12" t="s">
        <v>578</v>
      </c>
      <c r="AZ160" s="12" t="s">
        <v>578</v>
      </c>
      <c r="BA160" s="12" t="s">
        <v>578</v>
      </c>
      <c r="BB160" s="12" t="s">
        <v>578</v>
      </c>
      <c r="BC160" s="12" t="s">
        <v>578</v>
      </c>
      <c r="BD160" s="12" t="s">
        <v>578</v>
      </c>
      <c r="BE160" s="12" t="s">
        <v>578</v>
      </c>
      <c r="BF160" s="12" t="s">
        <v>578</v>
      </c>
      <c r="BG160" s="12" t="s">
        <v>578</v>
      </c>
      <c r="BH160" s="12" t="s">
        <v>578</v>
      </c>
      <c r="BI160" s="12" t="s">
        <v>672</v>
      </c>
      <c r="BJ160" s="12" t="s">
        <v>672</v>
      </c>
      <c r="BK160" s="12" t="s">
        <v>625</v>
      </c>
      <c r="BL160" s="12" t="s">
        <v>756</v>
      </c>
      <c r="BM160" s="12" t="s">
        <v>869</v>
      </c>
      <c r="BN160" s="12" t="s">
        <v>971</v>
      </c>
      <c r="BO160" s="12" t="s">
        <v>629</v>
      </c>
      <c r="BP160" s="12" t="s">
        <v>678</v>
      </c>
      <c r="BQ160" s="12" t="s">
        <v>1184</v>
      </c>
      <c r="BR160" s="12" t="s">
        <v>591</v>
      </c>
      <c r="BS160" s="12" t="s">
        <v>863</v>
      </c>
      <c r="BT160" s="12" t="s">
        <v>1260</v>
      </c>
      <c r="BU160" s="12" t="s">
        <v>773</v>
      </c>
      <c r="BV160" s="12" t="s">
        <v>1821</v>
      </c>
      <c r="BW160" s="12" t="s">
        <v>2089</v>
      </c>
      <c r="BX160" s="12" t="s">
        <v>982</v>
      </c>
      <c r="BY160" s="12" t="s">
        <v>640</v>
      </c>
      <c r="BZ160" s="12" t="s">
        <v>2137</v>
      </c>
      <c r="CA160" s="12" t="s">
        <v>1839</v>
      </c>
      <c r="CB160" s="12" t="s">
        <v>1509</v>
      </c>
      <c r="CC160" s="12" t="s">
        <v>1264</v>
      </c>
      <c r="CD160" s="12" t="s">
        <v>597</v>
      </c>
      <c r="CE160" s="12" t="s">
        <v>1210</v>
      </c>
      <c r="CF160" s="12" t="s">
        <v>1396</v>
      </c>
      <c r="CG160" s="12" t="s">
        <v>923</v>
      </c>
      <c r="CH160" s="12" t="s">
        <v>3231</v>
      </c>
      <c r="CI160" s="12" t="s">
        <v>3231</v>
      </c>
      <c r="CJ160" s="12" t="s">
        <v>3231</v>
      </c>
      <c r="CK160" s="12" t="s">
        <v>3231</v>
      </c>
      <c r="CL160" s="12" t="s">
        <v>3231</v>
      </c>
      <c r="CM160" s="12" t="s">
        <v>3231</v>
      </c>
      <c r="CN160" s="12" t="s">
        <v>1833</v>
      </c>
      <c r="CO160" s="12" t="s">
        <v>1743</v>
      </c>
      <c r="CP160" s="12" t="s">
        <v>1743</v>
      </c>
      <c r="CQ160" s="12" t="s">
        <v>1743</v>
      </c>
      <c r="CR160" s="12" t="s">
        <v>819</v>
      </c>
      <c r="CS160" s="12" t="s">
        <v>1365</v>
      </c>
      <c r="CT160" s="12" t="s">
        <v>1365</v>
      </c>
    </row>
    <row r="161" spans="1:98" hidden="1" x14ac:dyDescent="0.3">
      <c r="A161" s="12" t="s">
        <v>25</v>
      </c>
      <c r="B161" s="12" t="s">
        <v>3232</v>
      </c>
      <c r="C161" s="12" t="s">
        <v>3233</v>
      </c>
      <c r="D161" s="12" t="s">
        <v>3234</v>
      </c>
      <c r="E161" s="12" t="s">
        <v>578</v>
      </c>
      <c r="F161" s="12" t="s">
        <v>578</v>
      </c>
      <c r="G161" s="12" t="s">
        <v>578</v>
      </c>
      <c r="H161" s="12" t="s">
        <v>578</v>
      </c>
      <c r="I161" s="12" t="s">
        <v>578</v>
      </c>
      <c r="J161" s="12" t="s">
        <v>578</v>
      </c>
      <c r="K161" s="12" t="s">
        <v>578</v>
      </c>
      <c r="L161" s="12" t="s">
        <v>578</v>
      </c>
      <c r="M161" s="12" t="s">
        <v>578</v>
      </c>
      <c r="N161" s="12" t="s">
        <v>578</v>
      </c>
      <c r="O161" s="12" t="s">
        <v>578</v>
      </c>
      <c r="P161" s="12" t="s">
        <v>578</v>
      </c>
      <c r="Q161" s="12" t="s">
        <v>578</v>
      </c>
      <c r="R161" s="12" t="s">
        <v>578</v>
      </c>
      <c r="S161" s="12" t="s">
        <v>578</v>
      </c>
      <c r="T161" s="12" t="s">
        <v>578</v>
      </c>
      <c r="U161" s="12" t="s">
        <v>578</v>
      </c>
      <c r="V161" s="12" t="s">
        <v>578</v>
      </c>
      <c r="W161" s="12" t="s">
        <v>578</v>
      </c>
      <c r="X161" s="12" t="s">
        <v>578</v>
      </c>
      <c r="Y161" s="12" t="s">
        <v>578</v>
      </c>
      <c r="Z161" s="12" t="s">
        <v>578</v>
      </c>
      <c r="AA161" s="12" t="s">
        <v>578</v>
      </c>
      <c r="AB161" s="12" t="s">
        <v>578</v>
      </c>
      <c r="AC161" s="12" t="s">
        <v>578</v>
      </c>
      <c r="AD161" s="12" t="s">
        <v>578</v>
      </c>
      <c r="AE161" s="12" t="s">
        <v>578</v>
      </c>
      <c r="AF161" s="12" t="s">
        <v>578</v>
      </c>
      <c r="AG161" s="12" t="s">
        <v>578</v>
      </c>
      <c r="AH161" s="12" t="s">
        <v>578</v>
      </c>
      <c r="AI161" s="12" t="s">
        <v>578</v>
      </c>
      <c r="AJ161" s="12" t="s">
        <v>578</v>
      </c>
      <c r="AK161" s="12" t="s">
        <v>578</v>
      </c>
      <c r="AL161" s="12" t="s">
        <v>578</v>
      </c>
      <c r="AM161" s="12" t="s">
        <v>578</v>
      </c>
      <c r="AN161" s="12" t="s">
        <v>578</v>
      </c>
      <c r="AO161" s="12" t="s">
        <v>578</v>
      </c>
      <c r="AP161" s="12" t="s">
        <v>579</v>
      </c>
      <c r="AQ161" s="12" t="s">
        <v>580</v>
      </c>
      <c r="AR161" s="12" t="s">
        <v>581</v>
      </c>
      <c r="AS161" s="12" t="s">
        <v>581</v>
      </c>
      <c r="AT161" s="12" t="s">
        <v>581</v>
      </c>
      <c r="AU161" s="12" t="s">
        <v>581</v>
      </c>
      <c r="AV161" s="12" t="s">
        <v>581</v>
      </c>
      <c r="AW161" s="12" t="s">
        <v>851</v>
      </c>
      <c r="AX161" s="12" t="s">
        <v>851</v>
      </c>
      <c r="AY161" s="12" t="s">
        <v>582</v>
      </c>
      <c r="AZ161" s="12" t="s">
        <v>582</v>
      </c>
      <c r="BA161" s="12" t="s">
        <v>582</v>
      </c>
      <c r="BB161" s="12" t="s">
        <v>755</v>
      </c>
      <c r="BC161" s="12" t="s">
        <v>625</v>
      </c>
      <c r="BD161" s="12" t="s">
        <v>625</v>
      </c>
      <c r="BE161" s="12" t="s">
        <v>676</v>
      </c>
      <c r="BF161" s="12" t="s">
        <v>1046</v>
      </c>
      <c r="BG161" s="12" t="s">
        <v>719</v>
      </c>
      <c r="BH161" s="12" t="s">
        <v>976</v>
      </c>
      <c r="BI161" s="12" t="s">
        <v>858</v>
      </c>
      <c r="BJ161" s="12" t="s">
        <v>1501</v>
      </c>
      <c r="BK161" s="12" t="s">
        <v>724</v>
      </c>
      <c r="BL161" s="12" t="s">
        <v>1488</v>
      </c>
      <c r="BM161" s="12" t="s">
        <v>1817</v>
      </c>
      <c r="BN161" s="12" t="s">
        <v>1610</v>
      </c>
      <c r="BO161" s="12" t="s">
        <v>601</v>
      </c>
      <c r="BP161" s="12" t="s">
        <v>2078</v>
      </c>
      <c r="BQ161" s="12" t="s">
        <v>658</v>
      </c>
      <c r="BR161" s="12" t="s">
        <v>1711</v>
      </c>
      <c r="BS161" s="12" t="s">
        <v>749</v>
      </c>
      <c r="BT161" s="12" t="s">
        <v>1429</v>
      </c>
      <c r="BU161" s="12" t="s">
        <v>3109</v>
      </c>
      <c r="BV161" s="12" t="s">
        <v>3235</v>
      </c>
      <c r="BW161" s="12" t="s">
        <v>2120</v>
      </c>
      <c r="BX161" s="12" t="s">
        <v>1778</v>
      </c>
      <c r="BY161" s="12" t="s">
        <v>3236</v>
      </c>
      <c r="BZ161" s="12" t="s">
        <v>3237</v>
      </c>
      <c r="CA161" s="12" t="s">
        <v>3238</v>
      </c>
      <c r="CB161" s="12" t="s">
        <v>3239</v>
      </c>
      <c r="CC161" s="12" t="s">
        <v>3240</v>
      </c>
      <c r="CD161" s="12" t="s">
        <v>3241</v>
      </c>
      <c r="CE161" s="12" t="s">
        <v>3242</v>
      </c>
      <c r="CF161" s="12" t="s">
        <v>3243</v>
      </c>
      <c r="CG161" s="12" t="s">
        <v>3244</v>
      </c>
      <c r="CH161" s="12" t="s">
        <v>3245</v>
      </c>
      <c r="CI161" s="12" t="s">
        <v>3246</v>
      </c>
      <c r="CJ161" s="12" t="s">
        <v>3247</v>
      </c>
      <c r="CK161" s="12" t="s">
        <v>3248</v>
      </c>
      <c r="CL161" s="12" t="s">
        <v>3249</v>
      </c>
      <c r="CM161" s="12" t="s">
        <v>3250</v>
      </c>
      <c r="CN161" s="12" t="s">
        <v>3251</v>
      </c>
      <c r="CO161" s="12" t="s">
        <v>3252</v>
      </c>
      <c r="CP161" s="12" t="s">
        <v>3253</v>
      </c>
      <c r="CQ161" s="12" t="s">
        <v>3254</v>
      </c>
      <c r="CR161" s="12" t="s">
        <v>3255</v>
      </c>
      <c r="CS161" s="12" t="s">
        <v>3256</v>
      </c>
      <c r="CT161" s="12" t="s">
        <v>3256</v>
      </c>
    </row>
    <row r="162" spans="1:98" hidden="1" x14ac:dyDescent="0.3">
      <c r="A162" s="12" t="s">
        <v>25</v>
      </c>
      <c r="B162" s="12" t="s">
        <v>3257</v>
      </c>
      <c r="C162" s="12" t="s">
        <v>3258</v>
      </c>
      <c r="D162" s="12" t="s">
        <v>3259</v>
      </c>
      <c r="E162" s="12" t="s">
        <v>578</v>
      </c>
      <c r="F162" s="12" t="s">
        <v>578</v>
      </c>
      <c r="G162" s="12" t="s">
        <v>578</v>
      </c>
      <c r="H162" s="12" t="s">
        <v>578</v>
      </c>
      <c r="I162" s="12" t="s">
        <v>578</v>
      </c>
      <c r="J162" s="12" t="s">
        <v>578</v>
      </c>
      <c r="K162" s="12" t="s">
        <v>578</v>
      </c>
      <c r="L162" s="12" t="s">
        <v>578</v>
      </c>
      <c r="M162" s="12" t="s">
        <v>578</v>
      </c>
      <c r="N162" s="12" t="s">
        <v>578</v>
      </c>
      <c r="O162" s="12" t="s">
        <v>578</v>
      </c>
      <c r="P162" s="12" t="s">
        <v>578</v>
      </c>
      <c r="Q162" s="12" t="s">
        <v>578</v>
      </c>
      <c r="R162" s="12" t="s">
        <v>578</v>
      </c>
      <c r="S162" s="12" t="s">
        <v>578</v>
      </c>
      <c r="T162" s="12" t="s">
        <v>578</v>
      </c>
      <c r="U162" s="12" t="s">
        <v>578</v>
      </c>
      <c r="V162" s="12" t="s">
        <v>578</v>
      </c>
      <c r="W162" s="12" t="s">
        <v>578</v>
      </c>
      <c r="X162" s="12" t="s">
        <v>578</v>
      </c>
      <c r="Y162" s="12" t="s">
        <v>578</v>
      </c>
      <c r="Z162" s="12" t="s">
        <v>578</v>
      </c>
      <c r="AA162" s="12" t="s">
        <v>578</v>
      </c>
      <c r="AB162" s="12" t="s">
        <v>578</v>
      </c>
      <c r="AC162" s="12" t="s">
        <v>578</v>
      </c>
      <c r="AD162" s="12" t="s">
        <v>578</v>
      </c>
      <c r="AE162" s="12" t="s">
        <v>578</v>
      </c>
      <c r="AF162" s="12" t="s">
        <v>578</v>
      </c>
      <c r="AG162" s="12" t="s">
        <v>578</v>
      </c>
      <c r="AH162" s="12" t="s">
        <v>578</v>
      </c>
      <c r="AI162" s="12" t="s">
        <v>578</v>
      </c>
      <c r="AJ162" s="12" t="s">
        <v>578</v>
      </c>
      <c r="AK162" s="12" t="s">
        <v>578</v>
      </c>
      <c r="AL162" s="12" t="s">
        <v>578</v>
      </c>
      <c r="AM162" s="12" t="s">
        <v>578</v>
      </c>
      <c r="AN162" s="12" t="s">
        <v>578</v>
      </c>
      <c r="AO162" s="12" t="s">
        <v>578</v>
      </c>
      <c r="AP162" s="12" t="s">
        <v>578</v>
      </c>
      <c r="AQ162" s="12" t="s">
        <v>578</v>
      </c>
      <c r="AR162" s="12" t="s">
        <v>578</v>
      </c>
      <c r="AS162" s="12" t="s">
        <v>578</v>
      </c>
      <c r="AT162" s="12" t="s">
        <v>578</v>
      </c>
      <c r="AU162" s="12" t="s">
        <v>578</v>
      </c>
      <c r="AV162" s="12" t="s">
        <v>578</v>
      </c>
      <c r="AW162" s="12" t="s">
        <v>578</v>
      </c>
      <c r="AX162" s="12" t="s">
        <v>578</v>
      </c>
      <c r="AY162" s="12" t="s">
        <v>579</v>
      </c>
      <c r="AZ162" s="12" t="s">
        <v>579</v>
      </c>
      <c r="BA162" s="12" t="s">
        <v>672</v>
      </c>
      <c r="BB162" s="12" t="s">
        <v>672</v>
      </c>
      <c r="BC162" s="12" t="s">
        <v>672</v>
      </c>
      <c r="BD162" s="12" t="s">
        <v>851</v>
      </c>
      <c r="BE162" s="12" t="s">
        <v>625</v>
      </c>
      <c r="BF162" s="12" t="s">
        <v>626</v>
      </c>
      <c r="BG162" s="12" t="s">
        <v>626</v>
      </c>
      <c r="BH162" s="12" t="s">
        <v>2018</v>
      </c>
      <c r="BI162" s="12" t="s">
        <v>2018</v>
      </c>
      <c r="BJ162" s="12" t="s">
        <v>991</v>
      </c>
      <c r="BK162" s="12" t="s">
        <v>973</v>
      </c>
      <c r="BL162" s="12" t="s">
        <v>856</v>
      </c>
      <c r="BM162" s="12" t="s">
        <v>591</v>
      </c>
      <c r="BN162" s="12" t="s">
        <v>1208</v>
      </c>
      <c r="BO162" s="12" t="s">
        <v>1751</v>
      </c>
      <c r="BP162" s="12" t="s">
        <v>2099</v>
      </c>
      <c r="BQ162" s="12" t="s">
        <v>1531</v>
      </c>
      <c r="BR162" s="12" t="s">
        <v>2360</v>
      </c>
      <c r="BS162" s="12" t="s">
        <v>1027</v>
      </c>
      <c r="BT162" s="12" t="s">
        <v>1495</v>
      </c>
      <c r="BU162" s="12" t="s">
        <v>1098</v>
      </c>
      <c r="BV162" s="12" t="s">
        <v>877</v>
      </c>
      <c r="BW162" s="12" t="s">
        <v>602</v>
      </c>
      <c r="BX162" s="12" t="s">
        <v>1721</v>
      </c>
      <c r="BY162" s="12" t="s">
        <v>1670</v>
      </c>
      <c r="BZ162" s="12" t="s">
        <v>3260</v>
      </c>
      <c r="CA162" s="12" t="s">
        <v>2286</v>
      </c>
      <c r="CB162" s="12" t="s">
        <v>939</v>
      </c>
      <c r="CC162" s="12" t="s">
        <v>3261</v>
      </c>
      <c r="CD162" s="12" t="s">
        <v>1466</v>
      </c>
      <c r="CE162" s="12" t="s">
        <v>3262</v>
      </c>
      <c r="CF162" s="12" t="s">
        <v>3263</v>
      </c>
      <c r="CG162" s="12" t="s">
        <v>2400</v>
      </c>
      <c r="CH162" s="12" t="s">
        <v>3264</v>
      </c>
      <c r="CI162" s="12" t="s">
        <v>3265</v>
      </c>
      <c r="CJ162" s="12" t="s">
        <v>3266</v>
      </c>
      <c r="CK162" s="12" t="s">
        <v>3267</v>
      </c>
      <c r="CL162" s="12" t="s">
        <v>3268</v>
      </c>
      <c r="CM162" s="12" t="s">
        <v>3269</v>
      </c>
      <c r="CN162" s="12" t="s">
        <v>3270</v>
      </c>
      <c r="CO162" s="12" t="s">
        <v>3271</v>
      </c>
      <c r="CP162" s="12" t="s">
        <v>3272</v>
      </c>
      <c r="CQ162" s="12" t="s">
        <v>3117</v>
      </c>
      <c r="CR162" s="12" t="s">
        <v>3273</v>
      </c>
      <c r="CS162" s="12" t="s">
        <v>902</v>
      </c>
      <c r="CT162" s="12" t="s">
        <v>3274</v>
      </c>
    </row>
    <row r="163" spans="1:98" hidden="1" x14ac:dyDescent="0.3">
      <c r="A163" s="12" t="s">
        <v>25</v>
      </c>
      <c r="B163" s="12" t="s">
        <v>3275</v>
      </c>
      <c r="C163" s="12" t="s">
        <v>3276</v>
      </c>
      <c r="D163" s="12" t="s">
        <v>3277</v>
      </c>
      <c r="E163" s="12" t="s">
        <v>578</v>
      </c>
      <c r="F163" s="12" t="s">
        <v>578</v>
      </c>
      <c r="G163" s="12" t="s">
        <v>578</v>
      </c>
      <c r="H163" s="12" t="s">
        <v>578</v>
      </c>
      <c r="I163" s="12" t="s">
        <v>578</v>
      </c>
      <c r="J163" s="12" t="s">
        <v>578</v>
      </c>
      <c r="K163" s="12" t="s">
        <v>578</v>
      </c>
      <c r="L163" s="12" t="s">
        <v>578</v>
      </c>
      <c r="M163" s="12" t="s">
        <v>578</v>
      </c>
      <c r="N163" s="12" t="s">
        <v>578</v>
      </c>
      <c r="O163" s="12" t="s">
        <v>578</v>
      </c>
      <c r="P163" s="12" t="s">
        <v>578</v>
      </c>
      <c r="Q163" s="12" t="s">
        <v>578</v>
      </c>
      <c r="R163" s="12" t="s">
        <v>578</v>
      </c>
      <c r="S163" s="12" t="s">
        <v>578</v>
      </c>
      <c r="T163" s="12" t="s">
        <v>578</v>
      </c>
      <c r="U163" s="12" t="s">
        <v>578</v>
      </c>
      <c r="V163" s="12" t="s">
        <v>578</v>
      </c>
      <c r="W163" s="12" t="s">
        <v>578</v>
      </c>
      <c r="X163" s="12" t="s">
        <v>578</v>
      </c>
      <c r="Y163" s="12" t="s">
        <v>578</v>
      </c>
      <c r="Z163" s="12" t="s">
        <v>578</v>
      </c>
      <c r="AA163" s="12" t="s">
        <v>578</v>
      </c>
      <c r="AB163" s="12" t="s">
        <v>578</v>
      </c>
      <c r="AC163" s="12" t="s">
        <v>578</v>
      </c>
      <c r="AD163" s="12" t="s">
        <v>578</v>
      </c>
      <c r="AE163" s="12" t="s">
        <v>578</v>
      </c>
      <c r="AF163" s="12" t="s">
        <v>578</v>
      </c>
      <c r="AG163" s="12" t="s">
        <v>578</v>
      </c>
      <c r="AH163" s="12" t="s">
        <v>578</v>
      </c>
      <c r="AI163" s="12" t="s">
        <v>578</v>
      </c>
      <c r="AJ163" s="12" t="s">
        <v>578</v>
      </c>
      <c r="AK163" s="12" t="s">
        <v>578</v>
      </c>
      <c r="AL163" s="12" t="s">
        <v>578</v>
      </c>
      <c r="AM163" s="12" t="s">
        <v>578</v>
      </c>
      <c r="AN163" s="12" t="s">
        <v>578</v>
      </c>
      <c r="AO163" s="12" t="s">
        <v>578</v>
      </c>
      <c r="AP163" s="12" t="s">
        <v>578</v>
      </c>
      <c r="AQ163" s="12" t="s">
        <v>579</v>
      </c>
      <c r="AR163" s="12" t="s">
        <v>579</v>
      </c>
      <c r="AS163" s="12" t="s">
        <v>579</v>
      </c>
      <c r="AT163" s="12" t="s">
        <v>579</v>
      </c>
      <c r="AU163" s="12" t="s">
        <v>579</v>
      </c>
      <c r="AV163" s="12" t="s">
        <v>579</v>
      </c>
      <c r="AW163" s="12" t="s">
        <v>579</v>
      </c>
      <c r="AX163" s="12" t="s">
        <v>579</v>
      </c>
      <c r="AY163" s="12" t="s">
        <v>579</v>
      </c>
      <c r="AZ163" s="12" t="s">
        <v>579</v>
      </c>
      <c r="BA163" s="12" t="s">
        <v>579</v>
      </c>
      <c r="BB163" s="12" t="s">
        <v>579</v>
      </c>
      <c r="BC163" s="12" t="s">
        <v>623</v>
      </c>
      <c r="BD163" s="12" t="s">
        <v>623</v>
      </c>
      <c r="BE163" s="12" t="s">
        <v>623</v>
      </c>
      <c r="BF163" s="12" t="s">
        <v>623</v>
      </c>
      <c r="BG163" s="12" t="s">
        <v>582</v>
      </c>
      <c r="BH163" s="12" t="s">
        <v>582</v>
      </c>
      <c r="BI163" s="12" t="s">
        <v>582</v>
      </c>
      <c r="BJ163" s="12" t="s">
        <v>582</v>
      </c>
      <c r="BK163" s="12" t="s">
        <v>583</v>
      </c>
      <c r="BL163" s="12" t="s">
        <v>583</v>
      </c>
      <c r="BM163" s="12" t="s">
        <v>626</v>
      </c>
      <c r="BN163" s="12" t="s">
        <v>626</v>
      </c>
      <c r="BO163" s="12" t="s">
        <v>626</v>
      </c>
      <c r="BP163" s="12" t="s">
        <v>766</v>
      </c>
      <c r="BQ163" s="12" t="s">
        <v>627</v>
      </c>
      <c r="BR163" s="12" t="s">
        <v>629</v>
      </c>
      <c r="BS163" s="12" t="s">
        <v>629</v>
      </c>
      <c r="BT163" s="12" t="s">
        <v>918</v>
      </c>
      <c r="BU163" s="12" t="s">
        <v>991</v>
      </c>
      <c r="BV163" s="12" t="s">
        <v>809</v>
      </c>
      <c r="BW163" s="12" t="s">
        <v>631</v>
      </c>
      <c r="BX163" s="12" t="s">
        <v>680</v>
      </c>
      <c r="BY163" s="12" t="s">
        <v>633</v>
      </c>
      <c r="BZ163" s="12" t="s">
        <v>973</v>
      </c>
      <c r="CA163" s="12" t="s">
        <v>1120</v>
      </c>
      <c r="CB163" s="12" t="s">
        <v>855</v>
      </c>
      <c r="CC163" s="12" t="s">
        <v>771</v>
      </c>
      <c r="CD163" s="12" t="s">
        <v>1184</v>
      </c>
      <c r="CE163" s="12" t="s">
        <v>590</v>
      </c>
      <c r="CF163" s="12" t="s">
        <v>682</v>
      </c>
      <c r="CG163" s="12" t="s">
        <v>871</v>
      </c>
      <c r="CH163" s="12" t="s">
        <v>858</v>
      </c>
      <c r="CI163" s="12" t="s">
        <v>858</v>
      </c>
      <c r="CJ163" s="12" t="s">
        <v>858</v>
      </c>
      <c r="CK163" s="12" t="s">
        <v>858</v>
      </c>
      <c r="CL163" s="12" t="s">
        <v>858</v>
      </c>
      <c r="CM163" s="12" t="s">
        <v>591</v>
      </c>
      <c r="CN163" s="12" t="s">
        <v>591</v>
      </c>
      <c r="CO163" s="12" t="s">
        <v>591</v>
      </c>
      <c r="CP163" s="12" t="s">
        <v>591</v>
      </c>
      <c r="CQ163" s="12" t="s">
        <v>591</v>
      </c>
      <c r="CR163" s="12" t="s">
        <v>591</v>
      </c>
      <c r="CS163" s="12" t="s">
        <v>591</v>
      </c>
      <c r="CT163" s="12" t="s">
        <v>591</v>
      </c>
    </row>
    <row r="164" spans="1:98" hidden="1" x14ac:dyDescent="0.3">
      <c r="A164" s="12" t="s">
        <v>25</v>
      </c>
      <c r="B164" s="12" t="s">
        <v>3278</v>
      </c>
      <c r="C164" s="12" t="s">
        <v>3279</v>
      </c>
      <c r="D164" s="12" t="s">
        <v>3280</v>
      </c>
      <c r="E164" s="12" t="s">
        <v>578</v>
      </c>
      <c r="F164" s="12" t="s">
        <v>578</v>
      </c>
      <c r="G164" s="12" t="s">
        <v>578</v>
      </c>
      <c r="H164" s="12" t="s">
        <v>578</v>
      </c>
      <c r="I164" s="12" t="s">
        <v>578</v>
      </c>
      <c r="J164" s="12" t="s">
        <v>578</v>
      </c>
      <c r="K164" s="12" t="s">
        <v>578</v>
      </c>
      <c r="L164" s="12" t="s">
        <v>578</v>
      </c>
      <c r="M164" s="12" t="s">
        <v>578</v>
      </c>
      <c r="N164" s="12" t="s">
        <v>578</v>
      </c>
      <c r="O164" s="12" t="s">
        <v>578</v>
      </c>
      <c r="P164" s="12" t="s">
        <v>578</v>
      </c>
      <c r="Q164" s="12" t="s">
        <v>578</v>
      </c>
      <c r="R164" s="12" t="s">
        <v>578</v>
      </c>
      <c r="S164" s="12" t="s">
        <v>578</v>
      </c>
      <c r="T164" s="12" t="s">
        <v>578</v>
      </c>
      <c r="U164" s="12" t="s">
        <v>578</v>
      </c>
      <c r="V164" s="12" t="s">
        <v>578</v>
      </c>
      <c r="W164" s="12" t="s">
        <v>578</v>
      </c>
      <c r="X164" s="12" t="s">
        <v>578</v>
      </c>
      <c r="Y164" s="12" t="s">
        <v>578</v>
      </c>
      <c r="Z164" s="12" t="s">
        <v>578</v>
      </c>
      <c r="AA164" s="12" t="s">
        <v>578</v>
      </c>
      <c r="AB164" s="12" t="s">
        <v>578</v>
      </c>
      <c r="AC164" s="12" t="s">
        <v>578</v>
      </c>
      <c r="AD164" s="12" t="s">
        <v>578</v>
      </c>
      <c r="AE164" s="12" t="s">
        <v>578</v>
      </c>
      <c r="AF164" s="12" t="s">
        <v>578</v>
      </c>
      <c r="AG164" s="12" t="s">
        <v>578</v>
      </c>
      <c r="AH164" s="12" t="s">
        <v>578</v>
      </c>
      <c r="AI164" s="12" t="s">
        <v>578</v>
      </c>
      <c r="AJ164" s="12" t="s">
        <v>578</v>
      </c>
      <c r="AK164" s="12" t="s">
        <v>578</v>
      </c>
      <c r="AL164" s="12" t="s">
        <v>578</v>
      </c>
      <c r="AM164" s="12" t="s">
        <v>578</v>
      </c>
      <c r="AN164" s="12" t="s">
        <v>578</v>
      </c>
      <c r="AO164" s="12" t="s">
        <v>578</v>
      </c>
      <c r="AP164" s="12" t="s">
        <v>578</v>
      </c>
      <c r="AQ164" s="12" t="s">
        <v>578</v>
      </c>
      <c r="AR164" s="12" t="s">
        <v>578</v>
      </c>
      <c r="AS164" s="12" t="s">
        <v>578</v>
      </c>
      <c r="AT164" s="12" t="s">
        <v>578</v>
      </c>
      <c r="AU164" s="12" t="s">
        <v>578</v>
      </c>
      <c r="AV164" s="12" t="s">
        <v>578</v>
      </c>
      <c r="AW164" s="12" t="s">
        <v>578</v>
      </c>
      <c r="AX164" s="12" t="s">
        <v>578</v>
      </c>
      <c r="AY164" s="12" t="s">
        <v>578</v>
      </c>
      <c r="AZ164" s="12" t="s">
        <v>578</v>
      </c>
      <c r="BA164" s="12" t="s">
        <v>579</v>
      </c>
      <c r="BB164" s="12" t="s">
        <v>579</v>
      </c>
      <c r="BC164" s="12" t="s">
        <v>579</v>
      </c>
      <c r="BD164" s="12" t="s">
        <v>579</v>
      </c>
      <c r="BE164" s="12" t="s">
        <v>579</v>
      </c>
      <c r="BF164" s="12" t="s">
        <v>579</v>
      </c>
      <c r="BG164" s="12" t="s">
        <v>579</v>
      </c>
      <c r="BH164" s="12" t="s">
        <v>581</v>
      </c>
      <c r="BI164" s="12" t="s">
        <v>851</v>
      </c>
      <c r="BJ164" s="12" t="s">
        <v>851</v>
      </c>
      <c r="BK164" s="12" t="s">
        <v>851</v>
      </c>
      <c r="BL164" s="12" t="s">
        <v>624</v>
      </c>
      <c r="BM164" s="12" t="s">
        <v>624</v>
      </c>
      <c r="BN164" s="12" t="s">
        <v>624</v>
      </c>
      <c r="BO164" s="12" t="s">
        <v>624</v>
      </c>
      <c r="BP164" s="12" t="s">
        <v>624</v>
      </c>
      <c r="BQ164" s="12" t="s">
        <v>583</v>
      </c>
      <c r="BR164" s="12" t="s">
        <v>583</v>
      </c>
      <c r="BS164" s="12" t="s">
        <v>625</v>
      </c>
      <c r="BT164" s="12" t="s">
        <v>625</v>
      </c>
      <c r="BU164" s="12" t="s">
        <v>625</v>
      </c>
      <c r="BV164" s="12" t="s">
        <v>625</v>
      </c>
      <c r="BW164" s="12" t="s">
        <v>756</v>
      </c>
      <c r="BX164" s="12" t="s">
        <v>756</v>
      </c>
      <c r="BY164" s="12" t="s">
        <v>756</v>
      </c>
      <c r="BZ164" s="12" t="s">
        <v>756</v>
      </c>
      <c r="CA164" s="12" t="s">
        <v>756</v>
      </c>
      <c r="CB164" s="12" t="s">
        <v>762</v>
      </c>
      <c r="CC164" s="12" t="s">
        <v>762</v>
      </c>
      <c r="CD164" s="12" t="s">
        <v>584</v>
      </c>
      <c r="CE164" s="12" t="s">
        <v>584</v>
      </c>
      <c r="CF164" s="12" t="s">
        <v>584</v>
      </c>
      <c r="CG164" s="12" t="s">
        <v>584</v>
      </c>
      <c r="CH164" s="12" t="s">
        <v>584</v>
      </c>
      <c r="CI164" s="12" t="s">
        <v>673</v>
      </c>
      <c r="CJ164" s="12" t="s">
        <v>2018</v>
      </c>
      <c r="CK164" s="12" t="s">
        <v>2018</v>
      </c>
      <c r="CL164" s="12" t="s">
        <v>766</v>
      </c>
      <c r="CM164" s="12" t="s">
        <v>766</v>
      </c>
      <c r="CN164" s="12" t="s">
        <v>766</v>
      </c>
      <c r="CO164" s="12" t="s">
        <v>852</v>
      </c>
      <c r="CP164" s="12" t="s">
        <v>627</v>
      </c>
      <c r="CQ164" s="12" t="s">
        <v>767</v>
      </c>
      <c r="CR164" s="12" t="s">
        <v>917</v>
      </c>
      <c r="CS164" s="12" t="s">
        <v>971</v>
      </c>
      <c r="CT164" s="12" t="s">
        <v>677</v>
      </c>
    </row>
    <row r="165" spans="1:98" hidden="1" x14ac:dyDescent="0.3">
      <c r="A165" s="12" t="s">
        <v>25</v>
      </c>
      <c r="B165" s="12" t="s">
        <v>3281</v>
      </c>
      <c r="C165" s="12" t="s">
        <v>3282</v>
      </c>
      <c r="D165" s="12" t="s">
        <v>3283</v>
      </c>
      <c r="E165" s="12" t="s">
        <v>578</v>
      </c>
      <c r="F165" s="12" t="s">
        <v>578</v>
      </c>
      <c r="G165" s="12" t="s">
        <v>578</v>
      </c>
      <c r="H165" s="12" t="s">
        <v>578</v>
      </c>
      <c r="I165" s="12" t="s">
        <v>578</v>
      </c>
      <c r="J165" s="12" t="s">
        <v>578</v>
      </c>
      <c r="K165" s="12" t="s">
        <v>578</v>
      </c>
      <c r="L165" s="12" t="s">
        <v>578</v>
      </c>
      <c r="M165" s="12" t="s">
        <v>578</v>
      </c>
      <c r="N165" s="12" t="s">
        <v>578</v>
      </c>
      <c r="O165" s="12" t="s">
        <v>578</v>
      </c>
      <c r="P165" s="12" t="s">
        <v>578</v>
      </c>
      <c r="Q165" s="12" t="s">
        <v>578</v>
      </c>
      <c r="R165" s="12" t="s">
        <v>578</v>
      </c>
      <c r="S165" s="12" t="s">
        <v>578</v>
      </c>
      <c r="T165" s="12" t="s">
        <v>578</v>
      </c>
      <c r="U165" s="12" t="s">
        <v>578</v>
      </c>
      <c r="V165" s="12" t="s">
        <v>578</v>
      </c>
      <c r="W165" s="12" t="s">
        <v>578</v>
      </c>
      <c r="X165" s="12" t="s">
        <v>578</v>
      </c>
      <c r="Y165" s="12" t="s">
        <v>578</v>
      </c>
      <c r="Z165" s="12" t="s">
        <v>578</v>
      </c>
      <c r="AA165" s="12" t="s">
        <v>578</v>
      </c>
      <c r="AB165" s="12" t="s">
        <v>578</v>
      </c>
      <c r="AC165" s="12" t="s">
        <v>578</v>
      </c>
      <c r="AD165" s="12" t="s">
        <v>578</v>
      </c>
      <c r="AE165" s="12" t="s">
        <v>578</v>
      </c>
      <c r="AF165" s="12" t="s">
        <v>578</v>
      </c>
      <c r="AG165" s="12" t="s">
        <v>578</v>
      </c>
      <c r="AH165" s="12" t="s">
        <v>578</v>
      </c>
      <c r="AI165" s="12" t="s">
        <v>578</v>
      </c>
      <c r="AJ165" s="12" t="s">
        <v>578</v>
      </c>
      <c r="AK165" s="12" t="s">
        <v>578</v>
      </c>
      <c r="AL165" s="12" t="s">
        <v>578</v>
      </c>
      <c r="AM165" s="12" t="s">
        <v>578</v>
      </c>
      <c r="AN165" s="12" t="s">
        <v>578</v>
      </c>
      <c r="AO165" s="12" t="s">
        <v>578</v>
      </c>
      <c r="AP165" s="12" t="s">
        <v>578</v>
      </c>
      <c r="AQ165" s="12" t="s">
        <v>578</v>
      </c>
      <c r="AR165" s="12" t="s">
        <v>578</v>
      </c>
      <c r="AS165" s="12" t="s">
        <v>578</v>
      </c>
      <c r="AT165" s="12" t="s">
        <v>578</v>
      </c>
      <c r="AU165" s="12" t="s">
        <v>578</v>
      </c>
      <c r="AV165" s="12" t="s">
        <v>578</v>
      </c>
      <c r="AW165" s="12" t="s">
        <v>578</v>
      </c>
      <c r="AX165" s="12" t="s">
        <v>578</v>
      </c>
      <c r="AY165" s="12" t="s">
        <v>578</v>
      </c>
      <c r="AZ165" s="12" t="s">
        <v>578</v>
      </c>
      <c r="BA165" s="12" t="s">
        <v>578</v>
      </c>
      <c r="BB165" s="12" t="s">
        <v>578</v>
      </c>
      <c r="BC165" s="12" t="s">
        <v>578</v>
      </c>
      <c r="BD165" s="12" t="s">
        <v>578</v>
      </c>
      <c r="BE165" s="12" t="s">
        <v>578</v>
      </c>
      <c r="BF165" s="12" t="s">
        <v>578</v>
      </c>
      <c r="BG165" s="12" t="s">
        <v>578</v>
      </c>
      <c r="BH165" s="12" t="s">
        <v>623</v>
      </c>
      <c r="BI165" s="12" t="s">
        <v>623</v>
      </c>
      <c r="BJ165" s="12" t="s">
        <v>672</v>
      </c>
      <c r="BK165" s="12" t="s">
        <v>756</v>
      </c>
      <c r="BL165" s="12" t="s">
        <v>756</v>
      </c>
      <c r="BM165" s="12" t="s">
        <v>585</v>
      </c>
      <c r="BN165" s="12" t="s">
        <v>913</v>
      </c>
      <c r="BO165" s="12" t="s">
        <v>972</v>
      </c>
      <c r="BP165" s="12" t="s">
        <v>809</v>
      </c>
      <c r="BQ165" s="12" t="s">
        <v>974</v>
      </c>
      <c r="BR165" s="12" t="s">
        <v>976</v>
      </c>
      <c r="BS165" s="12" t="s">
        <v>590</v>
      </c>
      <c r="BT165" s="12" t="s">
        <v>1124</v>
      </c>
      <c r="BU165" s="12" t="s">
        <v>857</v>
      </c>
      <c r="BV165" s="12" t="s">
        <v>1208</v>
      </c>
      <c r="BW165" s="12" t="s">
        <v>638</v>
      </c>
      <c r="BX165" s="12" t="s">
        <v>920</v>
      </c>
      <c r="BY165" s="12" t="s">
        <v>595</v>
      </c>
      <c r="BZ165" s="12" t="s">
        <v>684</v>
      </c>
      <c r="CA165" s="12" t="s">
        <v>1126</v>
      </c>
      <c r="CB165" s="12" t="s">
        <v>1423</v>
      </c>
      <c r="CC165" s="12" t="s">
        <v>1508</v>
      </c>
      <c r="CD165" s="12" t="s">
        <v>2030</v>
      </c>
      <c r="CE165" s="12" t="s">
        <v>1511</v>
      </c>
      <c r="CF165" s="12" t="s">
        <v>1493</v>
      </c>
      <c r="CG165" s="12" t="s">
        <v>1495</v>
      </c>
      <c r="CH165" s="12" t="s">
        <v>1736</v>
      </c>
      <c r="CI165" s="12" t="s">
        <v>1687</v>
      </c>
      <c r="CJ165" s="12" t="s">
        <v>1828</v>
      </c>
      <c r="CK165" s="12" t="s">
        <v>1395</v>
      </c>
      <c r="CL165" s="12" t="s">
        <v>1741</v>
      </c>
      <c r="CM165" s="12" t="s">
        <v>1741</v>
      </c>
      <c r="CN165" s="12" t="s">
        <v>876</v>
      </c>
      <c r="CO165" s="12" t="s">
        <v>728</v>
      </c>
      <c r="CP165" s="12" t="s">
        <v>1831</v>
      </c>
      <c r="CQ165" s="12" t="s">
        <v>1608</v>
      </c>
      <c r="CR165" s="12" t="s">
        <v>1609</v>
      </c>
      <c r="CS165" s="12" t="s">
        <v>1610</v>
      </c>
      <c r="CT165" s="12" t="s">
        <v>923</v>
      </c>
    </row>
    <row r="166" spans="1:98" hidden="1" x14ac:dyDescent="0.3">
      <c r="A166" s="12" t="s">
        <v>25</v>
      </c>
      <c r="B166" s="12" t="s">
        <v>3284</v>
      </c>
      <c r="C166" s="12" t="s">
        <v>3285</v>
      </c>
      <c r="D166" s="12" t="s">
        <v>3286</v>
      </c>
      <c r="E166" s="12" t="s">
        <v>578</v>
      </c>
      <c r="F166" s="12" t="s">
        <v>578</v>
      </c>
      <c r="G166" s="12" t="s">
        <v>578</v>
      </c>
      <c r="H166" s="12" t="s">
        <v>578</v>
      </c>
      <c r="I166" s="12" t="s">
        <v>578</v>
      </c>
      <c r="J166" s="12" t="s">
        <v>578</v>
      </c>
      <c r="K166" s="12" t="s">
        <v>578</v>
      </c>
      <c r="L166" s="12" t="s">
        <v>578</v>
      </c>
      <c r="M166" s="12" t="s">
        <v>578</v>
      </c>
      <c r="N166" s="12" t="s">
        <v>578</v>
      </c>
      <c r="O166" s="12" t="s">
        <v>578</v>
      </c>
      <c r="P166" s="12" t="s">
        <v>578</v>
      </c>
      <c r="Q166" s="12" t="s">
        <v>578</v>
      </c>
      <c r="R166" s="12" t="s">
        <v>578</v>
      </c>
      <c r="S166" s="12" t="s">
        <v>578</v>
      </c>
      <c r="T166" s="12" t="s">
        <v>578</v>
      </c>
      <c r="U166" s="12" t="s">
        <v>578</v>
      </c>
      <c r="V166" s="12" t="s">
        <v>578</v>
      </c>
      <c r="W166" s="12" t="s">
        <v>578</v>
      </c>
      <c r="X166" s="12" t="s">
        <v>578</v>
      </c>
      <c r="Y166" s="12" t="s">
        <v>578</v>
      </c>
      <c r="Z166" s="12" t="s">
        <v>578</v>
      </c>
      <c r="AA166" s="12" t="s">
        <v>578</v>
      </c>
      <c r="AB166" s="12" t="s">
        <v>578</v>
      </c>
      <c r="AC166" s="12" t="s">
        <v>578</v>
      </c>
      <c r="AD166" s="12" t="s">
        <v>578</v>
      </c>
      <c r="AE166" s="12" t="s">
        <v>578</v>
      </c>
      <c r="AF166" s="12" t="s">
        <v>578</v>
      </c>
      <c r="AG166" s="12" t="s">
        <v>578</v>
      </c>
      <c r="AH166" s="12" t="s">
        <v>578</v>
      </c>
      <c r="AI166" s="12" t="s">
        <v>578</v>
      </c>
      <c r="AJ166" s="12" t="s">
        <v>578</v>
      </c>
      <c r="AK166" s="12" t="s">
        <v>578</v>
      </c>
      <c r="AL166" s="12" t="s">
        <v>578</v>
      </c>
      <c r="AM166" s="12" t="s">
        <v>578</v>
      </c>
      <c r="AN166" s="12" t="s">
        <v>578</v>
      </c>
      <c r="AO166" s="12" t="s">
        <v>578</v>
      </c>
      <c r="AP166" s="12" t="s">
        <v>578</v>
      </c>
      <c r="AQ166" s="12" t="s">
        <v>578</v>
      </c>
      <c r="AR166" s="12" t="s">
        <v>578</v>
      </c>
      <c r="AS166" s="12" t="s">
        <v>579</v>
      </c>
      <c r="AT166" s="12" t="s">
        <v>579</v>
      </c>
      <c r="AU166" s="12" t="s">
        <v>579</v>
      </c>
      <c r="AV166" s="12" t="s">
        <v>623</v>
      </c>
      <c r="AW166" s="12" t="s">
        <v>623</v>
      </c>
      <c r="AX166" s="12" t="s">
        <v>623</v>
      </c>
      <c r="AY166" s="12" t="s">
        <v>623</v>
      </c>
      <c r="AZ166" s="12" t="s">
        <v>623</v>
      </c>
      <c r="BA166" s="12" t="s">
        <v>672</v>
      </c>
      <c r="BB166" s="12" t="s">
        <v>581</v>
      </c>
      <c r="BC166" s="12" t="s">
        <v>851</v>
      </c>
      <c r="BD166" s="12" t="s">
        <v>582</v>
      </c>
      <c r="BE166" s="12" t="s">
        <v>673</v>
      </c>
      <c r="BF166" s="12" t="s">
        <v>869</v>
      </c>
      <c r="BG166" s="12" t="s">
        <v>953</v>
      </c>
      <c r="BH166" s="12" t="s">
        <v>628</v>
      </c>
      <c r="BI166" s="12" t="s">
        <v>991</v>
      </c>
      <c r="BJ166" s="12" t="s">
        <v>1180</v>
      </c>
      <c r="BK166" s="12" t="s">
        <v>855</v>
      </c>
      <c r="BL166" s="12" t="s">
        <v>859</v>
      </c>
      <c r="BM166" s="12" t="s">
        <v>811</v>
      </c>
      <c r="BN166" s="12" t="s">
        <v>1821</v>
      </c>
      <c r="BO166" s="12" t="s">
        <v>594</v>
      </c>
      <c r="BP166" s="12" t="s">
        <v>2029</v>
      </c>
      <c r="BQ166" s="12" t="s">
        <v>1265</v>
      </c>
      <c r="BR166" s="12" t="s">
        <v>1397</v>
      </c>
      <c r="BS166" s="12" t="s">
        <v>2395</v>
      </c>
      <c r="BT166" s="12" t="s">
        <v>1845</v>
      </c>
      <c r="BU166" s="12" t="s">
        <v>3107</v>
      </c>
      <c r="BV166" s="12" t="s">
        <v>1461</v>
      </c>
      <c r="BW166" s="12" t="s">
        <v>1287</v>
      </c>
      <c r="BX166" s="12" t="s">
        <v>3287</v>
      </c>
      <c r="BY166" s="12" t="s">
        <v>3288</v>
      </c>
      <c r="BZ166" s="12" t="s">
        <v>3289</v>
      </c>
      <c r="CA166" s="12" t="s">
        <v>1314</v>
      </c>
      <c r="CB166" s="12" t="s">
        <v>2243</v>
      </c>
      <c r="CC166" s="12" t="s">
        <v>1871</v>
      </c>
      <c r="CD166" s="12" t="s">
        <v>1881</v>
      </c>
      <c r="CE166" s="12" t="s">
        <v>3290</v>
      </c>
      <c r="CF166" s="12" t="s">
        <v>1784</v>
      </c>
      <c r="CG166" s="12" t="s">
        <v>3291</v>
      </c>
      <c r="CH166" s="12" t="s">
        <v>3292</v>
      </c>
      <c r="CI166" s="12" t="s">
        <v>2689</v>
      </c>
      <c r="CJ166" s="12" t="s">
        <v>3293</v>
      </c>
      <c r="CK166" s="12" t="s">
        <v>1573</v>
      </c>
      <c r="CL166" s="12" t="s">
        <v>3294</v>
      </c>
      <c r="CM166" s="12" t="s">
        <v>3295</v>
      </c>
      <c r="CN166" s="12" t="s">
        <v>3296</v>
      </c>
      <c r="CO166" s="12" t="s">
        <v>3297</v>
      </c>
      <c r="CP166" s="12" t="s">
        <v>3298</v>
      </c>
      <c r="CQ166" s="12" t="s">
        <v>3299</v>
      </c>
      <c r="CR166" s="12" t="s">
        <v>3300</v>
      </c>
      <c r="CS166" s="12" t="s">
        <v>3301</v>
      </c>
      <c r="CT166" s="12" t="s">
        <v>3302</v>
      </c>
    </row>
    <row r="167" spans="1:98" hidden="1" x14ac:dyDescent="0.3">
      <c r="A167" s="12" t="s">
        <v>25</v>
      </c>
      <c r="B167" s="12" t="s">
        <v>3303</v>
      </c>
      <c r="C167" s="12" t="s">
        <v>3304</v>
      </c>
      <c r="D167" s="12" t="s">
        <v>3305</v>
      </c>
      <c r="E167" s="12" t="s">
        <v>578</v>
      </c>
      <c r="F167" s="12" t="s">
        <v>578</v>
      </c>
      <c r="G167" s="12" t="s">
        <v>578</v>
      </c>
      <c r="H167" s="12" t="s">
        <v>578</v>
      </c>
      <c r="I167" s="12" t="s">
        <v>578</v>
      </c>
      <c r="J167" s="12" t="s">
        <v>578</v>
      </c>
      <c r="K167" s="12" t="s">
        <v>578</v>
      </c>
      <c r="L167" s="12" t="s">
        <v>578</v>
      </c>
      <c r="M167" s="12" t="s">
        <v>578</v>
      </c>
      <c r="N167" s="12" t="s">
        <v>578</v>
      </c>
      <c r="O167" s="12" t="s">
        <v>578</v>
      </c>
      <c r="P167" s="12" t="s">
        <v>578</v>
      </c>
      <c r="Q167" s="12" t="s">
        <v>578</v>
      </c>
      <c r="R167" s="12" t="s">
        <v>578</v>
      </c>
      <c r="S167" s="12" t="s">
        <v>578</v>
      </c>
      <c r="T167" s="12" t="s">
        <v>578</v>
      </c>
      <c r="U167" s="12" t="s">
        <v>578</v>
      </c>
      <c r="V167" s="12" t="s">
        <v>578</v>
      </c>
      <c r="W167" s="12" t="s">
        <v>578</v>
      </c>
      <c r="X167" s="12" t="s">
        <v>578</v>
      </c>
      <c r="Y167" s="12" t="s">
        <v>578</v>
      </c>
      <c r="Z167" s="12" t="s">
        <v>578</v>
      </c>
      <c r="AA167" s="12" t="s">
        <v>578</v>
      </c>
      <c r="AB167" s="12" t="s">
        <v>578</v>
      </c>
      <c r="AC167" s="12" t="s">
        <v>578</v>
      </c>
      <c r="AD167" s="12" t="s">
        <v>578</v>
      </c>
      <c r="AE167" s="12" t="s">
        <v>578</v>
      </c>
      <c r="AF167" s="12" t="s">
        <v>578</v>
      </c>
      <c r="AG167" s="12" t="s">
        <v>578</v>
      </c>
      <c r="AH167" s="12" t="s">
        <v>578</v>
      </c>
      <c r="AI167" s="12" t="s">
        <v>578</v>
      </c>
      <c r="AJ167" s="12" t="s">
        <v>578</v>
      </c>
      <c r="AK167" s="12" t="s">
        <v>578</v>
      </c>
      <c r="AL167" s="12" t="s">
        <v>578</v>
      </c>
      <c r="AM167" s="12" t="s">
        <v>578</v>
      </c>
      <c r="AN167" s="12" t="s">
        <v>578</v>
      </c>
      <c r="AO167" s="12" t="s">
        <v>578</v>
      </c>
      <c r="AP167" s="12" t="s">
        <v>578</v>
      </c>
      <c r="AQ167" s="12" t="s">
        <v>578</v>
      </c>
      <c r="AR167" s="12" t="s">
        <v>578</v>
      </c>
      <c r="AS167" s="12" t="s">
        <v>578</v>
      </c>
      <c r="AT167" s="12" t="s">
        <v>578</v>
      </c>
      <c r="AU167" s="12" t="s">
        <v>578</v>
      </c>
      <c r="AV167" s="12" t="s">
        <v>578</v>
      </c>
      <c r="AW167" s="12" t="s">
        <v>578</v>
      </c>
      <c r="AX167" s="12" t="s">
        <v>578</v>
      </c>
      <c r="AY167" s="12" t="s">
        <v>578</v>
      </c>
      <c r="AZ167" s="12" t="s">
        <v>578</v>
      </c>
      <c r="BA167" s="12" t="s">
        <v>578</v>
      </c>
      <c r="BB167" s="12" t="s">
        <v>578</v>
      </c>
      <c r="BC167" s="12" t="s">
        <v>578</v>
      </c>
      <c r="BD167" s="12" t="s">
        <v>578</v>
      </c>
      <c r="BE167" s="12" t="s">
        <v>623</v>
      </c>
      <c r="BF167" s="12" t="s">
        <v>623</v>
      </c>
      <c r="BG167" s="12" t="s">
        <v>623</v>
      </c>
      <c r="BH167" s="12" t="s">
        <v>623</v>
      </c>
      <c r="BI167" s="12" t="s">
        <v>623</v>
      </c>
      <c r="BJ167" s="12" t="s">
        <v>672</v>
      </c>
      <c r="BK167" s="12" t="s">
        <v>672</v>
      </c>
      <c r="BL167" s="12" t="s">
        <v>672</v>
      </c>
      <c r="BM167" s="12" t="s">
        <v>672</v>
      </c>
      <c r="BN167" s="12" t="s">
        <v>580</v>
      </c>
      <c r="BO167" s="12" t="s">
        <v>582</v>
      </c>
      <c r="BP167" s="12" t="s">
        <v>582</v>
      </c>
      <c r="BQ167" s="12" t="s">
        <v>755</v>
      </c>
      <c r="BR167" s="12" t="s">
        <v>755</v>
      </c>
      <c r="BS167" s="12" t="s">
        <v>755</v>
      </c>
      <c r="BT167" s="12" t="s">
        <v>583</v>
      </c>
      <c r="BU167" s="12" t="s">
        <v>583</v>
      </c>
      <c r="BV167" s="12" t="s">
        <v>583</v>
      </c>
      <c r="BW167" s="12" t="s">
        <v>756</v>
      </c>
      <c r="BX167" s="12" t="s">
        <v>756</v>
      </c>
      <c r="BY167" s="12" t="s">
        <v>756</v>
      </c>
      <c r="BZ167" s="12" t="s">
        <v>756</v>
      </c>
      <c r="CA167" s="12" t="s">
        <v>584</v>
      </c>
      <c r="CB167" s="12" t="s">
        <v>584</v>
      </c>
      <c r="CC167" s="12" t="s">
        <v>584</v>
      </c>
      <c r="CD167" s="12" t="s">
        <v>584</v>
      </c>
      <c r="CE167" s="12" t="s">
        <v>584</v>
      </c>
      <c r="CF167" s="12" t="s">
        <v>584</v>
      </c>
      <c r="CG167" s="12" t="s">
        <v>584</v>
      </c>
      <c r="CH167" s="12" t="s">
        <v>584</v>
      </c>
      <c r="CI167" s="12" t="s">
        <v>584</v>
      </c>
      <c r="CJ167" s="12" t="s">
        <v>584</v>
      </c>
      <c r="CK167" s="12" t="s">
        <v>584</v>
      </c>
      <c r="CL167" s="12" t="s">
        <v>584</v>
      </c>
      <c r="CM167" s="12" t="s">
        <v>584</v>
      </c>
      <c r="CN167" s="12" t="s">
        <v>584</v>
      </c>
      <c r="CO167" s="12" t="s">
        <v>584</v>
      </c>
      <c r="CP167" s="12" t="s">
        <v>584</v>
      </c>
      <c r="CQ167" s="12" t="s">
        <v>584</v>
      </c>
      <c r="CR167" s="12" t="s">
        <v>584</v>
      </c>
      <c r="CS167" s="12" t="s">
        <v>584</v>
      </c>
      <c r="CT167" s="12" t="s">
        <v>584</v>
      </c>
    </row>
    <row r="168" spans="1:98" hidden="1" x14ac:dyDescent="0.3">
      <c r="A168" s="12" t="s">
        <v>25</v>
      </c>
      <c r="B168" s="12" t="s">
        <v>3306</v>
      </c>
      <c r="C168" s="12" t="s">
        <v>3307</v>
      </c>
      <c r="D168" s="12" t="s">
        <v>3308</v>
      </c>
      <c r="E168" s="12" t="s">
        <v>578</v>
      </c>
      <c r="F168" s="12" t="s">
        <v>578</v>
      </c>
      <c r="G168" s="12" t="s">
        <v>578</v>
      </c>
      <c r="H168" s="12" t="s">
        <v>579</v>
      </c>
      <c r="I168" s="12" t="s">
        <v>579</v>
      </c>
      <c r="J168" s="12" t="s">
        <v>579</v>
      </c>
      <c r="K168" s="12" t="s">
        <v>579</v>
      </c>
      <c r="L168" s="12" t="s">
        <v>579</v>
      </c>
      <c r="M168" s="12" t="s">
        <v>579</v>
      </c>
      <c r="N168" s="12" t="s">
        <v>579</v>
      </c>
      <c r="O168" s="12" t="s">
        <v>579</v>
      </c>
      <c r="P168" s="12" t="s">
        <v>579</v>
      </c>
      <c r="Q168" s="12" t="s">
        <v>579</v>
      </c>
      <c r="R168" s="12" t="s">
        <v>579</v>
      </c>
      <c r="S168" s="12" t="s">
        <v>579</v>
      </c>
      <c r="T168" s="12" t="s">
        <v>579</v>
      </c>
      <c r="U168" s="12" t="s">
        <v>579</v>
      </c>
      <c r="V168" s="12" t="s">
        <v>579</v>
      </c>
      <c r="W168" s="12" t="s">
        <v>579</v>
      </c>
      <c r="X168" s="12" t="s">
        <v>579</v>
      </c>
      <c r="Y168" s="12" t="s">
        <v>579</v>
      </c>
      <c r="Z168" s="12" t="s">
        <v>579</v>
      </c>
      <c r="AA168" s="12" t="s">
        <v>579</v>
      </c>
      <c r="AB168" s="12" t="s">
        <v>579</v>
      </c>
      <c r="AC168" s="12" t="s">
        <v>579</v>
      </c>
      <c r="AD168" s="12" t="s">
        <v>579</v>
      </c>
      <c r="AE168" s="12" t="s">
        <v>579</v>
      </c>
      <c r="AF168" s="12" t="s">
        <v>579</v>
      </c>
      <c r="AG168" s="12" t="s">
        <v>579</v>
      </c>
      <c r="AH168" s="12" t="s">
        <v>579</v>
      </c>
      <c r="AI168" s="12" t="s">
        <v>579</v>
      </c>
      <c r="AJ168" s="12" t="s">
        <v>579</v>
      </c>
      <c r="AK168" s="12" t="s">
        <v>579</v>
      </c>
      <c r="AL168" s="12" t="s">
        <v>579</v>
      </c>
      <c r="AM168" s="12" t="s">
        <v>579</v>
      </c>
      <c r="AN168" s="12" t="s">
        <v>579</v>
      </c>
      <c r="AO168" s="12" t="s">
        <v>579</v>
      </c>
      <c r="AP168" s="12" t="s">
        <v>579</v>
      </c>
      <c r="AQ168" s="12" t="s">
        <v>579</v>
      </c>
      <c r="AR168" s="12" t="s">
        <v>579</v>
      </c>
      <c r="AS168" s="12" t="s">
        <v>579</v>
      </c>
      <c r="AT168" s="12" t="s">
        <v>579</v>
      </c>
      <c r="AU168" s="12" t="s">
        <v>579</v>
      </c>
      <c r="AV168" s="12" t="s">
        <v>579</v>
      </c>
      <c r="AW168" s="12" t="s">
        <v>579</v>
      </c>
      <c r="AX168" s="12" t="s">
        <v>579</v>
      </c>
      <c r="AY168" s="12" t="s">
        <v>579</v>
      </c>
      <c r="AZ168" s="12" t="s">
        <v>579</v>
      </c>
      <c r="BA168" s="12" t="s">
        <v>579</v>
      </c>
      <c r="BB168" s="12" t="s">
        <v>579</v>
      </c>
      <c r="BC168" s="12" t="s">
        <v>579</v>
      </c>
      <c r="BD168" s="12" t="s">
        <v>579</v>
      </c>
      <c r="BE168" s="12" t="s">
        <v>579</v>
      </c>
      <c r="BF168" s="12" t="s">
        <v>579</v>
      </c>
      <c r="BG168" s="12" t="s">
        <v>579</v>
      </c>
      <c r="BH168" s="12" t="s">
        <v>579</v>
      </c>
      <c r="BI168" s="12" t="s">
        <v>579</v>
      </c>
      <c r="BJ168" s="12" t="s">
        <v>579</v>
      </c>
      <c r="BK168" s="12" t="s">
        <v>579</v>
      </c>
      <c r="BL168" s="12" t="s">
        <v>579</v>
      </c>
      <c r="BM168" s="12" t="s">
        <v>579</v>
      </c>
      <c r="BN168" s="12" t="s">
        <v>623</v>
      </c>
      <c r="BO168" s="12" t="s">
        <v>623</v>
      </c>
      <c r="BP168" s="12" t="s">
        <v>672</v>
      </c>
      <c r="BQ168" s="12" t="s">
        <v>672</v>
      </c>
      <c r="BR168" s="12" t="s">
        <v>580</v>
      </c>
      <c r="BS168" s="12" t="s">
        <v>581</v>
      </c>
      <c r="BT168" s="12" t="s">
        <v>581</v>
      </c>
      <c r="BU168" s="12" t="s">
        <v>581</v>
      </c>
      <c r="BV168" s="12" t="s">
        <v>581</v>
      </c>
      <c r="BW168" s="12" t="s">
        <v>581</v>
      </c>
      <c r="BX168" s="12" t="s">
        <v>851</v>
      </c>
      <c r="BY168" s="12" t="s">
        <v>851</v>
      </c>
      <c r="BZ168" s="12" t="s">
        <v>761</v>
      </c>
      <c r="CA168" s="12" t="s">
        <v>761</v>
      </c>
      <c r="CB168" s="12" t="s">
        <v>761</v>
      </c>
      <c r="CC168" s="12" t="s">
        <v>761</v>
      </c>
      <c r="CD168" s="12" t="s">
        <v>761</v>
      </c>
      <c r="CE168" s="12" t="s">
        <v>761</v>
      </c>
      <c r="CF168" s="12" t="s">
        <v>761</v>
      </c>
      <c r="CG168" s="12" t="s">
        <v>761</v>
      </c>
      <c r="CH168" s="12" t="s">
        <v>625</v>
      </c>
      <c r="CI168" s="12" t="s">
        <v>756</v>
      </c>
      <c r="CJ168" s="12" t="s">
        <v>584</v>
      </c>
      <c r="CK168" s="12" t="s">
        <v>584</v>
      </c>
      <c r="CL168" s="12" t="s">
        <v>584</v>
      </c>
      <c r="CM168" s="12" t="s">
        <v>2018</v>
      </c>
      <c r="CN168" s="12" t="s">
        <v>766</v>
      </c>
      <c r="CO168" s="12" t="s">
        <v>766</v>
      </c>
      <c r="CP168" s="12" t="s">
        <v>766</v>
      </c>
      <c r="CQ168" s="12" t="s">
        <v>1259</v>
      </c>
      <c r="CR168" s="12" t="s">
        <v>768</v>
      </c>
      <c r="CS168" s="12" t="s">
        <v>678</v>
      </c>
      <c r="CT168" s="12" t="s">
        <v>991</v>
      </c>
    </row>
    <row r="169" spans="1:98" hidden="1" x14ac:dyDescent="0.3">
      <c r="A169" s="12" t="s">
        <v>3309</v>
      </c>
      <c r="B169" s="12" t="s">
        <v>3310</v>
      </c>
      <c r="C169" s="12" t="s">
        <v>3311</v>
      </c>
      <c r="D169" s="12" t="s">
        <v>3312</v>
      </c>
      <c r="E169" s="12" t="s">
        <v>578</v>
      </c>
      <c r="F169" s="12" t="s">
        <v>578</v>
      </c>
      <c r="G169" s="12" t="s">
        <v>578</v>
      </c>
      <c r="H169" s="12" t="s">
        <v>578</v>
      </c>
      <c r="I169" s="12" t="s">
        <v>578</v>
      </c>
      <c r="J169" s="12" t="s">
        <v>578</v>
      </c>
      <c r="K169" s="12" t="s">
        <v>578</v>
      </c>
      <c r="L169" s="12" t="s">
        <v>578</v>
      </c>
      <c r="M169" s="12" t="s">
        <v>578</v>
      </c>
      <c r="N169" s="12" t="s">
        <v>578</v>
      </c>
      <c r="O169" s="12" t="s">
        <v>578</v>
      </c>
      <c r="P169" s="12" t="s">
        <v>578</v>
      </c>
      <c r="Q169" s="12" t="s">
        <v>578</v>
      </c>
      <c r="R169" s="12" t="s">
        <v>578</v>
      </c>
      <c r="S169" s="12" t="s">
        <v>578</v>
      </c>
      <c r="T169" s="12" t="s">
        <v>578</v>
      </c>
      <c r="U169" s="12" t="s">
        <v>578</v>
      </c>
      <c r="V169" s="12" t="s">
        <v>578</v>
      </c>
      <c r="W169" s="12" t="s">
        <v>578</v>
      </c>
      <c r="X169" s="12" t="s">
        <v>578</v>
      </c>
      <c r="Y169" s="12" t="s">
        <v>578</v>
      </c>
      <c r="Z169" s="12" t="s">
        <v>578</v>
      </c>
      <c r="AA169" s="12" t="s">
        <v>578</v>
      </c>
      <c r="AB169" s="12" t="s">
        <v>578</v>
      </c>
      <c r="AC169" s="12" t="s">
        <v>578</v>
      </c>
      <c r="AD169" s="12" t="s">
        <v>578</v>
      </c>
      <c r="AE169" s="12" t="s">
        <v>578</v>
      </c>
      <c r="AF169" s="12" t="s">
        <v>578</v>
      </c>
      <c r="AG169" s="12" t="s">
        <v>578</v>
      </c>
      <c r="AH169" s="12" t="s">
        <v>578</v>
      </c>
      <c r="AI169" s="12" t="s">
        <v>578</v>
      </c>
      <c r="AJ169" s="12" t="s">
        <v>578</v>
      </c>
      <c r="AK169" s="12" t="s">
        <v>578</v>
      </c>
      <c r="AL169" s="12" t="s">
        <v>578</v>
      </c>
      <c r="AM169" s="12" t="s">
        <v>578</v>
      </c>
      <c r="AN169" s="12" t="s">
        <v>578</v>
      </c>
      <c r="AO169" s="12" t="s">
        <v>578</v>
      </c>
      <c r="AP169" s="12" t="s">
        <v>578</v>
      </c>
      <c r="AQ169" s="12" t="s">
        <v>578</v>
      </c>
      <c r="AR169" s="12" t="s">
        <v>578</v>
      </c>
      <c r="AS169" s="12" t="s">
        <v>578</v>
      </c>
      <c r="AT169" s="12" t="s">
        <v>578</v>
      </c>
      <c r="AU169" s="12" t="s">
        <v>578</v>
      </c>
      <c r="AV169" s="12" t="s">
        <v>578</v>
      </c>
      <c r="AW169" s="12" t="s">
        <v>578</v>
      </c>
      <c r="AX169" s="12" t="s">
        <v>578</v>
      </c>
      <c r="AY169" s="12" t="s">
        <v>578</v>
      </c>
      <c r="AZ169" s="12" t="s">
        <v>578</v>
      </c>
      <c r="BA169" s="12" t="s">
        <v>578</v>
      </c>
      <c r="BB169" s="12" t="s">
        <v>578</v>
      </c>
      <c r="BC169" s="12" t="s">
        <v>578</v>
      </c>
      <c r="BD169" s="12" t="s">
        <v>623</v>
      </c>
      <c r="BE169" s="12" t="s">
        <v>623</v>
      </c>
      <c r="BF169" s="12" t="s">
        <v>623</v>
      </c>
      <c r="BG169" s="12" t="s">
        <v>623</v>
      </c>
      <c r="BH169" s="12" t="s">
        <v>672</v>
      </c>
      <c r="BI169" s="12" t="s">
        <v>580</v>
      </c>
      <c r="BJ169" s="12" t="s">
        <v>580</v>
      </c>
      <c r="BK169" s="12" t="s">
        <v>581</v>
      </c>
      <c r="BL169" s="12" t="s">
        <v>581</v>
      </c>
      <c r="BM169" s="12" t="s">
        <v>761</v>
      </c>
      <c r="BN169" s="12" t="s">
        <v>761</v>
      </c>
      <c r="BO169" s="12" t="s">
        <v>625</v>
      </c>
      <c r="BP169" s="12" t="s">
        <v>673</v>
      </c>
      <c r="BQ169" s="12" t="s">
        <v>869</v>
      </c>
      <c r="BR169" s="12" t="s">
        <v>627</v>
      </c>
      <c r="BS169" s="12" t="s">
        <v>918</v>
      </c>
      <c r="BT169" s="12" t="s">
        <v>954</v>
      </c>
      <c r="BU169" s="12" t="s">
        <v>954</v>
      </c>
      <c r="BV169" s="12" t="s">
        <v>631</v>
      </c>
      <c r="BW169" s="12" t="s">
        <v>631</v>
      </c>
      <c r="BX169" s="12" t="s">
        <v>680</v>
      </c>
      <c r="BY169" s="12" t="s">
        <v>853</v>
      </c>
      <c r="BZ169" s="12" t="s">
        <v>633</v>
      </c>
      <c r="CA169" s="12" t="s">
        <v>633</v>
      </c>
      <c r="CB169" s="12" t="s">
        <v>854</v>
      </c>
      <c r="CC169" s="12" t="s">
        <v>589</v>
      </c>
      <c r="CD169" s="12" t="s">
        <v>855</v>
      </c>
      <c r="CE169" s="12" t="s">
        <v>976</v>
      </c>
      <c r="CF169" s="12" t="s">
        <v>977</v>
      </c>
      <c r="CG169" s="12" t="s">
        <v>871</v>
      </c>
      <c r="CH169" s="12" t="s">
        <v>871</v>
      </c>
      <c r="CI169" s="12" t="s">
        <v>871</v>
      </c>
      <c r="CJ169" s="12" t="s">
        <v>871</v>
      </c>
      <c r="CK169" s="12" t="s">
        <v>858</v>
      </c>
      <c r="CL169" s="12" t="s">
        <v>1125</v>
      </c>
      <c r="CM169" s="12" t="s">
        <v>859</v>
      </c>
      <c r="CN169" s="12" t="s">
        <v>859</v>
      </c>
      <c r="CO169" s="12" t="s">
        <v>772</v>
      </c>
      <c r="CP169" s="12" t="s">
        <v>772</v>
      </c>
      <c r="CQ169" s="12" t="s">
        <v>772</v>
      </c>
      <c r="CR169" s="12" t="s">
        <v>861</v>
      </c>
      <c r="CS169" s="12" t="s">
        <v>861</v>
      </c>
      <c r="CT169" s="12" t="s">
        <v>861</v>
      </c>
    </row>
    <row r="170" spans="1:98" hidden="1" x14ac:dyDescent="0.3">
      <c r="A170" s="12" t="s">
        <v>3313</v>
      </c>
      <c r="B170" s="12" t="s">
        <v>3310</v>
      </c>
      <c r="C170" s="12" t="s">
        <v>3314</v>
      </c>
      <c r="D170" s="12" t="s">
        <v>3315</v>
      </c>
      <c r="E170" s="12" t="s">
        <v>578</v>
      </c>
      <c r="F170" s="12" t="s">
        <v>578</v>
      </c>
      <c r="G170" s="12" t="s">
        <v>578</v>
      </c>
      <c r="H170" s="12" t="s">
        <v>578</v>
      </c>
      <c r="I170" s="12" t="s">
        <v>578</v>
      </c>
      <c r="J170" s="12" t="s">
        <v>578</v>
      </c>
      <c r="K170" s="12" t="s">
        <v>578</v>
      </c>
      <c r="L170" s="12" t="s">
        <v>578</v>
      </c>
      <c r="M170" s="12" t="s">
        <v>578</v>
      </c>
      <c r="N170" s="12" t="s">
        <v>578</v>
      </c>
      <c r="O170" s="12" t="s">
        <v>578</v>
      </c>
      <c r="P170" s="12" t="s">
        <v>578</v>
      </c>
      <c r="Q170" s="12" t="s">
        <v>578</v>
      </c>
      <c r="R170" s="12" t="s">
        <v>578</v>
      </c>
      <c r="S170" s="12" t="s">
        <v>578</v>
      </c>
      <c r="T170" s="12" t="s">
        <v>578</v>
      </c>
      <c r="U170" s="12" t="s">
        <v>578</v>
      </c>
      <c r="V170" s="12" t="s">
        <v>578</v>
      </c>
      <c r="W170" s="12" t="s">
        <v>578</v>
      </c>
      <c r="X170" s="12" t="s">
        <v>578</v>
      </c>
      <c r="Y170" s="12" t="s">
        <v>578</v>
      </c>
      <c r="Z170" s="12" t="s">
        <v>578</v>
      </c>
      <c r="AA170" s="12" t="s">
        <v>578</v>
      </c>
      <c r="AB170" s="12" t="s">
        <v>578</v>
      </c>
      <c r="AC170" s="12" t="s">
        <v>578</v>
      </c>
      <c r="AD170" s="12" t="s">
        <v>578</v>
      </c>
      <c r="AE170" s="12" t="s">
        <v>578</v>
      </c>
      <c r="AF170" s="12" t="s">
        <v>578</v>
      </c>
      <c r="AG170" s="12" t="s">
        <v>578</v>
      </c>
      <c r="AH170" s="12" t="s">
        <v>578</v>
      </c>
      <c r="AI170" s="12" t="s">
        <v>578</v>
      </c>
      <c r="AJ170" s="12" t="s">
        <v>578</v>
      </c>
      <c r="AK170" s="12" t="s">
        <v>578</v>
      </c>
      <c r="AL170" s="12" t="s">
        <v>578</v>
      </c>
      <c r="AM170" s="12" t="s">
        <v>578</v>
      </c>
      <c r="AN170" s="12" t="s">
        <v>578</v>
      </c>
      <c r="AO170" s="12" t="s">
        <v>578</v>
      </c>
      <c r="AP170" s="12" t="s">
        <v>578</v>
      </c>
      <c r="AQ170" s="12" t="s">
        <v>578</v>
      </c>
      <c r="AR170" s="12" t="s">
        <v>578</v>
      </c>
      <c r="AS170" s="12" t="s">
        <v>578</v>
      </c>
      <c r="AT170" s="12" t="s">
        <v>578</v>
      </c>
      <c r="AU170" s="12" t="s">
        <v>578</v>
      </c>
      <c r="AV170" s="12" t="s">
        <v>578</v>
      </c>
      <c r="AW170" s="12" t="s">
        <v>578</v>
      </c>
      <c r="AX170" s="12" t="s">
        <v>578</v>
      </c>
      <c r="AY170" s="12" t="s">
        <v>578</v>
      </c>
      <c r="AZ170" s="12" t="s">
        <v>578</v>
      </c>
      <c r="BA170" s="12" t="s">
        <v>578</v>
      </c>
      <c r="BB170" s="12" t="s">
        <v>578</v>
      </c>
      <c r="BC170" s="12" t="s">
        <v>578</v>
      </c>
      <c r="BD170" s="12" t="s">
        <v>578</v>
      </c>
      <c r="BE170" s="12" t="s">
        <v>579</v>
      </c>
      <c r="BF170" s="12" t="s">
        <v>579</v>
      </c>
      <c r="BG170" s="12" t="s">
        <v>579</v>
      </c>
      <c r="BH170" s="12" t="s">
        <v>672</v>
      </c>
      <c r="BI170" s="12" t="s">
        <v>672</v>
      </c>
      <c r="BJ170" s="12" t="s">
        <v>672</v>
      </c>
      <c r="BK170" s="12" t="s">
        <v>672</v>
      </c>
      <c r="BL170" s="12" t="s">
        <v>672</v>
      </c>
      <c r="BM170" s="12" t="s">
        <v>672</v>
      </c>
      <c r="BN170" s="12" t="s">
        <v>580</v>
      </c>
      <c r="BO170" s="12" t="s">
        <v>851</v>
      </c>
      <c r="BP170" s="12" t="s">
        <v>851</v>
      </c>
      <c r="BQ170" s="12" t="s">
        <v>851</v>
      </c>
      <c r="BR170" s="12" t="s">
        <v>755</v>
      </c>
      <c r="BS170" s="12" t="s">
        <v>755</v>
      </c>
      <c r="BT170" s="12" t="s">
        <v>755</v>
      </c>
      <c r="BU170" s="12" t="s">
        <v>583</v>
      </c>
      <c r="BV170" s="12" t="s">
        <v>583</v>
      </c>
      <c r="BW170" s="12" t="s">
        <v>583</v>
      </c>
      <c r="BX170" s="12" t="s">
        <v>583</v>
      </c>
      <c r="BY170" s="12" t="s">
        <v>583</v>
      </c>
      <c r="BZ170" s="12" t="s">
        <v>583</v>
      </c>
      <c r="CA170" s="12" t="s">
        <v>583</v>
      </c>
      <c r="CB170" s="12" t="s">
        <v>868</v>
      </c>
      <c r="CC170" s="12" t="s">
        <v>868</v>
      </c>
      <c r="CD170" s="12" t="s">
        <v>756</v>
      </c>
      <c r="CE170" s="12" t="s">
        <v>756</v>
      </c>
      <c r="CF170" s="12" t="s">
        <v>756</v>
      </c>
      <c r="CG170" s="12" t="s">
        <v>756</v>
      </c>
      <c r="CH170" s="12" t="s">
        <v>756</v>
      </c>
      <c r="CI170" s="12" t="s">
        <v>756</v>
      </c>
      <c r="CJ170" s="12" t="s">
        <v>756</v>
      </c>
      <c r="CK170" s="12" t="s">
        <v>756</v>
      </c>
      <c r="CL170" s="12" t="s">
        <v>756</v>
      </c>
      <c r="CM170" s="12" t="s">
        <v>756</v>
      </c>
      <c r="CN170" s="12" t="s">
        <v>756</v>
      </c>
      <c r="CO170" s="12" t="s">
        <v>756</v>
      </c>
      <c r="CP170" s="12" t="s">
        <v>756</v>
      </c>
      <c r="CQ170" s="12" t="s">
        <v>756</v>
      </c>
      <c r="CR170" s="12" t="s">
        <v>756</v>
      </c>
      <c r="CS170" s="12" t="s">
        <v>756</v>
      </c>
      <c r="CT170" s="12" t="s">
        <v>584</v>
      </c>
    </row>
    <row r="171" spans="1:98" hidden="1" x14ac:dyDescent="0.3">
      <c r="A171" s="12" t="s">
        <v>3316</v>
      </c>
      <c r="B171" s="12" t="s">
        <v>3310</v>
      </c>
      <c r="C171" s="12" t="s">
        <v>3317</v>
      </c>
      <c r="D171" s="12" t="s">
        <v>3318</v>
      </c>
      <c r="E171" s="12" t="s">
        <v>578</v>
      </c>
      <c r="F171" s="12" t="s">
        <v>578</v>
      </c>
      <c r="G171" s="12" t="s">
        <v>578</v>
      </c>
      <c r="H171" s="12" t="s">
        <v>578</v>
      </c>
      <c r="I171" s="12" t="s">
        <v>578</v>
      </c>
      <c r="J171" s="12" t="s">
        <v>578</v>
      </c>
      <c r="K171" s="12" t="s">
        <v>578</v>
      </c>
      <c r="L171" s="12" t="s">
        <v>578</v>
      </c>
      <c r="M171" s="12" t="s">
        <v>578</v>
      </c>
      <c r="N171" s="12" t="s">
        <v>578</v>
      </c>
      <c r="O171" s="12" t="s">
        <v>578</v>
      </c>
      <c r="P171" s="12" t="s">
        <v>578</v>
      </c>
      <c r="Q171" s="12" t="s">
        <v>578</v>
      </c>
      <c r="R171" s="12" t="s">
        <v>578</v>
      </c>
      <c r="S171" s="12" t="s">
        <v>578</v>
      </c>
      <c r="T171" s="12" t="s">
        <v>578</v>
      </c>
      <c r="U171" s="12" t="s">
        <v>578</v>
      </c>
      <c r="V171" s="12" t="s">
        <v>578</v>
      </c>
      <c r="W171" s="12" t="s">
        <v>578</v>
      </c>
      <c r="X171" s="12" t="s">
        <v>578</v>
      </c>
      <c r="Y171" s="12" t="s">
        <v>578</v>
      </c>
      <c r="Z171" s="12" t="s">
        <v>578</v>
      </c>
      <c r="AA171" s="12" t="s">
        <v>578</v>
      </c>
      <c r="AB171" s="12" t="s">
        <v>578</v>
      </c>
      <c r="AC171" s="12" t="s">
        <v>578</v>
      </c>
      <c r="AD171" s="12" t="s">
        <v>578</v>
      </c>
      <c r="AE171" s="12" t="s">
        <v>578</v>
      </c>
      <c r="AF171" s="12" t="s">
        <v>578</v>
      </c>
      <c r="AG171" s="12" t="s">
        <v>578</v>
      </c>
      <c r="AH171" s="12" t="s">
        <v>578</v>
      </c>
      <c r="AI171" s="12" t="s">
        <v>578</v>
      </c>
      <c r="AJ171" s="12" t="s">
        <v>578</v>
      </c>
      <c r="AK171" s="12" t="s">
        <v>578</v>
      </c>
      <c r="AL171" s="12" t="s">
        <v>578</v>
      </c>
      <c r="AM171" s="12" t="s">
        <v>578</v>
      </c>
      <c r="AN171" s="12" t="s">
        <v>578</v>
      </c>
      <c r="AO171" s="12" t="s">
        <v>578</v>
      </c>
      <c r="AP171" s="12" t="s">
        <v>578</v>
      </c>
      <c r="AQ171" s="12" t="s">
        <v>578</v>
      </c>
      <c r="AR171" s="12" t="s">
        <v>578</v>
      </c>
      <c r="AS171" s="12" t="s">
        <v>578</v>
      </c>
      <c r="AT171" s="12" t="s">
        <v>578</v>
      </c>
      <c r="AU171" s="12" t="s">
        <v>578</v>
      </c>
      <c r="AV171" s="12" t="s">
        <v>578</v>
      </c>
      <c r="AW171" s="12" t="s">
        <v>578</v>
      </c>
      <c r="AX171" s="12" t="s">
        <v>578</v>
      </c>
      <c r="AY171" s="12" t="s">
        <v>578</v>
      </c>
      <c r="AZ171" s="12" t="s">
        <v>578</v>
      </c>
      <c r="BA171" s="12" t="s">
        <v>578</v>
      </c>
      <c r="BB171" s="12" t="s">
        <v>578</v>
      </c>
      <c r="BC171" s="12" t="s">
        <v>578</v>
      </c>
      <c r="BD171" s="12" t="s">
        <v>578</v>
      </c>
      <c r="BE171" s="12" t="s">
        <v>578</v>
      </c>
      <c r="BF171" s="12" t="s">
        <v>578</v>
      </c>
      <c r="BG171" s="12" t="s">
        <v>578</v>
      </c>
      <c r="BH171" s="12" t="s">
        <v>578</v>
      </c>
      <c r="BI171" s="12" t="s">
        <v>578</v>
      </c>
      <c r="BJ171" s="12" t="s">
        <v>578</v>
      </c>
      <c r="BK171" s="12" t="s">
        <v>579</v>
      </c>
      <c r="BL171" s="12" t="s">
        <v>579</v>
      </c>
      <c r="BM171" s="12" t="s">
        <v>579</v>
      </c>
      <c r="BN171" s="12" t="s">
        <v>623</v>
      </c>
      <c r="BO171" s="12" t="s">
        <v>623</v>
      </c>
      <c r="BP171" s="12" t="s">
        <v>672</v>
      </c>
      <c r="BQ171" s="12" t="s">
        <v>672</v>
      </c>
      <c r="BR171" s="12" t="s">
        <v>672</v>
      </c>
      <c r="BS171" s="12" t="s">
        <v>672</v>
      </c>
      <c r="BT171" s="12" t="s">
        <v>851</v>
      </c>
      <c r="BU171" s="12" t="s">
        <v>851</v>
      </c>
      <c r="BV171" s="12" t="s">
        <v>851</v>
      </c>
      <c r="BW171" s="12" t="s">
        <v>584</v>
      </c>
      <c r="BX171" s="12" t="s">
        <v>808</v>
      </c>
      <c r="BY171" s="12" t="s">
        <v>626</v>
      </c>
      <c r="BZ171" s="12" t="s">
        <v>626</v>
      </c>
      <c r="CA171" s="12" t="s">
        <v>757</v>
      </c>
      <c r="CB171" s="12" t="s">
        <v>677</v>
      </c>
      <c r="CC171" s="12" t="s">
        <v>588</v>
      </c>
      <c r="CD171" s="12" t="s">
        <v>588</v>
      </c>
      <c r="CE171" s="12" t="s">
        <v>1259</v>
      </c>
      <c r="CF171" s="12" t="s">
        <v>954</v>
      </c>
      <c r="CG171" s="12" t="s">
        <v>954</v>
      </c>
      <c r="CH171" s="12" t="s">
        <v>954</v>
      </c>
      <c r="CI171" s="12" t="s">
        <v>954</v>
      </c>
      <c r="CJ171" s="12" t="s">
        <v>809</v>
      </c>
      <c r="CK171" s="12" t="s">
        <v>719</v>
      </c>
      <c r="CL171" s="12" t="s">
        <v>992</v>
      </c>
      <c r="CM171" s="12" t="s">
        <v>992</v>
      </c>
      <c r="CN171" s="12" t="s">
        <v>633</v>
      </c>
      <c r="CO171" s="12" t="s">
        <v>955</v>
      </c>
      <c r="CP171" s="12" t="s">
        <v>955</v>
      </c>
      <c r="CQ171" s="12" t="s">
        <v>955</v>
      </c>
      <c r="CR171" s="12" t="s">
        <v>854</v>
      </c>
      <c r="CS171" s="12" t="s">
        <v>1120</v>
      </c>
      <c r="CT171" s="12" t="s">
        <v>1120</v>
      </c>
    </row>
    <row r="172" spans="1:98" hidden="1" x14ac:dyDescent="0.3">
      <c r="A172" s="12" t="s">
        <v>25</v>
      </c>
      <c r="B172" s="12" t="s">
        <v>3310</v>
      </c>
      <c r="C172" s="12" t="s">
        <v>3319</v>
      </c>
      <c r="D172" s="12" t="s">
        <v>3320</v>
      </c>
      <c r="E172" s="12" t="s">
        <v>578</v>
      </c>
      <c r="F172" s="12" t="s">
        <v>578</v>
      </c>
      <c r="G172" s="12" t="s">
        <v>578</v>
      </c>
      <c r="H172" s="12" t="s">
        <v>578</v>
      </c>
      <c r="I172" s="12" t="s">
        <v>578</v>
      </c>
      <c r="J172" s="12" t="s">
        <v>578</v>
      </c>
      <c r="K172" s="12" t="s">
        <v>578</v>
      </c>
      <c r="L172" s="12" t="s">
        <v>578</v>
      </c>
      <c r="M172" s="12" t="s">
        <v>578</v>
      </c>
      <c r="N172" s="12" t="s">
        <v>578</v>
      </c>
      <c r="O172" s="12" t="s">
        <v>578</v>
      </c>
      <c r="P172" s="12" t="s">
        <v>578</v>
      </c>
      <c r="Q172" s="12" t="s">
        <v>578</v>
      </c>
      <c r="R172" s="12" t="s">
        <v>578</v>
      </c>
      <c r="S172" s="12" t="s">
        <v>578</v>
      </c>
      <c r="T172" s="12" t="s">
        <v>578</v>
      </c>
      <c r="U172" s="12" t="s">
        <v>578</v>
      </c>
      <c r="V172" s="12" t="s">
        <v>578</v>
      </c>
      <c r="W172" s="12" t="s">
        <v>578</v>
      </c>
      <c r="X172" s="12" t="s">
        <v>578</v>
      </c>
      <c r="Y172" s="12" t="s">
        <v>578</v>
      </c>
      <c r="Z172" s="12" t="s">
        <v>578</v>
      </c>
      <c r="AA172" s="12" t="s">
        <v>578</v>
      </c>
      <c r="AB172" s="12" t="s">
        <v>578</v>
      </c>
      <c r="AC172" s="12" t="s">
        <v>578</v>
      </c>
      <c r="AD172" s="12" t="s">
        <v>578</v>
      </c>
      <c r="AE172" s="12" t="s">
        <v>578</v>
      </c>
      <c r="AF172" s="12" t="s">
        <v>578</v>
      </c>
      <c r="AG172" s="12" t="s">
        <v>578</v>
      </c>
      <c r="AH172" s="12" t="s">
        <v>578</v>
      </c>
      <c r="AI172" s="12" t="s">
        <v>578</v>
      </c>
      <c r="AJ172" s="12" t="s">
        <v>578</v>
      </c>
      <c r="AK172" s="12" t="s">
        <v>578</v>
      </c>
      <c r="AL172" s="12" t="s">
        <v>578</v>
      </c>
      <c r="AM172" s="12" t="s">
        <v>578</v>
      </c>
      <c r="AN172" s="12" t="s">
        <v>578</v>
      </c>
      <c r="AO172" s="12" t="s">
        <v>579</v>
      </c>
      <c r="AP172" s="12" t="s">
        <v>579</v>
      </c>
      <c r="AQ172" s="12" t="s">
        <v>851</v>
      </c>
      <c r="AR172" s="12" t="s">
        <v>624</v>
      </c>
      <c r="AS172" s="12" t="s">
        <v>808</v>
      </c>
      <c r="AT172" s="12" t="s">
        <v>587</v>
      </c>
      <c r="AU172" s="12" t="s">
        <v>628</v>
      </c>
      <c r="AV172" s="12" t="s">
        <v>976</v>
      </c>
      <c r="AW172" s="12" t="s">
        <v>773</v>
      </c>
      <c r="AX172" s="12" t="s">
        <v>725</v>
      </c>
      <c r="AY172" s="12" t="s">
        <v>817</v>
      </c>
      <c r="AZ172" s="12" t="s">
        <v>1311</v>
      </c>
      <c r="BA172" s="12" t="s">
        <v>2189</v>
      </c>
      <c r="BB172" s="12" t="s">
        <v>1371</v>
      </c>
      <c r="BC172" s="12" t="s">
        <v>1371</v>
      </c>
      <c r="BD172" s="12" t="s">
        <v>1290</v>
      </c>
      <c r="BE172" s="12" t="s">
        <v>3321</v>
      </c>
      <c r="BF172" s="12" t="s">
        <v>1006</v>
      </c>
      <c r="BG172" s="12" t="s">
        <v>1304</v>
      </c>
      <c r="BH172" s="12" t="s">
        <v>3322</v>
      </c>
      <c r="BI172" s="12" t="s">
        <v>3323</v>
      </c>
      <c r="BJ172" s="12" t="s">
        <v>3324</v>
      </c>
      <c r="BK172" s="12" t="s">
        <v>3325</v>
      </c>
      <c r="BL172" s="12" t="s">
        <v>3326</v>
      </c>
      <c r="BM172" s="12" t="s">
        <v>1198</v>
      </c>
      <c r="BN172" s="12" t="s">
        <v>3327</v>
      </c>
      <c r="BO172" s="12" t="s">
        <v>3328</v>
      </c>
      <c r="BP172" s="12" t="s">
        <v>3329</v>
      </c>
      <c r="BQ172" s="12" t="s">
        <v>3330</v>
      </c>
      <c r="BR172" s="12" t="s">
        <v>3331</v>
      </c>
      <c r="BS172" s="12" t="s">
        <v>3332</v>
      </c>
      <c r="BT172" s="12" t="s">
        <v>3333</v>
      </c>
      <c r="BU172" s="12" t="s">
        <v>3334</v>
      </c>
      <c r="BV172" s="12" t="s">
        <v>3335</v>
      </c>
      <c r="BW172" s="12" t="s">
        <v>3336</v>
      </c>
      <c r="BX172" s="12" t="s">
        <v>3337</v>
      </c>
      <c r="BY172" s="12" t="s">
        <v>3338</v>
      </c>
      <c r="BZ172" s="12" t="s">
        <v>3339</v>
      </c>
      <c r="CA172" s="12" t="s">
        <v>3340</v>
      </c>
      <c r="CB172" s="12" t="s">
        <v>3341</v>
      </c>
      <c r="CC172" s="12" t="s">
        <v>3342</v>
      </c>
      <c r="CD172" s="12" t="s">
        <v>3343</v>
      </c>
      <c r="CE172" s="12" t="s">
        <v>3344</v>
      </c>
      <c r="CF172" s="12" t="s">
        <v>3345</v>
      </c>
      <c r="CG172" s="12" t="s">
        <v>3346</v>
      </c>
      <c r="CH172" s="12" t="s">
        <v>3347</v>
      </c>
      <c r="CI172" s="12" t="s">
        <v>3348</v>
      </c>
      <c r="CJ172" s="12" t="s">
        <v>3349</v>
      </c>
      <c r="CK172" s="12" t="s">
        <v>3350</v>
      </c>
      <c r="CL172" s="12" t="s">
        <v>3351</v>
      </c>
      <c r="CM172" s="12" t="s">
        <v>3352</v>
      </c>
      <c r="CN172" s="12" t="s">
        <v>3353</v>
      </c>
      <c r="CO172" s="12" t="s">
        <v>3354</v>
      </c>
      <c r="CP172" s="12" t="s">
        <v>3355</v>
      </c>
      <c r="CQ172" s="12" t="s">
        <v>3356</v>
      </c>
      <c r="CR172" s="12" t="s">
        <v>3357</v>
      </c>
      <c r="CS172" s="12" t="s">
        <v>3358</v>
      </c>
      <c r="CT172" s="12" t="s">
        <v>3359</v>
      </c>
    </row>
    <row r="173" spans="1:98" hidden="1" x14ac:dyDescent="0.3">
      <c r="A173" s="12" t="s">
        <v>25</v>
      </c>
      <c r="B173" s="12" t="s">
        <v>3360</v>
      </c>
      <c r="C173" s="12" t="s">
        <v>3361</v>
      </c>
      <c r="D173" s="12" t="s">
        <v>3362</v>
      </c>
      <c r="E173" s="12" t="s">
        <v>578</v>
      </c>
      <c r="F173" s="12" t="s">
        <v>578</v>
      </c>
      <c r="G173" s="12" t="s">
        <v>578</v>
      </c>
      <c r="H173" s="12" t="s">
        <v>578</v>
      </c>
      <c r="I173" s="12" t="s">
        <v>578</v>
      </c>
      <c r="J173" s="12" t="s">
        <v>578</v>
      </c>
      <c r="K173" s="12" t="s">
        <v>578</v>
      </c>
      <c r="L173" s="12" t="s">
        <v>578</v>
      </c>
      <c r="M173" s="12" t="s">
        <v>578</v>
      </c>
      <c r="N173" s="12" t="s">
        <v>578</v>
      </c>
      <c r="O173" s="12" t="s">
        <v>578</v>
      </c>
      <c r="P173" s="12" t="s">
        <v>578</v>
      </c>
      <c r="Q173" s="12" t="s">
        <v>578</v>
      </c>
      <c r="R173" s="12" t="s">
        <v>578</v>
      </c>
      <c r="S173" s="12" t="s">
        <v>578</v>
      </c>
      <c r="T173" s="12" t="s">
        <v>578</v>
      </c>
      <c r="U173" s="12" t="s">
        <v>578</v>
      </c>
      <c r="V173" s="12" t="s">
        <v>578</v>
      </c>
      <c r="W173" s="12" t="s">
        <v>578</v>
      </c>
      <c r="X173" s="12" t="s">
        <v>578</v>
      </c>
      <c r="Y173" s="12" t="s">
        <v>578</v>
      </c>
      <c r="Z173" s="12" t="s">
        <v>578</v>
      </c>
      <c r="AA173" s="12" t="s">
        <v>578</v>
      </c>
      <c r="AB173" s="12" t="s">
        <v>578</v>
      </c>
      <c r="AC173" s="12" t="s">
        <v>578</v>
      </c>
      <c r="AD173" s="12" t="s">
        <v>578</v>
      </c>
      <c r="AE173" s="12" t="s">
        <v>578</v>
      </c>
      <c r="AF173" s="12" t="s">
        <v>578</v>
      </c>
      <c r="AG173" s="12" t="s">
        <v>578</v>
      </c>
      <c r="AH173" s="12" t="s">
        <v>578</v>
      </c>
      <c r="AI173" s="12" t="s">
        <v>578</v>
      </c>
      <c r="AJ173" s="12" t="s">
        <v>578</v>
      </c>
      <c r="AK173" s="12" t="s">
        <v>578</v>
      </c>
      <c r="AL173" s="12" t="s">
        <v>578</v>
      </c>
      <c r="AM173" s="12" t="s">
        <v>578</v>
      </c>
      <c r="AN173" s="12" t="s">
        <v>578</v>
      </c>
      <c r="AO173" s="12" t="s">
        <v>578</v>
      </c>
      <c r="AP173" s="12" t="s">
        <v>579</v>
      </c>
      <c r="AQ173" s="12" t="s">
        <v>579</v>
      </c>
      <c r="AR173" s="12" t="s">
        <v>579</v>
      </c>
      <c r="AS173" s="12" t="s">
        <v>579</v>
      </c>
      <c r="AT173" s="12" t="s">
        <v>579</v>
      </c>
      <c r="AU173" s="12" t="s">
        <v>672</v>
      </c>
      <c r="AV173" s="12" t="s">
        <v>672</v>
      </c>
      <c r="AW173" s="12" t="s">
        <v>580</v>
      </c>
      <c r="AX173" s="12" t="s">
        <v>581</v>
      </c>
      <c r="AY173" s="12" t="s">
        <v>581</v>
      </c>
      <c r="AZ173" s="12" t="s">
        <v>581</v>
      </c>
      <c r="BA173" s="12" t="s">
        <v>581</v>
      </c>
      <c r="BB173" s="12" t="s">
        <v>581</v>
      </c>
      <c r="BC173" s="12" t="s">
        <v>581</v>
      </c>
      <c r="BD173" s="12" t="s">
        <v>581</v>
      </c>
      <c r="BE173" s="12" t="s">
        <v>851</v>
      </c>
      <c r="BF173" s="12" t="s">
        <v>755</v>
      </c>
      <c r="BG173" s="12" t="s">
        <v>755</v>
      </c>
      <c r="BH173" s="12" t="s">
        <v>625</v>
      </c>
      <c r="BI173" s="12" t="s">
        <v>675</v>
      </c>
      <c r="BJ173" s="12" t="s">
        <v>869</v>
      </c>
      <c r="BK173" s="12" t="s">
        <v>718</v>
      </c>
      <c r="BL173" s="12" t="s">
        <v>809</v>
      </c>
      <c r="BM173" s="12" t="s">
        <v>863</v>
      </c>
      <c r="BN173" s="12" t="s">
        <v>863</v>
      </c>
      <c r="BO173" s="12" t="s">
        <v>1623</v>
      </c>
      <c r="BP173" s="12" t="s">
        <v>986</v>
      </c>
      <c r="BQ173" s="12" t="s">
        <v>1828</v>
      </c>
      <c r="BR173" s="12" t="s">
        <v>1282</v>
      </c>
      <c r="BS173" s="12" t="s">
        <v>2063</v>
      </c>
      <c r="BT173" s="12" t="s">
        <v>1037</v>
      </c>
      <c r="BU173" s="12" t="s">
        <v>779</v>
      </c>
      <c r="BV173" s="12" t="s">
        <v>1993</v>
      </c>
      <c r="BW173" s="12" t="s">
        <v>3287</v>
      </c>
      <c r="BX173" s="12" t="s">
        <v>3363</v>
      </c>
      <c r="BY173" s="12" t="s">
        <v>3364</v>
      </c>
      <c r="BZ173" s="12" t="s">
        <v>1676</v>
      </c>
      <c r="CA173" s="12" t="s">
        <v>835</v>
      </c>
      <c r="CB173" s="12" t="s">
        <v>3365</v>
      </c>
      <c r="CC173" s="12" t="s">
        <v>3366</v>
      </c>
      <c r="CD173" s="12" t="s">
        <v>3367</v>
      </c>
      <c r="CE173" s="12" t="s">
        <v>3149</v>
      </c>
      <c r="CF173" s="12" t="s">
        <v>1108</v>
      </c>
      <c r="CG173" s="12" t="s">
        <v>3368</v>
      </c>
      <c r="CH173" s="12" t="s">
        <v>3369</v>
      </c>
      <c r="CI173" s="12" t="s">
        <v>1771</v>
      </c>
      <c r="CJ173" s="12" t="s">
        <v>3370</v>
      </c>
      <c r="CK173" s="12" t="s">
        <v>3371</v>
      </c>
      <c r="CL173" s="12" t="s">
        <v>843</v>
      </c>
      <c r="CM173" s="12" t="s">
        <v>3372</v>
      </c>
      <c r="CN173" s="12" t="s">
        <v>3373</v>
      </c>
      <c r="CO173" s="12" t="s">
        <v>3374</v>
      </c>
      <c r="CP173" s="12" t="s">
        <v>3375</v>
      </c>
      <c r="CQ173" s="12" t="s">
        <v>1470</v>
      </c>
      <c r="CR173" s="12" t="s">
        <v>786</v>
      </c>
      <c r="CS173" s="12" t="s">
        <v>1785</v>
      </c>
      <c r="CT173" s="12" t="s">
        <v>3376</v>
      </c>
    </row>
    <row r="174" spans="1:98" hidden="1" x14ac:dyDescent="0.3">
      <c r="A174" s="12" t="s">
        <v>25</v>
      </c>
      <c r="B174" s="12" t="s">
        <v>3377</v>
      </c>
      <c r="C174" s="12" t="s">
        <v>3378</v>
      </c>
      <c r="D174" s="12" t="s">
        <v>3379</v>
      </c>
      <c r="E174" s="12" t="s">
        <v>578</v>
      </c>
      <c r="F174" s="12" t="s">
        <v>578</v>
      </c>
      <c r="G174" s="12" t="s">
        <v>578</v>
      </c>
      <c r="H174" s="12" t="s">
        <v>578</v>
      </c>
      <c r="I174" s="12" t="s">
        <v>578</v>
      </c>
      <c r="J174" s="12" t="s">
        <v>578</v>
      </c>
      <c r="K174" s="12" t="s">
        <v>578</v>
      </c>
      <c r="L174" s="12" t="s">
        <v>578</v>
      </c>
      <c r="M174" s="12" t="s">
        <v>578</v>
      </c>
      <c r="N174" s="12" t="s">
        <v>578</v>
      </c>
      <c r="O174" s="12" t="s">
        <v>578</v>
      </c>
      <c r="P174" s="12" t="s">
        <v>578</v>
      </c>
      <c r="Q174" s="12" t="s">
        <v>578</v>
      </c>
      <c r="R174" s="12" t="s">
        <v>578</v>
      </c>
      <c r="S174" s="12" t="s">
        <v>578</v>
      </c>
      <c r="T174" s="12" t="s">
        <v>578</v>
      </c>
      <c r="U174" s="12" t="s">
        <v>578</v>
      </c>
      <c r="V174" s="12" t="s">
        <v>578</v>
      </c>
      <c r="W174" s="12" t="s">
        <v>578</v>
      </c>
      <c r="X174" s="12" t="s">
        <v>578</v>
      </c>
      <c r="Y174" s="12" t="s">
        <v>578</v>
      </c>
      <c r="Z174" s="12" t="s">
        <v>578</v>
      </c>
      <c r="AA174" s="12" t="s">
        <v>578</v>
      </c>
      <c r="AB174" s="12" t="s">
        <v>578</v>
      </c>
      <c r="AC174" s="12" t="s">
        <v>578</v>
      </c>
      <c r="AD174" s="12" t="s">
        <v>578</v>
      </c>
      <c r="AE174" s="12" t="s">
        <v>578</v>
      </c>
      <c r="AF174" s="12" t="s">
        <v>578</v>
      </c>
      <c r="AG174" s="12" t="s">
        <v>578</v>
      </c>
      <c r="AH174" s="12" t="s">
        <v>578</v>
      </c>
      <c r="AI174" s="12" t="s">
        <v>578</v>
      </c>
      <c r="AJ174" s="12" t="s">
        <v>578</v>
      </c>
      <c r="AK174" s="12" t="s">
        <v>578</v>
      </c>
      <c r="AL174" s="12" t="s">
        <v>578</v>
      </c>
      <c r="AM174" s="12" t="s">
        <v>578</v>
      </c>
      <c r="AN174" s="12" t="s">
        <v>578</v>
      </c>
      <c r="AO174" s="12" t="s">
        <v>578</v>
      </c>
      <c r="AP174" s="12" t="s">
        <v>578</v>
      </c>
      <c r="AQ174" s="12" t="s">
        <v>578</v>
      </c>
      <c r="AR174" s="12" t="s">
        <v>578</v>
      </c>
      <c r="AS174" s="12" t="s">
        <v>578</v>
      </c>
      <c r="AT174" s="12" t="s">
        <v>578</v>
      </c>
      <c r="AU174" s="12" t="s">
        <v>578</v>
      </c>
      <c r="AV174" s="12" t="s">
        <v>578</v>
      </c>
      <c r="AW174" s="12" t="s">
        <v>578</v>
      </c>
      <c r="AX174" s="12" t="s">
        <v>578</v>
      </c>
      <c r="AY174" s="12" t="s">
        <v>578</v>
      </c>
      <c r="AZ174" s="12" t="s">
        <v>578</v>
      </c>
      <c r="BA174" s="12" t="s">
        <v>578</v>
      </c>
      <c r="BB174" s="12" t="s">
        <v>578</v>
      </c>
      <c r="BC174" s="12" t="s">
        <v>578</v>
      </c>
      <c r="BD174" s="12" t="s">
        <v>578</v>
      </c>
      <c r="BE174" s="12" t="s">
        <v>578</v>
      </c>
      <c r="BF174" s="12" t="s">
        <v>578</v>
      </c>
      <c r="BG174" s="12" t="s">
        <v>578</v>
      </c>
      <c r="BH174" s="12" t="s">
        <v>578</v>
      </c>
      <c r="BI174" s="12" t="s">
        <v>578</v>
      </c>
      <c r="BJ174" s="12" t="s">
        <v>579</v>
      </c>
      <c r="BK174" s="12" t="s">
        <v>579</v>
      </c>
      <c r="BL174" s="12" t="s">
        <v>623</v>
      </c>
      <c r="BM174" s="12" t="s">
        <v>623</v>
      </c>
      <c r="BN174" s="12" t="s">
        <v>623</v>
      </c>
      <c r="BO174" s="12" t="s">
        <v>623</v>
      </c>
      <c r="BP174" s="12" t="s">
        <v>623</v>
      </c>
      <c r="BQ174" s="12" t="s">
        <v>623</v>
      </c>
      <c r="BR174" s="12" t="s">
        <v>623</v>
      </c>
      <c r="BS174" s="12" t="s">
        <v>580</v>
      </c>
      <c r="BT174" s="12" t="s">
        <v>580</v>
      </c>
      <c r="BU174" s="12" t="s">
        <v>580</v>
      </c>
      <c r="BV174" s="12" t="s">
        <v>581</v>
      </c>
      <c r="BW174" s="12" t="s">
        <v>581</v>
      </c>
      <c r="BX174" s="12" t="s">
        <v>581</v>
      </c>
      <c r="BY174" s="12" t="s">
        <v>581</v>
      </c>
      <c r="BZ174" s="12" t="s">
        <v>581</v>
      </c>
      <c r="CA174" s="12" t="s">
        <v>851</v>
      </c>
      <c r="CB174" s="12" t="s">
        <v>851</v>
      </c>
      <c r="CC174" s="12" t="s">
        <v>851</v>
      </c>
      <c r="CD174" s="12" t="s">
        <v>851</v>
      </c>
      <c r="CE174" s="12" t="s">
        <v>582</v>
      </c>
      <c r="CF174" s="12" t="s">
        <v>582</v>
      </c>
      <c r="CG174" s="12" t="s">
        <v>755</v>
      </c>
      <c r="CH174" s="12" t="s">
        <v>761</v>
      </c>
      <c r="CI174" s="12" t="s">
        <v>761</v>
      </c>
      <c r="CJ174" s="12" t="s">
        <v>761</v>
      </c>
      <c r="CK174" s="12" t="s">
        <v>761</v>
      </c>
      <c r="CL174" s="12" t="s">
        <v>761</v>
      </c>
      <c r="CM174" s="12" t="s">
        <v>761</v>
      </c>
      <c r="CN174" s="12" t="s">
        <v>761</v>
      </c>
      <c r="CO174" s="12" t="s">
        <v>624</v>
      </c>
      <c r="CP174" s="12" t="s">
        <v>624</v>
      </c>
      <c r="CQ174" s="12" t="s">
        <v>624</v>
      </c>
      <c r="CR174" s="12" t="s">
        <v>624</v>
      </c>
      <c r="CS174" s="12" t="s">
        <v>583</v>
      </c>
      <c r="CT174" s="12" t="s">
        <v>583</v>
      </c>
    </row>
    <row r="175" spans="1:98" hidden="1" x14ac:dyDescent="0.3">
      <c r="A175" s="12" t="s">
        <v>25</v>
      </c>
      <c r="B175" s="12" t="s">
        <v>3380</v>
      </c>
      <c r="C175" s="12" t="s">
        <v>3381</v>
      </c>
      <c r="D175" s="12" t="s">
        <v>3382</v>
      </c>
      <c r="E175" s="12" t="s">
        <v>578</v>
      </c>
      <c r="F175" s="12" t="s">
        <v>578</v>
      </c>
      <c r="G175" s="12" t="s">
        <v>578</v>
      </c>
      <c r="H175" s="12" t="s">
        <v>578</v>
      </c>
      <c r="I175" s="12" t="s">
        <v>578</v>
      </c>
      <c r="J175" s="12" t="s">
        <v>578</v>
      </c>
      <c r="K175" s="12" t="s">
        <v>578</v>
      </c>
      <c r="L175" s="12" t="s">
        <v>578</v>
      </c>
      <c r="M175" s="12" t="s">
        <v>578</v>
      </c>
      <c r="N175" s="12" t="s">
        <v>578</v>
      </c>
      <c r="O175" s="12" t="s">
        <v>578</v>
      </c>
      <c r="P175" s="12" t="s">
        <v>578</v>
      </c>
      <c r="Q175" s="12" t="s">
        <v>578</v>
      </c>
      <c r="R175" s="12" t="s">
        <v>578</v>
      </c>
      <c r="S175" s="12" t="s">
        <v>578</v>
      </c>
      <c r="T175" s="12" t="s">
        <v>578</v>
      </c>
      <c r="U175" s="12" t="s">
        <v>578</v>
      </c>
      <c r="V175" s="12" t="s">
        <v>578</v>
      </c>
      <c r="W175" s="12" t="s">
        <v>578</v>
      </c>
      <c r="X175" s="12" t="s">
        <v>578</v>
      </c>
      <c r="Y175" s="12" t="s">
        <v>578</v>
      </c>
      <c r="Z175" s="12" t="s">
        <v>578</v>
      </c>
      <c r="AA175" s="12" t="s">
        <v>578</v>
      </c>
      <c r="AB175" s="12" t="s">
        <v>578</v>
      </c>
      <c r="AC175" s="12" t="s">
        <v>578</v>
      </c>
      <c r="AD175" s="12" t="s">
        <v>578</v>
      </c>
      <c r="AE175" s="12" t="s">
        <v>578</v>
      </c>
      <c r="AF175" s="12" t="s">
        <v>578</v>
      </c>
      <c r="AG175" s="12" t="s">
        <v>578</v>
      </c>
      <c r="AH175" s="12" t="s">
        <v>578</v>
      </c>
      <c r="AI175" s="12" t="s">
        <v>578</v>
      </c>
      <c r="AJ175" s="12" t="s">
        <v>578</v>
      </c>
      <c r="AK175" s="12" t="s">
        <v>578</v>
      </c>
      <c r="AL175" s="12" t="s">
        <v>578</v>
      </c>
      <c r="AM175" s="12" t="s">
        <v>578</v>
      </c>
      <c r="AN175" s="12" t="s">
        <v>578</v>
      </c>
      <c r="AO175" s="12" t="s">
        <v>578</v>
      </c>
      <c r="AP175" s="12" t="s">
        <v>578</v>
      </c>
      <c r="AQ175" s="12" t="s">
        <v>578</v>
      </c>
      <c r="AR175" s="12" t="s">
        <v>578</v>
      </c>
      <c r="AS175" s="12" t="s">
        <v>578</v>
      </c>
      <c r="AT175" s="12" t="s">
        <v>578</v>
      </c>
      <c r="AU175" s="12" t="s">
        <v>578</v>
      </c>
      <c r="AV175" s="12" t="s">
        <v>578</v>
      </c>
      <c r="AW175" s="12" t="s">
        <v>578</v>
      </c>
      <c r="AX175" s="12" t="s">
        <v>578</v>
      </c>
      <c r="AY175" s="12" t="s">
        <v>578</v>
      </c>
      <c r="AZ175" s="12" t="s">
        <v>578</v>
      </c>
      <c r="BA175" s="12" t="s">
        <v>578</v>
      </c>
      <c r="BB175" s="12" t="s">
        <v>578</v>
      </c>
      <c r="BC175" s="12" t="s">
        <v>578</v>
      </c>
      <c r="BD175" s="12" t="s">
        <v>578</v>
      </c>
      <c r="BE175" s="12" t="s">
        <v>578</v>
      </c>
      <c r="BF175" s="12" t="s">
        <v>578</v>
      </c>
      <c r="BG175" s="12" t="s">
        <v>578</v>
      </c>
      <c r="BH175" s="12" t="s">
        <v>578</v>
      </c>
      <c r="BI175" s="12" t="s">
        <v>578</v>
      </c>
      <c r="BJ175" s="12" t="s">
        <v>578</v>
      </c>
      <c r="BK175" s="12" t="s">
        <v>579</v>
      </c>
      <c r="BL175" s="12" t="s">
        <v>579</v>
      </c>
      <c r="BM175" s="12" t="s">
        <v>623</v>
      </c>
      <c r="BN175" s="12" t="s">
        <v>672</v>
      </c>
      <c r="BO175" s="12" t="s">
        <v>672</v>
      </c>
      <c r="BP175" s="12" t="s">
        <v>582</v>
      </c>
      <c r="BQ175" s="12" t="s">
        <v>624</v>
      </c>
      <c r="BR175" s="12" t="s">
        <v>624</v>
      </c>
      <c r="BS175" s="12" t="s">
        <v>624</v>
      </c>
      <c r="BT175" s="12" t="s">
        <v>808</v>
      </c>
      <c r="BU175" s="12" t="s">
        <v>913</v>
      </c>
      <c r="BV175" s="12" t="s">
        <v>913</v>
      </c>
      <c r="BW175" s="12" t="s">
        <v>589</v>
      </c>
      <c r="BX175" s="12" t="s">
        <v>978</v>
      </c>
      <c r="BY175" s="12" t="s">
        <v>593</v>
      </c>
      <c r="BZ175" s="12" t="s">
        <v>920</v>
      </c>
      <c r="CA175" s="12" t="s">
        <v>921</v>
      </c>
      <c r="CB175" s="12" t="s">
        <v>1491</v>
      </c>
      <c r="CC175" s="12" t="s">
        <v>1028</v>
      </c>
      <c r="CD175" s="12" t="s">
        <v>1519</v>
      </c>
      <c r="CE175" s="12" t="s">
        <v>1695</v>
      </c>
      <c r="CF175" s="12" t="s">
        <v>967</v>
      </c>
      <c r="CG175" s="12" t="s">
        <v>1703</v>
      </c>
      <c r="CH175" s="12" t="s">
        <v>1722</v>
      </c>
      <c r="CI175" s="12" t="s">
        <v>1722</v>
      </c>
      <c r="CJ175" s="12" t="s">
        <v>1984</v>
      </c>
      <c r="CK175" s="12" t="s">
        <v>664</v>
      </c>
      <c r="CL175" s="12" t="s">
        <v>664</v>
      </c>
      <c r="CM175" s="12" t="s">
        <v>3383</v>
      </c>
      <c r="CN175" s="12" t="s">
        <v>2071</v>
      </c>
      <c r="CO175" s="12" t="s">
        <v>2701</v>
      </c>
      <c r="CP175" s="12" t="s">
        <v>2701</v>
      </c>
      <c r="CQ175" s="12" t="s">
        <v>2190</v>
      </c>
      <c r="CR175" s="12" t="s">
        <v>2175</v>
      </c>
      <c r="CS175" s="12" t="s">
        <v>3384</v>
      </c>
      <c r="CT175" s="12" t="s">
        <v>2176</v>
      </c>
    </row>
    <row r="176" spans="1:98" hidden="1" x14ac:dyDescent="0.3">
      <c r="A176" s="12" t="s">
        <v>25</v>
      </c>
      <c r="B176" s="12" t="s">
        <v>3385</v>
      </c>
      <c r="C176" s="12" t="s">
        <v>3386</v>
      </c>
      <c r="D176" s="12" t="s">
        <v>3387</v>
      </c>
      <c r="E176" s="12" t="s">
        <v>578</v>
      </c>
      <c r="F176" s="12" t="s">
        <v>578</v>
      </c>
      <c r="G176" s="12" t="s">
        <v>578</v>
      </c>
      <c r="H176" s="12" t="s">
        <v>578</v>
      </c>
      <c r="I176" s="12" t="s">
        <v>578</v>
      </c>
      <c r="J176" s="12" t="s">
        <v>578</v>
      </c>
      <c r="K176" s="12" t="s">
        <v>578</v>
      </c>
      <c r="L176" s="12" t="s">
        <v>578</v>
      </c>
      <c r="M176" s="12" t="s">
        <v>578</v>
      </c>
      <c r="N176" s="12" t="s">
        <v>578</v>
      </c>
      <c r="O176" s="12" t="s">
        <v>578</v>
      </c>
      <c r="P176" s="12" t="s">
        <v>578</v>
      </c>
      <c r="Q176" s="12" t="s">
        <v>578</v>
      </c>
      <c r="R176" s="12" t="s">
        <v>578</v>
      </c>
      <c r="S176" s="12" t="s">
        <v>578</v>
      </c>
      <c r="T176" s="12" t="s">
        <v>578</v>
      </c>
      <c r="U176" s="12" t="s">
        <v>578</v>
      </c>
      <c r="V176" s="12" t="s">
        <v>578</v>
      </c>
      <c r="W176" s="12" t="s">
        <v>578</v>
      </c>
      <c r="X176" s="12" t="s">
        <v>578</v>
      </c>
      <c r="Y176" s="12" t="s">
        <v>578</v>
      </c>
      <c r="Z176" s="12" t="s">
        <v>578</v>
      </c>
      <c r="AA176" s="12" t="s">
        <v>578</v>
      </c>
      <c r="AB176" s="12" t="s">
        <v>578</v>
      </c>
      <c r="AC176" s="12" t="s">
        <v>578</v>
      </c>
      <c r="AD176" s="12" t="s">
        <v>578</v>
      </c>
      <c r="AE176" s="12" t="s">
        <v>578</v>
      </c>
      <c r="AF176" s="12" t="s">
        <v>578</v>
      </c>
      <c r="AG176" s="12" t="s">
        <v>578</v>
      </c>
      <c r="AH176" s="12" t="s">
        <v>578</v>
      </c>
      <c r="AI176" s="12" t="s">
        <v>578</v>
      </c>
      <c r="AJ176" s="12" t="s">
        <v>578</v>
      </c>
      <c r="AK176" s="12" t="s">
        <v>578</v>
      </c>
      <c r="AL176" s="12" t="s">
        <v>578</v>
      </c>
      <c r="AM176" s="12" t="s">
        <v>578</v>
      </c>
      <c r="AN176" s="12" t="s">
        <v>578</v>
      </c>
      <c r="AO176" s="12" t="s">
        <v>578</v>
      </c>
      <c r="AP176" s="12" t="s">
        <v>579</v>
      </c>
      <c r="AQ176" s="12" t="s">
        <v>579</v>
      </c>
      <c r="AR176" s="12" t="s">
        <v>579</v>
      </c>
      <c r="AS176" s="12" t="s">
        <v>579</v>
      </c>
      <c r="AT176" s="12" t="s">
        <v>579</v>
      </c>
      <c r="AU176" s="12" t="s">
        <v>579</v>
      </c>
      <c r="AV176" s="12" t="s">
        <v>579</v>
      </c>
      <c r="AW176" s="12" t="s">
        <v>579</v>
      </c>
      <c r="AX176" s="12" t="s">
        <v>579</v>
      </c>
      <c r="AY176" s="12" t="s">
        <v>579</v>
      </c>
      <c r="AZ176" s="12" t="s">
        <v>623</v>
      </c>
      <c r="BA176" s="12" t="s">
        <v>623</v>
      </c>
      <c r="BB176" s="12" t="s">
        <v>623</v>
      </c>
      <c r="BC176" s="12" t="s">
        <v>623</v>
      </c>
      <c r="BD176" s="12" t="s">
        <v>623</v>
      </c>
      <c r="BE176" s="12" t="s">
        <v>623</v>
      </c>
      <c r="BF176" s="12" t="s">
        <v>623</v>
      </c>
      <c r="BG176" s="12" t="s">
        <v>623</v>
      </c>
      <c r="BH176" s="12" t="s">
        <v>672</v>
      </c>
      <c r="BI176" s="12" t="s">
        <v>755</v>
      </c>
      <c r="BJ176" s="12" t="s">
        <v>755</v>
      </c>
      <c r="BK176" s="12" t="s">
        <v>625</v>
      </c>
      <c r="BL176" s="12" t="s">
        <v>586</v>
      </c>
      <c r="BM176" s="12" t="s">
        <v>2018</v>
      </c>
      <c r="BN176" s="12" t="s">
        <v>588</v>
      </c>
      <c r="BO176" s="12" t="s">
        <v>1096</v>
      </c>
      <c r="BP176" s="12" t="s">
        <v>630</v>
      </c>
      <c r="BQ176" s="12" t="s">
        <v>870</v>
      </c>
      <c r="BR176" s="12" t="s">
        <v>634</v>
      </c>
      <c r="BS176" s="12" t="s">
        <v>636</v>
      </c>
      <c r="BT176" s="12" t="s">
        <v>979</v>
      </c>
      <c r="BU176" s="12" t="s">
        <v>1047</v>
      </c>
      <c r="BV176" s="12" t="s">
        <v>1356</v>
      </c>
      <c r="BW176" s="12" t="s">
        <v>595</v>
      </c>
      <c r="BX176" s="12" t="s">
        <v>921</v>
      </c>
      <c r="BY176" s="12" t="s">
        <v>875</v>
      </c>
      <c r="BZ176" s="12" t="s">
        <v>1126</v>
      </c>
      <c r="CA176" s="12" t="s">
        <v>1507</v>
      </c>
      <c r="CB176" s="12" t="s">
        <v>1624</v>
      </c>
      <c r="CC176" s="12" t="s">
        <v>1492</v>
      </c>
      <c r="CD176" s="12" t="s">
        <v>3388</v>
      </c>
      <c r="CE176" s="12" t="s">
        <v>1395</v>
      </c>
      <c r="CF176" s="12" t="s">
        <v>958</v>
      </c>
      <c r="CG176" s="12" t="s">
        <v>1396</v>
      </c>
      <c r="CH176" s="12" t="s">
        <v>1281</v>
      </c>
      <c r="CI176" s="12" t="s">
        <v>1745</v>
      </c>
      <c r="CJ176" s="12" t="s">
        <v>1981</v>
      </c>
      <c r="CK176" s="12" t="s">
        <v>820</v>
      </c>
      <c r="CL176" s="12" t="s">
        <v>1699</v>
      </c>
      <c r="CM176" s="12" t="s">
        <v>926</v>
      </c>
      <c r="CN176" s="12" t="s">
        <v>1402</v>
      </c>
      <c r="CO176" s="12" t="s">
        <v>3383</v>
      </c>
      <c r="CP176" s="12" t="s">
        <v>608</v>
      </c>
      <c r="CQ176" s="12" t="s">
        <v>608</v>
      </c>
      <c r="CR176" s="12" t="s">
        <v>933</v>
      </c>
      <c r="CS176" s="12" t="s">
        <v>1866</v>
      </c>
      <c r="CT176" s="12" t="s">
        <v>1759</v>
      </c>
    </row>
    <row r="177" spans="1:98" hidden="1" x14ac:dyDescent="0.3">
      <c r="A177" s="12" t="s">
        <v>25</v>
      </c>
      <c r="B177" s="12" t="s">
        <v>3389</v>
      </c>
      <c r="C177" s="12" t="s">
        <v>3390</v>
      </c>
      <c r="D177" s="12" t="s">
        <v>3391</v>
      </c>
      <c r="E177" s="12" t="s">
        <v>578</v>
      </c>
      <c r="F177" s="12" t="s">
        <v>578</v>
      </c>
      <c r="G177" s="12" t="s">
        <v>578</v>
      </c>
      <c r="H177" s="12" t="s">
        <v>578</v>
      </c>
      <c r="I177" s="12" t="s">
        <v>578</v>
      </c>
      <c r="J177" s="12" t="s">
        <v>578</v>
      </c>
      <c r="K177" s="12" t="s">
        <v>578</v>
      </c>
      <c r="L177" s="12" t="s">
        <v>578</v>
      </c>
      <c r="M177" s="12" t="s">
        <v>578</v>
      </c>
      <c r="N177" s="12" t="s">
        <v>578</v>
      </c>
      <c r="O177" s="12" t="s">
        <v>578</v>
      </c>
      <c r="P177" s="12" t="s">
        <v>578</v>
      </c>
      <c r="Q177" s="12" t="s">
        <v>578</v>
      </c>
      <c r="R177" s="12" t="s">
        <v>578</v>
      </c>
      <c r="S177" s="12" t="s">
        <v>578</v>
      </c>
      <c r="T177" s="12" t="s">
        <v>578</v>
      </c>
      <c r="U177" s="12" t="s">
        <v>578</v>
      </c>
      <c r="V177" s="12" t="s">
        <v>578</v>
      </c>
      <c r="W177" s="12" t="s">
        <v>578</v>
      </c>
      <c r="X177" s="12" t="s">
        <v>578</v>
      </c>
      <c r="Y177" s="12" t="s">
        <v>578</v>
      </c>
      <c r="Z177" s="12" t="s">
        <v>578</v>
      </c>
      <c r="AA177" s="12" t="s">
        <v>578</v>
      </c>
      <c r="AB177" s="12" t="s">
        <v>578</v>
      </c>
      <c r="AC177" s="12" t="s">
        <v>578</v>
      </c>
      <c r="AD177" s="12" t="s">
        <v>578</v>
      </c>
      <c r="AE177" s="12" t="s">
        <v>578</v>
      </c>
      <c r="AF177" s="12" t="s">
        <v>578</v>
      </c>
      <c r="AG177" s="12" t="s">
        <v>578</v>
      </c>
      <c r="AH177" s="12" t="s">
        <v>578</v>
      </c>
      <c r="AI177" s="12" t="s">
        <v>578</v>
      </c>
      <c r="AJ177" s="12" t="s">
        <v>578</v>
      </c>
      <c r="AK177" s="12" t="s">
        <v>578</v>
      </c>
      <c r="AL177" s="12" t="s">
        <v>578</v>
      </c>
      <c r="AM177" s="12" t="s">
        <v>578</v>
      </c>
      <c r="AN177" s="12" t="s">
        <v>579</v>
      </c>
      <c r="AO177" s="12" t="s">
        <v>579</v>
      </c>
      <c r="AP177" s="12" t="s">
        <v>579</v>
      </c>
      <c r="AQ177" s="12" t="s">
        <v>579</v>
      </c>
      <c r="AR177" s="12" t="s">
        <v>579</v>
      </c>
      <c r="AS177" s="12" t="s">
        <v>579</v>
      </c>
      <c r="AT177" s="12" t="s">
        <v>579</v>
      </c>
      <c r="AU177" s="12" t="s">
        <v>579</v>
      </c>
      <c r="AV177" s="12" t="s">
        <v>579</v>
      </c>
      <c r="AW177" s="12" t="s">
        <v>672</v>
      </c>
      <c r="AX177" s="12" t="s">
        <v>672</v>
      </c>
      <c r="AY177" s="12" t="s">
        <v>672</v>
      </c>
      <c r="AZ177" s="12" t="s">
        <v>672</v>
      </c>
      <c r="BA177" s="12" t="s">
        <v>582</v>
      </c>
      <c r="BB177" s="12" t="s">
        <v>582</v>
      </c>
      <c r="BC177" s="12" t="s">
        <v>582</v>
      </c>
      <c r="BD177" s="12" t="s">
        <v>756</v>
      </c>
      <c r="BE177" s="12" t="s">
        <v>756</v>
      </c>
      <c r="BF177" s="12" t="s">
        <v>756</v>
      </c>
      <c r="BG177" s="12" t="s">
        <v>808</v>
      </c>
      <c r="BH177" s="12" t="s">
        <v>676</v>
      </c>
      <c r="BI177" s="12" t="s">
        <v>917</v>
      </c>
      <c r="BJ177" s="12" t="s">
        <v>678</v>
      </c>
      <c r="BK177" s="12" t="s">
        <v>955</v>
      </c>
      <c r="BL177" s="12" t="s">
        <v>1124</v>
      </c>
      <c r="BM177" s="12" t="s">
        <v>811</v>
      </c>
      <c r="BN177" s="12" t="s">
        <v>812</v>
      </c>
      <c r="BO177" s="12" t="s">
        <v>1505</v>
      </c>
      <c r="BP177" s="12" t="s">
        <v>1531</v>
      </c>
      <c r="BQ177" s="12" t="s">
        <v>684</v>
      </c>
      <c r="BR177" s="12" t="s">
        <v>1570</v>
      </c>
      <c r="BS177" s="12" t="s">
        <v>1508</v>
      </c>
      <c r="BT177" s="12" t="s">
        <v>645</v>
      </c>
      <c r="BU177" s="12" t="s">
        <v>1129</v>
      </c>
      <c r="BV177" s="12" t="s">
        <v>819</v>
      </c>
      <c r="BW177" s="12" t="s">
        <v>1267</v>
      </c>
      <c r="BX177" s="12" t="s">
        <v>1398</v>
      </c>
      <c r="BY177" s="12" t="s">
        <v>2659</v>
      </c>
      <c r="BZ177" s="12" t="s">
        <v>1846</v>
      </c>
      <c r="CA177" s="12" t="s">
        <v>606</v>
      </c>
      <c r="CB177" s="12" t="s">
        <v>1984</v>
      </c>
      <c r="CC177" s="12" t="s">
        <v>2106</v>
      </c>
      <c r="CD177" s="12" t="s">
        <v>1461</v>
      </c>
      <c r="CE177" s="12" t="s">
        <v>667</v>
      </c>
      <c r="CF177" s="12" t="s">
        <v>1964</v>
      </c>
      <c r="CG177" s="12" t="s">
        <v>2042</v>
      </c>
      <c r="CH177" s="12" t="s">
        <v>3392</v>
      </c>
      <c r="CI177" s="12" t="s">
        <v>3393</v>
      </c>
      <c r="CJ177" s="12" t="s">
        <v>3394</v>
      </c>
      <c r="CK177" s="12" t="s">
        <v>940</v>
      </c>
      <c r="CL177" s="12" t="s">
        <v>3395</v>
      </c>
      <c r="CM177" s="12" t="s">
        <v>2111</v>
      </c>
      <c r="CN177" s="12" t="s">
        <v>3396</v>
      </c>
      <c r="CO177" s="12" t="s">
        <v>2434</v>
      </c>
      <c r="CP177" s="12" t="s">
        <v>3397</v>
      </c>
      <c r="CQ177" s="12" t="s">
        <v>1168</v>
      </c>
      <c r="CR177" s="12" t="s">
        <v>3398</v>
      </c>
      <c r="CS177" s="12" t="s">
        <v>3110</v>
      </c>
      <c r="CT177" s="12" t="s">
        <v>2290</v>
      </c>
    </row>
    <row r="178" spans="1:98" hidden="1" x14ac:dyDescent="0.3">
      <c r="A178" s="12" t="s">
        <v>25</v>
      </c>
      <c r="B178" s="12" t="s">
        <v>3399</v>
      </c>
      <c r="C178" s="12" t="s">
        <v>3400</v>
      </c>
      <c r="D178" s="12" t="s">
        <v>3401</v>
      </c>
      <c r="E178" s="12" t="s">
        <v>578</v>
      </c>
      <c r="F178" s="12" t="s">
        <v>578</v>
      </c>
      <c r="G178" s="12" t="s">
        <v>578</v>
      </c>
      <c r="H178" s="12" t="s">
        <v>578</v>
      </c>
      <c r="I178" s="12" t="s">
        <v>578</v>
      </c>
      <c r="J178" s="12" t="s">
        <v>578</v>
      </c>
      <c r="K178" s="12" t="s">
        <v>578</v>
      </c>
      <c r="L178" s="12" t="s">
        <v>578</v>
      </c>
      <c r="M178" s="12" t="s">
        <v>578</v>
      </c>
      <c r="N178" s="12" t="s">
        <v>578</v>
      </c>
      <c r="O178" s="12" t="s">
        <v>578</v>
      </c>
      <c r="P178" s="12" t="s">
        <v>578</v>
      </c>
      <c r="Q178" s="12" t="s">
        <v>578</v>
      </c>
      <c r="R178" s="12" t="s">
        <v>578</v>
      </c>
      <c r="S178" s="12" t="s">
        <v>578</v>
      </c>
      <c r="T178" s="12" t="s">
        <v>578</v>
      </c>
      <c r="U178" s="12" t="s">
        <v>578</v>
      </c>
      <c r="V178" s="12" t="s">
        <v>578</v>
      </c>
      <c r="W178" s="12" t="s">
        <v>578</v>
      </c>
      <c r="X178" s="12" t="s">
        <v>578</v>
      </c>
      <c r="Y178" s="12" t="s">
        <v>578</v>
      </c>
      <c r="Z178" s="12" t="s">
        <v>578</v>
      </c>
      <c r="AA178" s="12" t="s">
        <v>578</v>
      </c>
      <c r="AB178" s="12" t="s">
        <v>578</v>
      </c>
      <c r="AC178" s="12" t="s">
        <v>578</v>
      </c>
      <c r="AD178" s="12" t="s">
        <v>578</v>
      </c>
      <c r="AE178" s="12" t="s">
        <v>578</v>
      </c>
      <c r="AF178" s="12" t="s">
        <v>578</v>
      </c>
      <c r="AG178" s="12" t="s">
        <v>578</v>
      </c>
      <c r="AH178" s="12" t="s">
        <v>578</v>
      </c>
      <c r="AI178" s="12" t="s">
        <v>578</v>
      </c>
      <c r="AJ178" s="12" t="s">
        <v>578</v>
      </c>
      <c r="AK178" s="12" t="s">
        <v>578</v>
      </c>
      <c r="AL178" s="12" t="s">
        <v>578</v>
      </c>
      <c r="AM178" s="12" t="s">
        <v>578</v>
      </c>
      <c r="AN178" s="12" t="s">
        <v>579</v>
      </c>
      <c r="AO178" s="12" t="s">
        <v>579</v>
      </c>
      <c r="AP178" s="12" t="s">
        <v>851</v>
      </c>
      <c r="AQ178" s="12" t="s">
        <v>762</v>
      </c>
      <c r="AR178" s="12" t="s">
        <v>674</v>
      </c>
      <c r="AS178" s="12" t="s">
        <v>757</v>
      </c>
      <c r="AT178" s="12" t="s">
        <v>852</v>
      </c>
      <c r="AU178" s="12" t="s">
        <v>769</v>
      </c>
      <c r="AV178" s="12" t="s">
        <v>681</v>
      </c>
      <c r="AW178" s="12" t="s">
        <v>1499</v>
      </c>
      <c r="AX178" s="12" t="s">
        <v>1515</v>
      </c>
      <c r="AY178" s="12" t="s">
        <v>1278</v>
      </c>
      <c r="AZ178" s="12" t="s">
        <v>986</v>
      </c>
      <c r="BA178" s="12" t="s">
        <v>652</v>
      </c>
      <c r="BB178" s="12" t="s">
        <v>1270</v>
      </c>
      <c r="BC178" s="12" t="s">
        <v>2139</v>
      </c>
      <c r="BD178" s="12" t="s">
        <v>614</v>
      </c>
      <c r="BE178" s="12" t="s">
        <v>3402</v>
      </c>
      <c r="BF178" s="12" t="s">
        <v>3403</v>
      </c>
      <c r="BG178" s="12" t="s">
        <v>1767</v>
      </c>
      <c r="BH178" s="12" t="s">
        <v>3404</v>
      </c>
      <c r="BI178" s="12" t="s">
        <v>3405</v>
      </c>
      <c r="BJ178" s="12" t="s">
        <v>3406</v>
      </c>
      <c r="BK178" s="12" t="s">
        <v>702</v>
      </c>
      <c r="BL178" s="12" t="s">
        <v>3407</v>
      </c>
      <c r="BM178" s="12" t="s">
        <v>3408</v>
      </c>
      <c r="BN178" s="12" t="s">
        <v>3409</v>
      </c>
      <c r="BO178" s="12" t="s">
        <v>898</v>
      </c>
      <c r="BP178" s="12" t="s">
        <v>3410</v>
      </c>
      <c r="BQ178" s="12" t="s">
        <v>2473</v>
      </c>
      <c r="BR178" s="12" t="s">
        <v>2348</v>
      </c>
      <c r="BS178" s="12" t="s">
        <v>255</v>
      </c>
      <c r="BT178" s="12" t="s">
        <v>2480</v>
      </c>
      <c r="BU178" s="12" t="s">
        <v>3411</v>
      </c>
      <c r="BV178" s="12" t="s">
        <v>3412</v>
      </c>
      <c r="BW178" s="12" t="s">
        <v>3413</v>
      </c>
      <c r="BX178" s="12" t="s">
        <v>3414</v>
      </c>
      <c r="BY178" s="12" t="s">
        <v>3415</v>
      </c>
      <c r="BZ178" s="12" t="s">
        <v>3416</v>
      </c>
      <c r="CA178" s="12" t="s">
        <v>3417</v>
      </c>
      <c r="CB178" s="12" t="s">
        <v>3418</v>
      </c>
      <c r="CC178" s="12" t="s">
        <v>3419</v>
      </c>
      <c r="CD178" s="12" t="s">
        <v>3419</v>
      </c>
      <c r="CE178" s="12" t="s">
        <v>3420</v>
      </c>
      <c r="CF178" s="12" t="s">
        <v>3421</v>
      </c>
      <c r="CG178" s="12" t="s">
        <v>3422</v>
      </c>
      <c r="CH178" s="12" t="s">
        <v>3423</v>
      </c>
      <c r="CI178" s="12" t="s">
        <v>3424</v>
      </c>
      <c r="CJ178" s="12" t="s">
        <v>3425</v>
      </c>
      <c r="CK178" s="12" t="s">
        <v>3426</v>
      </c>
      <c r="CL178" s="12" t="s">
        <v>3427</v>
      </c>
      <c r="CM178" s="12" t="s">
        <v>3428</v>
      </c>
      <c r="CN178" s="12" t="s">
        <v>3429</v>
      </c>
      <c r="CO178" s="12" t="s">
        <v>3430</v>
      </c>
      <c r="CP178" s="12" t="s">
        <v>3431</v>
      </c>
      <c r="CQ178" s="12" t="s">
        <v>3432</v>
      </c>
      <c r="CR178" s="12" t="s">
        <v>3433</v>
      </c>
      <c r="CS178" s="12" t="s">
        <v>3434</v>
      </c>
      <c r="CT178" s="12" t="s">
        <v>3435</v>
      </c>
    </row>
    <row r="179" spans="1:98" hidden="1" x14ac:dyDescent="0.3">
      <c r="A179" s="12" t="s">
        <v>25</v>
      </c>
      <c r="B179" s="12" t="s">
        <v>3436</v>
      </c>
      <c r="C179" s="12" t="s">
        <v>2724</v>
      </c>
      <c r="D179" s="12" t="s">
        <v>3437</v>
      </c>
      <c r="E179" s="12" t="s">
        <v>578</v>
      </c>
      <c r="F179" s="12" t="s">
        <v>578</v>
      </c>
      <c r="G179" s="12" t="s">
        <v>578</v>
      </c>
      <c r="H179" s="12" t="s">
        <v>578</v>
      </c>
      <c r="I179" s="12" t="s">
        <v>578</v>
      </c>
      <c r="J179" s="12" t="s">
        <v>578</v>
      </c>
      <c r="K179" s="12" t="s">
        <v>578</v>
      </c>
      <c r="L179" s="12" t="s">
        <v>578</v>
      </c>
      <c r="M179" s="12" t="s">
        <v>578</v>
      </c>
      <c r="N179" s="12" t="s">
        <v>578</v>
      </c>
      <c r="O179" s="12" t="s">
        <v>578</v>
      </c>
      <c r="P179" s="12" t="s">
        <v>578</v>
      </c>
      <c r="Q179" s="12" t="s">
        <v>578</v>
      </c>
      <c r="R179" s="12" t="s">
        <v>578</v>
      </c>
      <c r="S179" s="12" t="s">
        <v>578</v>
      </c>
      <c r="T179" s="12" t="s">
        <v>578</v>
      </c>
      <c r="U179" s="12" t="s">
        <v>578</v>
      </c>
      <c r="V179" s="12" t="s">
        <v>578</v>
      </c>
      <c r="W179" s="12" t="s">
        <v>578</v>
      </c>
      <c r="X179" s="12" t="s">
        <v>578</v>
      </c>
      <c r="Y179" s="12" t="s">
        <v>578</v>
      </c>
      <c r="Z179" s="12" t="s">
        <v>578</v>
      </c>
      <c r="AA179" s="12" t="s">
        <v>578</v>
      </c>
      <c r="AB179" s="12" t="s">
        <v>578</v>
      </c>
      <c r="AC179" s="12" t="s">
        <v>578</v>
      </c>
      <c r="AD179" s="12" t="s">
        <v>578</v>
      </c>
      <c r="AE179" s="12" t="s">
        <v>578</v>
      </c>
      <c r="AF179" s="12" t="s">
        <v>578</v>
      </c>
      <c r="AG179" s="12" t="s">
        <v>578</v>
      </c>
      <c r="AH179" s="12" t="s">
        <v>578</v>
      </c>
      <c r="AI179" s="12" t="s">
        <v>578</v>
      </c>
      <c r="AJ179" s="12" t="s">
        <v>578</v>
      </c>
      <c r="AK179" s="12" t="s">
        <v>578</v>
      </c>
      <c r="AL179" s="12" t="s">
        <v>623</v>
      </c>
      <c r="AM179" s="12" t="s">
        <v>623</v>
      </c>
      <c r="AN179" s="12" t="s">
        <v>580</v>
      </c>
      <c r="AO179" s="12" t="s">
        <v>580</v>
      </c>
      <c r="AP179" s="12" t="s">
        <v>580</v>
      </c>
      <c r="AQ179" s="12" t="s">
        <v>851</v>
      </c>
      <c r="AR179" s="12" t="s">
        <v>851</v>
      </c>
      <c r="AS179" s="12" t="s">
        <v>851</v>
      </c>
      <c r="AT179" s="12" t="s">
        <v>625</v>
      </c>
      <c r="AU179" s="12" t="s">
        <v>762</v>
      </c>
      <c r="AV179" s="12" t="s">
        <v>584</v>
      </c>
      <c r="AW179" s="12" t="s">
        <v>584</v>
      </c>
      <c r="AX179" s="12" t="s">
        <v>584</v>
      </c>
      <c r="AY179" s="12" t="s">
        <v>584</v>
      </c>
      <c r="AZ179" s="12" t="s">
        <v>584</v>
      </c>
      <c r="BA179" s="12" t="s">
        <v>808</v>
      </c>
      <c r="BB179" s="12" t="s">
        <v>808</v>
      </c>
      <c r="BC179" s="12" t="s">
        <v>808</v>
      </c>
      <c r="BD179" s="12" t="s">
        <v>674</v>
      </c>
      <c r="BE179" s="12" t="s">
        <v>674</v>
      </c>
      <c r="BF179" s="12" t="s">
        <v>586</v>
      </c>
      <c r="BG179" s="12" t="s">
        <v>586</v>
      </c>
      <c r="BH179" s="12" t="s">
        <v>587</v>
      </c>
      <c r="BI179" s="12" t="s">
        <v>718</v>
      </c>
      <c r="BJ179" s="12" t="s">
        <v>678</v>
      </c>
      <c r="BK179" s="12" t="s">
        <v>678</v>
      </c>
      <c r="BL179" s="12" t="s">
        <v>809</v>
      </c>
      <c r="BM179" s="12" t="s">
        <v>631</v>
      </c>
      <c r="BN179" s="12" t="s">
        <v>973</v>
      </c>
      <c r="BO179" s="12" t="s">
        <v>590</v>
      </c>
      <c r="BP179" s="12" t="s">
        <v>860</v>
      </c>
      <c r="BQ179" s="12" t="s">
        <v>1208</v>
      </c>
      <c r="BR179" s="12" t="s">
        <v>1047</v>
      </c>
      <c r="BS179" s="12" t="s">
        <v>1185</v>
      </c>
      <c r="BT179" s="12" t="s">
        <v>1487</v>
      </c>
      <c r="BU179" s="12" t="s">
        <v>1734</v>
      </c>
      <c r="BV179" s="12" t="s">
        <v>2839</v>
      </c>
      <c r="BW179" s="12" t="s">
        <v>875</v>
      </c>
      <c r="BX179" s="12" t="s">
        <v>1027</v>
      </c>
      <c r="BY179" s="12" t="s">
        <v>1511</v>
      </c>
      <c r="BZ179" s="12" t="s">
        <v>646</v>
      </c>
      <c r="CA179" s="12" t="s">
        <v>1098</v>
      </c>
      <c r="CB179" s="12" t="s">
        <v>1365</v>
      </c>
      <c r="CC179" s="12" t="s">
        <v>2061</v>
      </c>
      <c r="CD179" s="12" t="s">
        <v>1130</v>
      </c>
      <c r="CE179" s="12" t="s">
        <v>1369</v>
      </c>
      <c r="CF179" s="12" t="s">
        <v>604</v>
      </c>
      <c r="CG179" s="12" t="s">
        <v>1042</v>
      </c>
      <c r="CH179" s="12" t="s">
        <v>2106</v>
      </c>
      <c r="CI179" s="12" t="s">
        <v>2726</v>
      </c>
      <c r="CJ179" s="12" t="s">
        <v>1756</v>
      </c>
      <c r="CK179" s="12" t="s">
        <v>1675</v>
      </c>
      <c r="CL179" s="12" t="s">
        <v>948</v>
      </c>
      <c r="CM179" s="12" t="s">
        <v>3438</v>
      </c>
      <c r="CN179" s="12" t="s">
        <v>3439</v>
      </c>
      <c r="CO179" s="12" t="s">
        <v>1468</v>
      </c>
      <c r="CP179" s="12" t="s">
        <v>2686</v>
      </c>
      <c r="CQ179" s="12" t="s">
        <v>3440</v>
      </c>
      <c r="CR179" s="12" t="s">
        <v>3441</v>
      </c>
      <c r="CS179" s="12" t="s">
        <v>3442</v>
      </c>
      <c r="CT179" s="12" t="s">
        <v>2759</v>
      </c>
    </row>
    <row r="180" spans="1:98" hidden="1" x14ac:dyDescent="0.3">
      <c r="A180" s="12" t="s">
        <v>25</v>
      </c>
      <c r="B180" s="12" t="s">
        <v>3443</v>
      </c>
      <c r="C180" s="12" t="s">
        <v>3444</v>
      </c>
      <c r="D180" s="12" t="s">
        <v>3445</v>
      </c>
      <c r="E180" s="12" t="s">
        <v>578</v>
      </c>
      <c r="F180" s="12" t="s">
        <v>578</v>
      </c>
      <c r="G180" s="12" t="s">
        <v>578</v>
      </c>
      <c r="H180" s="12" t="s">
        <v>578</v>
      </c>
      <c r="I180" s="12" t="s">
        <v>578</v>
      </c>
      <c r="J180" s="12" t="s">
        <v>578</v>
      </c>
      <c r="K180" s="12" t="s">
        <v>578</v>
      </c>
      <c r="L180" s="12" t="s">
        <v>578</v>
      </c>
      <c r="M180" s="12" t="s">
        <v>578</v>
      </c>
      <c r="N180" s="12" t="s">
        <v>578</v>
      </c>
      <c r="O180" s="12" t="s">
        <v>578</v>
      </c>
      <c r="P180" s="12" t="s">
        <v>578</v>
      </c>
      <c r="Q180" s="12" t="s">
        <v>578</v>
      </c>
      <c r="R180" s="12" t="s">
        <v>578</v>
      </c>
      <c r="S180" s="12" t="s">
        <v>578</v>
      </c>
      <c r="T180" s="12" t="s">
        <v>578</v>
      </c>
      <c r="U180" s="12" t="s">
        <v>578</v>
      </c>
      <c r="V180" s="12" t="s">
        <v>578</v>
      </c>
      <c r="W180" s="12" t="s">
        <v>578</v>
      </c>
      <c r="X180" s="12" t="s">
        <v>578</v>
      </c>
      <c r="Y180" s="12" t="s">
        <v>578</v>
      </c>
      <c r="Z180" s="12" t="s">
        <v>578</v>
      </c>
      <c r="AA180" s="12" t="s">
        <v>578</v>
      </c>
      <c r="AB180" s="12" t="s">
        <v>578</v>
      </c>
      <c r="AC180" s="12" t="s">
        <v>578</v>
      </c>
      <c r="AD180" s="12" t="s">
        <v>578</v>
      </c>
      <c r="AE180" s="12" t="s">
        <v>578</v>
      </c>
      <c r="AF180" s="12" t="s">
        <v>578</v>
      </c>
      <c r="AG180" s="12" t="s">
        <v>578</v>
      </c>
      <c r="AH180" s="12" t="s">
        <v>578</v>
      </c>
      <c r="AI180" s="12" t="s">
        <v>578</v>
      </c>
      <c r="AJ180" s="12" t="s">
        <v>578</v>
      </c>
      <c r="AK180" s="12" t="s">
        <v>578</v>
      </c>
      <c r="AL180" s="12" t="s">
        <v>578</v>
      </c>
      <c r="AM180" s="12" t="s">
        <v>578</v>
      </c>
      <c r="AN180" s="12" t="s">
        <v>623</v>
      </c>
      <c r="AO180" s="12" t="s">
        <v>623</v>
      </c>
      <c r="AP180" s="12" t="s">
        <v>623</v>
      </c>
      <c r="AQ180" s="12" t="s">
        <v>580</v>
      </c>
      <c r="AR180" s="12" t="s">
        <v>580</v>
      </c>
      <c r="AS180" s="12" t="s">
        <v>580</v>
      </c>
      <c r="AT180" s="12" t="s">
        <v>581</v>
      </c>
      <c r="AU180" s="12" t="s">
        <v>581</v>
      </c>
      <c r="AV180" s="12" t="s">
        <v>581</v>
      </c>
      <c r="AW180" s="12" t="s">
        <v>851</v>
      </c>
      <c r="AX180" s="12" t="s">
        <v>851</v>
      </c>
      <c r="AY180" s="12" t="s">
        <v>851</v>
      </c>
      <c r="AZ180" s="12" t="s">
        <v>851</v>
      </c>
      <c r="BA180" s="12" t="s">
        <v>584</v>
      </c>
      <c r="BB180" s="12" t="s">
        <v>674</v>
      </c>
      <c r="BC180" s="12" t="s">
        <v>675</v>
      </c>
      <c r="BD180" s="12" t="s">
        <v>869</v>
      </c>
      <c r="BE180" s="12" t="s">
        <v>766</v>
      </c>
      <c r="BF180" s="12" t="s">
        <v>719</v>
      </c>
      <c r="BG180" s="12" t="s">
        <v>812</v>
      </c>
      <c r="BH180" s="12" t="s">
        <v>1517</v>
      </c>
      <c r="BI180" s="12" t="s">
        <v>599</v>
      </c>
      <c r="BJ180" s="12" t="s">
        <v>688</v>
      </c>
      <c r="BK180" s="12" t="s">
        <v>736</v>
      </c>
      <c r="BL180" s="12" t="s">
        <v>1428</v>
      </c>
      <c r="BM180" s="12" t="s">
        <v>3446</v>
      </c>
      <c r="BN180" s="12" t="s">
        <v>3154</v>
      </c>
      <c r="BO180" s="12" t="s">
        <v>3447</v>
      </c>
      <c r="BP180" s="12" t="s">
        <v>3448</v>
      </c>
      <c r="BQ180" s="12" t="s">
        <v>839</v>
      </c>
      <c r="BR180" s="12" t="s">
        <v>1110</v>
      </c>
      <c r="BS180" s="12" t="s">
        <v>2200</v>
      </c>
      <c r="BT180" s="12" t="s">
        <v>3449</v>
      </c>
      <c r="BU180" s="12" t="s">
        <v>3450</v>
      </c>
      <c r="BV180" s="12" t="s">
        <v>3451</v>
      </c>
      <c r="BW180" s="12" t="s">
        <v>3407</v>
      </c>
      <c r="BX180" s="12" t="s">
        <v>3452</v>
      </c>
      <c r="BY180" s="12" t="s">
        <v>893</v>
      </c>
      <c r="BZ180" s="12" t="s">
        <v>3453</v>
      </c>
      <c r="CA180" s="12" t="s">
        <v>3454</v>
      </c>
      <c r="CB180" s="12" t="s">
        <v>3455</v>
      </c>
      <c r="CC180" s="12" t="s">
        <v>3456</v>
      </c>
      <c r="CD180" s="12" t="s">
        <v>3457</v>
      </c>
      <c r="CE180" s="12" t="s">
        <v>3458</v>
      </c>
      <c r="CF180" s="12" t="s">
        <v>2898</v>
      </c>
      <c r="CG180" s="12" t="s">
        <v>3459</v>
      </c>
      <c r="CH180" s="12" t="s">
        <v>3460</v>
      </c>
      <c r="CI180" s="12" t="s">
        <v>3461</v>
      </c>
      <c r="CJ180" s="12" t="s">
        <v>3462</v>
      </c>
      <c r="CK180" s="12" t="s">
        <v>3463</v>
      </c>
      <c r="CL180" s="12" t="s">
        <v>3464</v>
      </c>
      <c r="CM180" s="12" t="s">
        <v>3465</v>
      </c>
      <c r="CN180" s="12" t="s">
        <v>3466</v>
      </c>
      <c r="CO180" s="12" t="s">
        <v>3467</v>
      </c>
      <c r="CP180" s="12" t="s">
        <v>3468</v>
      </c>
      <c r="CQ180" s="12" t="s">
        <v>3469</v>
      </c>
      <c r="CR180" s="12" t="s">
        <v>3470</v>
      </c>
      <c r="CS180" s="12" t="s">
        <v>3471</v>
      </c>
      <c r="CT180" s="12" t="s">
        <v>3472</v>
      </c>
    </row>
    <row r="181" spans="1:98" hidden="1" x14ac:dyDescent="0.3">
      <c r="A181" s="12" t="s">
        <v>25</v>
      </c>
      <c r="B181" s="12" t="s">
        <v>3473</v>
      </c>
      <c r="C181" s="12" t="s">
        <v>3474</v>
      </c>
      <c r="D181" s="12" t="s">
        <v>3475</v>
      </c>
      <c r="E181" s="12" t="s">
        <v>578</v>
      </c>
      <c r="F181" s="12" t="s">
        <v>578</v>
      </c>
      <c r="G181" s="12" t="s">
        <v>578</v>
      </c>
      <c r="H181" s="12" t="s">
        <v>578</v>
      </c>
      <c r="I181" s="12" t="s">
        <v>578</v>
      </c>
      <c r="J181" s="12" t="s">
        <v>578</v>
      </c>
      <c r="K181" s="12" t="s">
        <v>578</v>
      </c>
      <c r="L181" s="12" t="s">
        <v>578</v>
      </c>
      <c r="M181" s="12" t="s">
        <v>578</v>
      </c>
      <c r="N181" s="12" t="s">
        <v>578</v>
      </c>
      <c r="O181" s="12" t="s">
        <v>578</v>
      </c>
      <c r="P181" s="12" t="s">
        <v>578</v>
      </c>
      <c r="Q181" s="12" t="s">
        <v>578</v>
      </c>
      <c r="R181" s="12" t="s">
        <v>578</v>
      </c>
      <c r="S181" s="12" t="s">
        <v>578</v>
      </c>
      <c r="T181" s="12" t="s">
        <v>578</v>
      </c>
      <c r="U181" s="12" t="s">
        <v>578</v>
      </c>
      <c r="V181" s="12" t="s">
        <v>578</v>
      </c>
      <c r="W181" s="12" t="s">
        <v>578</v>
      </c>
      <c r="X181" s="12" t="s">
        <v>578</v>
      </c>
      <c r="Y181" s="12" t="s">
        <v>578</v>
      </c>
      <c r="Z181" s="12" t="s">
        <v>578</v>
      </c>
      <c r="AA181" s="12" t="s">
        <v>578</v>
      </c>
      <c r="AB181" s="12" t="s">
        <v>578</v>
      </c>
      <c r="AC181" s="12" t="s">
        <v>578</v>
      </c>
      <c r="AD181" s="12" t="s">
        <v>578</v>
      </c>
      <c r="AE181" s="12" t="s">
        <v>578</v>
      </c>
      <c r="AF181" s="12" t="s">
        <v>578</v>
      </c>
      <c r="AG181" s="12" t="s">
        <v>578</v>
      </c>
      <c r="AH181" s="12" t="s">
        <v>578</v>
      </c>
      <c r="AI181" s="12" t="s">
        <v>578</v>
      </c>
      <c r="AJ181" s="12" t="s">
        <v>578</v>
      </c>
      <c r="AK181" s="12" t="s">
        <v>578</v>
      </c>
      <c r="AL181" s="12" t="s">
        <v>578</v>
      </c>
      <c r="AM181" s="12" t="s">
        <v>578</v>
      </c>
      <c r="AN181" s="12" t="s">
        <v>578</v>
      </c>
      <c r="AO181" s="12" t="s">
        <v>578</v>
      </c>
      <c r="AP181" s="12" t="s">
        <v>578</v>
      </c>
      <c r="AQ181" s="12" t="s">
        <v>578</v>
      </c>
      <c r="AR181" s="12" t="s">
        <v>578</v>
      </c>
      <c r="AS181" s="12" t="s">
        <v>578</v>
      </c>
      <c r="AT181" s="12" t="s">
        <v>578</v>
      </c>
      <c r="AU181" s="12" t="s">
        <v>578</v>
      </c>
      <c r="AV181" s="12" t="s">
        <v>578</v>
      </c>
      <c r="AW181" s="12" t="s">
        <v>578</v>
      </c>
      <c r="AX181" s="12" t="s">
        <v>578</v>
      </c>
      <c r="AY181" s="12" t="s">
        <v>578</v>
      </c>
      <c r="AZ181" s="12" t="s">
        <v>578</v>
      </c>
      <c r="BA181" s="12" t="s">
        <v>579</v>
      </c>
      <c r="BB181" s="12" t="s">
        <v>755</v>
      </c>
      <c r="BC181" s="12" t="s">
        <v>583</v>
      </c>
      <c r="BD181" s="12" t="s">
        <v>913</v>
      </c>
      <c r="BE181" s="12" t="s">
        <v>971</v>
      </c>
      <c r="BF181" s="12" t="s">
        <v>1259</v>
      </c>
      <c r="BG181" s="12" t="s">
        <v>631</v>
      </c>
      <c r="BH181" s="12" t="s">
        <v>974</v>
      </c>
      <c r="BI181" s="12" t="s">
        <v>977</v>
      </c>
      <c r="BJ181" s="12" t="s">
        <v>1208</v>
      </c>
      <c r="BK181" s="12" t="s">
        <v>1357</v>
      </c>
      <c r="BL181" s="12" t="s">
        <v>985</v>
      </c>
      <c r="BM181" s="12" t="s">
        <v>1608</v>
      </c>
      <c r="BN181" s="12" t="s">
        <v>1397</v>
      </c>
      <c r="BO181" s="12" t="s">
        <v>1397</v>
      </c>
      <c r="BP181" s="12" t="s">
        <v>925</v>
      </c>
      <c r="BQ181" s="12" t="s">
        <v>1705</v>
      </c>
      <c r="BR181" s="12" t="s">
        <v>1288</v>
      </c>
      <c r="BS181" s="12" t="s">
        <v>3476</v>
      </c>
      <c r="BT181" s="12" t="s">
        <v>1292</v>
      </c>
      <c r="BU181" s="12" t="s">
        <v>1681</v>
      </c>
      <c r="BV181" s="12" t="s">
        <v>1443</v>
      </c>
      <c r="BW181" s="12" t="s">
        <v>1443</v>
      </c>
      <c r="BX181" s="12" t="s">
        <v>3477</v>
      </c>
      <c r="BY181" s="12" t="s">
        <v>1787</v>
      </c>
      <c r="BZ181" s="12" t="s">
        <v>2637</v>
      </c>
      <c r="CA181" s="12" t="s">
        <v>3478</v>
      </c>
      <c r="CB181" s="12" t="s">
        <v>3158</v>
      </c>
      <c r="CC181" s="12" t="s">
        <v>3479</v>
      </c>
      <c r="CD181" s="12" t="s">
        <v>3480</v>
      </c>
      <c r="CE181" s="12" t="s">
        <v>3481</v>
      </c>
      <c r="CF181" s="12" t="s">
        <v>3482</v>
      </c>
      <c r="CG181" s="12" t="s">
        <v>2469</v>
      </c>
      <c r="CH181" s="12" t="s">
        <v>3483</v>
      </c>
      <c r="CI181" s="12" t="s">
        <v>3484</v>
      </c>
      <c r="CJ181" s="12" t="s">
        <v>3485</v>
      </c>
      <c r="CK181" s="12" t="s">
        <v>3486</v>
      </c>
      <c r="CL181" s="12" t="s">
        <v>3487</v>
      </c>
      <c r="CM181" s="12" t="s">
        <v>3488</v>
      </c>
      <c r="CN181" s="12" t="s">
        <v>3489</v>
      </c>
      <c r="CO181" s="12" t="s">
        <v>2865</v>
      </c>
      <c r="CP181" s="12" t="s">
        <v>3490</v>
      </c>
      <c r="CQ181" s="12" t="s">
        <v>3491</v>
      </c>
      <c r="CR181" s="12" t="s">
        <v>3492</v>
      </c>
      <c r="CS181" s="12" t="s">
        <v>3493</v>
      </c>
      <c r="CT181" s="12" t="s">
        <v>3494</v>
      </c>
    </row>
    <row r="182" spans="1:98" hidden="1" x14ac:dyDescent="0.3">
      <c r="A182" s="12" t="s">
        <v>25</v>
      </c>
      <c r="B182" s="12" t="s">
        <v>3495</v>
      </c>
      <c r="C182" s="12" t="s">
        <v>3496</v>
      </c>
      <c r="D182" s="12" t="s">
        <v>3497</v>
      </c>
      <c r="E182" s="12" t="s">
        <v>578</v>
      </c>
      <c r="F182" s="12" t="s">
        <v>578</v>
      </c>
      <c r="G182" s="12" t="s">
        <v>578</v>
      </c>
      <c r="H182" s="12" t="s">
        <v>578</v>
      </c>
      <c r="I182" s="12" t="s">
        <v>578</v>
      </c>
      <c r="J182" s="12" t="s">
        <v>578</v>
      </c>
      <c r="K182" s="12" t="s">
        <v>578</v>
      </c>
      <c r="L182" s="12" t="s">
        <v>578</v>
      </c>
      <c r="M182" s="12" t="s">
        <v>578</v>
      </c>
      <c r="N182" s="12" t="s">
        <v>578</v>
      </c>
      <c r="O182" s="12" t="s">
        <v>578</v>
      </c>
      <c r="P182" s="12" t="s">
        <v>578</v>
      </c>
      <c r="Q182" s="12" t="s">
        <v>578</v>
      </c>
      <c r="R182" s="12" t="s">
        <v>578</v>
      </c>
      <c r="S182" s="12" t="s">
        <v>578</v>
      </c>
      <c r="T182" s="12" t="s">
        <v>578</v>
      </c>
      <c r="U182" s="12" t="s">
        <v>578</v>
      </c>
      <c r="V182" s="12" t="s">
        <v>578</v>
      </c>
      <c r="W182" s="12" t="s">
        <v>578</v>
      </c>
      <c r="X182" s="12" t="s">
        <v>578</v>
      </c>
      <c r="Y182" s="12" t="s">
        <v>578</v>
      </c>
      <c r="Z182" s="12" t="s">
        <v>578</v>
      </c>
      <c r="AA182" s="12" t="s">
        <v>578</v>
      </c>
      <c r="AB182" s="12" t="s">
        <v>578</v>
      </c>
      <c r="AC182" s="12" t="s">
        <v>578</v>
      </c>
      <c r="AD182" s="12" t="s">
        <v>578</v>
      </c>
      <c r="AE182" s="12" t="s">
        <v>578</v>
      </c>
      <c r="AF182" s="12" t="s">
        <v>578</v>
      </c>
      <c r="AG182" s="12" t="s">
        <v>578</v>
      </c>
      <c r="AH182" s="12" t="s">
        <v>578</v>
      </c>
      <c r="AI182" s="12" t="s">
        <v>578</v>
      </c>
      <c r="AJ182" s="12" t="s">
        <v>578</v>
      </c>
      <c r="AK182" s="12" t="s">
        <v>578</v>
      </c>
      <c r="AL182" s="12" t="s">
        <v>578</v>
      </c>
      <c r="AM182" s="12" t="s">
        <v>578</v>
      </c>
      <c r="AN182" s="12" t="s">
        <v>578</v>
      </c>
      <c r="AO182" s="12" t="s">
        <v>578</v>
      </c>
      <c r="AP182" s="12" t="s">
        <v>578</v>
      </c>
      <c r="AQ182" s="12" t="s">
        <v>578</v>
      </c>
      <c r="AR182" s="12" t="s">
        <v>578</v>
      </c>
      <c r="AS182" s="12" t="s">
        <v>578</v>
      </c>
      <c r="AT182" s="12" t="s">
        <v>578</v>
      </c>
      <c r="AU182" s="12" t="s">
        <v>578</v>
      </c>
      <c r="AV182" s="12" t="s">
        <v>578</v>
      </c>
      <c r="AW182" s="12" t="s">
        <v>578</v>
      </c>
      <c r="AX182" s="12" t="s">
        <v>578</v>
      </c>
      <c r="AY182" s="12" t="s">
        <v>578</v>
      </c>
      <c r="AZ182" s="12" t="s">
        <v>578</v>
      </c>
      <c r="BA182" s="12" t="s">
        <v>578</v>
      </c>
      <c r="BB182" s="12" t="s">
        <v>578</v>
      </c>
      <c r="BC182" s="12" t="s">
        <v>578</v>
      </c>
      <c r="BD182" s="12" t="s">
        <v>578</v>
      </c>
      <c r="BE182" s="12" t="s">
        <v>578</v>
      </c>
      <c r="BF182" s="12" t="s">
        <v>578</v>
      </c>
      <c r="BG182" s="12" t="s">
        <v>578</v>
      </c>
      <c r="BH182" s="12" t="s">
        <v>578</v>
      </c>
      <c r="BI182" s="12" t="s">
        <v>578</v>
      </c>
      <c r="BJ182" s="12" t="s">
        <v>578</v>
      </c>
      <c r="BK182" s="12" t="s">
        <v>579</v>
      </c>
      <c r="BL182" s="12" t="s">
        <v>579</v>
      </c>
      <c r="BM182" s="12" t="s">
        <v>579</v>
      </c>
      <c r="BN182" s="12" t="s">
        <v>579</v>
      </c>
      <c r="BO182" s="12" t="s">
        <v>579</v>
      </c>
      <c r="BP182" s="12" t="s">
        <v>579</v>
      </c>
      <c r="BQ182" s="12" t="s">
        <v>579</v>
      </c>
      <c r="BR182" s="12" t="s">
        <v>579</v>
      </c>
      <c r="BS182" s="12" t="s">
        <v>579</v>
      </c>
      <c r="BT182" s="12" t="s">
        <v>579</v>
      </c>
      <c r="BU182" s="12" t="s">
        <v>579</v>
      </c>
      <c r="BV182" s="12" t="s">
        <v>579</v>
      </c>
      <c r="BW182" s="12" t="s">
        <v>579</v>
      </c>
      <c r="BX182" s="12" t="s">
        <v>579</v>
      </c>
      <c r="BY182" s="12" t="s">
        <v>579</v>
      </c>
      <c r="BZ182" s="12" t="s">
        <v>579</v>
      </c>
      <c r="CA182" s="12" t="s">
        <v>579</v>
      </c>
      <c r="CB182" s="12" t="s">
        <v>623</v>
      </c>
      <c r="CC182" s="12" t="s">
        <v>623</v>
      </c>
      <c r="CD182" s="12" t="s">
        <v>623</v>
      </c>
      <c r="CE182" s="12" t="s">
        <v>623</v>
      </c>
      <c r="CF182" s="12" t="s">
        <v>623</v>
      </c>
      <c r="CG182" s="12" t="s">
        <v>623</v>
      </c>
      <c r="CH182" s="12" t="s">
        <v>623</v>
      </c>
      <c r="CI182" s="12" t="s">
        <v>623</v>
      </c>
      <c r="CJ182" s="12" t="s">
        <v>623</v>
      </c>
      <c r="CK182" s="12" t="s">
        <v>623</v>
      </c>
      <c r="CL182" s="12" t="s">
        <v>582</v>
      </c>
      <c r="CM182" s="12" t="s">
        <v>582</v>
      </c>
      <c r="CN182" s="12" t="s">
        <v>582</v>
      </c>
      <c r="CO182" s="12" t="s">
        <v>582</v>
      </c>
      <c r="CP182" s="12" t="s">
        <v>582</v>
      </c>
      <c r="CQ182" s="12" t="s">
        <v>582</v>
      </c>
      <c r="CR182" s="12" t="s">
        <v>755</v>
      </c>
      <c r="CS182" s="12" t="s">
        <v>755</v>
      </c>
      <c r="CT182" s="12" t="s">
        <v>755</v>
      </c>
    </row>
    <row r="183" spans="1:98" hidden="1" x14ac:dyDescent="0.3">
      <c r="A183" s="12" t="s">
        <v>25</v>
      </c>
      <c r="B183" s="12" t="s">
        <v>3498</v>
      </c>
      <c r="C183" s="12" t="s">
        <v>3499</v>
      </c>
      <c r="D183" s="12" t="s">
        <v>3500</v>
      </c>
      <c r="E183" s="12" t="s">
        <v>578</v>
      </c>
      <c r="F183" s="12" t="s">
        <v>578</v>
      </c>
      <c r="G183" s="12" t="s">
        <v>578</v>
      </c>
      <c r="H183" s="12" t="s">
        <v>578</v>
      </c>
      <c r="I183" s="12" t="s">
        <v>578</v>
      </c>
      <c r="J183" s="12" t="s">
        <v>578</v>
      </c>
      <c r="K183" s="12" t="s">
        <v>578</v>
      </c>
      <c r="L183" s="12" t="s">
        <v>578</v>
      </c>
      <c r="M183" s="12" t="s">
        <v>578</v>
      </c>
      <c r="N183" s="12" t="s">
        <v>578</v>
      </c>
      <c r="O183" s="12" t="s">
        <v>578</v>
      </c>
      <c r="P183" s="12" t="s">
        <v>578</v>
      </c>
      <c r="Q183" s="12" t="s">
        <v>578</v>
      </c>
      <c r="R183" s="12" t="s">
        <v>578</v>
      </c>
      <c r="S183" s="12" t="s">
        <v>578</v>
      </c>
      <c r="T183" s="12" t="s">
        <v>578</v>
      </c>
      <c r="U183" s="12" t="s">
        <v>578</v>
      </c>
      <c r="V183" s="12" t="s">
        <v>578</v>
      </c>
      <c r="W183" s="12" t="s">
        <v>578</v>
      </c>
      <c r="X183" s="12" t="s">
        <v>578</v>
      </c>
      <c r="Y183" s="12" t="s">
        <v>578</v>
      </c>
      <c r="Z183" s="12" t="s">
        <v>578</v>
      </c>
      <c r="AA183" s="12" t="s">
        <v>578</v>
      </c>
      <c r="AB183" s="12" t="s">
        <v>578</v>
      </c>
      <c r="AC183" s="12" t="s">
        <v>578</v>
      </c>
      <c r="AD183" s="12" t="s">
        <v>578</v>
      </c>
      <c r="AE183" s="12" t="s">
        <v>578</v>
      </c>
      <c r="AF183" s="12" t="s">
        <v>578</v>
      </c>
      <c r="AG183" s="12" t="s">
        <v>578</v>
      </c>
      <c r="AH183" s="12" t="s">
        <v>578</v>
      </c>
      <c r="AI183" s="12" t="s">
        <v>578</v>
      </c>
      <c r="AJ183" s="12" t="s">
        <v>578</v>
      </c>
      <c r="AK183" s="12" t="s">
        <v>578</v>
      </c>
      <c r="AL183" s="12" t="s">
        <v>578</v>
      </c>
      <c r="AM183" s="12" t="s">
        <v>578</v>
      </c>
      <c r="AN183" s="12" t="s">
        <v>578</v>
      </c>
      <c r="AO183" s="12" t="s">
        <v>578</v>
      </c>
      <c r="AP183" s="12" t="s">
        <v>578</v>
      </c>
      <c r="AQ183" s="12" t="s">
        <v>578</v>
      </c>
      <c r="AR183" s="12" t="s">
        <v>578</v>
      </c>
      <c r="AS183" s="12" t="s">
        <v>578</v>
      </c>
      <c r="AT183" s="12" t="s">
        <v>578</v>
      </c>
      <c r="AU183" s="12" t="s">
        <v>578</v>
      </c>
      <c r="AV183" s="12" t="s">
        <v>578</v>
      </c>
      <c r="AW183" s="12" t="s">
        <v>578</v>
      </c>
      <c r="AX183" s="12" t="s">
        <v>578</v>
      </c>
      <c r="AY183" s="12" t="s">
        <v>579</v>
      </c>
      <c r="AZ183" s="12" t="s">
        <v>579</v>
      </c>
      <c r="BA183" s="12" t="s">
        <v>579</v>
      </c>
      <c r="BB183" s="12" t="s">
        <v>581</v>
      </c>
      <c r="BC183" s="12" t="s">
        <v>581</v>
      </c>
      <c r="BD183" s="12" t="s">
        <v>851</v>
      </c>
      <c r="BE183" s="12" t="s">
        <v>851</v>
      </c>
      <c r="BF183" s="12" t="s">
        <v>851</v>
      </c>
      <c r="BG183" s="12" t="s">
        <v>755</v>
      </c>
      <c r="BH183" s="12" t="s">
        <v>761</v>
      </c>
      <c r="BI183" s="12" t="s">
        <v>583</v>
      </c>
      <c r="BJ183" s="12" t="s">
        <v>583</v>
      </c>
      <c r="BK183" s="12" t="s">
        <v>868</v>
      </c>
      <c r="BL183" s="12" t="s">
        <v>808</v>
      </c>
      <c r="BM183" s="12" t="s">
        <v>586</v>
      </c>
      <c r="BN183" s="12" t="s">
        <v>586</v>
      </c>
      <c r="BO183" s="12" t="s">
        <v>913</v>
      </c>
      <c r="BP183" s="12" t="s">
        <v>677</v>
      </c>
      <c r="BQ183" s="12" t="s">
        <v>1046</v>
      </c>
      <c r="BR183" s="12" t="s">
        <v>809</v>
      </c>
      <c r="BS183" s="12" t="s">
        <v>769</v>
      </c>
      <c r="BT183" s="12" t="s">
        <v>632</v>
      </c>
      <c r="BU183" s="12" t="s">
        <v>633</v>
      </c>
      <c r="BV183" s="12" t="s">
        <v>870</v>
      </c>
      <c r="BW183" s="12" t="s">
        <v>974</v>
      </c>
      <c r="BX183" s="12" t="s">
        <v>855</v>
      </c>
      <c r="BY183" s="12" t="s">
        <v>871</v>
      </c>
      <c r="BZ183" s="12" t="s">
        <v>859</v>
      </c>
      <c r="CA183" s="12" t="s">
        <v>637</v>
      </c>
      <c r="CB183" s="12" t="s">
        <v>722</v>
      </c>
      <c r="CC183" s="12" t="s">
        <v>811</v>
      </c>
      <c r="CD183" s="12" t="s">
        <v>1418</v>
      </c>
      <c r="CE183" s="12" t="s">
        <v>1750</v>
      </c>
      <c r="CF183" s="12" t="s">
        <v>1355</v>
      </c>
      <c r="CG183" s="12" t="s">
        <v>723</v>
      </c>
      <c r="CH183" s="12" t="s">
        <v>873</v>
      </c>
      <c r="CI183" s="12" t="s">
        <v>1515</v>
      </c>
      <c r="CJ183" s="12" t="s">
        <v>1733</v>
      </c>
      <c r="CK183" s="12" t="s">
        <v>2089</v>
      </c>
      <c r="CL183" s="12" t="s">
        <v>595</v>
      </c>
      <c r="CM183" s="12" t="s">
        <v>2360</v>
      </c>
      <c r="CN183" s="12" t="s">
        <v>1980</v>
      </c>
      <c r="CO183" s="12" t="s">
        <v>1604</v>
      </c>
      <c r="CP183" s="12" t="s">
        <v>1887</v>
      </c>
      <c r="CQ183" s="12" t="s">
        <v>1887</v>
      </c>
      <c r="CR183" s="12" t="s">
        <v>2028</v>
      </c>
      <c r="CS183" s="12" t="s">
        <v>2028</v>
      </c>
      <c r="CT183" s="12" t="s">
        <v>643</v>
      </c>
    </row>
    <row r="184" spans="1:98" hidden="1" x14ac:dyDescent="0.3">
      <c r="A184" s="12" t="s">
        <v>25</v>
      </c>
      <c r="B184" s="12" t="s">
        <v>3501</v>
      </c>
      <c r="C184" s="12" t="s">
        <v>3502</v>
      </c>
      <c r="D184" s="12" t="s">
        <v>3503</v>
      </c>
      <c r="E184" s="12" t="s">
        <v>578</v>
      </c>
      <c r="F184" s="12" t="s">
        <v>578</v>
      </c>
      <c r="G184" s="12" t="s">
        <v>578</v>
      </c>
      <c r="H184" s="12" t="s">
        <v>578</v>
      </c>
      <c r="I184" s="12" t="s">
        <v>578</v>
      </c>
      <c r="J184" s="12" t="s">
        <v>578</v>
      </c>
      <c r="K184" s="12" t="s">
        <v>578</v>
      </c>
      <c r="L184" s="12" t="s">
        <v>578</v>
      </c>
      <c r="M184" s="12" t="s">
        <v>578</v>
      </c>
      <c r="N184" s="12" t="s">
        <v>578</v>
      </c>
      <c r="O184" s="12" t="s">
        <v>578</v>
      </c>
      <c r="P184" s="12" t="s">
        <v>578</v>
      </c>
      <c r="Q184" s="12" t="s">
        <v>578</v>
      </c>
      <c r="R184" s="12" t="s">
        <v>578</v>
      </c>
      <c r="S184" s="12" t="s">
        <v>578</v>
      </c>
      <c r="T184" s="12" t="s">
        <v>578</v>
      </c>
      <c r="U184" s="12" t="s">
        <v>578</v>
      </c>
      <c r="V184" s="12" t="s">
        <v>578</v>
      </c>
      <c r="W184" s="12" t="s">
        <v>578</v>
      </c>
      <c r="X184" s="12" t="s">
        <v>578</v>
      </c>
      <c r="Y184" s="12" t="s">
        <v>578</v>
      </c>
      <c r="Z184" s="12" t="s">
        <v>578</v>
      </c>
      <c r="AA184" s="12" t="s">
        <v>578</v>
      </c>
      <c r="AB184" s="12" t="s">
        <v>578</v>
      </c>
      <c r="AC184" s="12" t="s">
        <v>578</v>
      </c>
      <c r="AD184" s="12" t="s">
        <v>578</v>
      </c>
      <c r="AE184" s="12" t="s">
        <v>578</v>
      </c>
      <c r="AF184" s="12" t="s">
        <v>578</v>
      </c>
      <c r="AG184" s="12" t="s">
        <v>578</v>
      </c>
      <c r="AH184" s="12" t="s">
        <v>578</v>
      </c>
      <c r="AI184" s="12" t="s">
        <v>578</v>
      </c>
      <c r="AJ184" s="12" t="s">
        <v>578</v>
      </c>
      <c r="AK184" s="12" t="s">
        <v>578</v>
      </c>
      <c r="AL184" s="12" t="s">
        <v>578</v>
      </c>
      <c r="AM184" s="12" t="s">
        <v>578</v>
      </c>
      <c r="AN184" s="12" t="s">
        <v>578</v>
      </c>
      <c r="AO184" s="12" t="s">
        <v>578</v>
      </c>
      <c r="AP184" s="12" t="s">
        <v>578</v>
      </c>
      <c r="AQ184" s="12" t="s">
        <v>578</v>
      </c>
      <c r="AR184" s="12" t="s">
        <v>578</v>
      </c>
      <c r="AS184" s="12" t="s">
        <v>578</v>
      </c>
      <c r="AT184" s="12" t="s">
        <v>578</v>
      </c>
      <c r="AU184" s="12" t="s">
        <v>578</v>
      </c>
      <c r="AV184" s="12" t="s">
        <v>578</v>
      </c>
      <c r="AW184" s="12" t="s">
        <v>579</v>
      </c>
      <c r="AX184" s="12" t="s">
        <v>579</v>
      </c>
      <c r="AY184" s="12" t="s">
        <v>851</v>
      </c>
      <c r="AZ184" s="12" t="s">
        <v>582</v>
      </c>
      <c r="BA184" s="12" t="s">
        <v>583</v>
      </c>
      <c r="BB184" s="12" t="s">
        <v>583</v>
      </c>
      <c r="BC184" s="12" t="s">
        <v>762</v>
      </c>
      <c r="BD184" s="12" t="s">
        <v>869</v>
      </c>
      <c r="BE184" s="12" t="s">
        <v>628</v>
      </c>
      <c r="BF184" s="12" t="s">
        <v>1259</v>
      </c>
      <c r="BG184" s="12" t="s">
        <v>977</v>
      </c>
      <c r="BH184" s="12" t="s">
        <v>1417</v>
      </c>
      <c r="BI184" s="12" t="s">
        <v>1886</v>
      </c>
      <c r="BJ184" s="12" t="s">
        <v>2166</v>
      </c>
      <c r="BK184" s="12" t="s">
        <v>2166</v>
      </c>
      <c r="BL184" s="12" t="s">
        <v>1396</v>
      </c>
      <c r="BM184" s="12" t="s">
        <v>2060</v>
      </c>
      <c r="BN184" s="12" t="s">
        <v>1694</v>
      </c>
      <c r="BO184" s="12" t="s">
        <v>654</v>
      </c>
      <c r="BP184" s="12" t="s">
        <v>1668</v>
      </c>
      <c r="BQ184" s="12" t="s">
        <v>1709</v>
      </c>
      <c r="BR184" s="12" t="s">
        <v>1377</v>
      </c>
      <c r="BS184" s="12" t="s">
        <v>3384</v>
      </c>
      <c r="BT184" s="12" t="s">
        <v>3504</v>
      </c>
      <c r="BU184" s="12" t="s">
        <v>1676</v>
      </c>
      <c r="BV184" s="12" t="s">
        <v>2141</v>
      </c>
      <c r="BW184" s="12" t="s">
        <v>3505</v>
      </c>
      <c r="BX184" s="12" t="s">
        <v>2757</v>
      </c>
      <c r="BY184" s="12" t="s">
        <v>2365</v>
      </c>
      <c r="BZ184" s="12" t="s">
        <v>3406</v>
      </c>
      <c r="CA184" s="12" t="s">
        <v>2519</v>
      </c>
      <c r="CB184" s="12" t="s">
        <v>3506</v>
      </c>
      <c r="CC184" s="12" t="s">
        <v>3507</v>
      </c>
      <c r="CD184" s="12" t="s">
        <v>3508</v>
      </c>
      <c r="CE184" s="12" t="s">
        <v>3509</v>
      </c>
      <c r="CF184" s="12" t="s">
        <v>3510</v>
      </c>
      <c r="CG184" s="12" t="s">
        <v>3511</v>
      </c>
      <c r="CH184" s="12" t="s">
        <v>3512</v>
      </c>
      <c r="CI184" s="12" t="s">
        <v>3513</v>
      </c>
      <c r="CJ184" s="12" t="s">
        <v>3514</v>
      </c>
      <c r="CK184" s="12" t="s">
        <v>3515</v>
      </c>
      <c r="CL184" s="12" t="s">
        <v>3516</v>
      </c>
      <c r="CM184" s="12" t="s">
        <v>3517</v>
      </c>
      <c r="CN184" s="12" t="s">
        <v>3518</v>
      </c>
      <c r="CO184" s="12" t="s">
        <v>3519</v>
      </c>
      <c r="CP184" s="12" t="s">
        <v>3520</v>
      </c>
      <c r="CQ184" s="12" t="s">
        <v>3521</v>
      </c>
      <c r="CR184" s="12" t="s">
        <v>351</v>
      </c>
      <c r="CS184" s="12" t="s">
        <v>3522</v>
      </c>
      <c r="CT184" s="12" t="s">
        <v>3523</v>
      </c>
    </row>
    <row r="185" spans="1:98" hidden="1" x14ac:dyDescent="0.3">
      <c r="A185" s="12" t="s">
        <v>25</v>
      </c>
      <c r="B185" s="12" t="s">
        <v>3524</v>
      </c>
      <c r="C185" s="12" t="s">
        <v>3525</v>
      </c>
      <c r="D185" s="12" t="s">
        <v>3526</v>
      </c>
      <c r="E185" s="12" t="s">
        <v>578</v>
      </c>
      <c r="F185" s="12" t="s">
        <v>578</v>
      </c>
      <c r="G185" s="12" t="s">
        <v>578</v>
      </c>
      <c r="H185" s="12" t="s">
        <v>578</v>
      </c>
      <c r="I185" s="12" t="s">
        <v>578</v>
      </c>
      <c r="J185" s="12" t="s">
        <v>578</v>
      </c>
      <c r="K185" s="12" t="s">
        <v>578</v>
      </c>
      <c r="L185" s="12" t="s">
        <v>578</v>
      </c>
      <c r="M185" s="12" t="s">
        <v>579</v>
      </c>
      <c r="N185" s="12" t="s">
        <v>579</v>
      </c>
      <c r="O185" s="12" t="s">
        <v>579</v>
      </c>
      <c r="P185" s="12" t="s">
        <v>623</v>
      </c>
      <c r="Q185" s="12" t="s">
        <v>623</v>
      </c>
      <c r="R185" s="12" t="s">
        <v>623</v>
      </c>
      <c r="S185" s="12" t="s">
        <v>623</v>
      </c>
      <c r="T185" s="12" t="s">
        <v>623</v>
      </c>
      <c r="U185" s="12" t="s">
        <v>672</v>
      </c>
      <c r="V185" s="12" t="s">
        <v>672</v>
      </c>
      <c r="W185" s="12" t="s">
        <v>672</v>
      </c>
      <c r="X185" s="12" t="s">
        <v>672</v>
      </c>
      <c r="Y185" s="12" t="s">
        <v>672</v>
      </c>
      <c r="Z185" s="12" t="s">
        <v>672</v>
      </c>
      <c r="AA185" s="12" t="s">
        <v>672</v>
      </c>
      <c r="AB185" s="12" t="s">
        <v>672</v>
      </c>
      <c r="AC185" s="12" t="s">
        <v>672</v>
      </c>
      <c r="AD185" s="12" t="s">
        <v>672</v>
      </c>
      <c r="AE185" s="12" t="s">
        <v>672</v>
      </c>
      <c r="AF185" s="12" t="s">
        <v>672</v>
      </c>
      <c r="AG185" s="12" t="s">
        <v>672</v>
      </c>
      <c r="AH185" s="12" t="s">
        <v>672</v>
      </c>
      <c r="AI185" s="12" t="s">
        <v>672</v>
      </c>
      <c r="AJ185" s="12" t="s">
        <v>672</v>
      </c>
      <c r="AK185" s="12" t="s">
        <v>672</v>
      </c>
      <c r="AL185" s="12" t="s">
        <v>672</v>
      </c>
      <c r="AM185" s="12" t="s">
        <v>672</v>
      </c>
      <c r="AN185" s="12" t="s">
        <v>672</v>
      </c>
      <c r="AO185" s="12" t="s">
        <v>672</v>
      </c>
      <c r="AP185" s="12" t="s">
        <v>672</v>
      </c>
      <c r="AQ185" s="12" t="s">
        <v>672</v>
      </c>
      <c r="AR185" s="12" t="s">
        <v>672</v>
      </c>
      <c r="AS185" s="12" t="s">
        <v>672</v>
      </c>
      <c r="AT185" s="12" t="s">
        <v>672</v>
      </c>
      <c r="AU185" s="12" t="s">
        <v>672</v>
      </c>
      <c r="AV185" s="12" t="s">
        <v>672</v>
      </c>
      <c r="AW185" s="12" t="s">
        <v>581</v>
      </c>
      <c r="AX185" s="12" t="s">
        <v>851</v>
      </c>
      <c r="AY185" s="12" t="s">
        <v>624</v>
      </c>
      <c r="AZ185" s="12" t="s">
        <v>675</v>
      </c>
      <c r="BA185" s="12" t="s">
        <v>627</v>
      </c>
      <c r="BB185" s="12" t="s">
        <v>991</v>
      </c>
      <c r="BC185" s="12" t="s">
        <v>809</v>
      </c>
      <c r="BD185" s="12" t="s">
        <v>633</v>
      </c>
      <c r="BE185" s="12" t="s">
        <v>979</v>
      </c>
      <c r="BF185" s="12" t="s">
        <v>1025</v>
      </c>
      <c r="BG185" s="12" t="s">
        <v>2014</v>
      </c>
      <c r="BH185" s="12" t="s">
        <v>1362</v>
      </c>
      <c r="BI185" s="12" t="s">
        <v>1980</v>
      </c>
      <c r="BJ185" s="12" t="s">
        <v>1489</v>
      </c>
      <c r="BK185" s="12" t="s">
        <v>685</v>
      </c>
      <c r="BL185" s="12" t="s">
        <v>876</v>
      </c>
      <c r="BM185" s="12" t="s">
        <v>1691</v>
      </c>
      <c r="BN185" s="12" t="s">
        <v>3527</v>
      </c>
      <c r="BO185" s="12" t="s">
        <v>2069</v>
      </c>
      <c r="BP185" s="12" t="s">
        <v>1989</v>
      </c>
      <c r="BQ185" s="12" t="s">
        <v>3528</v>
      </c>
      <c r="BR185" s="12" t="s">
        <v>1166</v>
      </c>
      <c r="BS185" s="12" t="s">
        <v>1442</v>
      </c>
      <c r="BT185" s="12" t="s">
        <v>2458</v>
      </c>
      <c r="BU185" s="12" t="s">
        <v>1315</v>
      </c>
      <c r="BV185" s="12" t="s">
        <v>3529</v>
      </c>
      <c r="BW185" s="12" t="s">
        <v>3530</v>
      </c>
      <c r="BX185" s="12" t="s">
        <v>3531</v>
      </c>
      <c r="BY185" s="12" t="s">
        <v>3532</v>
      </c>
      <c r="BZ185" s="12" t="s">
        <v>3533</v>
      </c>
      <c r="CA185" s="12" t="s">
        <v>3534</v>
      </c>
      <c r="CB185" s="12" t="s">
        <v>3535</v>
      </c>
      <c r="CC185" s="12" t="s">
        <v>3536</v>
      </c>
      <c r="CD185" s="12" t="s">
        <v>3537</v>
      </c>
      <c r="CE185" s="12" t="s">
        <v>3538</v>
      </c>
      <c r="CF185" s="12" t="s">
        <v>3539</v>
      </c>
      <c r="CG185" s="12" t="s">
        <v>3540</v>
      </c>
      <c r="CH185" s="12" t="s">
        <v>3541</v>
      </c>
      <c r="CI185" s="12" t="s">
        <v>3542</v>
      </c>
      <c r="CJ185" s="12" t="s">
        <v>3543</v>
      </c>
      <c r="CK185" s="12" t="s">
        <v>3544</v>
      </c>
      <c r="CL185" s="12" t="s">
        <v>3545</v>
      </c>
      <c r="CM185" s="12" t="s">
        <v>3546</v>
      </c>
      <c r="CN185" s="12" t="s">
        <v>3547</v>
      </c>
      <c r="CO185" s="12" t="s">
        <v>3548</v>
      </c>
      <c r="CP185" s="12" t="s">
        <v>3549</v>
      </c>
      <c r="CQ185" s="12" t="s">
        <v>3550</v>
      </c>
      <c r="CR185" s="12" t="s">
        <v>3551</v>
      </c>
      <c r="CS185" s="12" t="s">
        <v>3552</v>
      </c>
      <c r="CT185" s="12" t="s">
        <v>3553</v>
      </c>
    </row>
    <row r="186" spans="1:98" hidden="1" x14ac:dyDescent="0.3">
      <c r="A186" s="12" t="s">
        <v>25</v>
      </c>
      <c r="B186" s="12" t="s">
        <v>3554</v>
      </c>
      <c r="C186" s="12" t="s">
        <v>3555</v>
      </c>
      <c r="D186" s="12" t="s">
        <v>3556</v>
      </c>
      <c r="E186" s="12" t="s">
        <v>578</v>
      </c>
      <c r="F186" s="12" t="s">
        <v>578</v>
      </c>
      <c r="G186" s="12" t="s">
        <v>578</v>
      </c>
      <c r="H186" s="12" t="s">
        <v>578</v>
      </c>
      <c r="I186" s="12" t="s">
        <v>578</v>
      </c>
      <c r="J186" s="12" t="s">
        <v>578</v>
      </c>
      <c r="K186" s="12" t="s">
        <v>578</v>
      </c>
      <c r="L186" s="12" t="s">
        <v>578</v>
      </c>
      <c r="M186" s="12" t="s">
        <v>578</v>
      </c>
      <c r="N186" s="12" t="s">
        <v>578</v>
      </c>
      <c r="O186" s="12" t="s">
        <v>578</v>
      </c>
      <c r="P186" s="12" t="s">
        <v>578</v>
      </c>
      <c r="Q186" s="12" t="s">
        <v>578</v>
      </c>
      <c r="R186" s="12" t="s">
        <v>578</v>
      </c>
      <c r="S186" s="12" t="s">
        <v>578</v>
      </c>
      <c r="T186" s="12" t="s">
        <v>578</v>
      </c>
      <c r="U186" s="12" t="s">
        <v>578</v>
      </c>
      <c r="V186" s="12" t="s">
        <v>578</v>
      </c>
      <c r="W186" s="12" t="s">
        <v>578</v>
      </c>
      <c r="X186" s="12" t="s">
        <v>578</v>
      </c>
      <c r="Y186" s="12" t="s">
        <v>578</v>
      </c>
      <c r="Z186" s="12" t="s">
        <v>578</v>
      </c>
      <c r="AA186" s="12" t="s">
        <v>578</v>
      </c>
      <c r="AB186" s="12" t="s">
        <v>578</v>
      </c>
      <c r="AC186" s="12" t="s">
        <v>578</v>
      </c>
      <c r="AD186" s="12" t="s">
        <v>578</v>
      </c>
      <c r="AE186" s="12" t="s">
        <v>578</v>
      </c>
      <c r="AF186" s="12" t="s">
        <v>578</v>
      </c>
      <c r="AG186" s="12" t="s">
        <v>578</v>
      </c>
      <c r="AH186" s="12" t="s">
        <v>578</v>
      </c>
      <c r="AI186" s="12" t="s">
        <v>578</v>
      </c>
      <c r="AJ186" s="12" t="s">
        <v>578</v>
      </c>
      <c r="AK186" s="12" t="s">
        <v>578</v>
      </c>
      <c r="AL186" s="12" t="s">
        <v>578</v>
      </c>
      <c r="AM186" s="12" t="s">
        <v>578</v>
      </c>
      <c r="AN186" s="12" t="s">
        <v>578</v>
      </c>
      <c r="AO186" s="12" t="s">
        <v>578</v>
      </c>
      <c r="AP186" s="12" t="s">
        <v>578</v>
      </c>
      <c r="AQ186" s="12" t="s">
        <v>578</v>
      </c>
      <c r="AR186" s="12" t="s">
        <v>578</v>
      </c>
      <c r="AS186" s="12" t="s">
        <v>578</v>
      </c>
      <c r="AT186" s="12" t="s">
        <v>578</v>
      </c>
      <c r="AU186" s="12" t="s">
        <v>579</v>
      </c>
      <c r="AV186" s="12" t="s">
        <v>579</v>
      </c>
      <c r="AW186" s="12" t="s">
        <v>581</v>
      </c>
      <c r="AX186" s="12" t="s">
        <v>581</v>
      </c>
      <c r="AY186" s="12" t="s">
        <v>583</v>
      </c>
      <c r="AZ186" s="12" t="s">
        <v>584</v>
      </c>
      <c r="BA186" s="12" t="s">
        <v>586</v>
      </c>
      <c r="BB186" s="12" t="s">
        <v>766</v>
      </c>
      <c r="BC186" s="12" t="s">
        <v>991</v>
      </c>
      <c r="BD186" s="12" t="s">
        <v>770</v>
      </c>
      <c r="BE186" s="12" t="s">
        <v>862</v>
      </c>
      <c r="BF186" s="12" t="s">
        <v>1418</v>
      </c>
      <c r="BG186" s="12" t="s">
        <v>1531</v>
      </c>
      <c r="BH186" s="12" t="s">
        <v>1624</v>
      </c>
      <c r="BI186" s="12" t="s">
        <v>1817</v>
      </c>
      <c r="BJ186" s="12" t="s">
        <v>995</v>
      </c>
      <c r="BK186" s="12" t="s">
        <v>1533</v>
      </c>
      <c r="BL186" s="12" t="s">
        <v>2067</v>
      </c>
      <c r="BM186" s="12" t="s">
        <v>666</v>
      </c>
      <c r="BN186" s="12" t="s">
        <v>2038</v>
      </c>
      <c r="BO186" s="12" t="s">
        <v>1292</v>
      </c>
      <c r="BP186" s="12" t="s">
        <v>3557</v>
      </c>
      <c r="BQ186" s="12" t="s">
        <v>3403</v>
      </c>
      <c r="BR186" s="12" t="s">
        <v>3558</v>
      </c>
      <c r="BS186" s="12" t="s">
        <v>3559</v>
      </c>
      <c r="BT186" s="12" t="s">
        <v>3560</v>
      </c>
      <c r="BU186" s="12" t="s">
        <v>3561</v>
      </c>
      <c r="BV186" s="12" t="s">
        <v>3530</v>
      </c>
      <c r="BW186" s="12" t="s">
        <v>1318</v>
      </c>
      <c r="BX186" s="12" t="s">
        <v>3562</v>
      </c>
      <c r="BY186" s="12" t="s">
        <v>3563</v>
      </c>
      <c r="BZ186" s="12" t="s">
        <v>3564</v>
      </c>
      <c r="CA186" s="12" t="s">
        <v>3565</v>
      </c>
      <c r="CB186" s="12" t="s">
        <v>3566</v>
      </c>
      <c r="CC186" s="12" t="s">
        <v>3567</v>
      </c>
      <c r="CD186" s="12" t="s">
        <v>3568</v>
      </c>
      <c r="CE186" s="12" t="s">
        <v>3569</v>
      </c>
      <c r="CF186" s="12" t="s">
        <v>3570</v>
      </c>
      <c r="CG186" s="12" t="s">
        <v>3571</v>
      </c>
      <c r="CH186" s="12" t="s">
        <v>3572</v>
      </c>
      <c r="CI186" s="12" t="s">
        <v>3573</v>
      </c>
      <c r="CJ186" s="12" t="s">
        <v>3574</v>
      </c>
      <c r="CK186" s="12" t="s">
        <v>3575</v>
      </c>
      <c r="CL186" s="12" t="s">
        <v>3576</v>
      </c>
      <c r="CM186" s="12" t="s">
        <v>3577</v>
      </c>
      <c r="CN186" s="12" t="s">
        <v>3578</v>
      </c>
      <c r="CO186" s="12" t="s">
        <v>3579</v>
      </c>
      <c r="CP186" s="12" t="s">
        <v>3580</v>
      </c>
      <c r="CQ186" s="12" t="s">
        <v>3581</v>
      </c>
      <c r="CR186" s="12" t="s">
        <v>3582</v>
      </c>
      <c r="CS186" s="12" t="s">
        <v>3583</v>
      </c>
      <c r="CT186" s="12" t="s">
        <v>3584</v>
      </c>
    </row>
    <row r="187" spans="1:98" hidden="1" x14ac:dyDescent="0.3">
      <c r="A187" s="12" t="s">
        <v>25</v>
      </c>
      <c r="B187" s="12" t="s">
        <v>3585</v>
      </c>
      <c r="C187" s="12" t="s">
        <v>3586</v>
      </c>
      <c r="D187" s="12" t="s">
        <v>3587</v>
      </c>
      <c r="E187" s="12" t="s">
        <v>578</v>
      </c>
      <c r="F187" s="12" t="s">
        <v>578</v>
      </c>
      <c r="G187" s="12" t="s">
        <v>578</v>
      </c>
      <c r="H187" s="12" t="s">
        <v>578</v>
      </c>
      <c r="I187" s="12" t="s">
        <v>578</v>
      </c>
      <c r="J187" s="12" t="s">
        <v>578</v>
      </c>
      <c r="K187" s="12" t="s">
        <v>578</v>
      </c>
      <c r="L187" s="12" t="s">
        <v>578</v>
      </c>
      <c r="M187" s="12" t="s">
        <v>578</v>
      </c>
      <c r="N187" s="12" t="s">
        <v>578</v>
      </c>
      <c r="O187" s="12" t="s">
        <v>578</v>
      </c>
      <c r="P187" s="12" t="s">
        <v>578</v>
      </c>
      <c r="Q187" s="12" t="s">
        <v>578</v>
      </c>
      <c r="R187" s="12" t="s">
        <v>578</v>
      </c>
      <c r="S187" s="12" t="s">
        <v>578</v>
      </c>
      <c r="T187" s="12" t="s">
        <v>578</v>
      </c>
      <c r="U187" s="12" t="s">
        <v>578</v>
      </c>
      <c r="V187" s="12" t="s">
        <v>578</v>
      </c>
      <c r="W187" s="12" t="s">
        <v>578</v>
      </c>
      <c r="X187" s="12" t="s">
        <v>578</v>
      </c>
      <c r="Y187" s="12" t="s">
        <v>578</v>
      </c>
      <c r="Z187" s="12" t="s">
        <v>578</v>
      </c>
      <c r="AA187" s="12" t="s">
        <v>578</v>
      </c>
      <c r="AB187" s="12" t="s">
        <v>578</v>
      </c>
      <c r="AC187" s="12" t="s">
        <v>578</v>
      </c>
      <c r="AD187" s="12" t="s">
        <v>578</v>
      </c>
      <c r="AE187" s="12" t="s">
        <v>578</v>
      </c>
      <c r="AF187" s="12" t="s">
        <v>578</v>
      </c>
      <c r="AG187" s="12" t="s">
        <v>578</v>
      </c>
      <c r="AH187" s="12" t="s">
        <v>578</v>
      </c>
      <c r="AI187" s="12" t="s">
        <v>578</v>
      </c>
      <c r="AJ187" s="12" t="s">
        <v>578</v>
      </c>
      <c r="AK187" s="12" t="s">
        <v>578</v>
      </c>
      <c r="AL187" s="12" t="s">
        <v>578</v>
      </c>
      <c r="AM187" s="12" t="s">
        <v>578</v>
      </c>
      <c r="AN187" s="12" t="s">
        <v>578</v>
      </c>
      <c r="AO187" s="12" t="s">
        <v>578</v>
      </c>
      <c r="AP187" s="12" t="s">
        <v>578</v>
      </c>
      <c r="AQ187" s="12" t="s">
        <v>578</v>
      </c>
      <c r="AR187" s="12" t="s">
        <v>578</v>
      </c>
      <c r="AS187" s="12" t="s">
        <v>623</v>
      </c>
      <c r="AT187" s="12" t="s">
        <v>623</v>
      </c>
      <c r="AU187" s="12" t="s">
        <v>581</v>
      </c>
      <c r="AV187" s="12" t="s">
        <v>755</v>
      </c>
      <c r="AW187" s="12" t="s">
        <v>868</v>
      </c>
      <c r="AX187" s="12" t="s">
        <v>675</v>
      </c>
      <c r="AY187" s="12" t="s">
        <v>2018</v>
      </c>
      <c r="AZ187" s="12" t="s">
        <v>2018</v>
      </c>
      <c r="BA187" s="12" t="s">
        <v>1046</v>
      </c>
      <c r="BB187" s="12" t="s">
        <v>632</v>
      </c>
      <c r="BC187" s="12" t="s">
        <v>632</v>
      </c>
      <c r="BD187" s="12" t="s">
        <v>872</v>
      </c>
      <c r="BE187" s="12" t="s">
        <v>982</v>
      </c>
      <c r="BF187" s="12" t="s">
        <v>1816</v>
      </c>
      <c r="BG187" s="12" t="s">
        <v>1365</v>
      </c>
      <c r="BH187" s="12" t="s">
        <v>3588</v>
      </c>
      <c r="BI187" s="12" t="s">
        <v>3588</v>
      </c>
      <c r="BJ187" s="12" t="s">
        <v>2856</v>
      </c>
      <c r="BK187" s="12" t="s">
        <v>2702</v>
      </c>
      <c r="BL187" s="12" t="s">
        <v>3589</v>
      </c>
      <c r="BM187" s="12" t="s">
        <v>2202</v>
      </c>
      <c r="BN187" s="12" t="s">
        <v>3590</v>
      </c>
      <c r="BO187" s="12" t="s">
        <v>3591</v>
      </c>
      <c r="BP187" s="12" t="s">
        <v>3592</v>
      </c>
      <c r="BQ187" s="12" t="s">
        <v>3593</v>
      </c>
      <c r="BR187" s="12" t="s">
        <v>3594</v>
      </c>
      <c r="BS187" s="12" t="s">
        <v>3595</v>
      </c>
      <c r="BT187" s="12" t="s">
        <v>3596</v>
      </c>
      <c r="BU187" s="12" t="s">
        <v>3597</v>
      </c>
      <c r="BV187" s="12" t="s">
        <v>3598</v>
      </c>
      <c r="BW187" s="12" t="s">
        <v>3599</v>
      </c>
      <c r="BX187" s="12" t="s">
        <v>3600</v>
      </c>
      <c r="BY187" s="12" t="s">
        <v>3601</v>
      </c>
      <c r="BZ187" s="12" t="s">
        <v>3602</v>
      </c>
      <c r="CA187" s="12" t="s">
        <v>3603</v>
      </c>
      <c r="CB187" s="12" t="s">
        <v>3604</v>
      </c>
      <c r="CC187" s="12" t="s">
        <v>3605</v>
      </c>
      <c r="CD187" s="12" t="s">
        <v>3606</v>
      </c>
      <c r="CE187" s="12" t="s">
        <v>3607</v>
      </c>
      <c r="CF187" s="12" t="s">
        <v>3608</v>
      </c>
      <c r="CG187" s="12" t="s">
        <v>3609</v>
      </c>
      <c r="CH187" s="12" t="s">
        <v>3610</v>
      </c>
      <c r="CI187" s="12" t="s">
        <v>3611</v>
      </c>
      <c r="CJ187" s="12" t="s">
        <v>3612</v>
      </c>
      <c r="CK187" s="12" t="s">
        <v>3613</v>
      </c>
      <c r="CL187" s="12" t="s">
        <v>3614</v>
      </c>
      <c r="CM187" s="12" t="s">
        <v>3615</v>
      </c>
      <c r="CN187" s="12" t="s">
        <v>3616</v>
      </c>
      <c r="CO187" s="12" t="s">
        <v>3617</v>
      </c>
      <c r="CP187" s="12" t="s">
        <v>3618</v>
      </c>
      <c r="CQ187" s="12" t="s">
        <v>3619</v>
      </c>
      <c r="CR187" s="12" t="s">
        <v>3620</v>
      </c>
      <c r="CS187" s="12" t="s">
        <v>3621</v>
      </c>
      <c r="CT187" s="12" t="s">
        <v>3622</v>
      </c>
    </row>
    <row r="188" spans="1:98" hidden="1" x14ac:dyDescent="0.3">
      <c r="A188" s="12" t="s">
        <v>25</v>
      </c>
      <c r="B188" s="12" t="s">
        <v>3623</v>
      </c>
      <c r="C188" s="12" t="s">
        <v>3624</v>
      </c>
      <c r="D188" s="12" t="s">
        <v>3625</v>
      </c>
      <c r="E188" s="12" t="s">
        <v>578</v>
      </c>
      <c r="F188" s="12" t="s">
        <v>578</v>
      </c>
      <c r="G188" s="12" t="s">
        <v>578</v>
      </c>
      <c r="H188" s="12" t="s">
        <v>578</v>
      </c>
      <c r="I188" s="12" t="s">
        <v>578</v>
      </c>
      <c r="J188" s="12" t="s">
        <v>578</v>
      </c>
      <c r="K188" s="12" t="s">
        <v>578</v>
      </c>
      <c r="L188" s="12" t="s">
        <v>578</v>
      </c>
      <c r="M188" s="12" t="s">
        <v>578</v>
      </c>
      <c r="N188" s="12" t="s">
        <v>578</v>
      </c>
      <c r="O188" s="12" t="s">
        <v>578</v>
      </c>
      <c r="P188" s="12" t="s">
        <v>578</v>
      </c>
      <c r="Q188" s="12" t="s">
        <v>578</v>
      </c>
      <c r="R188" s="12" t="s">
        <v>578</v>
      </c>
      <c r="S188" s="12" t="s">
        <v>578</v>
      </c>
      <c r="T188" s="12" t="s">
        <v>578</v>
      </c>
      <c r="U188" s="12" t="s">
        <v>578</v>
      </c>
      <c r="V188" s="12" t="s">
        <v>578</v>
      </c>
      <c r="W188" s="12" t="s">
        <v>578</v>
      </c>
      <c r="X188" s="12" t="s">
        <v>578</v>
      </c>
      <c r="Y188" s="12" t="s">
        <v>578</v>
      </c>
      <c r="Z188" s="12" t="s">
        <v>578</v>
      </c>
      <c r="AA188" s="12" t="s">
        <v>578</v>
      </c>
      <c r="AB188" s="12" t="s">
        <v>578</v>
      </c>
      <c r="AC188" s="12" t="s">
        <v>578</v>
      </c>
      <c r="AD188" s="12" t="s">
        <v>578</v>
      </c>
      <c r="AE188" s="12" t="s">
        <v>578</v>
      </c>
      <c r="AF188" s="12" t="s">
        <v>578</v>
      </c>
      <c r="AG188" s="12" t="s">
        <v>578</v>
      </c>
      <c r="AH188" s="12" t="s">
        <v>578</v>
      </c>
      <c r="AI188" s="12" t="s">
        <v>578</v>
      </c>
      <c r="AJ188" s="12" t="s">
        <v>578</v>
      </c>
      <c r="AK188" s="12" t="s">
        <v>578</v>
      </c>
      <c r="AL188" s="12" t="s">
        <v>578</v>
      </c>
      <c r="AM188" s="12" t="s">
        <v>578</v>
      </c>
      <c r="AN188" s="12" t="s">
        <v>578</v>
      </c>
      <c r="AO188" s="12" t="s">
        <v>578</v>
      </c>
      <c r="AP188" s="12" t="s">
        <v>578</v>
      </c>
      <c r="AQ188" s="12" t="s">
        <v>579</v>
      </c>
      <c r="AR188" s="12" t="s">
        <v>672</v>
      </c>
      <c r="AS188" s="12" t="s">
        <v>672</v>
      </c>
      <c r="AT188" s="12" t="s">
        <v>582</v>
      </c>
      <c r="AU188" s="12" t="s">
        <v>755</v>
      </c>
      <c r="AV188" s="12" t="s">
        <v>755</v>
      </c>
      <c r="AW188" s="12" t="s">
        <v>755</v>
      </c>
      <c r="AX188" s="12" t="s">
        <v>755</v>
      </c>
      <c r="AY188" s="12" t="s">
        <v>762</v>
      </c>
      <c r="AZ188" s="12" t="s">
        <v>808</v>
      </c>
      <c r="BA188" s="12" t="s">
        <v>587</v>
      </c>
      <c r="BB188" s="12" t="s">
        <v>1494</v>
      </c>
      <c r="BC188" s="12" t="s">
        <v>1494</v>
      </c>
      <c r="BD188" s="12" t="s">
        <v>1611</v>
      </c>
      <c r="BE188" s="12" t="s">
        <v>959</v>
      </c>
      <c r="BF188" s="12" t="s">
        <v>3023</v>
      </c>
      <c r="BG188" s="12" t="s">
        <v>734</v>
      </c>
      <c r="BH188" s="12" t="s">
        <v>734</v>
      </c>
      <c r="BI188" s="12" t="s">
        <v>1700</v>
      </c>
      <c r="BJ188" s="12" t="s">
        <v>1033</v>
      </c>
      <c r="BK188" s="12" t="s">
        <v>1844</v>
      </c>
      <c r="BL188" s="12" t="s">
        <v>1034</v>
      </c>
      <c r="BM188" s="12" t="s">
        <v>659</v>
      </c>
      <c r="BN188" s="12" t="s">
        <v>736</v>
      </c>
      <c r="BO188" s="12" t="s">
        <v>2066</v>
      </c>
      <c r="BP188" s="12" t="s">
        <v>1626</v>
      </c>
      <c r="BQ188" s="12" t="s">
        <v>1373</v>
      </c>
      <c r="BR188" s="12" t="s">
        <v>663</v>
      </c>
      <c r="BS188" s="12" t="s">
        <v>1714</v>
      </c>
      <c r="BT188" s="12" t="s">
        <v>666</v>
      </c>
      <c r="BU188" s="12" t="s">
        <v>3626</v>
      </c>
      <c r="BV188" s="12" t="s">
        <v>931</v>
      </c>
      <c r="BW188" s="12" t="s">
        <v>932</v>
      </c>
      <c r="BX188" s="12" t="s">
        <v>2516</v>
      </c>
      <c r="BY188" s="12" t="s">
        <v>1442</v>
      </c>
      <c r="BZ188" s="12" t="s">
        <v>3627</v>
      </c>
      <c r="CA188" s="12" t="s">
        <v>3628</v>
      </c>
      <c r="CB188" s="12" t="s">
        <v>2207</v>
      </c>
      <c r="CC188" s="12" t="s">
        <v>3629</v>
      </c>
      <c r="CD188" s="12" t="s">
        <v>3630</v>
      </c>
      <c r="CE188" s="12" t="s">
        <v>3631</v>
      </c>
      <c r="CF188" s="12" t="s">
        <v>3632</v>
      </c>
      <c r="CG188" s="12" t="s">
        <v>3633</v>
      </c>
      <c r="CH188" s="12" t="s">
        <v>2152</v>
      </c>
      <c r="CI188" s="12" t="s">
        <v>3634</v>
      </c>
      <c r="CJ188" s="12" t="s">
        <v>3635</v>
      </c>
      <c r="CK188" s="12" t="s">
        <v>3636</v>
      </c>
      <c r="CL188" s="12" t="s">
        <v>3637</v>
      </c>
      <c r="CM188" s="12" t="s">
        <v>3638</v>
      </c>
      <c r="CN188" s="12" t="s">
        <v>3639</v>
      </c>
      <c r="CO188" s="12" t="s">
        <v>3640</v>
      </c>
      <c r="CP188" s="12" t="s">
        <v>3641</v>
      </c>
      <c r="CQ188" s="12" t="s">
        <v>3642</v>
      </c>
      <c r="CR188" s="12" t="s">
        <v>3643</v>
      </c>
      <c r="CS188" s="12" t="s">
        <v>3644</v>
      </c>
      <c r="CT188" s="12" t="s">
        <v>3645</v>
      </c>
    </row>
    <row r="189" spans="1:98" hidden="1" x14ac:dyDescent="0.3">
      <c r="A189" s="12" t="s">
        <v>25</v>
      </c>
      <c r="B189" s="12" t="s">
        <v>3646</v>
      </c>
      <c r="C189" s="12" t="s">
        <v>3647</v>
      </c>
      <c r="D189" s="12" t="s">
        <v>3648</v>
      </c>
      <c r="E189" s="12" t="s">
        <v>578</v>
      </c>
      <c r="F189" s="12" t="s">
        <v>578</v>
      </c>
      <c r="G189" s="12" t="s">
        <v>578</v>
      </c>
      <c r="H189" s="12" t="s">
        <v>578</v>
      </c>
      <c r="I189" s="12" t="s">
        <v>578</v>
      </c>
      <c r="J189" s="12" t="s">
        <v>578</v>
      </c>
      <c r="K189" s="12" t="s">
        <v>578</v>
      </c>
      <c r="L189" s="12" t="s">
        <v>578</v>
      </c>
      <c r="M189" s="12" t="s">
        <v>578</v>
      </c>
      <c r="N189" s="12" t="s">
        <v>578</v>
      </c>
      <c r="O189" s="12" t="s">
        <v>578</v>
      </c>
      <c r="P189" s="12" t="s">
        <v>578</v>
      </c>
      <c r="Q189" s="12" t="s">
        <v>578</v>
      </c>
      <c r="R189" s="12" t="s">
        <v>578</v>
      </c>
      <c r="S189" s="12" t="s">
        <v>578</v>
      </c>
      <c r="T189" s="12" t="s">
        <v>578</v>
      </c>
      <c r="U189" s="12" t="s">
        <v>578</v>
      </c>
      <c r="V189" s="12" t="s">
        <v>578</v>
      </c>
      <c r="W189" s="12" t="s">
        <v>578</v>
      </c>
      <c r="X189" s="12" t="s">
        <v>578</v>
      </c>
      <c r="Y189" s="12" t="s">
        <v>578</v>
      </c>
      <c r="Z189" s="12" t="s">
        <v>578</v>
      </c>
      <c r="AA189" s="12" t="s">
        <v>578</v>
      </c>
      <c r="AB189" s="12" t="s">
        <v>578</v>
      </c>
      <c r="AC189" s="12" t="s">
        <v>578</v>
      </c>
      <c r="AD189" s="12" t="s">
        <v>578</v>
      </c>
      <c r="AE189" s="12" t="s">
        <v>578</v>
      </c>
      <c r="AF189" s="12" t="s">
        <v>578</v>
      </c>
      <c r="AG189" s="12" t="s">
        <v>578</v>
      </c>
      <c r="AH189" s="12" t="s">
        <v>578</v>
      </c>
      <c r="AI189" s="12" t="s">
        <v>578</v>
      </c>
      <c r="AJ189" s="12" t="s">
        <v>578</v>
      </c>
      <c r="AK189" s="12" t="s">
        <v>578</v>
      </c>
      <c r="AL189" s="12" t="s">
        <v>578</v>
      </c>
      <c r="AM189" s="12" t="s">
        <v>578</v>
      </c>
      <c r="AN189" s="12" t="s">
        <v>579</v>
      </c>
      <c r="AO189" s="12" t="s">
        <v>579</v>
      </c>
      <c r="AP189" s="12" t="s">
        <v>672</v>
      </c>
      <c r="AQ189" s="12" t="s">
        <v>672</v>
      </c>
      <c r="AR189" s="12" t="s">
        <v>672</v>
      </c>
      <c r="AS189" s="12" t="s">
        <v>672</v>
      </c>
      <c r="AT189" s="12" t="s">
        <v>672</v>
      </c>
      <c r="AU189" s="12" t="s">
        <v>580</v>
      </c>
      <c r="AV189" s="12" t="s">
        <v>851</v>
      </c>
      <c r="AW189" s="12" t="s">
        <v>761</v>
      </c>
      <c r="AX189" s="12" t="s">
        <v>761</v>
      </c>
      <c r="AY189" s="12" t="s">
        <v>762</v>
      </c>
      <c r="AZ189" s="12" t="s">
        <v>762</v>
      </c>
      <c r="BA189" s="12" t="s">
        <v>757</v>
      </c>
      <c r="BB189" s="12" t="s">
        <v>768</v>
      </c>
      <c r="BC189" s="12" t="s">
        <v>991</v>
      </c>
      <c r="BD189" s="12" t="s">
        <v>636</v>
      </c>
      <c r="BE189" s="12" t="s">
        <v>638</v>
      </c>
      <c r="BF189" s="12" t="s">
        <v>1047</v>
      </c>
      <c r="BG189" s="12" t="s">
        <v>774</v>
      </c>
      <c r="BH189" s="12" t="s">
        <v>921</v>
      </c>
      <c r="BI189" s="12" t="s">
        <v>1606</v>
      </c>
      <c r="BJ189" s="12" t="s">
        <v>646</v>
      </c>
      <c r="BK189" s="12" t="s">
        <v>728</v>
      </c>
      <c r="BL189" s="12" t="s">
        <v>601</v>
      </c>
      <c r="BM189" s="12" t="s">
        <v>655</v>
      </c>
      <c r="BN189" s="12" t="s">
        <v>1405</v>
      </c>
      <c r="BO189" s="12" t="s">
        <v>3649</v>
      </c>
      <c r="BP189" s="12" t="s">
        <v>612</v>
      </c>
      <c r="BQ189" s="12" t="s">
        <v>881</v>
      </c>
      <c r="BR189" s="12" t="s">
        <v>3650</v>
      </c>
      <c r="BS189" s="12" t="s">
        <v>3651</v>
      </c>
      <c r="BT189" s="12" t="s">
        <v>3652</v>
      </c>
      <c r="BU189" s="12" t="s">
        <v>3653</v>
      </c>
      <c r="BV189" s="12" t="s">
        <v>2651</v>
      </c>
      <c r="BW189" s="12" t="s">
        <v>3324</v>
      </c>
      <c r="BX189" s="12" t="s">
        <v>1636</v>
      </c>
      <c r="BY189" s="12" t="s">
        <v>3654</v>
      </c>
      <c r="BZ189" s="12" t="s">
        <v>3655</v>
      </c>
      <c r="CA189" s="12" t="s">
        <v>3656</v>
      </c>
      <c r="CB189" s="12" t="s">
        <v>3657</v>
      </c>
      <c r="CC189" s="12" t="s">
        <v>3658</v>
      </c>
      <c r="CD189" s="12" t="s">
        <v>3659</v>
      </c>
      <c r="CE189" s="12" t="s">
        <v>3660</v>
      </c>
      <c r="CF189" s="12" t="s">
        <v>3661</v>
      </c>
      <c r="CG189" s="12" t="s">
        <v>3662</v>
      </c>
      <c r="CH189" s="12" t="s">
        <v>3663</v>
      </c>
      <c r="CI189" s="12" t="s">
        <v>2523</v>
      </c>
      <c r="CJ189" s="12" t="s">
        <v>2314</v>
      </c>
      <c r="CK189" s="12" t="s">
        <v>3664</v>
      </c>
      <c r="CL189" s="12" t="s">
        <v>3665</v>
      </c>
      <c r="CM189" s="12" t="s">
        <v>3666</v>
      </c>
      <c r="CN189" s="12" t="s">
        <v>3468</v>
      </c>
      <c r="CO189" s="12" t="s">
        <v>3667</v>
      </c>
      <c r="CP189" s="12" t="s">
        <v>3668</v>
      </c>
      <c r="CQ189" s="12" t="s">
        <v>3669</v>
      </c>
      <c r="CR189" s="12" t="s">
        <v>3670</v>
      </c>
      <c r="CS189" s="12" t="s">
        <v>3671</v>
      </c>
      <c r="CT189" s="12" t="s">
        <v>3672</v>
      </c>
    </row>
    <row r="190" spans="1:98" hidden="1" x14ac:dyDescent="0.3">
      <c r="A190" s="12" t="s">
        <v>25</v>
      </c>
      <c r="B190" s="12" t="s">
        <v>3673</v>
      </c>
      <c r="C190" s="12" t="s">
        <v>3674</v>
      </c>
      <c r="D190" s="12" t="s">
        <v>3675</v>
      </c>
      <c r="E190" s="12" t="s">
        <v>578</v>
      </c>
      <c r="F190" s="12" t="s">
        <v>578</v>
      </c>
      <c r="G190" s="12" t="s">
        <v>578</v>
      </c>
      <c r="H190" s="12" t="s">
        <v>578</v>
      </c>
      <c r="I190" s="12" t="s">
        <v>578</v>
      </c>
      <c r="J190" s="12" t="s">
        <v>578</v>
      </c>
      <c r="K190" s="12" t="s">
        <v>578</v>
      </c>
      <c r="L190" s="12" t="s">
        <v>578</v>
      </c>
      <c r="M190" s="12" t="s">
        <v>578</v>
      </c>
      <c r="N190" s="12" t="s">
        <v>623</v>
      </c>
      <c r="O190" s="12" t="s">
        <v>623</v>
      </c>
      <c r="P190" s="12" t="s">
        <v>623</v>
      </c>
      <c r="Q190" s="12" t="s">
        <v>623</v>
      </c>
      <c r="R190" s="12" t="s">
        <v>623</v>
      </c>
      <c r="S190" s="12" t="s">
        <v>623</v>
      </c>
      <c r="T190" s="12" t="s">
        <v>623</v>
      </c>
      <c r="U190" s="12" t="s">
        <v>623</v>
      </c>
      <c r="V190" s="12" t="s">
        <v>623</v>
      </c>
      <c r="W190" s="12" t="s">
        <v>623</v>
      </c>
      <c r="X190" s="12" t="s">
        <v>623</v>
      </c>
      <c r="Y190" s="12" t="s">
        <v>623</v>
      </c>
      <c r="Z190" s="12" t="s">
        <v>623</v>
      </c>
      <c r="AA190" s="12" t="s">
        <v>623</v>
      </c>
      <c r="AB190" s="12" t="s">
        <v>623</v>
      </c>
      <c r="AC190" s="12" t="s">
        <v>623</v>
      </c>
      <c r="AD190" s="12" t="s">
        <v>623</v>
      </c>
      <c r="AE190" s="12" t="s">
        <v>623</v>
      </c>
      <c r="AF190" s="12" t="s">
        <v>623</v>
      </c>
      <c r="AG190" s="12" t="s">
        <v>623</v>
      </c>
      <c r="AH190" s="12" t="s">
        <v>623</v>
      </c>
      <c r="AI190" s="12" t="s">
        <v>623</v>
      </c>
      <c r="AJ190" s="12" t="s">
        <v>623</v>
      </c>
      <c r="AK190" s="12" t="s">
        <v>623</v>
      </c>
      <c r="AL190" s="12" t="s">
        <v>623</v>
      </c>
      <c r="AM190" s="12" t="s">
        <v>623</v>
      </c>
      <c r="AN190" s="12" t="s">
        <v>623</v>
      </c>
      <c r="AO190" s="12" t="s">
        <v>623</v>
      </c>
      <c r="AP190" s="12" t="s">
        <v>623</v>
      </c>
      <c r="AQ190" s="12" t="s">
        <v>623</v>
      </c>
      <c r="AR190" s="12" t="s">
        <v>623</v>
      </c>
      <c r="AS190" s="12" t="s">
        <v>672</v>
      </c>
      <c r="AT190" s="12" t="s">
        <v>672</v>
      </c>
      <c r="AU190" s="12" t="s">
        <v>672</v>
      </c>
      <c r="AV190" s="12" t="s">
        <v>580</v>
      </c>
      <c r="AW190" s="12" t="s">
        <v>868</v>
      </c>
      <c r="AX190" s="12" t="s">
        <v>868</v>
      </c>
      <c r="AY190" s="12" t="s">
        <v>673</v>
      </c>
      <c r="AZ190" s="12" t="s">
        <v>673</v>
      </c>
      <c r="BA190" s="12" t="s">
        <v>675</v>
      </c>
      <c r="BB190" s="12" t="s">
        <v>675</v>
      </c>
      <c r="BC190" s="12" t="s">
        <v>869</v>
      </c>
      <c r="BD190" s="12" t="s">
        <v>768</v>
      </c>
      <c r="BE190" s="12" t="s">
        <v>632</v>
      </c>
      <c r="BF190" s="12" t="s">
        <v>1180</v>
      </c>
      <c r="BG190" s="12" t="s">
        <v>682</v>
      </c>
      <c r="BH190" s="12" t="s">
        <v>1353</v>
      </c>
      <c r="BI190" s="12" t="s">
        <v>1515</v>
      </c>
      <c r="BJ190" s="12" t="s">
        <v>2360</v>
      </c>
      <c r="BK190" s="12" t="s">
        <v>1491</v>
      </c>
      <c r="BL190" s="12" t="s">
        <v>1424</v>
      </c>
      <c r="BM190" s="12" t="s">
        <v>601</v>
      </c>
      <c r="BN190" s="12" t="s">
        <v>967</v>
      </c>
      <c r="BO190" s="12" t="s">
        <v>1035</v>
      </c>
      <c r="BP190" s="12" t="s">
        <v>1427</v>
      </c>
      <c r="BQ190" s="12" t="s">
        <v>611</v>
      </c>
      <c r="BR190" s="12" t="s">
        <v>1003</v>
      </c>
      <c r="BS190" s="12" t="s">
        <v>2133</v>
      </c>
      <c r="BT190" s="12" t="s">
        <v>2201</v>
      </c>
      <c r="BU190" s="12" t="s">
        <v>3676</v>
      </c>
      <c r="BV190" s="12" t="s">
        <v>3049</v>
      </c>
      <c r="BW190" s="12" t="s">
        <v>3677</v>
      </c>
      <c r="BX190" s="12" t="s">
        <v>3678</v>
      </c>
      <c r="BY190" s="12" t="s">
        <v>2158</v>
      </c>
      <c r="BZ190" s="12" t="s">
        <v>3679</v>
      </c>
      <c r="CA190" s="12" t="s">
        <v>3212</v>
      </c>
      <c r="CB190" s="12" t="s">
        <v>3680</v>
      </c>
      <c r="CC190" s="12" t="s">
        <v>3252</v>
      </c>
      <c r="CD190" s="12" t="s">
        <v>3681</v>
      </c>
      <c r="CE190" s="12" t="s">
        <v>3682</v>
      </c>
      <c r="CF190" s="12" t="s">
        <v>3683</v>
      </c>
      <c r="CG190" s="12" t="s">
        <v>3684</v>
      </c>
      <c r="CH190" s="12" t="s">
        <v>3685</v>
      </c>
      <c r="CI190" s="12" t="s">
        <v>3686</v>
      </c>
      <c r="CJ190" s="12" t="s">
        <v>3687</v>
      </c>
      <c r="CK190" s="12" t="s">
        <v>3688</v>
      </c>
      <c r="CL190" s="12" t="s">
        <v>3689</v>
      </c>
      <c r="CM190" s="12" t="s">
        <v>3690</v>
      </c>
      <c r="CN190" s="12" t="s">
        <v>3691</v>
      </c>
      <c r="CO190" s="12" t="s">
        <v>3692</v>
      </c>
      <c r="CP190" s="12" t="s">
        <v>3693</v>
      </c>
      <c r="CQ190" s="12" t="s">
        <v>3694</v>
      </c>
      <c r="CR190" s="12" t="s">
        <v>3695</v>
      </c>
      <c r="CS190" s="12" t="s">
        <v>3696</v>
      </c>
      <c r="CT190" s="12" t="s">
        <v>3697</v>
      </c>
    </row>
    <row r="191" spans="1:98" hidden="1" x14ac:dyDescent="0.3">
      <c r="A191" s="12" t="s">
        <v>25</v>
      </c>
      <c r="B191" s="12" t="s">
        <v>3698</v>
      </c>
      <c r="C191" s="12" t="s">
        <v>3699</v>
      </c>
      <c r="D191" s="12" t="s">
        <v>3700</v>
      </c>
      <c r="E191" s="12" t="s">
        <v>578</v>
      </c>
      <c r="F191" s="12" t="s">
        <v>578</v>
      </c>
      <c r="G191" s="12" t="s">
        <v>578</v>
      </c>
      <c r="H191" s="12" t="s">
        <v>578</v>
      </c>
      <c r="I191" s="12" t="s">
        <v>578</v>
      </c>
      <c r="J191" s="12" t="s">
        <v>578</v>
      </c>
      <c r="K191" s="12" t="s">
        <v>578</v>
      </c>
      <c r="L191" s="12" t="s">
        <v>578</v>
      </c>
      <c r="M191" s="12" t="s">
        <v>578</v>
      </c>
      <c r="N191" s="12" t="s">
        <v>578</v>
      </c>
      <c r="O191" s="12" t="s">
        <v>578</v>
      </c>
      <c r="P191" s="12" t="s">
        <v>578</v>
      </c>
      <c r="Q191" s="12" t="s">
        <v>578</v>
      </c>
      <c r="R191" s="12" t="s">
        <v>578</v>
      </c>
      <c r="S191" s="12" t="s">
        <v>578</v>
      </c>
      <c r="T191" s="12" t="s">
        <v>578</v>
      </c>
      <c r="U191" s="12" t="s">
        <v>578</v>
      </c>
      <c r="V191" s="12" t="s">
        <v>578</v>
      </c>
      <c r="W191" s="12" t="s">
        <v>578</v>
      </c>
      <c r="X191" s="12" t="s">
        <v>578</v>
      </c>
      <c r="Y191" s="12" t="s">
        <v>578</v>
      </c>
      <c r="Z191" s="12" t="s">
        <v>578</v>
      </c>
      <c r="AA191" s="12" t="s">
        <v>578</v>
      </c>
      <c r="AB191" s="12" t="s">
        <v>578</v>
      </c>
      <c r="AC191" s="12" t="s">
        <v>578</v>
      </c>
      <c r="AD191" s="12" t="s">
        <v>578</v>
      </c>
      <c r="AE191" s="12" t="s">
        <v>578</v>
      </c>
      <c r="AF191" s="12" t="s">
        <v>578</v>
      </c>
      <c r="AG191" s="12" t="s">
        <v>578</v>
      </c>
      <c r="AH191" s="12" t="s">
        <v>578</v>
      </c>
      <c r="AI191" s="12" t="s">
        <v>578</v>
      </c>
      <c r="AJ191" s="12" t="s">
        <v>578</v>
      </c>
      <c r="AK191" s="12" t="s">
        <v>578</v>
      </c>
      <c r="AL191" s="12" t="s">
        <v>578</v>
      </c>
      <c r="AM191" s="12" t="s">
        <v>578</v>
      </c>
      <c r="AN191" s="12" t="s">
        <v>578</v>
      </c>
      <c r="AO191" s="12" t="s">
        <v>578</v>
      </c>
      <c r="AP191" s="12" t="s">
        <v>578</v>
      </c>
      <c r="AQ191" s="12" t="s">
        <v>578</v>
      </c>
      <c r="AR191" s="12" t="s">
        <v>578</v>
      </c>
      <c r="AS191" s="12" t="s">
        <v>578</v>
      </c>
      <c r="AT191" s="12" t="s">
        <v>578</v>
      </c>
      <c r="AU191" s="12" t="s">
        <v>578</v>
      </c>
      <c r="AV191" s="12" t="s">
        <v>578</v>
      </c>
      <c r="AW191" s="12" t="s">
        <v>578</v>
      </c>
      <c r="AX191" s="12" t="s">
        <v>578</v>
      </c>
      <c r="AY191" s="12" t="s">
        <v>578</v>
      </c>
      <c r="AZ191" s="12" t="s">
        <v>578</v>
      </c>
      <c r="BA191" s="12" t="s">
        <v>578</v>
      </c>
      <c r="BB191" s="12" t="s">
        <v>578</v>
      </c>
      <c r="BC191" s="12" t="s">
        <v>578</v>
      </c>
      <c r="BD191" s="12" t="s">
        <v>578</v>
      </c>
      <c r="BE191" s="12" t="s">
        <v>579</v>
      </c>
      <c r="BF191" s="12" t="s">
        <v>579</v>
      </c>
      <c r="BG191" s="12" t="s">
        <v>581</v>
      </c>
      <c r="BH191" s="12" t="s">
        <v>582</v>
      </c>
      <c r="BI191" s="12" t="s">
        <v>755</v>
      </c>
      <c r="BJ191" s="12" t="s">
        <v>755</v>
      </c>
      <c r="BK191" s="12" t="s">
        <v>673</v>
      </c>
      <c r="BL191" s="12" t="s">
        <v>673</v>
      </c>
      <c r="BM191" s="12" t="s">
        <v>674</v>
      </c>
      <c r="BN191" s="12" t="s">
        <v>971</v>
      </c>
      <c r="BO191" s="12" t="s">
        <v>588</v>
      </c>
      <c r="BP191" s="12" t="s">
        <v>1046</v>
      </c>
      <c r="BQ191" s="12" t="s">
        <v>954</v>
      </c>
      <c r="BR191" s="12" t="s">
        <v>679</v>
      </c>
      <c r="BS191" s="12" t="s">
        <v>680</v>
      </c>
      <c r="BT191" s="12" t="s">
        <v>634</v>
      </c>
      <c r="BU191" s="12" t="s">
        <v>634</v>
      </c>
      <c r="BV191" s="12" t="s">
        <v>720</v>
      </c>
      <c r="BW191" s="12" t="s">
        <v>976</v>
      </c>
      <c r="BX191" s="12" t="s">
        <v>590</v>
      </c>
      <c r="BY191" s="12" t="s">
        <v>636</v>
      </c>
      <c r="BZ191" s="12" t="s">
        <v>863</v>
      </c>
      <c r="CA191" s="12" t="s">
        <v>637</v>
      </c>
      <c r="CB191" s="12" t="s">
        <v>864</v>
      </c>
      <c r="CC191" s="12" t="s">
        <v>864</v>
      </c>
      <c r="CD191" s="12" t="s">
        <v>592</v>
      </c>
      <c r="CE191" s="12" t="s">
        <v>592</v>
      </c>
      <c r="CF191" s="12" t="s">
        <v>1501</v>
      </c>
      <c r="CG191" s="12" t="s">
        <v>593</v>
      </c>
      <c r="CH191" s="12" t="s">
        <v>1276</v>
      </c>
      <c r="CI191" s="12" t="s">
        <v>1354</v>
      </c>
      <c r="CJ191" s="12" t="s">
        <v>873</v>
      </c>
      <c r="CK191" s="12" t="s">
        <v>812</v>
      </c>
      <c r="CL191" s="12" t="s">
        <v>1358</v>
      </c>
      <c r="CM191" s="12" t="s">
        <v>1821</v>
      </c>
      <c r="CN191" s="12" t="s">
        <v>920</v>
      </c>
      <c r="CO191" s="12" t="s">
        <v>1515</v>
      </c>
      <c r="CP191" s="12" t="s">
        <v>1515</v>
      </c>
      <c r="CQ191" s="12" t="s">
        <v>1814</v>
      </c>
      <c r="CR191" s="12" t="s">
        <v>2100</v>
      </c>
      <c r="CS191" s="12" t="s">
        <v>2101</v>
      </c>
      <c r="CT191" s="12" t="s">
        <v>1278</v>
      </c>
    </row>
    <row r="192" spans="1:98" hidden="1" x14ac:dyDescent="0.3">
      <c r="A192" s="12" t="s">
        <v>25</v>
      </c>
      <c r="B192" s="12" t="s">
        <v>3701</v>
      </c>
      <c r="C192" s="12" t="s">
        <v>3702</v>
      </c>
      <c r="D192" s="12" t="s">
        <v>3703</v>
      </c>
      <c r="E192" s="12" t="s">
        <v>578</v>
      </c>
      <c r="F192" s="12" t="s">
        <v>578</v>
      </c>
      <c r="G192" s="12" t="s">
        <v>578</v>
      </c>
      <c r="H192" s="12" t="s">
        <v>578</v>
      </c>
      <c r="I192" s="12" t="s">
        <v>578</v>
      </c>
      <c r="J192" s="12" t="s">
        <v>578</v>
      </c>
      <c r="K192" s="12" t="s">
        <v>578</v>
      </c>
      <c r="L192" s="12" t="s">
        <v>578</v>
      </c>
      <c r="M192" s="12" t="s">
        <v>578</v>
      </c>
      <c r="N192" s="12" t="s">
        <v>578</v>
      </c>
      <c r="O192" s="12" t="s">
        <v>578</v>
      </c>
      <c r="P192" s="12" t="s">
        <v>578</v>
      </c>
      <c r="Q192" s="12" t="s">
        <v>578</v>
      </c>
      <c r="R192" s="12" t="s">
        <v>578</v>
      </c>
      <c r="S192" s="12" t="s">
        <v>578</v>
      </c>
      <c r="T192" s="12" t="s">
        <v>578</v>
      </c>
      <c r="U192" s="12" t="s">
        <v>578</v>
      </c>
      <c r="V192" s="12" t="s">
        <v>578</v>
      </c>
      <c r="W192" s="12" t="s">
        <v>578</v>
      </c>
      <c r="X192" s="12" t="s">
        <v>578</v>
      </c>
      <c r="Y192" s="12" t="s">
        <v>578</v>
      </c>
      <c r="Z192" s="12" t="s">
        <v>578</v>
      </c>
      <c r="AA192" s="12" t="s">
        <v>578</v>
      </c>
      <c r="AB192" s="12" t="s">
        <v>578</v>
      </c>
      <c r="AC192" s="12" t="s">
        <v>578</v>
      </c>
      <c r="AD192" s="12" t="s">
        <v>578</v>
      </c>
      <c r="AE192" s="12" t="s">
        <v>578</v>
      </c>
      <c r="AF192" s="12" t="s">
        <v>578</v>
      </c>
      <c r="AG192" s="12" t="s">
        <v>578</v>
      </c>
      <c r="AH192" s="12" t="s">
        <v>578</v>
      </c>
      <c r="AI192" s="12" t="s">
        <v>578</v>
      </c>
      <c r="AJ192" s="12" t="s">
        <v>578</v>
      </c>
      <c r="AK192" s="12" t="s">
        <v>578</v>
      </c>
      <c r="AL192" s="12" t="s">
        <v>578</v>
      </c>
      <c r="AM192" s="12" t="s">
        <v>578</v>
      </c>
      <c r="AN192" s="12" t="s">
        <v>578</v>
      </c>
      <c r="AO192" s="12" t="s">
        <v>578</v>
      </c>
      <c r="AP192" s="12" t="s">
        <v>578</v>
      </c>
      <c r="AQ192" s="12" t="s">
        <v>578</v>
      </c>
      <c r="AR192" s="12" t="s">
        <v>578</v>
      </c>
      <c r="AS192" s="12" t="s">
        <v>578</v>
      </c>
      <c r="AT192" s="12" t="s">
        <v>578</v>
      </c>
      <c r="AU192" s="12" t="s">
        <v>578</v>
      </c>
      <c r="AV192" s="12" t="s">
        <v>578</v>
      </c>
      <c r="AW192" s="12" t="s">
        <v>578</v>
      </c>
      <c r="AX192" s="12" t="s">
        <v>578</v>
      </c>
      <c r="AY192" s="12" t="s">
        <v>578</v>
      </c>
      <c r="AZ192" s="12" t="s">
        <v>578</v>
      </c>
      <c r="BA192" s="12" t="s">
        <v>578</v>
      </c>
      <c r="BB192" s="12" t="s">
        <v>578</v>
      </c>
      <c r="BC192" s="12" t="s">
        <v>578</v>
      </c>
      <c r="BD192" s="12" t="s">
        <v>578</v>
      </c>
      <c r="BE192" s="12" t="s">
        <v>579</v>
      </c>
      <c r="BF192" s="12" t="s">
        <v>623</v>
      </c>
      <c r="BG192" s="12" t="s">
        <v>623</v>
      </c>
      <c r="BH192" s="12" t="s">
        <v>623</v>
      </c>
      <c r="BI192" s="12" t="s">
        <v>623</v>
      </c>
      <c r="BJ192" s="12" t="s">
        <v>623</v>
      </c>
      <c r="BK192" s="12" t="s">
        <v>623</v>
      </c>
      <c r="BL192" s="12" t="s">
        <v>623</v>
      </c>
      <c r="BM192" s="12" t="s">
        <v>623</v>
      </c>
      <c r="BN192" s="12" t="s">
        <v>672</v>
      </c>
      <c r="BO192" s="12" t="s">
        <v>672</v>
      </c>
      <c r="BP192" s="12" t="s">
        <v>672</v>
      </c>
      <c r="BQ192" s="12" t="s">
        <v>672</v>
      </c>
      <c r="BR192" s="12" t="s">
        <v>672</v>
      </c>
      <c r="BS192" s="12" t="s">
        <v>672</v>
      </c>
      <c r="BT192" s="12" t="s">
        <v>761</v>
      </c>
      <c r="BU192" s="12" t="s">
        <v>761</v>
      </c>
      <c r="BV192" s="12" t="s">
        <v>868</v>
      </c>
      <c r="BW192" s="12" t="s">
        <v>868</v>
      </c>
      <c r="BX192" s="12" t="s">
        <v>868</v>
      </c>
      <c r="BY192" s="12" t="s">
        <v>868</v>
      </c>
      <c r="BZ192" s="12" t="s">
        <v>756</v>
      </c>
      <c r="CA192" s="12" t="s">
        <v>756</v>
      </c>
      <c r="CB192" s="12" t="s">
        <v>756</v>
      </c>
      <c r="CC192" s="12" t="s">
        <v>756</v>
      </c>
      <c r="CD192" s="12" t="s">
        <v>756</v>
      </c>
      <c r="CE192" s="12" t="s">
        <v>756</v>
      </c>
      <c r="CF192" s="12" t="s">
        <v>762</v>
      </c>
      <c r="CG192" s="12" t="s">
        <v>762</v>
      </c>
      <c r="CH192" s="12" t="s">
        <v>762</v>
      </c>
      <c r="CI192" s="12" t="s">
        <v>762</v>
      </c>
      <c r="CJ192" s="12" t="s">
        <v>762</v>
      </c>
      <c r="CK192" s="12" t="s">
        <v>762</v>
      </c>
      <c r="CL192" s="12" t="s">
        <v>762</v>
      </c>
      <c r="CM192" s="12" t="s">
        <v>762</v>
      </c>
      <c r="CN192" s="12" t="s">
        <v>762</v>
      </c>
      <c r="CO192" s="12" t="s">
        <v>762</v>
      </c>
      <c r="CP192" s="12" t="s">
        <v>762</v>
      </c>
      <c r="CQ192" s="12" t="s">
        <v>762</v>
      </c>
      <c r="CR192" s="12" t="s">
        <v>762</v>
      </c>
      <c r="CS192" s="12" t="s">
        <v>762</v>
      </c>
      <c r="CT192" s="12" t="s">
        <v>762</v>
      </c>
    </row>
    <row r="193" spans="1:98" hidden="1" x14ac:dyDescent="0.3">
      <c r="A193" s="12" t="s">
        <v>25</v>
      </c>
      <c r="B193" s="12" t="s">
        <v>3704</v>
      </c>
      <c r="C193" s="12" t="s">
        <v>3705</v>
      </c>
      <c r="D193" s="12" t="s">
        <v>3706</v>
      </c>
      <c r="E193" s="12" t="s">
        <v>578</v>
      </c>
      <c r="F193" s="12" t="s">
        <v>578</v>
      </c>
      <c r="G193" s="12" t="s">
        <v>578</v>
      </c>
      <c r="H193" s="12" t="s">
        <v>578</v>
      </c>
      <c r="I193" s="12" t="s">
        <v>578</v>
      </c>
      <c r="J193" s="12" t="s">
        <v>578</v>
      </c>
      <c r="K193" s="12" t="s">
        <v>578</v>
      </c>
      <c r="L193" s="12" t="s">
        <v>578</v>
      </c>
      <c r="M193" s="12" t="s">
        <v>578</v>
      </c>
      <c r="N193" s="12" t="s">
        <v>578</v>
      </c>
      <c r="O193" s="12" t="s">
        <v>578</v>
      </c>
      <c r="P193" s="12" t="s">
        <v>578</v>
      </c>
      <c r="Q193" s="12" t="s">
        <v>578</v>
      </c>
      <c r="R193" s="12" t="s">
        <v>578</v>
      </c>
      <c r="S193" s="12" t="s">
        <v>578</v>
      </c>
      <c r="T193" s="12" t="s">
        <v>578</v>
      </c>
      <c r="U193" s="12" t="s">
        <v>578</v>
      </c>
      <c r="V193" s="12" t="s">
        <v>578</v>
      </c>
      <c r="W193" s="12" t="s">
        <v>578</v>
      </c>
      <c r="X193" s="12" t="s">
        <v>578</v>
      </c>
      <c r="Y193" s="12" t="s">
        <v>578</v>
      </c>
      <c r="Z193" s="12" t="s">
        <v>578</v>
      </c>
      <c r="AA193" s="12" t="s">
        <v>578</v>
      </c>
      <c r="AB193" s="12" t="s">
        <v>578</v>
      </c>
      <c r="AC193" s="12" t="s">
        <v>578</v>
      </c>
      <c r="AD193" s="12" t="s">
        <v>578</v>
      </c>
      <c r="AE193" s="12" t="s">
        <v>578</v>
      </c>
      <c r="AF193" s="12" t="s">
        <v>578</v>
      </c>
      <c r="AG193" s="12" t="s">
        <v>578</v>
      </c>
      <c r="AH193" s="12" t="s">
        <v>578</v>
      </c>
      <c r="AI193" s="12" t="s">
        <v>578</v>
      </c>
      <c r="AJ193" s="12" t="s">
        <v>578</v>
      </c>
      <c r="AK193" s="12" t="s">
        <v>578</v>
      </c>
      <c r="AL193" s="12" t="s">
        <v>578</v>
      </c>
      <c r="AM193" s="12" t="s">
        <v>578</v>
      </c>
      <c r="AN193" s="12" t="s">
        <v>578</v>
      </c>
      <c r="AO193" s="12" t="s">
        <v>578</v>
      </c>
      <c r="AP193" s="12" t="s">
        <v>578</v>
      </c>
      <c r="AQ193" s="12" t="s">
        <v>578</v>
      </c>
      <c r="AR193" s="12" t="s">
        <v>578</v>
      </c>
      <c r="AS193" s="12" t="s">
        <v>578</v>
      </c>
      <c r="AT193" s="12" t="s">
        <v>578</v>
      </c>
      <c r="AU193" s="12" t="s">
        <v>578</v>
      </c>
      <c r="AV193" s="12" t="s">
        <v>578</v>
      </c>
      <c r="AW193" s="12" t="s">
        <v>578</v>
      </c>
      <c r="AX193" s="12" t="s">
        <v>578</v>
      </c>
      <c r="AY193" s="12" t="s">
        <v>578</v>
      </c>
      <c r="AZ193" s="12" t="s">
        <v>578</v>
      </c>
      <c r="BA193" s="12" t="s">
        <v>578</v>
      </c>
      <c r="BB193" s="12" t="s">
        <v>578</v>
      </c>
      <c r="BC193" s="12" t="s">
        <v>578</v>
      </c>
      <c r="BD193" s="12" t="s">
        <v>578</v>
      </c>
      <c r="BE193" s="12" t="s">
        <v>579</v>
      </c>
      <c r="BF193" s="12" t="s">
        <v>579</v>
      </c>
      <c r="BG193" s="12" t="s">
        <v>579</v>
      </c>
      <c r="BH193" s="12" t="s">
        <v>579</v>
      </c>
      <c r="BI193" s="12" t="s">
        <v>579</v>
      </c>
      <c r="BJ193" s="12" t="s">
        <v>579</v>
      </c>
      <c r="BK193" s="12" t="s">
        <v>579</v>
      </c>
      <c r="BL193" s="12" t="s">
        <v>579</v>
      </c>
      <c r="BM193" s="12" t="s">
        <v>579</v>
      </c>
      <c r="BN193" s="12" t="s">
        <v>579</v>
      </c>
      <c r="BO193" s="12" t="s">
        <v>579</v>
      </c>
      <c r="BP193" s="12" t="s">
        <v>579</v>
      </c>
      <c r="BQ193" s="12" t="s">
        <v>579</v>
      </c>
      <c r="BR193" s="12" t="s">
        <v>579</v>
      </c>
      <c r="BS193" s="12" t="s">
        <v>579</v>
      </c>
      <c r="BT193" s="12" t="s">
        <v>579</v>
      </c>
      <c r="BU193" s="12" t="s">
        <v>579</v>
      </c>
      <c r="BV193" s="12" t="s">
        <v>579</v>
      </c>
      <c r="BW193" s="12" t="s">
        <v>579</v>
      </c>
      <c r="BX193" s="12" t="s">
        <v>623</v>
      </c>
      <c r="BY193" s="12" t="s">
        <v>672</v>
      </c>
      <c r="BZ193" s="12" t="s">
        <v>582</v>
      </c>
      <c r="CA193" s="12" t="s">
        <v>582</v>
      </c>
      <c r="CB193" s="12" t="s">
        <v>582</v>
      </c>
      <c r="CC193" s="12" t="s">
        <v>755</v>
      </c>
      <c r="CD193" s="12" t="s">
        <v>755</v>
      </c>
      <c r="CE193" s="12" t="s">
        <v>625</v>
      </c>
      <c r="CF193" s="12" t="s">
        <v>625</v>
      </c>
      <c r="CG193" s="12" t="s">
        <v>625</v>
      </c>
      <c r="CH193" s="12" t="s">
        <v>625</v>
      </c>
      <c r="CI193" s="12" t="s">
        <v>625</v>
      </c>
      <c r="CJ193" s="12" t="s">
        <v>625</v>
      </c>
      <c r="CK193" s="12" t="s">
        <v>625</v>
      </c>
      <c r="CL193" s="12" t="s">
        <v>625</v>
      </c>
      <c r="CM193" s="12" t="s">
        <v>625</v>
      </c>
      <c r="CN193" s="12" t="s">
        <v>625</v>
      </c>
      <c r="CO193" s="12" t="s">
        <v>625</v>
      </c>
      <c r="CP193" s="12" t="s">
        <v>625</v>
      </c>
      <c r="CQ193" s="12" t="s">
        <v>625</v>
      </c>
      <c r="CR193" s="12" t="s">
        <v>868</v>
      </c>
      <c r="CS193" s="12" t="s">
        <v>868</v>
      </c>
      <c r="CT193" s="12" t="s">
        <v>756</v>
      </c>
    </row>
    <row r="194" spans="1:98" hidden="1" x14ac:dyDescent="0.3">
      <c r="A194" s="12" t="s">
        <v>25</v>
      </c>
      <c r="B194" s="12" t="s">
        <v>3707</v>
      </c>
      <c r="C194" s="12" t="s">
        <v>3708</v>
      </c>
      <c r="D194" s="12" t="s">
        <v>3709</v>
      </c>
      <c r="E194" s="12" t="s">
        <v>578</v>
      </c>
      <c r="F194" s="12" t="s">
        <v>578</v>
      </c>
      <c r="G194" s="12" t="s">
        <v>578</v>
      </c>
      <c r="H194" s="12" t="s">
        <v>578</v>
      </c>
      <c r="I194" s="12" t="s">
        <v>578</v>
      </c>
      <c r="J194" s="12" t="s">
        <v>578</v>
      </c>
      <c r="K194" s="12" t="s">
        <v>578</v>
      </c>
      <c r="L194" s="12" t="s">
        <v>578</v>
      </c>
      <c r="M194" s="12" t="s">
        <v>578</v>
      </c>
      <c r="N194" s="12" t="s">
        <v>578</v>
      </c>
      <c r="O194" s="12" t="s">
        <v>578</v>
      </c>
      <c r="P194" s="12" t="s">
        <v>578</v>
      </c>
      <c r="Q194" s="12" t="s">
        <v>578</v>
      </c>
      <c r="R194" s="12" t="s">
        <v>578</v>
      </c>
      <c r="S194" s="12" t="s">
        <v>578</v>
      </c>
      <c r="T194" s="12" t="s">
        <v>578</v>
      </c>
      <c r="U194" s="12" t="s">
        <v>578</v>
      </c>
      <c r="V194" s="12" t="s">
        <v>578</v>
      </c>
      <c r="W194" s="12" t="s">
        <v>578</v>
      </c>
      <c r="X194" s="12" t="s">
        <v>578</v>
      </c>
      <c r="Y194" s="12" t="s">
        <v>578</v>
      </c>
      <c r="Z194" s="12" t="s">
        <v>578</v>
      </c>
      <c r="AA194" s="12" t="s">
        <v>578</v>
      </c>
      <c r="AB194" s="12" t="s">
        <v>578</v>
      </c>
      <c r="AC194" s="12" t="s">
        <v>578</v>
      </c>
      <c r="AD194" s="12" t="s">
        <v>578</v>
      </c>
      <c r="AE194" s="12" t="s">
        <v>578</v>
      </c>
      <c r="AF194" s="12" t="s">
        <v>578</v>
      </c>
      <c r="AG194" s="12" t="s">
        <v>578</v>
      </c>
      <c r="AH194" s="12" t="s">
        <v>578</v>
      </c>
      <c r="AI194" s="12" t="s">
        <v>578</v>
      </c>
      <c r="AJ194" s="12" t="s">
        <v>578</v>
      </c>
      <c r="AK194" s="12" t="s">
        <v>578</v>
      </c>
      <c r="AL194" s="12" t="s">
        <v>578</v>
      </c>
      <c r="AM194" s="12" t="s">
        <v>578</v>
      </c>
      <c r="AN194" s="12" t="s">
        <v>578</v>
      </c>
      <c r="AO194" s="12" t="s">
        <v>579</v>
      </c>
      <c r="AP194" s="12" t="s">
        <v>579</v>
      </c>
      <c r="AQ194" s="12" t="s">
        <v>579</v>
      </c>
      <c r="AR194" s="12" t="s">
        <v>579</v>
      </c>
      <c r="AS194" s="12" t="s">
        <v>755</v>
      </c>
      <c r="AT194" s="12" t="s">
        <v>624</v>
      </c>
      <c r="AU194" s="12" t="s">
        <v>584</v>
      </c>
      <c r="AV194" s="12" t="s">
        <v>585</v>
      </c>
      <c r="AW194" s="12" t="s">
        <v>585</v>
      </c>
      <c r="AX194" s="12" t="s">
        <v>626</v>
      </c>
      <c r="AY194" s="12" t="s">
        <v>971</v>
      </c>
      <c r="AZ194" s="12" t="s">
        <v>971</v>
      </c>
      <c r="BA194" s="12" t="s">
        <v>630</v>
      </c>
      <c r="BB194" s="12" t="s">
        <v>853</v>
      </c>
      <c r="BC194" s="12" t="s">
        <v>974</v>
      </c>
      <c r="BD194" s="12" t="s">
        <v>856</v>
      </c>
      <c r="BE194" s="12" t="s">
        <v>856</v>
      </c>
      <c r="BF194" s="12" t="s">
        <v>1732</v>
      </c>
      <c r="BG194" s="12" t="s">
        <v>1208</v>
      </c>
      <c r="BH194" s="12" t="s">
        <v>1208</v>
      </c>
      <c r="BI194" s="12" t="s">
        <v>1418</v>
      </c>
      <c r="BJ194" s="12" t="s">
        <v>1418</v>
      </c>
      <c r="BK194" s="12" t="s">
        <v>920</v>
      </c>
      <c r="BL194" s="12" t="s">
        <v>920</v>
      </c>
      <c r="BM194" s="12" t="s">
        <v>1026</v>
      </c>
      <c r="BN194" s="12" t="s">
        <v>1362</v>
      </c>
      <c r="BO194" s="12" t="s">
        <v>1362</v>
      </c>
      <c r="BP194" s="12" t="s">
        <v>1887</v>
      </c>
      <c r="BQ194" s="12" t="s">
        <v>1887</v>
      </c>
      <c r="BR194" s="12" t="s">
        <v>643</v>
      </c>
      <c r="BS194" s="12" t="s">
        <v>726</v>
      </c>
      <c r="BT194" s="12" t="s">
        <v>726</v>
      </c>
      <c r="BU194" s="12" t="s">
        <v>685</v>
      </c>
      <c r="BV194" s="12" t="s">
        <v>1517</v>
      </c>
      <c r="BW194" s="12" t="s">
        <v>1517</v>
      </c>
      <c r="BX194" s="12" t="s">
        <v>1816</v>
      </c>
      <c r="BY194" s="12" t="s">
        <v>1816</v>
      </c>
      <c r="BZ194" s="12" t="s">
        <v>645</v>
      </c>
      <c r="CA194" s="12" t="s">
        <v>775</v>
      </c>
      <c r="CB194" s="12" t="s">
        <v>775</v>
      </c>
      <c r="CC194" s="12" t="s">
        <v>1737</v>
      </c>
      <c r="CD194" s="12" t="s">
        <v>1737</v>
      </c>
      <c r="CE194" s="12" t="s">
        <v>648</v>
      </c>
      <c r="CF194" s="12" t="s">
        <v>2059</v>
      </c>
      <c r="CG194" s="12" t="s">
        <v>1888</v>
      </c>
      <c r="CH194" s="12" t="s">
        <v>1888</v>
      </c>
      <c r="CI194" s="12" t="s">
        <v>1888</v>
      </c>
      <c r="CJ194" s="12" t="s">
        <v>2061</v>
      </c>
      <c r="CK194" s="12" t="s">
        <v>1312</v>
      </c>
      <c r="CL194" s="12" t="s">
        <v>1698</v>
      </c>
      <c r="CM194" s="12" t="s">
        <v>965</v>
      </c>
      <c r="CN194" s="12" t="s">
        <v>3710</v>
      </c>
      <c r="CO194" s="12" t="s">
        <v>2987</v>
      </c>
      <c r="CP194" s="12" t="s">
        <v>3527</v>
      </c>
      <c r="CQ194" s="12" t="s">
        <v>1132</v>
      </c>
      <c r="CR194" s="12" t="s">
        <v>1847</v>
      </c>
      <c r="CS194" s="12" t="s">
        <v>736</v>
      </c>
      <c r="CT194" s="12" t="s">
        <v>3711</v>
      </c>
    </row>
    <row r="195" spans="1:98" hidden="1" x14ac:dyDescent="0.3">
      <c r="A195" s="12" t="s">
        <v>25</v>
      </c>
      <c r="B195" s="12" t="s">
        <v>3712</v>
      </c>
      <c r="C195" s="12" t="s">
        <v>3713</v>
      </c>
      <c r="D195" s="12" t="s">
        <v>3714</v>
      </c>
      <c r="E195" s="12" t="s">
        <v>578</v>
      </c>
      <c r="F195" s="12" t="s">
        <v>578</v>
      </c>
      <c r="G195" s="12" t="s">
        <v>578</v>
      </c>
      <c r="H195" s="12" t="s">
        <v>578</v>
      </c>
      <c r="I195" s="12" t="s">
        <v>578</v>
      </c>
      <c r="J195" s="12" t="s">
        <v>578</v>
      </c>
      <c r="K195" s="12" t="s">
        <v>578</v>
      </c>
      <c r="L195" s="12" t="s">
        <v>578</v>
      </c>
      <c r="M195" s="12" t="s">
        <v>578</v>
      </c>
      <c r="N195" s="12" t="s">
        <v>578</v>
      </c>
      <c r="O195" s="12" t="s">
        <v>578</v>
      </c>
      <c r="P195" s="12" t="s">
        <v>578</v>
      </c>
      <c r="Q195" s="12" t="s">
        <v>578</v>
      </c>
      <c r="R195" s="12" t="s">
        <v>578</v>
      </c>
      <c r="S195" s="12" t="s">
        <v>578</v>
      </c>
      <c r="T195" s="12" t="s">
        <v>578</v>
      </c>
      <c r="U195" s="12" t="s">
        <v>578</v>
      </c>
      <c r="V195" s="12" t="s">
        <v>578</v>
      </c>
      <c r="W195" s="12" t="s">
        <v>578</v>
      </c>
      <c r="X195" s="12" t="s">
        <v>578</v>
      </c>
      <c r="Y195" s="12" t="s">
        <v>578</v>
      </c>
      <c r="Z195" s="12" t="s">
        <v>578</v>
      </c>
      <c r="AA195" s="12" t="s">
        <v>578</v>
      </c>
      <c r="AB195" s="12" t="s">
        <v>578</v>
      </c>
      <c r="AC195" s="12" t="s">
        <v>578</v>
      </c>
      <c r="AD195" s="12" t="s">
        <v>578</v>
      </c>
      <c r="AE195" s="12" t="s">
        <v>578</v>
      </c>
      <c r="AF195" s="12" t="s">
        <v>578</v>
      </c>
      <c r="AG195" s="12" t="s">
        <v>578</v>
      </c>
      <c r="AH195" s="12" t="s">
        <v>578</v>
      </c>
      <c r="AI195" s="12" t="s">
        <v>578</v>
      </c>
      <c r="AJ195" s="12" t="s">
        <v>578</v>
      </c>
      <c r="AK195" s="12" t="s">
        <v>578</v>
      </c>
      <c r="AL195" s="12" t="s">
        <v>578</v>
      </c>
      <c r="AM195" s="12" t="s">
        <v>578</v>
      </c>
      <c r="AN195" s="12" t="s">
        <v>578</v>
      </c>
      <c r="AO195" s="12" t="s">
        <v>578</v>
      </c>
      <c r="AP195" s="12" t="s">
        <v>578</v>
      </c>
      <c r="AQ195" s="12" t="s">
        <v>578</v>
      </c>
      <c r="AR195" s="12" t="s">
        <v>578</v>
      </c>
      <c r="AS195" s="12" t="s">
        <v>579</v>
      </c>
      <c r="AT195" s="12" t="s">
        <v>579</v>
      </c>
      <c r="AU195" s="12" t="s">
        <v>579</v>
      </c>
      <c r="AV195" s="12" t="s">
        <v>581</v>
      </c>
      <c r="AW195" s="12" t="s">
        <v>581</v>
      </c>
      <c r="AX195" s="12" t="s">
        <v>581</v>
      </c>
      <c r="AY195" s="12" t="s">
        <v>583</v>
      </c>
      <c r="AZ195" s="12" t="s">
        <v>762</v>
      </c>
      <c r="BA195" s="12" t="s">
        <v>675</v>
      </c>
      <c r="BB195" s="12" t="s">
        <v>585</v>
      </c>
      <c r="BC195" s="12" t="s">
        <v>768</v>
      </c>
      <c r="BD195" s="12" t="s">
        <v>977</v>
      </c>
      <c r="BE195" s="12" t="s">
        <v>862</v>
      </c>
      <c r="BF195" s="12" t="s">
        <v>862</v>
      </c>
      <c r="BG195" s="12" t="s">
        <v>1501</v>
      </c>
      <c r="BH195" s="12" t="s">
        <v>874</v>
      </c>
      <c r="BI195" s="12" t="s">
        <v>874</v>
      </c>
      <c r="BJ195" s="12" t="s">
        <v>1687</v>
      </c>
      <c r="BK195" s="12" t="s">
        <v>2059</v>
      </c>
      <c r="BL195" s="12" t="s">
        <v>1031</v>
      </c>
      <c r="BM195" s="12" t="s">
        <v>689</v>
      </c>
      <c r="BN195" s="12" t="s">
        <v>663</v>
      </c>
      <c r="BO195" s="12" t="s">
        <v>2044</v>
      </c>
      <c r="BP195" s="12" t="s">
        <v>934</v>
      </c>
      <c r="BQ195" s="12" t="s">
        <v>1167</v>
      </c>
      <c r="BR195" s="12" t="s">
        <v>3715</v>
      </c>
      <c r="BS195" s="12" t="s">
        <v>1467</v>
      </c>
      <c r="BT195" s="12" t="s">
        <v>1014</v>
      </c>
      <c r="BU195" s="12" t="s">
        <v>3156</v>
      </c>
      <c r="BV195" s="12" t="s">
        <v>3716</v>
      </c>
      <c r="BW195" s="12" t="s">
        <v>2714</v>
      </c>
      <c r="BX195" s="12" t="s">
        <v>3717</v>
      </c>
      <c r="BY195" s="12" t="s">
        <v>3718</v>
      </c>
      <c r="BZ195" s="12" t="s">
        <v>3719</v>
      </c>
      <c r="CA195" s="12" t="s">
        <v>3720</v>
      </c>
      <c r="CB195" s="12" t="s">
        <v>2466</v>
      </c>
      <c r="CC195" s="12" t="s">
        <v>3721</v>
      </c>
      <c r="CD195" s="12" t="s">
        <v>3722</v>
      </c>
      <c r="CE195" s="12" t="s">
        <v>3723</v>
      </c>
      <c r="CF195" s="12" t="s">
        <v>3724</v>
      </c>
      <c r="CG195" s="12" t="s">
        <v>3725</v>
      </c>
      <c r="CH195" s="12" t="s">
        <v>3726</v>
      </c>
      <c r="CI195" s="12" t="s">
        <v>3727</v>
      </c>
      <c r="CJ195" s="12" t="s">
        <v>3728</v>
      </c>
      <c r="CK195" s="12" t="s">
        <v>3729</v>
      </c>
      <c r="CL195" s="12" t="s">
        <v>3730</v>
      </c>
      <c r="CM195" s="12" t="s">
        <v>3731</v>
      </c>
      <c r="CN195" s="12" t="s">
        <v>3732</v>
      </c>
      <c r="CO195" s="12" t="s">
        <v>3733</v>
      </c>
      <c r="CP195" s="12" t="s">
        <v>3734</v>
      </c>
      <c r="CQ195" s="12" t="s">
        <v>3735</v>
      </c>
      <c r="CR195" s="12" t="s">
        <v>3736</v>
      </c>
      <c r="CS195" s="12" t="s">
        <v>3737</v>
      </c>
      <c r="CT195" s="12" t="s">
        <v>3738</v>
      </c>
    </row>
    <row r="196" spans="1:98" hidden="1" x14ac:dyDescent="0.3">
      <c r="A196" s="12" t="s">
        <v>25</v>
      </c>
      <c r="B196" s="12" t="s">
        <v>3739</v>
      </c>
      <c r="C196" s="12" t="s">
        <v>3740</v>
      </c>
      <c r="D196" s="12" t="s">
        <v>3741</v>
      </c>
      <c r="E196" s="12" t="s">
        <v>578</v>
      </c>
      <c r="F196" s="12" t="s">
        <v>578</v>
      </c>
      <c r="G196" s="12" t="s">
        <v>578</v>
      </c>
      <c r="H196" s="12" t="s">
        <v>578</v>
      </c>
      <c r="I196" s="12" t="s">
        <v>578</v>
      </c>
      <c r="J196" s="12" t="s">
        <v>578</v>
      </c>
      <c r="K196" s="12" t="s">
        <v>578</v>
      </c>
      <c r="L196" s="12" t="s">
        <v>578</v>
      </c>
      <c r="M196" s="12" t="s">
        <v>578</v>
      </c>
      <c r="N196" s="12" t="s">
        <v>578</v>
      </c>
      <c r="O196" s="12" t="s">
        <v>578</v>
      </c>
      <c r="P196" s="12" t="s">
        <v>578</v>
      </c>
      <c r="Q196" s="12" t="s">
        <v>578</v>
      </c>
      <c r="R196" s="12" t="s">
        <v>578</v>
      </c>
      <c r="S196" s="12" t="s">
        <v>578</v>
      </c>
      <c r="T196" s="12" t="s">
        <v>578</v>
      </c>
      <c r="U196" s="12" t="s">
        <v>578</v>
      </c>
      <c r="V196" s="12" t="s">
        <v>578</v>
      </c>
      <c r="W196" s="12" t="s">
        <v>578</v>
      </c>
      <c r="X196" s="12" t="s">
        <v>578</v>
      </c>
      <c r="Y196" s="12" t="s">
        <v>578</v>
      </c>
      <c r="Z196" s="12" t="s">
        <v>578</v>
      </c>
      <c r="AA196" s="12" t="s">
        <v>578</v>
      </c>
      <c r="AB196" s="12" t="s">
        <v>578</v>
      </c>
      <c r="AC196" s="12" t="s">
        <v>578</v>
      </c>
      <c r="AD196" s="12" t="s">
        <v>578</v>
      </c>
      <c r="AE196" s="12" t="s">
        <v>578</v>
      </c>
      <c r="AF196" s="12" t="s">
        <v>578</v>
      </c>
      <c r="AG196" s="12" t="s">
        <v>578</v>
      </c>
      <c r="AH196" s="12" t="s">
        <v>578</v>
      </c>
      <c r="AI196" s="12" t="s">
        <v>578</v>
      </c>
      <c r="AJ196" s="12" t="s">
        <v>578</v>
      </c>
      <c r="AK196" s="12" t="s">
        <v>578</v>
      </c>
      <c r="AL196" s="12" t="s">
        <v>578</v>
      </c>
      <c r="AM196" s="12" t="s">
        <v>578</v>
      </c>
      <c r="AN196" s="12" t="s">
        <v>578</v>
      </c>
      <c r="AO196" s="12" t="s">
        <v>578</v>
      </c>
      <c r="AP196" s="12" t="s">
        <v>578</v>
      </c>
      <c r="AQ196" s="12" t="s">
        <v>578</v>
      </c>
      <c r="AR196" s="12" t="s">
        <v>578</v>
      </c>
      <c r="AS196" s="12" t="s">
        <v>579</v>
      </c>
      <c r="AT196" s="12" t="s">
        <v>623</v>
      </c>
      <c r="AU196" s="12" t="s">
        <v>580</v>
      </c>
      <c r="AV196" s="12" t="s">
        <v>580</v>
      </c>
      <c r="AW196" s="12" t="s">
        <v>580</v>
      </c>
      <c r="AX196" s="12" t="s">
        <v>580</v>
      </c>
      <c r="AY196" s="12" t="s">
        <v>580</v>
      </c>
      <c r="AZ196" s="12" t="s">
        <v>580</v>
      </c>
      <c r="BA196" s="12" t="s">
        <v>580</v>
      </c>
      <c r="BB196" s="12" t="s">
        <v>580</v>
      </c>
      <c r="BC196" s="12" t="s">
        <v>580</v>
      </c>
      <c r="BD196" s="12" t="s">
        <v>624</v>
      </c>
      <c r="BE196" s="12" t="s">
        <v>624</v>
      </c>
      <c r="BF196" s="12" t="s">
        <v>587</v>
      </c>
      <c r="BG196" s="12" t="s">
        <v>587</v>
      </c>
      <c r="BH196" s="12" t="s">
        <v>676</v>
      </c>
      <c r="BI196" s="12" t="s">
        <v>766</v>
      </c>
      <c r="BJ196" s="12" t="s">
        <v>766</v>
      </c>
      <c r="BK196" s="12" t="s">
        <v>628</v>
      </c>
      <c r="BL196" s="12" t="s">
        <v>972</v>
      </c>
      <c r="BM196" s="12" t="s">
        <v>955</v>
      </c>
      <c r="BN196" s="12" t="s">
        <v>771</v>
      </c>
      <c r="BO196" s="12" t="s">
        <v>977</v>
      </c>
      <c r="BP196" s="12" t="s">
        <v>860</v>
      </c>
      <c r="BQ196" s="12" t="s">
        <v>864</v>
      </c>
      <c r="BR196" s="12" t="s">
        <v>1418</v>
      </c>
      <c r="BS196" s="12" t="s">
        <v>2034</v>
      </c>
      <c r="BT196" s="12" t="s">
        <v>2014</v>
      </c>
      <c r="BU196" s="12" t="s">
        <v>1310</v>
      </c>
      <c r="BV196" s="12" t="s">
        <v>1026</v>
      </c>
      <c r="BW196" s="12" t="s">
        <v>1838</v>
      </c>
      <c r="BX196" s="12" t="s">
        <v>984</v>
      </c>
      <c r="BY196" s="12" t="s">
        <v>987</v>
      </c>
      <c r="BZ196" s="12" t="s">
        <v>1570</v>
      </c>
      <c r="CA196" s="12" t="s">
        <v>1392</v>
      </c>
      <c r="CB196" s="12" t="s">
        <v>1506</v>
      </c>
      <c r="CC196" s="12" t="s">
        <v>596</v>
      </c>
      <c r="CD196" s="12" t="s">
        <v>1509</v>
      </c>
      <c r="CE196" s="12" t="s">
        <v>1490</v>
      </c>
      <c r="CF196" s="12" t="s">
        <v>817</v>
      </c>
      <c r="CG196" s="12" t="s">
        <v>1028</v>
      </c>
      <c r="CH196" s="12" t="s">
        <v>3121</v>
      </c>
      <c r="CI196" s="12" t="s">
        <v>1829</v>
      </c>
      <c r="CJ196" s="12" t="s">
        <v>599</v>
      </c>
      <c r="CK196" s="12" t="s">
        <v>1210</v>
      </c>
      <c r="CL196" s="12" t="s">
        <v>2056</v>
      </c>
      <c r="CM196" s="12" t="s">
        <v>1519</v>
      </c>
      <c r="CN196" s="12" t="s">
        <v>1746</v>
      </c>
      <c r="CO196" s="12" t="s">
        <v>601</v>
      </c>
      <c r="CP196" s="12" t="s">
        <v>650</v>
      </c>
      <c r="CQ196" s="12" t="s">
        <v>2503</v>
      </c>
      <c r="CR196" s="12" t="s">
        <v>1699</v>
      </c>
      <c r="CS196" s="12" t="s">
        <v>1845</v>
      </c>
      <c r="CT196" s="12" t="s">
        <v>738</v>
      </c>
    </row>
    <row r="197" spans="1:98" hidden="1" x14ac:dyDescent="0.3">
      <c r="A197" s="12" t="s">
        <v>25</v>
      </c>
      <c r="B197" s="12" t="s">
        <v>3742</v>
      </c>
      <c r="C197" s="12" t="s">
        <v>3743</v>
      </c>
      <c r="D197" s="12" t="s">
        <v>3744</v>
      </c>
      <c r="E197" s="12" t="s">
        <v>578</v>
      </c>
      <c r="F197" s="12" t="s">
        <v>578</v>
      </c>
      <c r="G197" s="12" t="s">
        <v>578</v>
      </c>
      <c r="H197" s="12" t="s">
        <v>578</v>
      </c>
      <c r="I197" s="12" t="s">
        <v>578</v>
      </c>
      <c r="J197" s="12" t="s">
        <v>578</v>
      </c>
      <c r="K197" s="12" t="s">
        <v>578</v>
      </c>
      <c r="L197" s="12" t="s">
        <v>578</v>
      </c>
      <c r="M197" s="12" t="s">
        <v>578</v>
      </c>
      <c r="N197" s="12" t="s">
        <v>578</v>
      </c>
      <c r="O197" s="12" t="s">
        <v>578</v>
      </c>
      <c r="P197" s="12" t="s">
        <v>578</v>
      </c>
      <c r="Q197" s="12" t="s">
        <v>578</v>
      </c>
      <c r="R197" s="12" t="s">
        <v>578</v>
      </c>
      <c r="S197" s="12" t="s">
        <v>578</v>
      </c>
      <c r="T197" s="12" t="s">
        <v>578</v>
      </c>
      <c r="U197" s="12" t="s">
        <v>578</v>
      </c>
      <c r="V197" s="12" t="s">
        <v>578</v>
      </c>
      <c r="W197" s="12" t="s">
        <v>578</v>
      </c>
      <c r="X197" s="12" t="s">
        <v>578</v>
      </c>
      <c r="Y197" s="12" t="s">
        <v>578</v>
      </c>
      <c r="Z197" s="12" t="s">
        <v>578</v>
      </c>
      <c r="AA197" s="12" t="s">
        <v>578</v>
      </c>
      <c r="AB197" s="12" t="s">
        <v>578</v>
      </c>
      <c r="AC197" s="12" t="s">
        <v>578</v>
      </c>
      <c r="AD197" s="12" t="s">
        <v>578</v>
      </c>
      <c r="AE197" s="12" t="s">
        <v>578</v>
      </c>
      <c r="AF197" s="12" t="s">
        <v>578</v>
      </c>
      <c r="AG197" s="12" t="s">
        <v>578</v>
      </c>
      <c r="AH197" s="12" t="s">
        <v>578</v>
      </c>
      <c r="AI197" s="12" t="s">
        <v>578</v>
      </c>
      <c r="AJ197" s="12" t="s">
        <v>578</v>
      </c>
      <c r="AK197" s="12" t="s">
        <v>578</v>
      </c>
      <c r="AL197" s="12" t="s">
        <v>578</v>
      </c>
      <c r="AM197" s="12" t="s">
        <v>578</v>
      </c>
      <c r="AN197" s="12" t="s">
        <v>578</v>
      </c>
      <c r="AO197" s="12" t="s">
        <v>578</v>
      </c>
      <c r="AP197" s="12" t="s">
        <v>578</v>
      </c>
      <c r="AQ197" s="12" t="s">
        <v>578</v>
      </c>
      <c r="AR197" s="12" t="s">
        <v>578</v>
      </c>
      <c r="AS197" s="12" t="s">
        <v>578</v>
      </c>
      <c r="AT197" s="12" t="s">
        <v>578</v>
      </c>
      <c r="AU197" s="12" t="s">
        <v>578</v>
      </c>
      <c r="AV197" s="12" t="s">
        <v>578</v>
      </c>
      <c r="AW197" s="12" t="s">
        <v>579</v>
      </c>
      <c r="AX197" s="12" t="s">
        <v>579</v>
      </c>
      <c r="AY197" s="12" t="s">
        <v>579</v>
      </c>
      <c r="AZ197" s="12" t="s">
        <v>579</v>
      </c>
      <c r="BA197" s="12" t="s">
        <v>581</v>
      </c>
      <c r="BB197" s="12" t="s">
        <v>625</v>
      </c>
      <c r="BC197" s="12" t="s">
        <v>674</v>
      </c>
      <c r="BD197" s="12" t="s">
        <v>917</v>
      </c>
      <c r="BE197" s="12" t="s">
        <v>918</v>
      </c>
      <c r="BF197" s="12" t="s">
        <v>678</v>
      </c>
      <c r="BG197" s="12" t="s">
        <v>631</v>
      </c>
      <c r="BH197" s="12" t="s">
        <v>870</v>
      </c>
      <c r="BI197" s="12" t="s">
        <v>1352</v>
      </c>
      <c r="BJ197" s="12" t="s">
        <v>862</v>
      </c>
      <c r="BK197" s="12" t="s">
        <v>1356</v>
      </c>
      <c r="BL197" s="12" t="s">
        <v>874</v>
      </c>
      <c r="BM197" s="12" t="s">
        <v>1392</v>
      </c>
      <c r="BN197" s="12" t="s">
        <v>816</v>
      </c>
      <c r="BO197" s="12" t="s">
        <v>1741</v>
      </c>
      <c r="BP197" s="12" t="s">
        <v>1398</v>
      </c>
      <c r="BQ197" s="12" t="s">
        <v>1398</v>
      </c>
      <c r="BR197" s="12" t="s">
        <v>1369</v>
      </c>
      <c r="BS197" s="12" t="s">
        <v>744</v>
      </c>
      <c r="BT197" s="12" t="s">
        <v>3745</v>
      </c>
      <c r="BU197" s="12" t="s">
        <v>2856</v>
      </c>
      <c r="BV197" s="12" t="s">
        <v>934</v>
      </c>
      <c r="BW197" s="12" t="s">
        <v>3746</v>
      </c>
      <c r="BX197" s="12" t="s">
        <v>693</v>
      </c>
      <c r="BY197" s="12" t="s">
        <v>3747</v>
      </c>
      <c r="BZ197" s="12" t="s">
        <v>3188</v>
      </c>
      <c r="CA197" s="12" t="s">
        <v>2209</v>
      </c>
      <c r="CB197" s="12" t="s">
        <v>3748</v>
      </c>
      <c r="CC197" s="12" t="s">
        <v>3749</v>
      </c>
      <c r="CD197" s="12" t="s">
        <v>3750</v>
      </c>
      <c r="CE197" s="12" t="s">
        <v>3751</v>
      </c>
      <c r="CF197" s="12" t="s">
        <v>2153</v>
      </c>
      <c r="CG197" s="12" t="s">
        <v>3752</v>
      </c>
      <c r="CH197" s="12" t="s">
        <v>1543</v>
      </c>
      <c r="CI197" s="12" t="s">
        <v>3753</v>
      </c>
      <c r="CJ197" s="12" t="s">
        <v>3754</v>
      </c>
      <c r="CK197" s="12" t="s">
        <v>3755</v>
      </c>
      <c r="CL197" s="12" t="s">
        <v>3756</v>
      </c>
      <c r="CM197" s="12" t="s">
        <v>3757</v>
      </c>
      <c r="CN197" s="12" t="s">
        <v>3758</v>
      </c>
      <c r="CO197" s="12" t="s">
        <v>2311</v>
      </c>
      <c r="CP197" s="12" t="s">
        <v>3759</v>
      </c>
      <c r="CQ197" s="12" t="s">
        <v>3759</v>
      </c>
      <c r="CR197" s="12" t="s">
        <v>3759</v>
      </c>
      <c r="CS197" s="12" t="s">
        <v>3759</v>
      </c>
      <c r="CT197" s="12" t="s">
        <v>3759</v>
      </c>
    </row>
    <row r="198" spans="1:98" hidden="1" x14ac:dyDescent="0.3">
      <c r="A198" s="12" t="s">
        <v>25</v>
      </c>
      <c r="B198" s="12" t="s">
        <v>3760</v>
      </c>
      <c r="C198" s="12" t="s">
        <v>3761</v>
      </c>
      <c r="D198" s="12" t="s">
        <v>3762</v>
      </c>
      <c r="E198" s="12" t="s">
        <v>578</v>
      </c>
      <c r="F198" s="12" t="s">
        <v>578</v>
      </c>
      <c r="G198" s="12" t="s">
        <v>578</v>
      </c>
      <c r="H198" s="12" t="s">
        <v>578</v>
      </c>
      <c r="I198" s="12" t="s">
        <v>578</v>
      </c>
      <c r="J198" s="12" t="s">
        <v>578</v>
      </c>
      <c r="K198" s="12" t="s">
        <v>578</v>
      </c>
      <c r="L198" s="12" t="s">
        <v>578</v>
      </c>
      <c r="M198" s="12" t="s">
        <v>578</v>
      </c>
      <c r="N198" s="12" t="s">
        <v>578</v>
      </c>
      <c r="O198" s="12" t="s">
        <v>578</v>
      </c>
      <c r="P198" s="12" t="s">
        <v>578</v>
      </c>
      <c r="Q198" s="12" t="s">
        <v>578</v>
      </c>
      <c r="R198" s="12" t="s">
        <v>578</v>
      </c>
      <c r="S198" s="12" t="s">
        <v>578</v>
      </c>
      <c r="T198" s="12" t="s">
        <v>578</v>
      </c>
      <c r="U198" s="12" t="s">
        <v>578</v>
      </c>
      <c r="V198" s="12" t="s">
        <v>578</v>
      </c>
      <c r="W198" s="12" t="s">
        <v>578</v>
      </c>
      <c r="X198" s="12" t="s">
        <v>578</v>
      </c>
      <c r="Y198" s="12" t="s">
        <v>578</v>
      </c>
      <c r="Z198" s="12" t="s">
        <v>578</v>
      </c>
      <c r="AA198" s="12" t="s">
        <v>578</v>
      </c>
      <c r="AB198" s="12" t="s">
        <v>578</v>
      </c>
      <c r="AC198" s="12" t="s">
        <v>578</v>
      </c>
      <c r="AD198" s="12" t="s">
        <v>578</v>
      </c>
      <c r="AE198" s="12" t="s">
        <v>578</v>
      </c>
      <c r="AF198" s="12" t="s">
        <v>578</v>
      </c>
      <c r="AG198" s="12" t="s">
        <v>578</v>
      </c>
      <c r="AH198" s="12" t="s">
        <v>578</v>
      </c>
      <c r="AI198" s="12" t="s">
        <v>578</v>
      </c>
      <c r="AJ198" s="12" t="s">
        <v>578</v>
      </c>
      <c r="AK198" s="12" t="s">
        <v>578</v>
      </c>
      <c r="AL198" s="12" t="s">
        <v>578</v>
      </c>
      <c r="AM198" s="12" t="s">
        <v>578</v>
      </c>
      <c r="AN198" s="12" t="s">
        <v>578</v>
      </c>
      <c r="AO198" s="12" t="s">
        <v>578</v>
      </c>
      <c r="AP198" s="12" t="s">
        <v>578</v>
      </c>
      <c r="AQ198" s="12" t="s">
        <v>578</v>
      </c>
      <c r="AR198" s="12" t="s">
        <v>578</v>
      </c>
      <c r="AS198" s="12" t="s">
        <v>578</v>
      </c>
      <c r="AT198" s="12" t="s">
        <v>578</v>
      </c>
      <c r="AU198" s="12" t="s">
        <v>578</v>
      </c>
      <c r="AV198" s="12" t="s">
        <v>578</v>
      </c>
      <c r="AW198" s="12" t="s">
        <v>578</v>
      </c>
      <c r="AX198" s="12" t="s">
        <v>578</v>
      </c>
      <c r="AY198" s="12" t="s">
        <v>578</v>
      </c>
      <c r="AZ198" s="12" t="s">
        <v>578</v>
      </c>
      <c r="BA198" s="12" t="s">
        <v>578</v>
      </c>
      <c r="BB198" s="12" t="s">
        <v>578</v>
      </c>
      <c r="BC198" s="12" t="s">
        <v>578</v>
      </c>
      <c r="BD198" s="12" t="s">
        <v>578</v>
      </c>
      <c r="BE198" s="12" t="s">
        <v>623</v>
      </c>
      <c r="BF198" s="12" t="s">
        <v>623</v>
      </c>
      <c r="BG198" s="12" t="s">
        <v>672</v>
      </c>
      <c r="BH198" s="12" t="s">
        <v>580</v>
      </c>
      <c r="BI198" s="12" t="s">
        <v>580</v>
      </c>
      <c r="BJ198" s="12" t="s">
        <v>851</v>
      </c>
      <c r="BK198" s="12" t="s">
        <v>582</v>
      </c>
      <c r="BL198" s="12" t="s">
        <v>582</v>
      </c>
      <c r="BM198" s="12" t="s">
        <v>582</v>
      </c>
      <c r="BN198" s="12" t="s">
        <v>582</v>
      </c>
      <c r="BO198" s="12" t="s">
        <v>582</v>
      </c>
      <c r="BP198" s="12" t="s">
        <v>582</v>
      </c>
      <c r="BQ198" s="12" t="s">
        <v>582</v>
      </c>
      <c r="BR198" s="12" t="s">
        <v>582</v>
      </c>
      <c r="BS198" s="12" t="s">
        <v>755</v>
      </c>
      <c r="BT198" s="12" t="s">
        <v>755</v>
      </c>
      <c r="BU198" s="12" t="s">
        <v>755</v>
      </c>
      <c r="BV198" s="12" t="s">
        <v>624</v>
      </c>
      <c r="BW198" s="12" t="s">
        <v>624</v>
      </c>
      <c r="BX198" s="12" t="s">
        <v>624</v>
      </c>
      <c r="BY198" s="12" t="s">
        <v>624</v>
      </c>
      <c r="BZ198" s="12" t="s">
        <v>624</v>
      </c>
      <c r="CA198" s="12" t="s">
        <v>624</v>
      </c>
      <c r="CB198" s="12" t="s">
        <v>583</v>
      </c>
      <c r="CC198" s="12" t="s">
        <v>583</v>
      </c>
      <c r="CD198" s="12" t="s">
        <v>583</v>
      </c>
      <c r="CE198" s="12" t="s">
        <v>583</v>
      </c>
      <c r="CF198" s="12" t="s">
        <v>583</v>
      </c>
      <c r="CG198" s="12" t="s">
        <v>583</v>
      </c>
      <c r="CH198" s="12" t="s">
        <v>583</v>
      </c>
      <c r="CI198" s="12" t="s">
        <v>583</v>
      </c>
      <c r="CJ198" s="12" t="s">
        <v>583</v>
      </c>
      <c r="CK198" s="12" t="s">
        <v>583</v>
      </c>
      <c r="CL198" s="12" t="s">
        <v>583</v>
      </c>
      <c r="CM198" s="12" t="s">
        <v>583</v>
      </c>
      <c r="CN198" s="12" t="s">
        <v>583</v>
      </c>
      <c r="CO198" s="12" t="s">
        <v>583</v>
      </c>
      <c r="CP198" s="12" t="s">
        <v>583</v>
      </c>
      <c r="CQ198" s="12" t="s">
        <v>583</v>
      </c>
      <c r="CR198" s="12" t="s">
        <v>583</v>
      </c>
      <c r="CS198" s="12" t="s">
        <v>583</v>
      </c>
      <c r="CT198" s="12" t="s">
        <v>583</v>
      </c>
    </row>
    <row r="199" spans="1:98" hidden="1" x14ac:dyDescent="0.3">
      <c r="A199" s="12" t="s">
        <v>25</v>
      </c>
      <c r="B199" s="12" t="s">
        <v>3763</v>
      </c>
      <c r="C199" s="12" t="s">
        <v>3764</v>
      </c>
      <c r="D199" s="12" t="s">
        <v>3765</v>
      </c>
      <c r="E199" s="12" t="s">
        <v>578</v>
      </c>
      <c r="F199" s="12" t="s">
        <v>579</v>
      </c>
      <c r="G199" s="12" t="s">
        <v>672</v>
      </c>
      <c r="H199" s="12" t="s">
        <v>672</v>
      </c>
      <c r="I199" s="12" t="s">
        <v>580</v>
      </c>
      <c r="J199" s="12" t="s">
        <v>581</v>
      </c>
      <c r="K199" s="12" t="s">
        <v>582</v>
      </c>
      <c r="L199" s="12" t="s">
        <v>582</v>
      </c>
      <c r="M199" s="12" t="s">
        <v>624</v>
      </c>
      <c r="N199" s="12" t="s">
        <v>868</v>
      </c>
      <c r="O199" s="12" t="s">
        <v>584</v>
      </c>
      <c r="P199" s="12" t="s">
        <v>808</v>
      </c>
      <c r="Q199" s="12" t="s">
        <v>808</v>
      </c>
      <c r="R199" s="12" t="s">
        <v>587</v>
      </c>
      <c r="S199" s="12" t="s">
        <v>869</v>
      </c>
      <c r="T199" s="12" t="s">
        <v>869</v>
      </c>
      <c r="U199" s="12" t="s">
        <v>2018</v>
      </c>
      <c r="V199" s="12" t="s">
        <v>627</v>
      </c>
      <c r="W199" s="12" t="s">
        <v>588</v>
      </c>
      <c r="X199" s="12" t="s">
        <v>768</v>
      </c>
      <c r="Y199" s="12" t="s">
        <v>972</v>
      </c>
      <c r="Z199" s="12" t="s">
        <v>954</v>
      </c>
      <c r="AA199" s="12" t="s">
        <v>1413</v>
      </c>
      <c r="AB199" s="12" t="s">
        <v>955</v>
      </c>
      <c r="AC199" s="12" t="s">
        <v>975</v>
      </c>
      <c r="AD199" s="12" t="s">
        <v>720</v>
      </c>
      <c r="AE199" s="12" t="s">
        <v>855</v>
      </c>
      <c r="AF199" s="12" t="s">
        <v>1184</v>
      </c>
      <c r="AG199" s="12" t="s">
        <v>590</v>
      </c>
      <c r="AH199" s="12" t="s">
        <v>590</v>
      </c>
      <c r="AI199" s="12" t="s">
        <v>1124</v>
      </c>
      <c r="AJ199" s="12" t="s">
        <v>1124</v>
      </c>
      <c r="AK199" s="12" t="s">
        <v>636</v>
      </c>
      <c r="AL199" s="12" t="s">
        <v>636</v>
      </c>
      <c r="AM199" s="12" t="s">
        <v>857</v>
      </c>
      <c r="AN199" s="12" t="s">
        <v>858</v>
      </c>
      <c r="AO199" s="12" t="s">
        <v>858</v>
      </c>
      <c r="AP199" s="12" t="s">
        <v>858</v>
      </c>
      <c r="AQ199" s="12" t="s">
        <v>863</v>
      </c>
      <c r="AR199" s="12" t="s">
        <v>1664</v>
      </c>
      <c r="AS199" s="12" t="s">
        <v>1499</v>
      </c>
      <c r="AT199" s="12" t="s">
        <v>592</v>
      </c>
      <c r="AU199" s="12" t="s">
        <v>592</v>
      </c>
      <c r="AV199" s="12" t="s">
        <v>1417</v>
      </c>
      <c r="AW199" s="12" t="s">
        <v>2034</v>
      </c>
      <c r="AX199" s="12" t="s">
        <v>1358</v>
      </c>
      <c r="AY199" s="12" t="s">
        <v>1814</v>
      </c>
      <c r="AZ199" s="12" t="s">
        <v>1814</v>
      </c>
      <c r="BA199" s="12" t="s">
        <v>813</v>
      </c>
      <c r="BB199" s="12" t="s">
        <v>2102</v>
      </c>
      <c r="BC199" s="12" t="s">
        <v>2102</v>
      </c>
      <c r="BD199" s="12" t="s">
        <v>985</v>
      </c>
      <c r="BE199" s="12" t="s">
        <v>642</v>
      </c>
      <c r="BF199" s="12" t="s">
        <v>1506</v>
      </c>
      <c r="BG199" s="12" t="s">
        <v>644</v>
      </c>
      <c r="BH199" s="12" t="s">
        <v>775</v>
      </c>
      <c r="BI199" s="12" t="s">
        <v>1608</v>
      </c>
      <c r="BJ199" s="12" t="s">
        <v>1397</v>
      </c>
      <c r="BK199" s="12" t="s">
        <v>3766</v>
      </c>
      <c r="BL199" s="12" t="s">
        <v>3767</v>
      </c>
      <c r="BM199" s="12" t="s">
        <v>3710</v>
      </c>
      <c r="BN199" s="12" t="s">
        <v>1425</v>
      </c>
      <c r="BO199" s="12" t="s">
        <v>1705</v>
      </c>
      <c r="BP199" s="12" t="s">
        <v>1987</v>
      </c>
      <c r="BQ199" s="12" t="s">
        <v>2855</v>
      </c>
      <c r="BR199" s="12" t="s">
        <v>2326</v>
      </c>
      <c r="BS199" s="12" t="s">
        <v>1893</v>
      </c>
      <c r="BT199" s="12" t="s">
        <v>2005</v>
      </c>
      <c r="BU199" s="12" t="s">
        <v>1966</v>
      </c>
      <c r="BV199" s="12" t="s">
        <v>1101</v>
      </c>
      <c r="BW199" s="12" t="s">
        <v>1899</v>
      </c>
      <c r="BX199" s="12" t="s">
        <v>3768</v>
      </c>
      <c r="BY199" s="12" t="s">
        <v>3769</v>
      </c>
      <c r="BZ199" s="12" t="s">
        <v>2229</v>
      </c>
      <c r="CA199" s="12" t="s">
        <v>1301</v>
      </c>
      <c r="CB199" s="12" t="s">
        <v>3770</v>
      </c>
      <c r="CC199" s="12" t="s">
        <v>3771</v>
      </c>
      <c r="CD199" s="12" t="s">
        <v>3772</v>
      </c>
      <c r="CE199" s="12" t="s">
        <v>3773</v>
      </c>
      <c r="CF199" s="12" t="s">
        <v>3774</v>
      </c>
      <c r="CG199" s="12" t="s">
        <v>3775</v>
      </c>
      <c r="CH199" s="12" t="s">
        <v>3776</v>
      </c>
      <c r="CI199" s="12" t="s">
        <v>3777</v>
      </c>
      <c r="CJ199" s="12" t="s">
        <v>3778</v>
      </c>
      <c r="CK199" s="12" t="s">
        <v>3779</v>
      </c>
      <c r="CL199" s="12" t="s">
        <v>3780</v>
      </c>
      <c r="CM199" s="12" t="s">
        <v>3781</v>
      </c>
      <c r="CN199" s="12" t="s">
        <v>3782</v>
      </c>
      <c r="CO199" s="12" t="s">
        <v>3783</v>
      </c>
      <c r="CP199" s="12" t="s">
        <v>3784</v>
      </c>
      <c r="CQ199" s="12" t="s">
        <v>3785</v>
      </c>
      <c r="CR199" s="12" t="s">
        <v>3786</v>
      </c>
      <c r="CS199" s="12" t="s">
        <v>3787</v>
      </c>
      <c r="CT199" s="12" t="s">
        <v>3788</v>
      </c>
    </row>
    <row r="200" spans="1:98" hidden="1" x14ac:dyDescent="0.3">
      <c r="A200" s="12" t="s">
        <v>25</v>
      </c>
      <c r="B200" s="12" t="s">
        <v>3789</v>
      </c>
      <c r="C200" s="12" t="s">
        <v>3790</v>
      </c>
      <c r="D200" s="12" t="s">
        <v>3791</v>
      </c>
      <c r="E200" s="12" t="s">
        <v>578</v>
      </c>
      <c r="F200" s="12" t="s">
        <v>578</v>
      </c>
      <c r="G200" s="12" t="s">
        <v>578</v>
      </c>
      <c r="H200" s="12" t="s">
        <v>578</v>
      </c>
      <c r="I200" s="12" t="s">
        <v>578</v>
      </c>
      <c r="J200" s="12" t="s">
        <v>578</v>
      </c>
      <c r="K200" s="12" t="s">
        <v>578</v>
      </c>
      <c r="L200" s="12" t="s">
        <v>578</v>
      </c>
      <c r="M200" s="12" t="s">
        <v>578</v>
      </c>
      <c r="N200" s="12" t="s">
        <v>578</v>
      </c>
      <c r="O200" s="12" t="s">
        <v>578</v>
      </c>
      <c r="P200" s="12" t="s">
        <v>578</v>
      </c>
      <c r="Q200" s="12" t="s">
        <v>578</v>
      </c>
      <c r="R200" s="12" t="s">
        <v>578</v>
      </c>
      <c r="S200" s="12" t="s">
        <v>578</v>
      </c>
      <c r="T200" s="12" t="s">
        <v>578</v>
      </c>
      <c r="U200" s="12" t="s">
        <v>578</v>
      </c>
      <c r="V200" s="12" t="s">
        <v>578</v>
      </c>
      <c r="W200" s="12" t="s">
        <v>578</v>
      </c>
      <c r="X200" s="12" t="s">
        <v>578</v>
      </c>
      <c r="Y200" s="12" t="s">
        <v>578</v>
      </c>
      <c r="Z200" s="12" t="s">
        <v>578</v>
      </c>
      <c r="AA200" s="12" t="s">
        <v>578</v>
      </c>
      <c r="AB200" s="12" t="s">
        <v>578</v>
      </c>
      <c r="AC200" s="12" t="s">
        <v>578</v>
      </c>
      <c r="AD200" s="12" t="s">
        <v>578</v>
      </c>
      <c r="AE200" s="12" t="s">
        <v>578</v>
      </c>
      <c r="AF200" s="12" t="s">
        <v>578</v>
      </c>
      <c r="AG200" s="12" t="s">
        <v>578</v>
      </c>
      <c r="AH200" s="12" t="s">
        <v>578</v>
      </c>
      <c r="AI200" s="12" t="s">
        <v>578</v>
      </c>
      <c r="AJ200" s="12" t="s">
        <v>578</v>
      </c>
      <c r="AK200" s="12" t="s">
        <v>578</v>
      </c>
      <c r="AL200" s="12" t="s">
        <v>578</v>
      </c>
      <c r="AM200" s="12" t="s">
        <v>578</v>
      </c>
      <c r="AN200" s="12" t="s">
        <v>578</v>
      </c>
      <c r="AO200" s="12" t="s">
        <v>578</v>
      </c>
      <c r="AP200" s="12" t="s">
        <v>578</v>
      </c>
      <c r="AQ200" s="12" t="s">
        <v>578</v>
      </c>
      <c r="AR200" s="12" t="s">
        <v>578</v>
      </c>
      <c r="AS200" s="12" t="s">
        <v>578</v>
      </c>
      <c r="AT200" s="12" t="s">
        <v>578</v>
      </c>
      <c r="AU200" s="12" t="s">
        <v>578</v>
      </c>
      <c r="AV200" s="12" t="s">
        <v>578</v>
      </c>
      <c r="AW200" s="12" t="s">
        <v>579</v>
      </c>
      <c r="AX200" s="12" t="s">
        <v>579</v>
      </c>
      <c r="AY200" s="12" t="s">
        <v>672</v>
      </c>
      <c r="AZ200" s="12" t="s">
        <v>672</v>
      </c>
      <c r="BA200" s="12" t="s">
        <v>582</v>
      </c>
      <c r="BB200" s="12" t="s">
        <v>624</v>
      </c>
      <c r="BC200" s="12" t="s">
        <v>584</v>
      </c>
      <c r="BD200" s="12" t="s">
        <v>852</v>
      </c>
      <c r="BE200" s="12" t="s">
        <v>1096</v>
      </c>
      <c r="BF200" s="12" t="s">
        <v>679</v>
      </c>
      <c r="BG200" s="12" t="s">
        <v>1180</v>
      </c>
      <c r="BH200" s="12" t="s">
        <v>975</v>
      </c>
      <c r="BI200" s="12" t="s">
        <v>864</v>
      </c>
      <c r="BJ200" s="12" t="s">
        <v>638</v>
      </c>
      <c r="BK200" s="12" t="s">
        <v>1357</v>
      </c>
      <c r="BL200" s="12" t="s">
        <v>2102</v>
      </c>
      <c r="BM200" s="12" t="s">
        <v>1532</v>
      </c>
      <c r="BN200" s="12" t="s">
        <v>640</v>
      </c>
      <c r="BO200" s="12" t="s">
        <v>2515</v>
      </c>
      <c r="BP200" s="12" t="s">
        <v>3043</v>
      </c>
      <c r="BQ200" s="12" t="s">
        <v>1506</v>
      </c>
      <c r="BR200" s="12" t="s">
        <v>2221</v>
      </c>
      <c r="BS200" s="12" t="s">
        <v>1738</v>
      </c>
      <c r="BT200" s="12" t="s">
        <v>1210</v>
      </c>
      <c r="BU200" s="12" t="s">
        <v>2057</v>
      </c>
      <c r="BV200" s="12" t="s">
        <v>2060</v>
      </c>
      <c r="BW200" s="12" t="s">
        <v>652</v>
      </c>
      <c r="BX200" s="12" t="s">
        <v>1698</v>
      </c>
      <c r="BY200" s="12" t="s">
        <v>2453</v>
      </c>
      <c r="BZ200" s="12" t="s">
        <v>3792</v>
      </c>
      <c r="CA200" s="12" t="s">
        <v>1370</v>
      </c>
      <c r="CB200" s="12" t="s">
        <v>2081</v>
      </c>
      <c r="CC200" s="12" t="s">
        <v>1406</v>
      </c>
      <c r="CD200" s="12" t="s">
        <v>1891</v>
      </c>
      <c r="CE200" s="12" t="s">
        <v>2988</v>
      </c>
      <c r="CF200" s="12" t="s">
        <v>2235</v>
      </c>
      <c r="CG200" s="12" t="s">
        <v>2841</v>
      </c>
      <c r="CH200" s="12" t="s">
        <v>3793</v>
      </c>
      <c r="CI200" s="12" t="s">
        <v>999</v>
      </c>
      <c r="CJ200" s="12" t="s">
        <v>932</v>
      </c>
      <c r="CK200" s="12" t="s">
        <v>3794</v>
      </c>
      <c r="CL200" s="12" t="s">
        <v>2287</v>
      </c>
      <c r="CM200" s="12" t="s">
        <v>3768</v>
      </c>
      <c r="CN200" s="12" t="s">
        <v>3795</v>
      </c>
      <c r="CO200" s="12" t="s">
        <v>2142</v>
      </c>
      <c r="CP200" s="12" t="s">
        <v>2363</v>
      </c>
      <c r="CQ200" s="12" t="s">
        <v>3796</v>
      </c>
      <c r="CR200" s="12" t="s">
        <v>3797</v>
      </c>
      <c r="CS200" s="12" t="s">
        <v>3627</v>
      </c>
      <c r="CT200" s="12" t="s">
        <v>1776</v>
      </c>
    </row>
    <row r="201" spans="1:98" hidden="1" x14ac:dyDescent="0.3">
      <c r="A201" s="12" t="s">
        <v>25</v>
      </c>
      <c r="B201" s="12" t="s">
        <v>3798</v>
      </c>
      <c r="C201" s="12" t="s">
        <v>3799</v>
      </c>
      <c r="D201" s="12" t="s">
        <v>3800</v>
      </c>
      <c r="E201" s="12" t="s">
        <v>578</v>
      </c>
      <c r="F201" s="12" t="s">
        <v>578</v>
      </c>
      <c r="G201" s="12" t="s">
        <v>578</v>
      </c>
      <c r="H201" s="12" t="s">
        <v>578</v>
      </c>
      <c r="I201" s="12" t="s">
        <v>578</v>
      </c>
      <c r="J201" s="12" t="s">
        <v>578</v>
      </c>
      <c r="K201" s="12" t="s">
        <v>578</v>
      </c>
      <c r="L201" s="12" t="s">
        <v>578</v>
      </c>
      <c r="M201" s="12" t="s">
        <v>578</v>
      </c>
      <c r="N201" s="12" t="s">
        <v>578</v>
      </c>
      <c r="O201" s="12" t="s">
        <v>578</v>
      </c>
      <c r="P201" s="12" t="s">
        <v>578</v>
      </c>
      <c r="Q201" s="12" t="s">
        <v>578</v>
      </c>
      <c r="R201" s="12" t="s">
        <v>578</v>
      </c>
      <c r="S201" s="12" t="s">
        <v>578</v>
      </c>
      <c r="T201" s="12" t="s">
        <v>578</v>
      </c>
      <c r="U201" s="12" t="s">
        <v>578</v>
      </c>
      <c r="V201" s="12" t="s">
        <v>578</v>
      </c>
      <c r="W201" s="12" t="s">
        <v>578</v>
      </c>
      <c r="X201" s="12" t="s">
        <v>578</v>
      </c>
      <c r="Y201" s="12" t="s">
        <v>578</v>
      </c>
      <c r="Z201" s="12" t="s">
        <v>578</v>
      </c>
      <c r="AA201" s="12" t="s">
        <v>578</v>
      </c>
      <c r="AB201" s="12" t="s">
        <v>578</v>
      </c>
      <c r="AC201" s="12" t="s">
        <v>578</v>
      </c>
      <c r="AD201" s="12" t="s">
        <v>578</v>
      </c>
      <c r="AE201" s="12" t="s">
        <v>578</v>
      </c>
      <c r="AF201" s="12" t="s">
        <v>578</v>
      </c>
      <c r="AG201" s="12" t="s">
        <v>578</v>
      </c>
      <c r="AH201" s="12" t="s">
        <v>578</v>
      </c>
      <c r="AI201" s="12" t="s">
        <v>578</v>
      </c>
      <c r="AJ201" s="12" t="s">
        <v>578</v>
      </c>
      <c r="AK201" s="12" t="s">
        <v>578</v>
      </c>
      <c r="AL201" s="12" t="s">
        <v>578</v>
      </c>
      <c r="AM201" s="12" t="s">
        <v>578</v>
      </c>
      <c r="AN201" s="12" t="s">
        <v>578</v>
      </c>
      <c r="AO201" s="12" t="s">
        <v>578</v>
      </c>
      <c r="AP201" s="12" t="s">
        <v>578</v>
      </c>
      <c r="AQ201" s="12" t="s">
        <v>578</v>
      </c>
      <c r="AR201" s="12" t="s">
        <v>578</v>
      </c>
      <c r="AS201" s="12" t="s">
        <v>578</v>
      </c>
      <c r="AT201" s="12" t="s">
        <v>578</v>
      </c>
      <c r="AU201" s="12" t="s">
        <v>578</v>
      </c>
      <c r="AV201" s="12" t="s">
        <v>623</v>
      </c>
      <c r="AW201" s="12" t="s">
        <v>582</v>
      </c>
      <c r="AX201" s="12" t="s">
        <v>582</v>
      </c>
      <c r="AY201" s="12" t="s">
        <v>584</v>
      </c>
      <c r="AZ201" s="12" t="s">
        <v>584</v>
      </c>
      <c r="BA201" s="12" t="s">
        <v>766</v>
      </c>
      <c r="BB201" s="12" t="s">
        <v>992</v>
      </c>
      <c r="BC201" s="12" t="s">
        <v>636</v>
      </c>
      <c r="BD201" s="12" t="s">
        <v>2013</v>
      </c>
      <c r="BE201" s="12" t="s">
        <v>1569</v>
      </c>
      <c r="BF201" s="12" t="s">
        <v>1570</v>
      </c>
      <c r="BG201" s="12" t="s">
        <v>1491</v>
      </c>
      <c r="BH201" s="12" t="s">
        <v>1265</v>
      </c>
      <c r="BI201" s="12" t="s">
        <v>1265</v>
      </c>
      <c r="BJ201" s="12" t="s">
        <v>2001</v>
      </c>
      <c r="BK201" s="12" t="s">
        <v>1613</v>
      </c>
      <c r="BL201" s="12" t="s">
        <v>651</v>
      </c>
      <c r="BM201" s="12" t="s">
        <v>1399</v>
      </c>
      <c r="BN201" s="12" t="s">
        <v>1699</v>
      </c>
      <c r="BO201" s="12" t="s">
        <v>1668</v>
      </c>
      <c r="BP201" s="12" t="s">
        <v>1401</v>
      </c>
      <c r="BQ201" s="12" t="s">
        <v>663</v>
      </c>
      <c r="BR201" s="12" t="s">
        <v>1627</v>
      </c>
      <c r="BS201" s="12" t="s">
        <v>1850</v>
      </c>
      <c r="BT201" s="12" t="s">
        <v>1428</v>
      </c>
      <c r="BU201" s="12" t="s">
        <v>1141</v>
      </c>
      <c r="BV201" s="12" t="s">
        <v>1893</v>
      </c>
      <c r="BW201" s="12" t="s">
        <v>1853</v>
      </c>
      <c r="BX201" s="12" t="s">
        <v>3801</v>
      </c>
      <c r="BY201" s="12" t="s">
        <v>936</v>
      </c>
      <c r="BZ201" s="12" t="s">
        <v>2287</v>
      </c>
      <c r="CA201" s="12" t="s">
        <v>3802</v>
      </c>
      <c r="CB201" s="12" t="s">
        <v>1314</v>
      </c>
      <c r="CC201" s="12" t="s">
        <v>3803</v>
      </c>
      <c r="CD201" s="12" t="s">
        <v>3031</v>
      </c>
      <c r="CE201" s="12" t="s">
        <v>3804</v>
      </c>
      <c r="CF201" s="12" t="s">
        <v>3366</v>
      </c>
      <c r="CG201" s="12" t="s">
        <v>3805</v>
      </c>
      <c r="CH201" s="12" t="s">
        <v>2117</v>
      </c>
      <c r="CI201" s="12" t="s">
        <v>1009</v>
      </c>
      <c r="CJ201" s="12" t="s">
        <v>2704</v>
      </c>
      <c r="CK201" s="12" t="s">
        <v>840</v>
      </c>
      <c r="CL201" s="12" t="s">
        <v>1012</v>
      </c>
      <c r="CM201" s="12" t="s">
        <v>2435</v>
      </c>
      <c r="CN201" s="12" t="s">
        <v>3477</v>
      </c>
      <c r="CO201" s="12" t="s">
        <v>3369</v>
      </c>
      <c r="CP201" s="12" t="s">
        <v>3806</v>
      </c>
      <c r="CQ201" s="12" t="s">
        <v>3807</v>
      </c>
      <c r="CR201" s="12" t="s">
        <v>1774</v>
      </c>
      <c r="CS201" s="12" t="s">
        <v>3370</v>
      </c>
      <c r="CT201" s="12" t="s">
        <v>1110</v>
      </c>
    </row>
    <row r="202" spans="1:98" hidden="1" x14ac:dyDescent="0.3">
      <c r="A202" s="12" t="s">
        <v>25</v>
      </c>
      <c r="B202" s="12" t="s">
        <v>3808</v>
      </c>
      <c r="C202" s="12" t="s">
        <v>3809</v>
      </c>
      <c r="D202" s="12" t="s">
        <v>3810</v>
      </c>
      <c r="E202" s="12" t="s">
        <v>578</v>
      </c>
      <c r="F202" s="12" t="s">
        <v>578</v>
      </c>
      <c r="G202" s="12" t="s">
        <v>578</v>
      </c>
      <c r="H202" s="12" t="s">
        <v>578</v>
      </c>
      <c r="I202" s="12" t="s">
        <v>578</v>
      </c>
      <c r="J202" s="12" t="s">
        <v>578</v>
      </c>
      <c r="K202" s="12" t="s">
        <v>578</v>
      </c>
      <c r="L202" s="12" t="s">
        <v>578</v>
      </c>
      <c r="M202" s="12" t="s">
        <v>578</v>
      </c>
      <c r="N202" s="12" t="s">
        <v>578</v>
      </c>
      <c r="O202" s="12" t="s">
        <v>578</v>
      </c>
      <c r="P202" s="12" t="s">
        <v>578</v>
      </c>
      <c r="Q202" s="12" t="s">
        <v>578</v>
      </c>
      <c r="R202" s="12" t="s">
        <v>578</v>
      </c>
      <c r="S202" s="12" t="s">
        <v>578</v>
      </c>
      <c r="T202" s="12" t="s">
        <v>578</v>
      </c>
      <c r="U202" s="12" t="s">
        <v>578</v>
      </c>
      <c r="V202" s="12" t="s">
        <v>578</v>
      </c>
      <c r="W202" s="12" t="s">
        <v>578</v>
      </c>
      <c r="X202" s="12" t="s">
        <v>578</v>
      </c>
      <c r="Y202" s="12" t="s">
        <v>578</v>
      </c>
      <c r="Z202" s="12" t="s">
        <v>578</v>
      </c>
      <c r="AA202" s="12" t="s">
        <v>578</v>
      </c>
      <c r="AB202" s="12" t="s">
        <v>578</v>
      </c>
      <c r="AC202" s="12" t="s">
        <v>578</v>
      </c>
      <c r="AD202" s="12" t="s">
        <v>578</v>
      </c>
      <c r="AE202" s="12" t="s">
        <v>578</v>
      </c>
      <c r="AF202" s="12" t="s">
        <v>578</v>
      </c>
      <c r="AG202" s="12" t="s">
        <v>578</v>
      </c>
      <c r="AH202" s="12" t="s">
        <v>578</v>
      </c>
      <c r="AI202" s="12" t="s">
        <v>578</v>
      </c>
      <c r="AJ202" s="12" t="s">
        <v>578</v>
      </c>
      <c r="AK202" s="12" t="s">
        <v>578</v>
      </c>
      <c r="AL202" s="12" t="s">
        <v>578</v>
      </c>
      <c r="AM202" s="12" t="s">
        <v>578</v>
      </c>
      <c r="AN202" s="12" t="s">
        <v>578</v>
      </c>
      <c r="AO202" s="12" t="s">
        <v>578</v>
      </c>
      <c r="AP202" s="12" t="s">
        <v>578</v>
      </c>
      <c r="AQ202" s="12" t="s">
        <v>578</v>
      </c>
      <c r="AR202" s="12" t="s">
        <v>578</v>
      </c>
      <c r="AS202" s="12" t="s">
        <v>578</v>
      </c>
      <c r="AT202" s="12" t="s">
        <v>578</v>
      </c>
      <c r="AU202" s="12" t="s">
        <v>578</v>
      </c>
      <c r="AV202" s="12" t="s">
        <v>578</v>
      </c>
      <c r="AW202" s="12" t="s">
        <v>578</v>
      </c>
      <c r="AX202" s="12" t="s">
        <v>578</v>
      </c>
      <c r="AY202" s="12" t="s">
        <v>578</v>
      </c>
      <c r="AZ202" s="12" t="s">
        <v>578</v>
      </c>
      <c r="BA202" s="12" t="s">
        <v>578</v>
      </c>
      <c r="BB202" s="12" t="s">
        <v>578</v>
      </c>
      <c r="BC202" s="12" t="s">
        <v>578</v>
      </c>
      <c r="BD202" s="12" t="s">
        <v>578</v>
      </c>
      <c r="BE202" s="12" t="s">
        <v>578</v>
      </c>
      <c r="BF202" s="12" t="s">
        <v>578</v>
      </c>
      <c r="BG202" s="12" t="s">
        <v>579</v>
      </c>
      <c r="BH202" s="12" t="s">
        <v>579</v>
      </c>
      <c r="BI202" s="12" t="s">
        <v>579</v>
      </c>
      <c r="BJ202" s="12" t="s">
        <v>579</v>
      </c>
      <c r="BK202" s="12" t="s">
        <v>579</v>
      </c>
      <c r="BL202" s="12" t="s">
        <v>579</v>
      </c>
      <c r="BM202" s="12" t="s">
        <v>579</v>
      </c>
      <c r="BN202" s="12" t="s">
        <v>579</v>
      </c>
      <c r="BO202" s="12" t="s">
        <v>579</v>
      </c>
      <c r="BP202" s="12" t="s">
        <v>579</v>
      </c>
      <c r="BQ202" s="12" t="s">
        <v>623</v>
      </c>
      <c r="BR202" s="12" t="s">
        <v>672</v>
      </c>
      <c r="BS202" s="12" t="s">
        <v>672</v>
      </c>
      <c r="BT202" s="12" t="s">
        <v>672</v>
      </c>
      <c r="BU202" s="12" t="s">
        <v>672</v>
      </c>
      <c r="BV202" s="12" t="s">
        <v>581</v>
      </c>
      <c r="BW202" s="12" t="s">
        <v>581</v>
      </c>
      <c r="BX202" s="12" t="s">
        <v>581</v>
      </c>
      <c r="BY202" s="12" t="s">
        <v>582</v>
      </c>
      <c r="BZ202" s="12" t="s">
        <v>582</v>
      </c>
      <c r="CA202" s="12" t="s">
        <v>582</v>
      </c>
      <c r="CB202" s="12" t="s">
        <v>582</v>
      </c>
      <c r="CC202" s="12" t="s">
        <v>755</v>
      </c>
      <c r="CD202" s="12" t="s">
        <v>625</v>
      </c>
      <c r="CE202" s="12" t="s">
        <v>625</v>
      </c>
      <c r="CF202" s="12" t="s">
        <v>585</v>
      </c>
      <c r="CG202" s="12" t="s">
        <v>585</v>
      </c>
      <c r="CH202" s="12" t="s">
        <v>757</v>
      </c>
      <c r="CI202" s="12" t="s">
        <v>680</v>
      </c>
      <c r="CJ202" s="12" t="s">
        <v>680</v>
      </c>
      <c r="CK202" s="12" t="s">
        <v>856</v>
      </c>
      <c r="CL202" s="12" t="s">
        <v>856</v>
      </c>
      <c r="CM202" s="12" t="s">
        <v>1500</v>
      </c>
      <c r="CN202" s="12" t="s">
        <v>1356</v>
      </c>
      <c r="CO202" s="12" t="s">
        <v>724</v>
      </c>
      <c r="CP202" s="12" t="s">
        <v>596</v>
      </c>
      <c r="CQ202" s="12" t="s">
        <v>2001</v>
      </c>
      <c r="CR202" s="12" t="s">
        <v>2001</v>
      </c>
      <c r="CS202" s="12" t="s">
        <v>1743</v>
      </c>
      <c r="CT202" s="12" t="s">
        <v>1743</v>
      </c>
    </row>
    <row r="203" spans="1:98" hidden="1" x14ac:dyDescent="0.3">
      <c r="A203" s="12" t="s">
        <v>25</v>
      </c>
      <c r="B203" s="12" t="s">
        <v>3811</v>
      </c>
      <c r="C203" s="12" t="s">
        <v>3812</v>
      </c>
      <c r="D203" s="12" t="s">
        <v>3813</v>
      </c>
      <c r="E203" s="12" t="s">
        <v>578</v>
      </c>
      <c r="F203" s="12" t="s">
        <v>578</v>
      </c>
      <c r="G203" s="12" t="s">
        <v>578</v>
      </c>
      <c r="H203" s="12" t="s">
        <v>578</v>
      </c>
      <c r="I203" s="12" t="s">
        <v>578</v>
      </c>
      <c r="J203" s="12" t="s">
        <v>578</v>
      </c>
      <c r="K203" s="12" t="s">
        <v>578</v>
      </c>
      <c r="L203" s="12" t="s">
        <v>578</v>
      </c>
      <c r="M203" s="12" t="s">
        <v>578</v>
      </c>
      <c r="N203" s="12" t="s">
        <v>578</v>
      </c>
      <c r="O203" s="12" t="s">
        <v>578</v>
      </c>
      <c r="P203" s="12" t="s">
        <v>578</v>
      </c>
      <c r="Q203" s="12" t="s">
        <v>578</v>
      </c>
      <c r="R203" s="12" t="s">
        <v>578</v>
      </c>
      <c r="S203" s="12" t="s">
        <v>578</v>
      </c>
      <c r="T203" s="12" t="s">
        <v>578</v>
      </c>
      <c r="U203" s="12" t="s">
        <v>578</v>
      </c>
      <c r="V203" s="12" t="s">
        <v>578</v>
      </c>
      <c r="W203" s="12" t="s">
        <v>578</v>
      </c>
      <c r="X203" s="12" t="s">
        <v>578</v>
      </c>
      <c r="Y203" s="12" t="s">
        <v>578</v>
      </c>
      <c r="Z203" s="12" t="s">
        <v>578</v>
      </c>
      <c r="AA203" s="12" t="s">
        <v>578</v>
      </c>
      <c r="AB203" s="12" t="s">
        <v>578</v>
      </c>
      <c r="AC203" s="12" t="s">
        <v>578</v>
      </c>
      <c r="AD203" s="12" t="s">
        <v>578</v>
      </c>
      <c r="AE203" s="12" t="s">
        <v>578</v>
      </c>
      <c r="AF203" s="12" t="s">
        <v>578</v>
      </c>
      <c r="AG203" s="12" t="s">
        <v>578</v>
      </c>
      <c r="AH203" s="12" t="s">
        <v>578</v>
      </c>
      <c r="AI203" s="12" t="s">
        <v>578</v>
      </c>
      <c r="AJ203" s="12" t="s">
        <v>578</v>
      </c>
      <c r="AK203" s="12" t="s">
        <v>578</v>
      </c>
      <c r="AL203" s="12" t="s">
        <v>578</v>
      </c>
      <c r="AM203" s="12" t="s">
        <v>578</v>
      </c>
      <c r="AN203" s="12" t="s">
        <v>578</v>
      </c>
      <c r="AO203" s="12" t="s">
        <v>578</v>
      </c>
      <c r="AP203" s="12" t="s">
        <v>578</v>
      </c>
      <c r="AQ203" s="12" t="s">
        <v>578</v>
      </c>
      <c r="AR203" s="12" t="s">
        <v>578</v>
      </c>
      <c r="AS203" s="12" t="s">
        <v>578</v>
      </c>
      <c r="AT203" s="12" t="s">
        <v>578</v>
      </c>
      <c r="AU203" s="12" t="s">
        <v>578</v>
      </c>
      <c r="AV203" s="12" t="s">
        <v>579</v>
      </c>
      <c r="AW203" s="12" t="s">
        <v>579</v>
      </c>
      <c r="AX203" s="12" t="s">
        <v>579</v>
      </c>
      <c r="AY203" s="12" t="s">
        <v>672</v>
      </c>
      <c r="AZ203" s="12" t="s">
        <v>672</v>
      </c>
      <c r="BA203" s="12" t="s">
        <v>582</v>
      </c>
      <c r="BB203" s="12" t="s">
        <v>868</v>
      </c>
      <c r="BC203" s="12" t="s">
        <v>673</v>
      </c>
      <c r="BD203" s="12" t="s">
        <v>587</v>
      </c>
      <c r="BE203" s="12" t="s">
        <v>628</v>
      </c>
      <c r="BF203" s="12" t="s">
        <v>630</v>
      </c>
      <c r="BG203" s="12" t="s">
        <v>853</v>
      </c>
      <c r="BH203" s="12" t="s">
        <v>853</v>
      </c>
      <c r="BI203" s="12" t="s">
        <v>1500</v>
      </c>
      <c r="BJ203" s="12" t="s">
        <v>1814</v>
      </c>
      <c r="BK203" s="12" t="s">
        <v>1980</v>
      </c>
      <c r="BL203" s="12" t="s">
        <v>2000</v>
      </c>
      <c r="BM203" s="12" t="s">
        <v>1687</v>
      </c>
      <c r="BN203" s="12" t="s">
        <v>2395</v>
      </c>
      <c r="BO203" s="12" t="s">
        <v>2085</v>
      </c>
      <c r="BP203" s="12" t="s">
        <v>3814</v>
      </c>
      <c r="BQ203" s="12" t="s">
        <v>3815</v>
      </c>
      <c r="BR203" s="12" t="s">
        <v>3396</v>
      </c>
      <c r="BS203" s="12" t="s">
        <v>3816</v>
      </c>
      <c r="BT203" s="12" t="s">
        <v>3589</v>
      </c>
      <c r="BU203" s="12" t="s">
        <v>2290</v>
      </c>
      <c r="BV203" s="12" t="s">
        <v>1774</v>
      </c>
      <c r="BW203" s="12" t="s">
        <v>2335</v>
      </c>
      <c r="BX203" s="12" t="s">
        <v>3817</v>
      </c>
      <c r="BY203" s="12" t="s">
        <v>3818</v>
      </c>
      <c r="BZ203" s="12" t="s">
        <v>1810</v>
      </c>
      <c r="CA203" s="12" t="s">
        <v>3819</v>
      </c>
      <c r="CB203" s="12" t="s">
        <v>3820</v>
      </c>
      <c r="CC203" s="12" t="s">
        <v>3821</v>
      </c>
      <c r="CD203" s="12" t="s">
        <v>3822</v>
      </c>
      <c r="CE203" s="12" t="s">
        <v>3266</v>
      </c>
      <c r="CF203" s="12" t="s">
        <v>3823</v>
      </c>
      <c r="CG203" s="12" t="s">
        <v>3824</v>
      </c>
      <c r="CH203" s="12" t="s">
        <v>3825</v>
      </c>
      <c r="CI203" s="12" t="s">
        <v>3826</v>
      </c>
      <c r="CJ203" s="12" t="s">
        <v>2860</v>
      </c>
      <c r="CK203" s="12" t="s">
        <v>3827</v>
      </c>
      <c r="CL203" s="12" t="s">
        <v>2466</v>
      </c>
      <c r="CM203" s="12" t="s">
        <v>3828</v>
      </c>
      <c r="CN203" s="12" t="s">
        <v>3165</v>
      </c>
      <c r="CO203" s="12" t="s">
        <v>3829</v>
      </c>
      <c r="CP203" s="12" t="s">
        <v>3830</v>
      </c>
      <c r="CQ203" s="12" t="s">
        <v>2372</v>
      </c>
      <c r="CR203" s="12" t="s">
        <v>3831</v>
      </c>
      <c r="CS203" s="12" t="s">
        <v>3832</v>
      </c>
      <c r="CT203" s="12" t="s">
        <v>3833</v>
      </c>
    </row>
    <row r="204" spans="1:98" hidden="1" x14ac:dyDescent="0.3">
      <c r="A204" s="12" t="s">
        <v>25</v>
      </c>
      <c r="B204" s="12" t="s">
        <v>3834</v>
      </c>
      <c r="C204" s="12" t="s">
        <v>3835</v>
      </c>
      <c r="D204" s="12" t="s">
        <v>3836</v>
      </c>
      <c r="E204" s="12" t="s">
        <v>578</v>
      </c>
      <c r="F204" s="12" t="s">
        <v>578</v>
      </c>
      <c r="G204" s="12" t="s">
        <v>578</v>
      </c>
      <c r="H204" s="12" t="s">
        <v>578</v>
      </c>
      <c r="I204" s="12" t="s">
        <v>578</v>
      </c>
      <c r="J204" s="12" t="s">
        <v>578</v>
      </c>
      <c r="K204" s="12" t="s">
        <v>578</v>
      </c>
      <c r="L204" s="12" t="s">
        <v>578</v>
      </c>
      <c r="M204" s="12" t="s">
        <v>578</v>
      </c>
      <c r="N204" s="12" t="s">
        <v>578</v>
      </c>
      <c r="O204" s="12" t="s">
        <v>579</v>
      </c>
      <c r="P204" s="12" t="s">
        <v>579</v>
      </c>
      <c r="Q204" s="12" t="s">
        <v>579</v>
      </c>
      <c r="R204" s="12" t="s">
        <v>579</v>
      </c>
      <c r="S204" s="12" t="s">
        <v>579</v>
      </c>
      <c r="T204" s="12" t="s">
        <v>579</v>
      </c>
      <c r="U204" s="12" t="s">
        <v>579</v>
      </c>
      <c r="V204" s="12" t="s">
        <v>579</v>
      </c>
      <c r="W204" s="12" t="s">
        <v>623</v>
      </c>
      <c r="X204" s="12" t="s">
        <v>623</v>
      </c>
      <c r="Y204" s="12" t="s">
        <v>623</v>
      </c>
      <c r="Z204" s="12" t="s">
        <v>623</v>
      </c>
      <c r="AA204" s="12" t="s">
        <v>623</v>
      </c>
      <c r="AB204" s="12" t="s">
        <v>623</v>
      </c>
      <c r="AC204" s="12" t="s">
        <v>623</v>
      </c>
      <c r="AD204" s="12" t="s">
        <v>623</v>
      </c>
      <c r="AE204" s="12" t="s">
        <v>623</v>
      </c>
      <c r="AF204" s="12" t="s">
        <v>623</v>
      </c>
      <c r="AG204" s="12" t="s">
        <v>623</v>
      </c>
      <c r="AH204" s="12" t="s">
        <v>623</v>
      </c>
      <c r="AI204" s="12" t="s">
        <v>623</v>
      </c>
      <c r="AJ204" s="12" t="s">
        <v>623</v>
      </c>
      <c r="AK204" s="12" t="s">
        <v>623</v>
      </c>
      <c r="AL204" s="12" t="s">
        <v>623</v>
      </c>
      <c r="AM204" s="12" t="s">
        <v>851</v>
      </c>
      <c r="AN204" s="12" t="s">
        <v>868</v>
      </c>
      <c r="AO204" s="12" t="s">
        <v>762</v>
      </c>
      <c r="AP204" s="12" t="s">
        <v>852</v>
      </c>
      <c r="AQ204" s="12" t="s">
        <v>768</v>
      </c>
      <c r="AR204" s="12" t="s">
        <v>590</v>
      </c>
      <c r="AS204" s="12" t="s">
        <v>593</v>
      </c>
      <c r="AT204" s="12" t="s">
        <v>981</v>
      </c>
      <c r="AU204" s="12" t="s">
        <v>1392</v>
      </c>
      <c r="AV204" s="12" t="s">
        <v>645</v>
      </c>
      <c r="AW204" s="12" t="s">
        <v>652</v>
      </c>
      <c r="AX204" s="12" t="s">
        <v>3837</v>
      </c>
      <c r="AY204" s="12" t="s">
        <v>745</v>
      </c>
      <c r="AZ204" s="12" t="s">
        <v>1868</v>
      </c>
      <c r="BA204" s="12" t="s">
        <v>3838</v>
      </c>
      <c r="BB204" s="12" t="s">
        <v>794</v>
      </c>
      <c r="BC204" s="12" t="s">
        <v>794</v>
      </c>
      <c r="BD204" s="12" t="s">
        <v>3839</v>
      </c>
      <c r="BE204" s="12" t="s">
        <v>3840</v>
      </c>
      <c r="BF204" s="12" t="s">
        <v>3841</v>
      </c>
      <c r="BG204" s="12" t="s">
        <v>3842</v>
      </c>
      <c r="BH204" s="12" t="s">
        <v>3843</v>
      </c>
      <c r="BI204" s="12" t="s">
        <v>3844</v>
      </c>
      <c r="BJ204" s="12" t="s">
        <v>3845</v>
      </c>
      <c r="BK204" s="12" t="s">
        <v>3846</v>
      </c>
      <c r="BL204" s="12" t="s">
        <v>3847</v>
      </c>
      <c r="BM204" s="12" t="s">
        <v>3848</v>
      </c>
      <c r="BN204" s="12" t="s">
        <v>3849</v>
      </c>
      <c r="BO204" s="12" t="s">
        <v>3850</v>
      </c>
      <c r="BP204" s="12" t="s">
        <v>3851</v>
      </c>
      <c r="BQ204" s="12" t="s">
        <v>3852</v>
      </c>
      <c r="BR204" s="12" t="s">
        <v>3853</v>
      </c>
      <c r="BS204" s="12" t="s">
        <v>3854</v>
      </c>
      <c r="BT204" s="12" t="s">
        <v>3855</v>
      </c>
      <c r="BU204" s="12" t="s">
        <v>3856</v>
      </c>
      <c r="BV204" s="12" t="s">
        <v>3857</v>
      </c>
      <c r="BW204" s="12" t="s">
        <v>3858</v>
      </c>
      <c r="BX204" s="12" t="s">
        <v>3859</v>
      </c>
      <c r="BY204" s="12" t="s">
        <v>3860</v>
      </c>
      <c r="BZ204" s="12" t="s">
        <v>3861</v>
      </c>
      <c r="CA204" s="12" t="s">
        <v>3862</v>
      </c>
      <c r="CB204" s="12" t="s">
        <v>3863</v>
      </c>
      <c r="CC204" s="12" t="s">
        <v>3864</v>
      </c>
      <c r="CD204" s="12" t="s">
        <v>3865</v>
      </c>
      <c r="CE204" s="12" t="s">
        <v>3866</v>
      </c>
      <c r="CF204" s="12" t="s">
        <v>3867</v>
      </c>
      <c r="CG204" s="12" t="s">
        <v>3868</v>
      </c>
      <c r="CH204" s="12" t="s">
        <v>3869</v>
      </c>
      <c r="CI204" s="12" t="s">
        <v>3870</v>
      </c>
      <c r="CJ204" s="12" t="s">
        <v>3871</v>
      </c>
      <c r="CK204" s="12" t="s">
        <v>3872</v>
      </c>
      <c r="CL204" s="12" t="s">
        <v>3873</v>
      </c>
      <c r="CM204" s="12" t="s">
        <v>3874</v>
      </c>
      <c r="CN204" s="12" t="s">
        <v>3875</v>
      </c>
      <c r="CO204" s="12" t="s">
        <v>3876</v>
      </c>
      <c r="CP204" s="12" t="s">
        <v>3877</v>
      </c>
      <c r="CQ204" s="12" t="s">
        <v>3878</v>
      </c>
      <c r="CR204" s="12" t="s">
        <v>3879</v>
      </c>
      <c r="CS204" s="12" t="s">
        <v>3880</v>
      </c>
      <c r="CT204" s="12" t="s">
        <v>3881</v>
      </c>
    </row>
    <row r="205" spans="1:98" hidden="1" x14ac:dyDescent="0.3">
      <c r="A205" s="12" t="s">
        <v>25</v>
      </c>
      <c r="B205" s="12" t="s">
        <v>3882</v>
      </c>
      <c r="C205" s="12" t="s">
        <v>3883</v>
      </c>
      <c r="D205" s="12" t="s">
        <v>3884</v>
      </c>
      <c r="E205" s="12" t="s">
        <v>578</v>
      </c>
      <c r="F205" s="12" t="s">
        <v>578</v>
      </c>
      <c r="G205" s="12" t="s">
        <v>578</v>
      </c>
      <c r="H205" s="12" t="s">
        <v>578</v>
      </c>
      <c r="I205" s="12" t="s">
        <v>578</v>
      </c>
      <c r="J205" s="12" t="s">
        <v>579</v>
      </c>
      <c r="K205" s="12" t="s">
        <v>579</v>
      </c>
      <c r="L205" s="12" t="s">
        <v>579</v>
      </c>
      <c r="M205" s="12" t="s">
        <v>579</v>
      </c>
      <c r="N205" s="12" t="s">
        <v>579</v>
      </c>
      <c r="O205" s="12" t="s">
        <v>579</v>
      </c>
      <c r="P205" s="12" t="s">
        <v>579</v>
      </c>
      <c r="Q205" s="12" t="s">
        <v>579</v>
      </c>
      <c r="R205" s="12" t="s">
        <v>579</v>
      </c>
      <c r="S205" s="12" t="s">
        <v>579</v>
      </c>
      <c r="T205" s="12" t="s">
        <v>579</v>
      </c>
      <c r="U205" s="12" t="s">
        <v>579</v>
      </c>
      <c r="V205" s="12" t="s">
        <v>579</v>
      </c>
      <c r="W205" s="12" t="s">
        <v>579</v>
      </c>
      <c r="X205" s="12" t="s">
        <v>579</v>
      </c>
      <c r="Y205" s="12" t="s">
        <v>579</v>
      </c>
      <c r="Z205" s="12" t="s">
        <v>579</v>
      </c>
      <c r="AA205" s="12" t="s">
        <v>579</v>
      </c>
      <c r="AB205" s="12" t="s">
        <v>579</v>
      </c>
      <c r="AC205" s="12" t="s">
        <v>579</v>
      </c>
      <c r="AD205" s="12" t="s">
        <v>579</v>
      </c>
      <c r="AE205" s="12" t="s">
        <v>579</v>
      </c>
      <c r="AF205" s="12" t="s">
        <v>579</v>
      </c>
      <c r="AG205" s="12" t="s">
        <v>579</v>
      </c>
      <c r="AH205" s="12" t="s">
        <v>579</v>
      </c>
      <c r="AI205" s="12" t="s">
        <v>579</v>
      </c>
      <c r="AJ205" s="12" t="s">
        <v>579</v>
      </c>
      <c r="AK205" s="12" t="s">
        <v>579</v>
      </c>
      <c r="AL205" s="12" t="s">
        <v>579</v>
      </c>
      <c r="AM205" s="12" t="s">
        <v>579</v>
      </c>
      <c r="AN205" s="12" t="s">
        <v>579</v>
      </c>
      <c r="AO205" s="12" t="s">
        <v>579</v>
      </c>
      <c r="AP205" s="12" t="s">
        <v>579</v>
      </c>
      <c r="AQ205" s="12" t="s">
        <v>579</v>
      </c>
      <c r="AR205" s="12" t="s">
        <v>579</v>
      </c>
      <c r="AS205" s="12" t="s">
        <v>579</v>
      </c>
      <c r="AT205" s="12" t="s">
        <v>579</v>
      </c>
      <c r="AU205" s="12" t="s">
        <v>579</v>
      </c>
      <c r="AV205" s="12" t="s">
        <v>579</v>
      </c>
      <c r="AW205" s="12" t="s">
        <v>579</v>
      </c>
      <c r="AX205" s="12" t="s">
        <v>579</v>
      </c>
      <c r="AY205" s="12" t="s">
        <v>579</v>
      </c>
      <c r="AZ205" s="12" t="s">
        <v>579</v>
      </c>
      <c r="BA205" s="12" t="s">
        <v>579</v>
      </c>
      <c r="BB205" s="12" t="s">
        <v>623</v>
      </c>
      <c r="BC205" s="12" t="s">
        <v>623</v>
      </c>
      <c r="BD205" s="12" t="s">
        <v>851</v>
      </c>
      <c r="BE205" s="12" t="s">
        <v>624</v>
      </c>
      <c r="BF205" s="12" t="s">
        <v>808</v>
      </c>
      <c r="BG205" s="12" t="s">
        <v>869</v>
      </c>
      <c r="BH205" s="12" t="s">
        <v>1096</v>
      </c>
      <c r="BI205" s="12" t="s">
        <v>630</v>
      </c>
      <c r="BJ205" s="12" t="s">
        <v>680</v>
      </c>
      <c r="BK205" s="12" t="s">
        <v>1120</v>
      </c>
      <c r="BL205" s="12" t="s">
        <v>855</v>
      </c>
      <c r="BM205" s="12" t="s">
        <v>976</v>
      </c>
      <c r="BN205" s="12" t="s">
        <v>772</v>
      </c>
      <c r="BO205" s="12" t="s">
        <v>863</v>
      </c>
      <c r="BP205" s="12" t="s">
        <v>863</v>
      </c>
      <c r="BQ205" s="12" t="s">
        <v>1664</v>
      </c>
      <c r="BR205" s="12" t="s">
        <v>1664</v>
      </c>
      <c r="BS205" s="12" t="s">
        <v>722</v>
      </c>
      <c r="BT205" s="12" t="s">
        <v>1417</v>
      </c>
      <c r="BU205" s="12" t="s">
        <v>980</v>
      </c>
      <c r="BV205" s="12" t="s">
        <v>1821</v>
      </c>
      <c r="BW205" s="12" t="s">
        <v>639</v>
      </c>
      <c r="BX205" s="12" t="s">
        <v>1309</v>
      </c>
      <c r="BY205" s="12" t="s">
        <v>1733</v>
      </c>
      <c r="BZ205" s="12" t="s">
        <v>1277</v>
      </c>
      <c r="CA205" s="12" t="s">
        <v>1278</v>
      </c>
      <c r="CB205" s="12" t="s">
        <v>2102</v>
      </c>
      <c r="CC205" s="12" t="s">
        <v>1532</v>
      </c>
      <c r="CD205" s="12" t="s">
        <v>1976</v>
      </c>
      <c r="CE205" s="12" t="s">
        <v>1838</v>
      </c>
      <c r="CF205" s="12" t="s">
        <v>1838</v>
      </c>
      <c r="CG205" s="12" t="s">
        <v>3885</v>
      </c>
      <c r="CH205" s="12" t="s">
        <v>875</v>
      </c>
      <c r="CI205" s="12" t="s">
        <v>1489</v>
      </c>
      <c r="CJ205" s="12" t="s">
        <v>1423</v>
      </c>
      <c r="CK205" s="12" t="s">
        <v>1624</v>
      </c>
      <c r="CL205" s="12" t="s">
        <v>1624</v>
      </c>
      <c r="CM205" s="12" t="s">
        <v>1509</v>
      </c>
      <c r="CN205" s="12" t="s">
        <v>1492</v>
      </c>
      <c r="CO205" s="12" t="s">
        <v>1459</v>
      </c>
      <c r="CP205" s="12" t="s">
        <v>647</v>
      </c>
      <c r="CQ205" s="12" t="s">
        <v>1518</v>
      </c>
      <c r="CR205" s="12" t="s">
        <v>1164</v>
      </c>
      <c r="CS205" s="12" t="s">
        <v>1282</v>
      </c>
      <c r="CT205" s="12" t="s">
        <v>963</v>
      </c>
    </row>
    <row r="206" spans="1:98" hidden="1" x14ac:dyDescent="0.3">
      <c r="A206" s="12" t="s">
        <v>25</v>
      </c>
      <c r="B206" s="12" t="s">
        <v>3886</v>
      </c>
      <c r="C206" s="12" t="s">
        <v>3887</v>
      </c>
      <c r="D206" s="12" t="s">
        <v>3888</v>
      </c>
      <c r="E206" s="12" t="s">
        <v>578</v>
      </c>
      <c r="F206" s="12" t="s">
        <v>578</v>
      </c>
      <c r="G206" s="12" t="s">
        <v>578</v>
      </c>
      <c r="H206" s="12" t="s">
        <v>578</v>
      </c>
      <c r="I206" s="12" t="s">
        <v>578</v>
      </c>
      <c r="J206" s="12" t="s">
        <v>578</v>
      </c>
      <c r="K206" s="12" t="s">
        <v>578</v>
      </c>
      <c r="L206" s="12" t="s">
        <v>578</v>
      </c>
      <c r="M206" s="12" t="s">
        <v>578</v>
      </c>
      <c r="N206" s="12" t="s">
        <v>578</v>
      </c>
      <c r="O206" s="12" t="s">
        <v>578</v>
      </c>
      <c r="P206" s="12" t="s">
        <v>578</v>
      </c>
      <c r="Q206" s="12" t="s">
        <v>578</v>
      </c>
      <c r="R206" s="12" t="s">
        <v>578</v>
      </c>
      <c r="S206" s="12" t="s">
        <v>578</v>
      </c>
      <c r="T206" s="12" t="s">
        <v>578</v>
      </c>
      <c r="U206" s="12" t="s">
        <v>578</v>
      </c>
      <c r="V206" s="12" t="s">
        <v>578</v>
      </c>
      <c r="W206" s="12" t="s">
        <v>578</v>
      </c>
      <c r="X206" s="12" t="s">
        <v>578</v>
      </c>
      <c r="Y206" s="12" t="s">
        <v>578</v>
      </c>
      <c r="Z206" s="12" t="s">
        <v>578</v>
      </c>
      <c r="AA206" s="12" t="s">
        <v>578</v>
      </c>
      <c r="AB206" s="12" t="s">
        <v>578</v>
      </c>
      <c r="AC206" s="12" t="s">
        <v>578</v>
      </c>
      <c r="AD206" s="12" t="s">
        <v>578</v>
      </c>
      <c r="AE206" s="12" t="s">
        <v>578</v>
      </c>
      <c r="AF206" s="12" t="s">
        <v>578</v>
      </c>
      <c r="AG206" s="12" t="s">
        <v>578</v>
      </c>
      <c r="AH206" s="12" t="s">
        <v>578</v>
      </c>
      <c r="AI206" s="12" t="s">
        <v>578</v>
      </c>
      <c r="AJ206" s="12" t="s">
        <v>578</v>
      </c>
      <c r="AK206" s="12" t="s">
        <v>578</v>
      </c>
      <c r="AL206" s="12" t="s">
        <v>578</v>
      </c>
      <c r="AM206" s="12" t="s">
        <v>578</v>
      </c>
      <c r="AN206" s="12" t="s">
        <v>578</v>
      </c>
      <c r="AO206" s="12" t="s">
        <v>578</v>
      </c>
      <c r="AP206" s="12" t="s">
        <v>578</v>
      </c>
      <c r="AQ206" s="12" t="s">
        <v>578</v>
      </c>
      <c r="AR206" s="12" t="s">
        <v>578</v>
      </c>
      <c r="AS206" s="12" t="s">
        <v>578</v>
      </c>
      <c r="AT206" s="12" t="s">
        <v>578</v>
      </c>
      <c r="AU206" s="12" t="s">
        <v>578</v>
      </c>
      <c r="AV206" s="12" t="s">
        <v>578</v>
      </c>
      <c r="AW206" s="12" t="s">
        <v>578</v>
      </c>
      <c r="AX206" s="12" t="s">
        <v>578</v>
      </c>
      <c r="AY206" s="12" t="s">
        <v>578</v>
      </c>
      <c r="AZ206" s="12" t="s">
        <v>578</v>
      </c>
      <c r="BA206" s="12" t="s">
        <v>578</v>
      </c>
      <c r="BB206" s="12" t="s">
        <v>578</v>
      </c>
      <c r="BC206" s="12" t="s">
        <v>578</v>
      </c>
      <c r="BD206" s="12" t="s">
        <v>579</v>
      </c>
      <c r="BE206" s="12" t="s">
        <v>579</v>
      </c>
      <c r="BF206" s="12" t="s">
        <v>579</v>
      </c>
      <c r="BG206" s="12" t="s">
        <v>579</v>
      </c>
      <c r="BH206" s="12" t="s">
        <v>579</v>
      </c>
      <c r="BI206" s="12" t="s">
        <v>623</v>
      </c>
      <c r="BJ206" s="12" t="s">
        <v>623</v>
      </c>
      <c r="BK206" s="12" t="s">
        <v>623</v>
      </c>
      <c r="BL206" s="12" t="s">
        <v>623</v>
      </c>
      <c r="BM206" s="12" t="s">
        <v>623</v>
      </c>
      <c r="BN206" s="12" t="s">
        <v>623</v>
      </c>
      <c r="BO206" s="12" t="s">
        <v>672</v>
      </c>
      <c r="BP206" s="12" t="s">
        <v>672</v>
      </c>
      <c r="BQ206" s="12" t="s">
        <v>672</v>
      </c>
      <c r="BR206" s="12" t="s">
        <v>672</v>
      </c>
      <c r="BS206" s="12" t="s">
        <v>581</v>
      </c>
      <c r="BT206" s="12" t="s">
        <v>851</v>
      </c>
      <c r="BU206" s="12" t="s">
        <v>851</v>
      </c>
      <c r="BV206" s="12" t="s">
        <v>582</v>
      </c>
      <c r="BW206" s="12" t="s">
        <v>582</v>
      </c>
      <c r="BX206" s="12" t="s">
        <v>755</v>
      </c>
      <c r="BY206" s="12" t="s">
        <v>624</v>
      </c>
      <c r="BZ206" s="12" t="s">
        <v>624</v>
      </c>
      <c r="CA206" s="12" t="s">
        <v>625</v>
      </c>
      <c r="CB206" s="12" t="s">
        <v>625</v>
      </c>
      <c r="CC206" s="12" t="s">
        <v>756</v>
      </c>
      <c r="CD206" s="12" t="s">
        <v>756</v>
      </c>
      <c r="CE206" s="12" t="s">
        <v>762</v>
      </c>
      <c r="CF206" s="12" t="s">
        <v>673</v>
      </c>
      <c r="CG206" s="12" t="s">
        <v>674</v>
      </c>
      <c r="CH206" s="12" t="s">
        <v>674</v>
      </c>
      <c r="CI206" s="12" t="s">
        <v>953</v>
      </c>
      <c r="CJ206" s="12" t="s">
        <v>852</v>
      </c>
      <c r="CK206" s="12" t="s">
        <v>852</v>
      </c>
      <c r="CL206" s="12" t="s">
        <v>852</v>
      </c>
      <c r="CM206" s="12" t="s">
        <v>627</v>
      </c>
      <c r="CN206" s="12" t="s">
        <v>973</v>
      </c>
      <c r="CO206" s="12" t="s">
        <v>973</v>
      </c>
      <c r="CP206" s="12" t="s">
        <v>1260</v>
      </c>
      <c r="CQ206" s="12" t="s">
        <v>1260</v>
      </c>
      <c r="CR206" s="12" t="s">
        <v>1025</v>
      </c>
      <c r="CS206" s="12" t="s">
        <v>595</v>
      </c>
      <c r="CT206" s="12" t="s">
        <v>595</v>
      </c>
    </row>
    <row r="207" spans="1:98" hidden="1" x14ac:dyDescent="0.3">
      <c r="A207" s="12" t="s">
        <v>25</v>
      </c>
      <c r="B207" s="12" t="s">
        <v>3889</v>
      </c>
      <c r="C207" s="12" t="s">
        <v>3890</v>
      </c>
      <c r="D207" s="12" t="s">
        <v>3891</v>
      </c>
      <c r="E207" s="12" t="s">
        <v>578</v>
      </c>
      <c r="F207" s="12" t="s">
        <v>578</v>
      </c>
      <c r="G207" s="12" t="s">
        <v>578</v>
      </c>
      <c r="H207" s="12" t="s">
        <v>578</v>
      </c>
      <c r="I207" s="12" t="s">
        <v>578</v>
      </c>
      <c r="J207" s="12" t="s">
        <v>578</v>
      </c>
      <c r="K207" s="12" t="s">
        <v>578</v>
      </c>
      <c r="L207" s="12" t="s">
        <v>578</v>
      </c>
      <c r="M207" s="12" t="s">
        <v>578</v>
      </c>
      <c r="N207" s="12" t="s">
        <v>578</v>
      </c>
      <c r="O207" s="12" t="s">
        <v>578</v>
      </c>
      <c r="P207" s="12" t="s">
        <v>578</v>
      </c>
      <c r="Q207" s="12" t="s">
        <v>578</v>
      </c>
      <c r="R207" s="12" t="s">
        <v>578</v>
      </c>
      <c r="S207" s="12" t="s">
        <v>578</v>
      </c>
      <c r="T207" s="12" t="s">
        <v>578</v>
      </c>
      <c r="U207" s="12" t="s">
        <v>578</v>
      </c>
      <c r="V207" s="12" t="s">
        <v>578</v>
      </c>
      <c r="W207" s="12" t="s">
        <v>578</v>
      </c>
      <c r="X207" s="12" t="s">
        <v>578</v>
      </c>
      <c r="Y207" s="12" t="s">
        <v>578</v>
      </c>
      <c r="Z207" s="12" t="s">
        <v>578</v>
      </c>
      <c r="AA207" s="12" t="s">
        <v>578</v>
      </c>
      <c r="AB207" s="12" t="s">
        <v>578</v>
      </c>
      <c r="AC207" s="12" t="s">
        <v>578</v>
      </c>
      <c r="AD207" s="12" t="s">
        <v>578</v>
      </c>
      <c r="AE207" s="12" t="s">
        <v>578</v>
      </c>
      <c r="AF207" s="12" t="s">
        <v>578</v>
      </c>
      <c r="AG207" s="12" t="s">
        <v>578</v>
      </c>
      <c r="AH207" s="12" t="s">
        <v>578</v>
      </c>
      <c r="AI207" s="12" t="s">
        <v>578</v>
      </c>
      <c r="AJ207" s="12" t="s">
        <v>578</v>
      </c>
      <c r="AK207" s="12" t="s">
        <v>578</v>
      </c>
      <c r="AL207" s="12" t="s">
        <v>578</v>
      </c>
      <c r="AM207" s="12" t="s">
        <v>578</v>
      </c>
      <c r="AN207" s="12" t="s">
        <v>578</v>
      </c>
      <c r="AO207" s="12" t="s">
        <v>578</v>
      </c>
      <c r="AP207" s="12" t="s">
        <v>578</v>
      </c>
      <c r="AQ207" s="12" t="s">
        <v>578</v>
      </c>
      <c r="AR207" s="12" t="s">
        <v>578</v>
      </c>
      <c r="AS207" s="12" t="s">
        <v>578</v>
      </c>
      <c r="AT207" s="12" t="s">
        <v>578</v>
      </c>
      <c r="AU207" s="12" t="s">
        <v>578</v>
      </c>
      <c r="AV207" s="12" t="s">
        <v>578</v>
      </c>
      <c r="AW207" s="12" t="s">
        <v>578</v>
      </c>
      <c r="AX207" s="12" t="s">
        <v>578</v>
      </c>
      <c r="AY207" s="12" t="s">
        <v>578</v>
      </c>
      <c r="AZ207" s="12" t="s">
        <v>578</v>
      </c>
      <c r="BA207" s="12" t="s">
        <v>578</v>
      </c>
      <c r="BB207" s="12" t="s">
        <v>578</v>
      </c>
      <c r="BC207" s="12" t="s">
        <v>578</v>
      </c>
      <c r="BD207" s="12" t="s">
        <v>578</v>
      </c>
      <c r="BE207" s="12" t="s">
        <v>579</v>
      </c>
      <c r="BF207" s="12" t="s">
        <v>579</v>
      </c>
      <c r="BG207" s="12" t="s">
        <v>579</v>
      </c>
      <c r="BH207" s="12" t="s">
        <v>579</v>
      </c>
      <c r="BI207" s="12" t="s">
        <v>579</v>
      </c>
      <c r="BJ207" s="12" t="s">
        <v>579</v>
      </c>
      <c r="BK207" s="12" t="s">
        <v>580</v>
      </c>
      <c r="BL207" s="12" t="s">
        <v>580</v>
      </c>
      <c r="BM207" s="12" t="s">
        <v>581</v>
      </c>
      <c r="BN207" s="12" t="s">
        <v>581</v>
      </c>
      <c r="BO207" s="12" t="s">
        <v>582</v>
      </c>
      <c r="BP207" s="12" t="s">
        <v>755</v>
      </c>
      <c r="BQ207" s="12" t="s">
        <v>755</v>
      </c>
      <c r="BR207" s="12" t="s">
        <v>755</v>
      </c>
      <c r="BS207" s="12" t="s">
        <v>755</v>
      </c>
      <c r="BT207" s="12" t="s">
        <v>755</v>
      </c>
      <c r="BU207" s="12" t="s">
        <v>755</v>
      </c>
      <c r="BV207" s="12" t="s">
        <v>761</v>
      </c>
      <c r="BW207" s="12" t="s">
        <v>624</v>
      </c>
      <c r="BX207" s="12" t="s">
        <v>624</v>
      </c>
      <c r="BY207" s="12" t="s">
        <v>624</v>
      </c>
      <c r="BZ207" s="12" t="s">
        <v>624</v>
      </c>
      <c r="CA207" s="12" t="s">
        <v>624</v>
      </c>
      <c r="CB207" s="12" t="s">
        <v>624</v>
      </c>
      <c r="CC207" s="12" t="s">
        <v>624</v>
      </c>
      <c r="CD207" s="12" t="s">
        <v>624</v>
      </c>
      <c r="CE207" s="12" t="s">
        <v>624</v>
      </c>
      <c r="CF207" s="12" t="s">
        <v>624</v>
      </c>
      <c r="CG207" s="12" t="s">
        <v>624</v>
      </c>
      <c r="CH207" s="12" t="s">
        <v>624</v>
      </c>
      <c r="CI207" s="12" t="s">
        <v>624</v>
      </c>
      <c r="CJ207" s="12" t="s">
        <v>624</v>
      </c>
      <c r="CK207" s="12" t="s">
        <v>624</v>
      </c>
      <c r="CL207" s="12" t="s">
        <v>624</v>
      </c>
      <c r="CM207" s="12" t="s">
        <v>624</v>
      </c>
      <c r="CN207" s="12" t="s">
        <v>624</v>
      </c>
      <c r="CO207" s="12" t="s">
        <v>624</v>
      </c>
      <c r="CP207" s="12" t="s">
        <v>624</v>
      </c>
      <c r="CQ207" s="12" t="s">
        <v>624</v>
      </c>
      <c r="CR207" s="12" t="s">
        <v>624</v>
      </c>
      <c r="CS207" s="12" t="s">
        <v>624</v>
      </c>
      <c r="CT207" s="12" t="s">
        <v>624</v>
      </c>
    </row>
    <row r="208" spans="1:98" hidden="1" x14ac:dyDescent="0.3">
      <c r="A208" s="12" t="s">
        <v>25</v>
      </c>
      <c r="B208" s="12" t="s">
        <v>3892</v>
      </c>
      <c r="C208" s="12" t="s">
        <v>3893</v>
      </c>
      <c r="D208" s="12" t="s">
        <v>3894</v>
      </c>
      <c r="E208" s="12" t="s">
        <v>578</v>
      </c>
      <c r="F208" s="12" t="s">
        <v>578</v>
      </c>
      <c r="G208" s="12" t="s">
        <v>578</v>
      </c>
      <c r="H208" s="12" t="s">
        <v>578</v>
      </c>
      <c r="I208" s="12" t="s">
        <v>578</v>
      </c>
      <c r="J208" s="12" t="s">
        <v>578</v>
      </c>
      <c r="K208" s="12" t="s">
        <v>578</v>
      </c>
      <c r="L208" s="12" t="s">
        <v>578</v>
      </c>
      <c r="M208" s="12" t="s">
        <v>578</v>
      </c>
      <c r="N208" s="12" t="s">
        <v>579</v>
      </c>
      <c r="O208" s="12" t="s">
        <v>579</v>
      </c>
      <c r="P208" s="12" t="s">
        <v>579</v>
      </c>
      <c r="Q208" s="12" t="s">
        <v>579</v>
      </c>
      <c r="R208" s="12" t="s">
        <v>579</v>
      </c>
      <c r="S208" s="12" t="s">
        <v>579</v>
      </c>
      <c r="T208" s="12" t="s">
        <v>579</v>
      </c>
      <c r="U208" s="12" t="s">
        <v>579</v>
      </c>
      <c r="V208" s="12" t="s">
        <v>579</v>
      </c>
      <c r="W208" s="12" t="s">
        <v>579</v>
      </c>
      <c r="X208" s="12" t="s">
        <v>579</v>
      </c>
      <c r="Y208" s="12" t="s">
        <v>579</v>
      </c>
      <c r="Z208" s="12" t="s">
        <v>579</v>
      </c>
      <c r="AA208" s="12" t="s">
        <v>579</v>
      </c>
      <c r="AB208" s="12" t="s">
        <v>579</v>
      </c>
      <c r="AC208" s="12" t="s">
        <v>579</v>
      </c>
      <c r="AD208" s="12" t="s">
        <v>579</v>
      </c>
      <c r="AE208" s="12" t="s">
        <v>579</v>
      </c>
      <c r="AF208" s="12" t="s">
        <v>579</v>
      </c>
      <c r="AG208" s="12" t="s">
        <v>579</v>
      </c>
      <c r="AH208" s="12" t="s">
        <v>579</v>
      </c>
      <c r="AI208" s="12" t="s">
        <v>579</v>
      </c>
      <c r="AJ208" s="12" t="s">
        <v>579</v>
      </c>
      <c r="AK208" s="12" t="s">
        <v>579</v>
      </c>
      <c r="AL208" s="12" t="s">
        <v>579</v>
      </c>
      <c r="AM208" s="12" t="s">
        <v>579</v>
      </c>
      <c r="AN208" s="12" t="s">
        <v>623</v>
      </c>
      <c r="AO208" s="12" t="s">
        <v>582</v>
      </c>
      <c r="AP208" s="12" t="s">
        <v>582</v>
      </c>
      <c r="AQ208" s="12" t="s">
        <v>625</v>
      </c>
      <c r="AR208" s="12" t="s">
        <v>756</v>
      </c>
      <c r="AS208" s="12" t="s">
        <v>762</v>
      </c>
      <c r="AT208" s="12" t="s">
        <v>585</v>
      </c>
      <c r="AU208" s="12" t="s">
        <v>917</v>
      </c>
      <c r="AV208" s="12" t="s">
        <v>591</v>
      </c>
      <c r="AW208" s="12" t="s">
        <v>1732</v>
      </c>
      <c r="AX208" s="12" t="s">
        <v>2089</v>
      </c>
      <c r="AY208" s="12" t="s">
        <v>1488</v>
      </c>
      <c r="AZ208" s="12" t="s">
        <v>2030</v>
      </c>
      <c r="BA208" s="12" t="s">
        <v>995</v>
      </c>
      <c r="BB208" s="12" t="s">
        <v>3837</v>
      </c>
      <c r="BC208" s="12" t="s">
        <v>2106</v>
      </c>
      <c r="BD208" s="12" t="s">
        <v>2225</v>
      </c>
      <c r="BE208" s="12" t="s">
        <v>2430</v>
      </c>
      <c r="BF208" s="12" t="s">
        <v>3895</v>
      </c>
      <c r="BG208" s="12" t="s">
        <v>3896</v>
      </c>
      <c r="BH208" s="12" t="s">
        <v>2684</v>
      </c>
      <c r="BI208" s="12" t="s">
        <v>618</v>
      </c>
      <c r="BJ208" s="12" t="s">
        <v>3897</v>
      </c>
      <c r="BK208" s="12" t="s">
        <v>3898</v>
      </c>
      <c r="BL208" s="12" t="s">
        <v>2689</v>
      </c>
      <c r="BM208" s="12" t="s">
        <v>3266</v>
      </c>
      <c r="BN208" s="12" t="s">
        <v>2294</v>
      </c>
      <c r="BO208" s="12" t="s">
        <v>3899</v>
      </c>
      <c r="BP208" s="12" t="s">
        <v>3900</v>
      </c>
      <c r="BQ208" s="12" t="s">
        <v>1575</v>
      </c>
      <c r="BR208" s="12" t="s">
        <v>3901</v>
      </c>
      <c r="BS208" s="12" t="s">
        <v>2863</v>
      </c>
      <c r="BT208" s="12" t="s">
        <v>3902</v>
      </c>
      <c r="BU208" s="12" t="s">
        <v>3903</v>
      </c>
      <c r="BV208" s="12" t="s">
        <v>3904</v>
      </c>
      <c r="BW208" s="12" t="s">
        <v>3905</v>
      </c>
      <c r="BX208" s="12" t="s">
        <v>3906</v>
      </c>
      <c r="BY208" s="12" t="s">
        <v>3907</v>
      </c>
      <c r="BZ208" s="12" t="s">
        <v>3908</v>
      </c>
      <c r="CA208" s="12" t="s">
        <v>3909</v>
      </c>
      <c r="CB208" s="12" t="s">
        <v>3910</v>
      </c>
      <c r="CC208" s="12" t="s">
        <v>3911</v>
      </c>
      <c r="CD208" s="12" t="s">
        <v>3912</v>
      </c>
      <c r="CE208" s="12" t="s">
        <v>3913</v>
      </c>
      <c r="CF208" s="12" t="s">
        <v>3914</v>
      </c>
      <c r="CG208" s="12" t="s">
        <v>3915</v>
      </c>
      <c r="CH208" s="12" t="s">
        <v>3916</v>
      </c>
      <c r="CI208" s="12" t="s">
        <v>3917</v>
      </c>
      <c r="CJ208" s="12" t="s">
        <v>3918</v>
      </c>
      <c r="CK208" s="12" t="s">
        <v>3919</v>
      </c>
      <c r="CL208" s="12" t="s">
        <v>3920</v>
      </c>
      <c r="CM208" s="12" t="s">
        <v>3921</v>
      </c>
      <c r="CN208" s="12" t="s">
        <v>3922</v>
      </c>
      <c r="CO208" s="12" t="s">
        <v>3923</v>
      </c>
      <c r="CP208" s="12" t="s">
        <v>3924</v>
      </c>
      <c r="CQ208" s="12" t="s">
        <v>3925</v>
      </c>
      <c r="CR208" s="12" t="s">
        <v>3926</v>
      </c>
      <c r="CS208" s="12" t="s">
        <v>3927</v>
      </c>
      <c r="CT208" s="12" t="s">
        <v>3928</v>
      </c>
    </row>
    <row r="209" spans="1:98" hidden="1" x14ac:dyDescent="0.3">
      <c r="A209" s="12" t="s">
        <v>25</v>
      </c>
      <c r="B209" s="12" t="s">
        <v>3929</v>
      </c>
      <c r="C209" s="12" t="s">
        <v>3930</v>
      </c>
      <c r="D209" s="12" t="s">
        <v>3931</v>
      </c>
      <c r="E209" s="12" t="s">
        <v>578</v>
      </c>
      <c r="F209" s="12" t="s">
        <v>578</v>
      </c>
      <c r="G209" s="12" t="s">
        <v>578</v>
      </c>
      <c r="H209" s="12" t="s">
        <v>578</v>
      </c>
      <c r="I209" s="12" t="s">
        <v>578</v>
      </c>
      <c r="J209" s="12" t="s">
        <v>578</v>
      </c>
      <c r="K209" s="12" t="s">
        <v>578</v>
      </c>
      <c r="L209" s="12" t="s">
        <v>578</v>
      </c>
      <c r="M209" s="12" t="s">
        <v>578</v>
      </c>
      <c r="N209" s="12" t="s">
        <v>578</v>
      </c>
      <c r="O209" s="12" t="s">
        <v>578</v>
      </c>
      <c r="P209" s="12" t="s">
        <v>578</v>
      </c>
      <c r="Q209" s="12" t="s">
        <v>578</v>
      </c>
      <c r="R209" s="12" t="s">
        <v>578</v>
      </c>
      <c r="S209" s="12" t="s">
        <v>578</v>
      </c>
      <c r="T209" s="12" t="s">
        <v>578</v>
      </c>
      <c r="U209" s="12" t="s">
        <v>578</v>
      </c>
      <c r="V209" s="12" t="s">
        <v>578</v>
      </c>
      <c r="W209" s="12" t="s">
        <v>578</v>
      </c>
      <c r="X209" s="12" t="s">
        <v>578</v>
      </c>
      <c r="Y209" s="12" t="s">
        <v>578</v>
      </c>
      <c r="Z209" s="12" t="s">
        <v>578</v>
      </c>
      <c r="AA209" s="12" t="s">
        <v>578</v>
      </c>
      <c r="AB209" s="12" t="s">
        <v>578</v>
      </c>
      <c r="AC209" s="12" t="s">
        <v>578</v>
      </c>
      <c r="AD209" s="12" t="s">
        <v>578</v>
      </c>
      <c r="AE209" s="12" t="s">
        <v>578</v>
      </c>
      <c r="AF209" s="12" t="s">
        <v>578</v>
      </c>
      <c r="AG209" s="12" t="s">
        <v>578</v>
      </c>
      <c r="AH209" s="12" t="s">
        <v>578</v>
      </c>
      <c r="AI209" s="12" t="s">
        <v>578</v>
      </c>
      <c r="AJ209" s="12" t="s">
        <v>578</v>
      </c>
      <c r="AK209" s="12" t="s">
        <v>578</v>
      </c>
      <c r="AL209" s="12" t="s">
        <v>578</v>
      </c>
      <c r="AM209" s="12" t="s">
        <v>579</v>
      </c>
      <c r="AN209" s="12" t="s">
        <v>579</v>
      </c>
      <c r="AO209" s="12" t="s">
        <v>755</v>
      </c>
      <c r="AP209" s="12" t="s">
        <v>755</v>
      </c>
      <c r="AQ209" s="12" t="s">
        <v>808</v>
      </c>
      <c r="AR209" s="12" t="s">
        <v>913</v>
      </c>
      <c r="AS209" s="12" t="s">
        <v>629</v>
      </c>
      <c r="AT209" s="12" t="s">
        <v>769</v>
      </c>
      <c r="AU209" s="12" t="s">
        <v>682</v>
      </c>
      <c r="AV209" s="12" t="s">
        <v>1353</v>
      </c>
      <c r="AW209" s="12" t="s">
        <v>1126</v>
      </c>
      <c r="AX209" s="12" t="s">
        <v>1264</v>
      </c>
      <c r="AY209" s="12" t="s">
        <v>959</v>
      </c>
      <c r="AZ209" s="12" t="s">
        <v>3932</v>
      </c>
      <c r="BA209" s="12" t="s">
        <v>1703</v>
      </c>
      <c r="BB209" s="12" t="s">
        <v>1995</v>
      </c>
      <c r="BC209" s="12" t="s">
        <v>1995</v>
      </c>
      <c r="BD209" s="12" t="s">
        <v>3933</v>
      </c>
      <c r="BE209" s="12" t="s">
        <v>3934</v>
      </c>
      <c r="BF209" s="12" t="s">
        <v>3748</v>
      </c>
      <c r="BG209" s="12" t="s">
        <v>3748</v>
      </c>
      <c r="BH209" s="12" t="s">
        <v>3935</v>
      </c>
      <c r="BI209" s="12" t="s">
        <v>3936</v>
      </c>
      <c r="BJ209" s="12" t="s">
        <v>3937</v>
      </c>
      <c r="BK209" s="12" t="s">
        <v>3938</v>
      </c>
      <c r="BL209" s="12" t="s">
        <v>2775</v>
      </c>
      <c r="BM209" s="12" t="s">
        <v>3939</v>
      </c>
      <c r="BN209" s="12" t="s">
        <v>3940</v>
      </c>
      <c r="BO209" s="12" t="s">
        <v>3941</v>
      </c>
      <c r="BP209" s="12" t="s">
        <v>3942</v>
      </c>
      <c r="BQ209" s="12" t="s">
        <v>3943</v>
      </c>
      <c r="BR209" s="12" t="s">
        <v>3944</v>
      </c>
      <c r="BS209" s="12" t="s">
        <v>3945</v>
      </c>
      <c r="BT209" s="12" t="s">
        <v>3946</v>
      </c>
      <c r="BU209" s="12" t="s">
        <v>3947</v>
      </c>
      <c r="BV209" s="12" t="s">
        <v>3948</v>
      </c>
      <c r="BW209" s="12" t="s">
        <v>3949</v>
      </c>
      <c r="BX209" s="12" t="s">
        <v>3950</v>
      </c>
      <c r="BY209" s="12" t="s">
        <v>3951</v>
      </c>
      <c r="BZ209" s="12" t="s">
        <v>3952</v>
      </c>
      <c r="CA209" s="12" t="s">
        <v>3953</v>
      </c>
      <c r="CB209" s="12" t="s">
        <v>3954</v>
      </c>
      <c r="CC209" s="12" t="s">
        <v>3955</v>
      </c>
      <c r="CD209" s="12" t="s">
        <v>3956</v>
      </c>
      <c r="CE209" s="12" t="s">
        <v>3957</v>
      </c>
      <c r="CF209" s="12" t="s">
        <v>3958</v>
      </c>
      <c r="CG209" s="12" t="s">
        <v>3959</v>
      </c>
      <c r="CH209" s="12" t="s">
        <v>3960</v>
      </c>
      <c r="CI209" s="12" t="s">
        <v>3961</v>
      </c>
      <c r="CJ209" s="12" t="s">
        <v>3962</v>
      </c>
      <c r="CK209" s="12" t="s">
        <v>3963</v>
      </c>
      <c r="CL209" s="12" t="s">
        <v>3964</v>
      </c>
      <c r="CM209" s="12" t="s">
        <v>3965</v>
      </c>
      <c r="CN209" s="12" t="s">
        <v>3966</v>
      </c>
      <c r="CO209" s="12" t="s">
        <v>3967</v>
      </c>
      <c r="CP209" s="12" t="s">
        <v>3968</v>
      </c>
      <c r="CQ209" s="12" t="s">
        <v>3969</v>
      </c>
      <c r="CR209" s="12" t="s">
        <v>3970</v>
      </c>
      <c r="CS209" s="12" t="s">
        <v>3971</v>
      </c>
      <c r="CT209" s="12" t="s">
        <v>3972</v>
      </c>
    </row>
    <row r="210" spans="1:98" hidden="1" x14ac:dyDescent="0.3">
      <c r="A210" s="12" t="s">
        <v>25</v>
      </c>
      <c r="B210" s="12" t="s">
        <v>3973</v>
      </c>
      <c r="C210" s="12" t="s">
        <v>3974</v>
      </c>
      <c r="D210" s="12" t="s">
        <v>3975</v>
      </c>
      <c r="E210" s="12" t="s">
        <v>579</v>
      </c>
      <c r="F210" s="12" t="s">
        <v>579</v>
      </c>
      <c r="G210" s="12" t="s">
        <v>672</v>
      </c>
      <c r="H210" s="12" t="s">
        <v>672</v>
      </c>
      <c r="I210" s="12" t="s">
        <v>580</v>
      </c>
      <c r="J210" s="12" t="s">
        <v>581</v>
      </c>
      <c r="K210" s="12" t="s">
        <v>755</v>
      </c>
      <c r="L210" s="12" t="s">
        <v>755</v>
      </c>
      <c r="M210" s="12" t="s">
        <v>761</v>
      </c>
      <c r="N210" s="12" t="s">
        <v>624</v>
      </c>
      <c r="O210" s="12" t="s">
        <v>624</v>
      </c>
      <c r="P210" s="12" t="s">
        <v>624</v>
      </c>
      <c r="Q210" s="12" t="s">
        <v>624</v>
      </c>
      <c r="R210" s="12" t="s">
        <v>583</v>
      </c>
      <c r="S210" s="12" t="s">
        <v>583</v>
      </c>
      <c r="T210" s="12" t="s">
        <v>584</v>
      </c>
      <c r="U210" s="12" t="s">
        <v>584</v>
      </c>
      <c r="V210" s="12" t="s">
        <v>673</v>
      </c>
      <c r="W210" s="12" t="s">
        <v>808</v>
      </c>
      <c r="X210" s="12" t="s">
        <v>808</v>
      </c>
      <c r="Y210" s="12" t="s">
        <v>808</v>
      </c>
      <c r="Z210" s="12" t="s">
        <v>808</v>
      </c>
      <c r="AA210" s="12" t="s">
        <v>808</v>
      </c>
      <c r="AB210" s="12" t="s">
        <v>808</v>
      </c>
      <c r="AC210" s="12" t="s">
        <v>808</v>
      </c>
      <c r="AD210" s="12" t="s">
        <v>675</v>
      </c>
      <c r="AE210" s="12" t="s">
        <v>586</v>
      </c>
      <c r="AF210" s="12" t="s">
        <v>586</v>
      </c>
      <c r="AG210" s="12" t="s">
        <v>626</v>
      </c>
      <c r="AH210" s="12" t="s">
        <v>587</v>
      </c>
      <c r="AI210" s="12" t="s">
        <v>676</v>
      </c>
      <c r="AJ210" s="12" t="s">
        <v>676</v>
      </c>
      <c r="AK210" s="12" t="s">
        <v>869</v>
      </c>
      <c r="AL210" s="12" t="s">
        <v>2018</v>
      </c>
      <c r="AM210" s="12" t="s">
        <v>766</v>
      </c>
      <c r="AN210" s="12" t="s">
        <v>852</v>
      </c>
      <c r="AO210" s="12" t="s">
        <v>852</v>
      </c>
      <c r="AP210" s="12" t="s">
        <v>767</v>
      </c>
      <c r="AQ210" s="12" t="s">
        <v>718</v>
      </c>
      <c r="AR210" s="12" t="s">
        <v>588</v>
      </c>
      <c r="AS210" s="12" t="s">
        <v>1046</v>
      </c>
      <c r="AT210" s="12" t="s">
        <v>629</v>
      </c>
      <c r="AU210" s="12" t="s">
        <v>629</v>
      </c>
      <c r="AV210" s="12" t="s">
        <v>1096</v>
      </c>
      <c r="AW210" s="12" t="s">
        <v>768</v>
      </c>
      <c r="AX210" s="12" t="s">
        <v>768</v>
      </c>
      <c r="AY210" s="12" t="s">
        <v>768</v>
      </c>
      <c r="AZ210" s="12" t="s">
        <v>768</v>
      </c>
      <c r="BA210" s="12" t="s">
        <v>972</v>
      </c>
      <c r="BB210" s="12" t="s">
        <v>678</v>
      </c>
      <c r="BC210" s="12" t="s">
        <v>991</v>
      </c>
      <c r="BD210" s="12" t="s">
        <v>954</v>
      </c>
      <c r="BE210" s="12" t="s">
        <v>719</v>
      </c>
      <c r="BF210" s="12" t="s">
        <v>632</v>
      </c>
      <c r="BG210" s="12" t="s">
        <v>955</v>
      </c>
      <c r="BH210" s="12" t="s">
        <v>855</v>
      </c>
      <c r="BI210" s="12" t="s">
        <v>861</v>
      </c>
      <c r="BJ210" s="12" t="s">
        <v>1499</v>
      </c>
      <c r="BK210" s="12" t="s">
        <v>1356</v>
      </c>
      <c r="BL210" s="12" t="s">
        <v>2100</v>
      </c>
      <c r="BM210" s="12" t="s">
        <v>982</v>
      </c>
      <c r="BN210" s="12" t="s">
        <v>984</v>
      </c>
      <c r="BO210" s="12" t="s">
        <v>1735</v>
      </c>
      <c r="BP210" s="12" t="s">
        <v>815</v>
      </c>
      <c r="BQ210" s="12" t="s">
        <v>1511</v>
      </c>
      <c r="BR210" s="12" t="s">
        <v>727</v>
      </c>
      <c r="BS210" s="12" t="s">
        <v>1828</v>
      </c>
      <c r="BT210" s="12" t="s">
        <v>1098</v>
      </c>
      <c r="BU210" s="12" t="s">
        <v>1424</v>
      </c>
      <c r="BV210" s="12" t="s">
        <v>1742</v>
      </c>
      <c r="BW210" s="12" t="s">
        <v>819</v>
      </c>
      <c r="BX210" s="12" t="s">
        <v>2058</v>
      </c>
      <c r="BY210" s="12" t="s">
        <v>2572</v>
      </c>
      <c r="BZ210" s="12" t="s">
        <v>995</v>
      </c>
      <c r="CA210" s="12" t="s">
        <v>2060</v>
      </c>
      <c r="CB210" s="12" t="s">
        <v>1981</v>
      </c>
      <c r="CC210" s="12" t="s">
        <v>731</v>
      </c>
      <c r="CD210" s="12" t="s">
        <v>3976</v>
      </c>
      <c r="CE210" s="12" t="s">
        <v>1691</v>
      </c>
      <c r="CF210" s="12" t="s">
        <v>2189</v>
      </c>
      <c r="CG210" s="12" t="s">
        <v>3766</v>
      </c>
      <c r="CH210" s="12" t="s">
        <v>2502</v>
      </c>
      <c r="CI210" s="12" t="s">
        <v>1693</v>
      </c>
      <c r="CJ210" s="12" t="s">
        <v>1693</v>
      </c>
      <c r="CK210" s="12" t="s">
        <v>1694</v>
      </c>
      <c r="CL210" s="12" t="s">
        <v>1694</v>
      </c>
      <c r="CM210" s="12" t="s">
        <v>1694</v>
      </c>
      <c r="CN210" s="12" t="s">
        <v>3126</v>
      </c>
      <c r="CO210" s="12" t="s">
        <v>963</v>
      </c>
      <c r="CP210" s="12" t="s">
        <v>1368</v>
      </c>
      <c r="CQ210" s="12" t="s">
        <v>1533</v>
      </c>
      <c r="CR210" s="12" t="s">
        <v>1698</v>
      </c>
      <c r="CS210" s="12" t="s">
        <v>2890</v>
      </c>
      <c r="CT210" s="12" t="s">
        <v>733</v>
      </c>
    </row>
    <row r="211" spans="1:98" hidden="1" x14ac:dyDescent="0.3">
      <c r="A211" s="12" t="s">
        <v>25</v>
      </c>
      <c r="B211" s="12" t="s">
        <v>3977</v>
      </c>
      <c r="C211" s="12" t="s">
        <v>3978</v>
      </c>
      <c r="D211" s="12" t="s">
        <v>3979</v>
      </c>
      <c r="E211" s="12" t="s">
        <v>578</v>
      </c>
      <c r="F211" s="12" t="s">
        <v>578</v>
      </c>
      <c r="G211" s="12" t="s">
        <v>578</v>
      </c>
      <c r="H211" s="12" t="s">
        <v>578</v>
      </c>
      <c r="I211" s="12" t="s">
        <v>578</v>
      </c>
      <c r="J211" s="12" t="s">
        <v>578</v>
      </c>
      <c r="K211" s="12" t="s">
        <v>578</v>
      </c>
      <c r="L211" s="12" t="s">
        <v>578</v>
      </c>
      <c r="M211" s="12" t="s">
        <v>578</v>
      </c>
      <c r="N211" s="12" t="s">
        <v>578</v>
      </c>
      <c r="O211" s="12" t="s">
        <v>578</v>
      </c>
      <c r="P211" s="12" t="s">
        <v>578</v>
      </c>
      <c r="Q211" s="12" t="s">
        <v>578</v>
      </c>
      <c r="R211" s="12" t="s">
        <v>578</v>
      </c>
      <c r="S211" s="12" t="s">
        <v>578</v>
      </c>
      <c r="T211" s="12" t="s">
        <v>578</v>
      </c>
      <c r="U211" s="12" t="s">
        <v>578</v>
      </c>
      <c r="V211" s="12" t="s">
        <v>578</v>
      </c>
      <c r="W211" s="12" t="s">
        <v>578</v>
      </c>
      <c r="X211" s="12" t="s">
        <v>578</v>
      </c>
      <c r="Y211" s="12" t="s">
        <v>578</v>
      </c>
      <c r="Z211" s="12" t="s">
        <v>578</v>
      </c>
      <c r="AA211" s="12" t="s">
        <v>578</v>
      </c>
      <c r="AB211" s="12" t="s">
        <v>578</v>
      </c>
      <c r="AC211" s="12" t="s">
        <v>578</v>
      </c>
      <c r="AD211" s="12" t="s">
        <v>578</v>
      </c>
      <c r="AE211" s="12" t="s">
        <v>578</v>
      </c>
      <c r="AF211" s="12" t="s">
        <v>578</v>
      </c>
      <c r="AG211" s="12" t="s">
        <v>578</v>
      </c>
      <c r="AH211" s="12" t="s">
        <v>578</v>
      </c>
      <c r="AI211" s="12" t="s">
        <v>578</v>
      </c>
      <c r="AJ211" s="12" t="s">
        <v>578</v>
      </c>
      <c r="AK211" s="12" t="s">
        <v>578</v>
      </c>
      <c r="AL211" s="12" t="s">
        <v>578</v>
      </c>
      <c r="AM211" s="12" t="s">
        <v>578</v>
      </c>
      <c r="AN211" s="12" t="s">
        <v>578</v>
      </c>
      <c r="AO211" s="12" t="s">
        <v>578</v>
      </c>
      <c r="AP211" s="12" t="s">
        <v>578</v>
      </c>
      <c r="AQ211" s="12" t="s">
        <v>578</v>
      </c>
      <c r="AR211" s="12" t="s">
        <v>578</v>
      </c>
      <c r="AS211" s="12" t="s">
        <v>578</v>
      </c>
      <c r="AT211" s="12" t="s">
        <v>578</v>
      </c>
      <c r="AU211" s="12" t="s">
        <v>578</v>
      </c>
      <c r="AV211" s="12" t="s">
        <v>578</v>
      </c>
      <c r="AW211" s="12" t="s">
        <v>578</v>
      </c>
      <c r="AX211" s="12" t="s">
        <v>578</v>
      </c>
      <c r="AY211" s="12" t="s">
        <v>578</v>
      </c>
      <c r="AZ211" s="12" t="s">
        <v>578</v>
      </c>
      <c r="BA211" s="12" t="s">
        <v>578</v>
      </c>
      <c r="BB211" s="12" t="s">
        <v>578</v>
      </c>
      <c r="BC211" s="12" t="s">
        <v>578</v>
      </c>
      <c r="BD211" s="12" t="s">
        <v>578</v>
      </c>
      <c r="BE211" s="12" t="s">
        <v>578</v>
      </c>
      <c r="BF211" s="12" t="s">
        <v>578</v>
      </c>
      <c r="BG211" s="12" t="s">
        <v>579</v>
      </c>
      <c r="BH211" s="12" t="s">
        <v>579</v>
      </c>
      <c r="BI211" s="12" t="s">
        <v>672</v>
      </c>
      <c r="BJ211" s="12" t="s">
        <v>851</v>
      </c>
      <c r="BK211" s="12" t="s">
        <v>851</v>
      </c>
      <c r="BL211" s="12" t="s">
        <v>851</v>
      </c>
      <c r="BM211" s="12" t="s">
        <v>625</v>
      </c>
      <c r="BN211" s="12" t="s">
        <v>625</v>
      </c>
      <c r="BO211" s="12" t="s">
        <v>625</v>
      </c>
      <c r="BP211" s="12" t="s">
        <v>625</v>
      </c>
      <c r="BQ211" s="12" t="s">
        <v>868</v>
      </c>
      <c r="BR211" s="12" t="s">
        <v>868</v>
      </c>
      <c r="BS211" s="12" t="s">
        <v>756</v>
      </c>
      <c r="BT211" s="12" t="s">
        <v>756</v>
      </c>
      <c r="BU211" s="12" t="s">
        <v>674</v>
      </c>
      <c r="BV211" s="12" t="s">
        <v>674</v>
      </c>
      <c r="BW211" s="12" t="s">
        <v>675</v>
      </c>
      <c r="BX211" s="12" t="s">
        <v>675</v>
      </c>
      <c r="BY211" s="12" t="s">
        <v>675</v>
      </c>
      <c r="BZ211" s="12" t="s">
        <v>675</v>
      </c>
      <c r="CA211" s="12" t="s">
        <v>586</v>
      </c>
      <c r="CB211" s="12" t="s">
        <v>587</v>
      </c>
      <c r="CC211" s="12" t="s">
        <v>587</v>
      </c>
      <c r="CD211" s="12" t="s">
        <v>757</v>
      </c>
      <c r="CE211" s="12" t="s">
        <v>757</v>
      </c>
      <c r="CF211" s="12" t="s">
        <v>852</v>
      </c>
      <c r="CG211" s="12" t="s">
        <v>852</v>
      </c>
      <c r="CH211" s="12" t="s">
        <v>852</v>
      </c>
      <c r="CI211" s="12" t="s">
        <v>991</v>
      </c>
      <c r="CJ211" s="12" t="s">
        <v>719</v>
      </c>
      <c r="CK211" s="12" t="s">
        <v>721</v>
      </c>
      <c r="CL211" s="12" t="s">
        <v>591</v>
      </c>
      <c r="CM211" s="12" t="s">
        <v>1515</v>
      </c>
      <c r="CN211" s="12" t="s">
        <v>1515</v>
      </c>
      <c r="CO211" s="12" t="s">
        <v>594</v>
      </c>
      <c r="CP211" s="12" t="s">
        <v>1492</v>
      </c>
      <c r="CQ211" s="12" t="s">
        <v>1492</v>
      </c>
      <c r="CR211" s="12" t="s">
        <v>3027</v>
      </c>
      <c r="CS211" s="12" t="s">
        <v>3027</v>
      </c>
      <c r="CT211" s="12" t="s">
        <v>599</v>
      </c>
    </row>
    <row r="212" spans="1:98" hidden="1" x14ac:dyDescent="0.3">
      <c r="A212" s="12" t="s">
        <v>25</v>
      </c>
      <c r="B212" s="12" t="s">
        <v>3980</v>
      </c>
      <c r="C212" s="12" t="s">
        <v>3981</v>
      </c>
      <c r="D212" s="12" t="s">
        <v>3982</v>
      </c>
      <c r="E212" s="12" t="s">
        <v>623</v>
      </c>
      <c r="F212" s="12" t="s">
        <v>672</v>
      </c>
      <c r="G212" s="12" t="s">
        <v>581</v>
      </c>
      <c r="H212" s="12" t="s">
        <v>582</v>
      </c>
      <c r="I212" s="12" t="s">
        <v>755</v>
      </c>
      <c r="J212" s="12" t="s">
        <v>755</v>
      </c>
      <c r="K212" s="12" t="s">
        <v>756</v>
      </c>
      <c r="L212" s="12" t="s">
        <v>756</v>
      </c>
      <c r="M212" s="12" t="s">
        <v>756</v>
      </c>
      <c r="N212" s="12" t="s">
        <v>674</v>
      </c>
      <c r="O212" s="12" t="s">
        <v>674</v>
      </c>
      <c r="P212" s="12" t="s">
        <v>674</v>
      </c>
      <c r="Q212" s="12" t="s">
        <v>674</v>
      </c>
      <c r="R212" s="12" t="s">
        <v>757</v>
      </c>
      <c r="S212" s="12" t="s">
        <v>757</v>
      </c>
      <c r="T212" s="12" t="s">
        <v>757</v>
      </c>
      <c r="U212" s="12" t="s">
        <v>757</v>
      </c>
      <c r="V212" s="12" t="s">
        <v>852</v>
      </c>
      <c r="W212" s="12" t="s">
        <v>852</v>
      </c>
      <c r="X212" s="12" t="s">
        <v>852</v>
      </c>
      <c r="Y212" s="12" t="s">
        <v>627</v>
      </c>
      <c r="Z212" s="12" t="s">
        <v>627</v>
      </c>
      <c r="AA212" s="12" t="s">
        <v>627</v>
      </c>
      <c r="AB212" s="12" t="s">
        <v>627</v>
      </c>
      <c r="AC212" s="12" t="s">
        <v>627</v>
      </c>
      <c r="AD212" s="12" t="s">
        <v>767</v>
      </c>
      <c r="AE212" s="12" t="s">
        <v>917</v>
      </c>
      <c r="AF212" s="12" t="s">
        <v>917</v>
      </c>
      <c r="AG212" s="12" t="s">
        <v>917</v>
      </c>
      <c r="AH212" s="12" t="s">
        <v>917</v>
      </c>
      <c r="AI212" s="12" t="s">
        <v>917</v>
      </c>
      <c r="AJ212" s="12" t="s">
        <v>917</v>
      </c>
      <c r="AK212" s="12" t="s">
        <v>917</v>
      </c>
      <c r="AL212" s="12" t="s">
        <v>917</v>
      </c>
      <c r="AM212" s="12" t="s">
        <v>677</v>
      </c>
      <c r="AN212" s="12" t="s">
        <v>588</v>
      </c>
      <c r="AO212" s="12" t="s">
        <v>588</v>
      </c>
      <c r="AP212" s="12" t="s">
        <v>1046</v>
      </c>
      <c r="AQ212" s="12" t="s">
        <v>629</v>
      </c>
      <c r="AR212" s="12" t="s">
        <v>629</v>
      </c>
      <c r="AS212" s="12" t="s">
        <v>1259</v>
      </c>
      <c r="AT212" s="12" t="s">
        <v>1259</v>
      </c>
      <c r="AU212" s="12" t="s">
        <v>1259</v>
      </c>
      <c r="AV212" s="12" t="s">
        <v>972</v>
      </c>
      <c r="AW212" s="12" t="s">
        <v>678</v>
      </c>
      <c r="AX212" s="12" t="s">
        <v>954</v>
      </c>
      <c r="AY212" s="12" t="s">
        <v>954</v>
      </c>
      <c r="AZ212" s="12" t="s">
        <v>954</v>
      </c>
      <c r="BA212" s="12" t="s">
        <v>719</v>
      </c>
      <c r="BB212" s="12" t="s">
        <v>632</v>
      </c>
      <c r="BC212" s="12" t="s">
        <v>634</v>
      </c>
      <c r="BD212" s="12" t="s">
        <v>720</v>
      </c>
      <c r="BE212" s="12" t="s">
        <v>976</v>
      </c>
      <c r="BF212" s="12" t="s">
        <v>1353</v>
      </c>
      <c r="BG212" s="12" t="s">
        <v>1515</v>
      </c>
      <c r="BH212" s="12" t="s">
        <v>1531</v>
      </c>
      <c r="BI212" s="12" t="s">
        <v>642</v>
      </c>
      <c r="BJ212" s="12" t="s">
        <v>1736</v>
      </c>
      <c r="BK212" s="12" t="s">
        <v>1742</v>
      </c>
      <c r="BL212" s="12" t="s">
        <v>961</v>
      </c>
      <c r="BM212" s="12" t="s">
        <v>2106</v>
      </c>
      <c r="BN212" s="12" t="s">
        <v>1524</v>
      </c>
      <c r="BO212" s="12" t="s">
        <v>1527</v>
      </c>
      <c r="BP212" s="12" t="s">
        <v>936</v>
      </c>
      <c r="BQ212" s="12" t="s">
        <v>3983</v>
      </c>
      <c r="BR212" s="12" t="s">
        <v>1147</v>
      </c>
      <c r="BS212" s="12" t="s">
        <v>3984</v>
      </c>
      <c r="BT212" s="12" t="s">
        <v>3985</v>
      </c>
      <c r="BU212" s="12" t="s">
        <v>1794</v>
      </c>
      <c r="BV212" s="12" t="s">
        <v>3986</v>
      </c>
      <c r="BW212" s="12" t="s">
        <v>2719</v>
      </c>
      <c r="BX212" s="12" t="s">
        <v>3987</v>
      </c>
      <c r="BY212" s="12" t="s">
        <v>3988</v>
      </c>
      <c r="BZ212" s="12" t="s">
        <v>3989</v>
      </c>
      <c r="CA212" s="12" t="s">
        <v>3990</v>
      </c>
      <c r="CB212" s="12" t="s">
        <v>3991</v>
      </c>
      <c r="CC212" s="12" t="s">
        <v>3992</v>
      </c>
      <c r="CD212" s="12" t="s">
        <v>2893</v>
      </c>
      <c r="CE212" s="12" t="s">
        <v>3993</v>
      </c>
      <c r="CF212" s="12" t="s">
        <v>2148</v>
      </c>
      <c r="CG212" s="12" t="s">
        <v>1159</v>
      </c>
      <c r="CH212" s="12" t="s">
        <v>3994</v>
      </c>
      <c r="CI212" s="12" t="s">
        <v>3995</v>
      </c>
      <c r="CJ212" s="12" t="s">
        <v>3996</v>
      </c>
      <c r="CK212" s="12" t="s">
        <v>3997</v>
      </c>
      <c r="CL212" s="12" t="s">
        <v>3998</v>
      </c>
      <c r="CM212" s="12" t="s">
        <v>3935</v>
      </c>
      <c r="CN212" s="12" t="s">
        <v>3999</v>
      </c>
      <c r="CO212" s="12" t="s">
        <v>4000</v>
      </c>
      <c r="CP212" s="12" t="s">
        <v>4001</v>
      </c>
      <c r="CQ212" s="12" t="s">
        <v>711</v>
      </c>
      <c r="CR212" s="12" t="s">
        <v>4002</v>
      </c>
      <c r="CS212" s="12" t="s">
        <v>799</v>
      </c>
      <c r="CT212" s="12" t="s">
        <v>4003</v>
      </c>
    </row>
    <row r="213" spans="1:98" hidden="1" x14ac:dyDescent="0.3">
      <c r="A213" s="12" t="s">
        <v>25</v>
      </c>
      <c r="B213" s="12" t="s">
        <v>4004</v>
      </c>
      <c r="C213" s="12" t="s">
        <v>4005</v>
      </c>
      <c r="D213" s="12" t="s">
        <v>4006</v>
      </c>
      <c r="E213" s="12" t="s">
        <v>578</v>
      </c>
      <c r="F213" s="12" t="s">
        <v>578</v>
      </c>
      <c r="G213" s="12" t="s">
        <v>578</v>
      </c>
      <c r="H213" s="12" t="s">
        <v>578</v>
      </c>
      <c r="I213" s="12" t="s">
        <v>578</v>
      </c>
      <c r="J213" s="12" t="s">
        <v>578</v>
      </c>
      <c r="K213" s="12" t="s">
        <v>578</v>
      </c>
      <c r="L213" s="12" t="s">
        <v>578</v>
      </c>
      <c r="M213" s="12" t="s">
        <v>578</v>
      </c>
      <c r="N213" s="12" t="s">
        <v>578</v>
      </c>
      <c r="O213" s="12" t="s">
        <v>578</v>
      </c>
      <c r="P213" s="12" t="s">
        <v>578</v>
      </c>
      <c r="Q213" s="12" t="s">
        <v>578</v>
      </c>
      <c r="R213" s="12" t="s">
        <v>578</v>
      </c>
      <c r="S213" s="12" t="s">
        <v>578</v>
      </c>
      <c r="T213" s="12" t="s">
        <v>578</v>
      </c>
      <c r="U213" s="12" t="s">
        <v>578</v>
      </c>
      <c r="V213" s="12" t="s">
        <v>578</v>
      </c>
      <c r="W213" s="12" t="s">
        <v>578</v>
      </c>
      <c r="X213" s="12" t="s">
        <v>578</v>
      </c>
      <c r="Y213" s="12" t="s">
        <v>578</v>
      </c>
      <c r="Z213" s="12" t="s">
        <v>578</v>
      </c>
      <c r="AA213" s="12" t="s">
        <v>578</v>
      </c>
      <c r="AB213" s="12" t="s">
        <v>578</v>
      </c>
      <c r="AC213" s="12" t="s">
        <v>578</v>
      </c>
      <c r="AD213" s="12" t="s">
        <v>578</v>
      </c>
      <c r="AE213" s="12" t="s">
        <v>578</v>
      </c>
      <c r="AF213" s="12" t="s">
        <v>578</v>
      </c>
      <c r="AG213" s="12" t="s">
        <v>578</v>
      </c>
      <c r="AH213" s="12" t="s">
        <v>578</v>
      </c>
      <c r="AI213" s="12" t="s">
        <v>578</v>
      </c>
      <c r="AJ213" s="12" t="s">
        <v>578</v>
      </c>
      <c r="AK213" s="12" t="s">
        <v>578</v>
      </c>
      <c r="AL213" s="12" t="s">
        <v>578</v>
      </c>
      <c r="AM213" s="12" t="s">
        <v>578</v>
      </c>
      <c r="AN213" s="12" t="s">
        <v>578</v>
      </c>
      <c r="AO213" s="12" t="s">
        <v>578</v>
      </c>
      <c r="AP213" s="12" t="s">
        <v>578</v>
      </c>
      <c r="AQ213" s="12" t="s">
        <v>578</v>
      </c>
      <c r="AR213" s="12" t="s">
        <v>578</v>
      </c>
      <c r="AS213" s="12" t="s">
        <v>578</v>
      </c>
      <c r="AT213" s="12" t="s">
        <v>578</v>
      </c>
      <c r="AU213" s="12" t="s">
        <v>578</v>
      </c>
      <c r="AV213" s="12" t="s">
        <v>578</v>
      </c>
      <c r="AW213" s="12" t="s">
        <v>579</v>
      </c>
      <c r="AX213" s="12" t="s">
        <v>579</v>
      </c>
      <c r="AY213" s="12" t="s">
        <v>579</v>
      </c>
      <c r="AZ213" s="12" t="s">
        <v>579</v>
      </c>
      <c r="BA213" s="12" t="s">
        <v>579</v>
      </c>
      <c r="BB213" s="12" t="s">
        <v>579</v>
      </c>
      <c r="BC213" s="12" t="s">
        <v>579</v>
      </c>
      <c r="BD213" s="12" t="s">
        <v>579</v>
      </c>
      <c r="BE213" s="12" t="s">
        <v>579</v>
      </c>
      <c r="BF213" s="12" t="s">
        <v>579</v>
      </c>
      <c r="BG213" s="12" t="s">
        <v>579</v>
      </c>
      <c r="BH213" s="12" t="s">
        <v>579</v>
      </c>
      <c r="BI213" s="12" t="s">
        <v>579</v>
      </c>
      <c r="BJ213" s="12" t="s">
        <v>579</v>
      </c>
      <c r="BK213" s="12" t="s">
        <v>761</v>
      </c>
      <c r="BL213" s="12" t="s">
        <v>584</v>
      </c>
      <c r="BM213" s="12" t="s">
        <v>584</v>
      </c>
      <c r="BN213" s="12" t="s">
        <v>808</v>
      </c>
      <c r="BO213" s="12" t="s">
        <v>675</v>
      </c>
      <c r="BP213" s="12" t="s">
        <v>626</v>
      </c>
      <c r="BQ213" s="12" t="s">
        <v>626</v>
      </c>
      <c r="BR213" s="12" t="s">
        <v>757</v>
      </c>
      <c r="BS213" s="12" t="s">
        <v>757</v>
      </c>
      <c r="BT213" s="12" t="s">
        <v>757</v>
      </c>
      <c r="BU213" s="12" t="s">
        <v>2018</v>
      </c>
      <c r="BV213" s="12" t="s">
        <v>767</v>
      </c>
      <c r="BW213" s="12" t="s">
        <v>971</v>
      </c>
      <c r="BX213" s="12" t="s">
        <v>718</v>
      </c>
      <c r="BY213" s="12" t="s">
        <v>588</v>
      </c>
      <c r="BZ213" s="12" t="s">
        <v>1046</v>
      </c>
      <c r="CA213" s="12" t="s">
        <v>1096</v>
      </c>
      <c r="CB213" s="12" t="s">
        <v>1413</v>
      </c>
      <c r="CC213" s="12" t="s">
        <v>870</v>
      </c>
      <c r="CD213" s="12" t="s">
        <v>634</v>
      </c>
      <c r="CE213" s="12" t="s">
        <v>1120</v>
      </c>
      <c r="CF213" s="12" t="s">
        <v>635</v>
      </c>
      <c r="CG213" s="12" t="s">
        <v>635</v>
      </c>
      <c r="CH213" s="12" t="s">
        <v>635</v>
      </c>
      <c r="CI213" s="12" t="s">
        <v>855</v>
      </c>
      <c r="CJ213" s="12" t="s">
        <v>855</v>
      </c>
      <c r="CK213" s="12" t="s">
        <v>1184</v>
      </c>
      <c r="CL213" s="12" t="s">
        <v>1184</v>
      </c>
      <c r="CM213" s="12" t="s">
        <v>1352</v>
      </c>
      <c r="CN213" s="12" t="s">
        <v>590</v>
      </c>
      <c r="CO213" s="12" t="s">
        <v>590</v>
      </c>
      <c r="CP213" s="12" t="s">
        <v>590</v>
      </c>
      <c r="CQ213" s="12" t="s">
        <v>977</v>
      </c>
      <c r="CR213" s="12" t="s">
        <v>721</v>
      </c>
      <c r="CS213" s="12" t="s">
        <v>721</v>
      </c>
      <c r="CT213" s="12" t="s">
        <v>682</v>
      </c>
    </row>
    <row r="214" spans="1:98" hidden="1" x14ac:dyDescent="0.3">
      <c r="A214" s="12" t="s">
        <v>25</v>
      </c>
      <c r="B214" s="12" t="s">
        <v>4007</v>
      </c>
      <c r="C214" s="12" t="s">
        <v>4008</v>
      </c>
      <c r="D214" s="12" t="s">
        <v>4009</v>
      </c>
      <c r="E214" s="12" t="s">
        <v>578</v>
      </c>
      <c r="F214" s="12" t="s">
        <v>578</v>
      </c>
      <c r="G214" s="12" t="s">
        <v>578</v>
      </c>
      <c r="H214" s="12" t="s">
        <v>578</v>
      </c>
      <c r="I214" s="12" t="s">
        <v>578</v>
      </c>
      <c r="J214" s="12" t="s">
        <v>578</v>
      </c>
      <c r="K214" s="12" t="s">
        <v>578</v>
      </c>
      <c r="L214" s="12" t="s">
        <v>578</v>
      </c>
      <c r="M214" s="12" t="s">
        <v>578</v>
      </c>
      <c r="N214" s="12" t="s">
        <v>578</v>
      </c>
      <c r="O214" s="12" t="s">
        <v>578</v>
      </c>
      <c r="P214" s="12" t="s">
        <v>578</v>
      </c>
      <c r="Q214" s="12" t="s">
        <v>578</v>
      </c>
      <c r="R214" s="12" t="s">
        <v>578</v>
      </c>
      <c r="S214" s="12" t="s">
        <v>578</v>
      </c>
      <c r="T214" s="12" t="s">
        <v>578</v>
      </c>
      <c r="U214" s="12" t="s">
        <v>578</v>
      </c>
      <c r="V214" s="12" t="s">
        <v>578</v>
      </c>
      <c r="W214" s="12" t="s">
        <v>578</v>
      </c>
      <c r="X214" s="12" t="s">
        <v>578</v>
      </c>
      <c r="Y214" s="12" t="s">
        <v>578</v>
      </c>
      <c r="Z214" s="12" t="s">
        <v>578</v>
      </c>
      <c r="AA214" s="12" t="s">
        <v>578</v>
      </c>
      <c r="AB214" s="12" t="s">
        <v>578</v>
      </c>
      <c r="AC214" s="12" t="s">
        <v>578</v>
      </c>
      <c r="AD214" s="12" t="s">
        <v>578</v>
      </c>
      <c r="AE214" s="12" t="s">
        <v>578</v>
      </c>
      <c r="AF214" s="12" t="s">
        <v>578</v>
      </c>
      <c r="AG214" s="12" t="s">
        <v>578</v>
      </c>
      <c r="AH214" s="12" t="s">
        <v>578</v>
      </c>
      <c r="AI214" s="12" t="s">
        <v>578</v>
      </c>
      <c r="AJ214" s="12" t="s">
        <v>578</v>
      </c>
      <c r="AK214" s="12" t="s">
        <v>578</v>
      </c>
      <c r="AL214" s="12" t="s">
        <v>578</v>
      </c>
      <c r="AM214" s="12" t="s">
        <v>578</v>
      </c>
      <c r="AN214" s="12" t="s">
        <v>578</v>
      </c>
      <c r="AO214" s="12" t="s">
        <v>578</v>
      </c>
      <c r="AP214" s="12" t="s">
        <v>578</v>
      </c>
      <c r="AQ214" s="12" t="s">
        <v>578</v>
      </c>
      <c r="AR214" s="12" t="s">
        <v>578</v>
      </c>
      <c r="AS214" s="12" t="s">
        <v>578</v>
      </c>
      <c r="AT214" s="12" t="s">
        <v>578</v>
      </c>
      <c r="AU214" s="12" t="s">
        <v>578</v>
      </c>
      <c r="AV214" s="12" t="s">
        <v>578</v>
      </c>
      <c r="AW214" s="12" t="s">
        <v>578</v>
      </c>
      <c r="AX214" s="12" t="s">
        <v>578</v>
      </c>
      <c r="AY214" s="12" t="s">
        <v>578</v>
      </c>
      <c r="AZ214" s="12" t="s">
        <v>578</v>
      </c>
      <c r="BA214" s="12" t="s">
        <v>578</v>
      </c>
      <c r="BB214" s="12" t="s">
        <v>578</v>
      </c>
      <c r="BC214" s="12" t="s">
        <v>578</v>
      </c>
      <c r="BD214" s="12" t="s">
        <v>578</v>
      </c>
      <c r="BE214" s="12" t="s">
        <v>623</v>
      </c>
      <c r="BF214" s="12" t="s">
        <v>623</v>
      </c>
      <c r="BG214" s="12" t="s">
        <v>580</v>
      </c>
      <c r="BH214" s="12" t="s">
        <v>581</v>
      </c>
      <c r="BI214" s="12" t="s">
        <v>582</v>
      </c>
      <c r="BJ214" s="12" t="s">
        <v>761</v>
      </c>
      <c r="BK214" s="12" t="s">
        <v>761</v>
      </c>
      <c r="BL214" s="12" t="s">
        <v>991</v>
      </c>
      <c r="BM214" s="12" t="s">
        <v>954</v>
      </c>
      <c r="BN214" s="12" t="s">
        <v>630</v>
      </c>
      <c r="BO214" s="12" t="s">
        <v>992</v>
      </c>
      <c r="BP214" s="12" t="s">
        <v>680</v>
      </c>
      <c r="BQ214" s="12" t="s">
        <v>870</v>
      </c>
      <c r="BR214" s="12" t="s">
        <v>973</v>
      </c>
      <c r="BS214" s="12" t="s">
        <v>589</v>
      </c>
      <c r="BT214" s="12" t="s">
        <v>810</v>
      </c>
      <c r="BU214" s="12" t="s">
        <v>976</v>
      </c>
      <c r="BV214" s="12" t="s">
        <v>681</v>
      </c>
      <c r="BW214" s="12" t="s">
        <v>682</v>
      </c>
      <c r="BX214" s="12" t="s">
        <v>591</v>
      </c>
      <c r="BY214" s="12" t="s">
        <v>978</v>
      </c>
      <c r="BZ214" s="12" t="s">
        <v>862</v>
      </c>
      <c r="CA214" s="12" t="s">
        <v>637</v>
      </c>
      <c r="CB214" s="12" t="s">
        <v>864</v>
      </c>
      <c r="CC214" s="12" t="s">
        <v>1260</v>
      </c>
      <c r="CD214" s="12" t="s">
        <v>1260</v>
      </c>
      <c r="CE214" s="12" t="s">
        <v>1208</v>
      </c>
      <c r="CF214" s="12" t="s">
        <v>1208</v>
      </c>
      <c r="CG214" s="12" t="s">
        <v>872</v>
      </c>
      <c r="CH214" s="12" t="s">
        <v>722</v>
      </c>
      <c r="CI214" s="12" t="s">
        <v>722</v>
      </c>
      <c r="CJ214" s="12" t="s">
        <v>722</v>
      </c>
      <c r="CK214" s="12" t="s">
        <v>1353</v>
      </c>
      <c r="CL214" s="12" t="s">
        <v>1353</v>
      </c>
      <c r="CM214" s="12" t="s">
        <v>1353</v>
      </c>
      <c r="CN214" s="12" t="s">
        <v>1353</v>
      </c>
      <c r="CO214" s="12" t="s">
        <v>1353</v>
      </c>
      <c r="CP214" s="12" t="s">
        <v>1353</v>
      </c>
      <c r="CQ214" s="12" t="s">
        <v>811</v>
      </c>
      <c r="CR214" s="12" t="s">
        <v>811</v>
      </c>
      <c r="CS214" s="12" t="s">
        <v>811</v>
      </c>
      <c r="CT214" s="12" t="s">
        <v>811</v>
      </c>
    </row>
    <row r="215" spans="1:98" hidden="1" x14ac:dyDescent="0.3">
      <c r="A215" s="12" t="s">
        <v>25</v>
      </c>
      <c r="B215" s="12" t="s">
        <v>4010</v>
      </c>
      <c r="C215" s="12" t="s">
        <v>4011</v>
      </c>
      <c r="D215" s="12" t="s">
        <v>2575</v>
      </c>
      <c r="E215" s="12" t="s">
        <v>578</v>
      </c>
      <c r="F215" s="12" t="s">
        <v>578</v>
      </c>
      <c r="G215" s="12" t="s">
        <v>578</v>
      </c>
      <c r="H215" s="12" t="s">
        <v>578</v>
      </c>
      <c r="I215" s="12" t="s">
        <v>578</v>
      </c>
      <c r="J215" s="12" t="s">
        <v>578</v>
      </c>
      <c r="K215" s="12" t="s">
        <v>578</v>
      </c>
      <c r="L215" s="12" t="s">
        <v>578</v>
      </c>
      <c r="M215" s="12" t="s">
        <v>578</v>
      </c>
      <c r="N215" s="12" t="s">
        <v>578</v>
      </c>
      <c r="O215" s="12" t="s">
        <v>578</v>
      </c>
      <c r="P215" s="12" t="s">
        <v>578</v>
      </c>
      <c r="Q215" s="12" t="s">
        <v>578</v>
      </c>
      <c r="R215" s="12" t="s">
        <v>578</v>
      </c>
      <c r="S215" s="12" t="s">
        <v>578</v>
      </c>
      <c r="T215" s="12" t="s">
        <v>578</v>
      </c>
      <c r="U215" s="12" t="s">
        <v>578</v>
      </c>
      <c r="V215" s="12" t="s">
        <v>578</v>
      </c>
      <c r="W215" s="12" t="s">
        <v>578</v>
      </c>
      <c r="X215" s="12" t="s">
        <v>578</v>
      </c>
      <c r="Y215" s="12" t="s">
        <v>578</v>
      </c>
      <c r="Z215" s="12" t="s">
        <v>578</v>
      </c>
      <c r="AA215" s="12" t="s">
        <v>578</v>
      </c>
      <c r="AB215" s="12" t="s">
        <v>578</v>
      </c>
      <c r="AC215" s="12" t="s">
        <v>578</v>
      </c>
      <c r="AD215" s="12" t="s">
        <v>578</v>
      </c>
      <c r="AE215" s="12" t="s">
        <v>578</v>
      </c>
      <c r="AF215" s="12" t="s">
        <v>578</v>
      </c>
      <c r="AG215" s="12" t="s">
        <v>578</v>
      </c>
      <c r="AH215" s="12" t="s">
        <v>578</v>
      </c>
      <c r="AI215" s="12" t="s">
        <v>578</v>
      </c>
      <c r="AJ215" s="12" t="s">
        <v>578</v>
      </c>
      <c r="AK215" s="12" t="s">
        <v>578</v>
      </c>
      <c r="AL215" s="12" t="s">
        <v>578</v>
      </c>
      <c r="AM215" s="12" t="s">
        <v>578</v>
      </c>
      <c r="AN215" s="12" t="s">
        <v>578</v>
      </c>
      <c r="AO215" s="12" t="s">
        <v>578</v>
      </c>
      <c r="AP215" s="12" t="s">
        <v>578</v>
      </c>
      <c r="AQ215" s="12" t="s">
        <v>578</v>
      </c>
      <c r="AR215" s="12" t="s">
        <v>578</v>
      </c>
      <c r="AS215" s="12" t="s">
        <v>578</v>
      </c>
      <c r="AT215" s="12" t="s">
        <v>578</v>
      </c>
      <c r="AU215" s="12" t="s">
        <v>579</v>
      </c>
      <c r="AV215" s="12" t="s">
        <v>579</v>
      </c>
      <c r="AW215" s="12" t="s">
        <v>579</v>
      </c>
      <c r="AX215" s="12" t="s">
        <v>579</v>
      </c>
      <c r="AY215" s="12" t="s">
        <v>623</v>
      </c>
      <c r="AZ215" s="12" t="s">
        <v>623</v>
      </c>
      <c r="BA215" s="12" t="s">
        <v>581</v>
      </c>
      <c r="BB215" s="12" t="s">
        <v>582</v>
      </c>
      <c r="BC215" s="12" t="s">
        <v>582</v>
      </c>
      <c r="BD215" s="12" t="s">
        <v>584</v>
      </c>
      <c r="BE215" s="12" t="s">
        <v>808</v>
      </c>
      <c r="BF215" s="12" t="s">
        <v>808</v>
      </c>
      <c r="BG215" s="12" t="s">
        <v>675</v>
      </c>
      <c r="BH215" s="12" t="s">
        <v>587</v>
      </c>
      <c r="BI215" s="12" t="s">
        <v>953</v>
      </c>
      <c r="BJ215" s="12" t="s">
        <v>718</v>
      </c>
      <c r="BK215" s="12" t="s">
        <v>679</v>
      </c>
      <c r="BL215" s="12" t="s">
        <v>680</v>
      </c>
      <c r="BM215" s="12" t="s">
        <v>720</v>
      </c>
      <c r="BN215" s="12" t="s">
        <v>636</v>
      </c>
      <c r="BO215" s="12" t="s">
        <v>1353</v>
      </c>
      <c r="BP215" s="12" t="s">
        <v>1516</v>
      </c>
      <c r="BQ215" s="12" t="s">
        <v>641</v>
      </c>
      <c r="BR215" s="12" t="s">
        <v>1839</v>
      </c>
      <c r="BS215" s="12" t="s">
        <v>1028</v>
      </c>
      <c r="BT215" s="12" t="s">
        <v>1831</v>
      </c>
      <c r="BU215" s="12" t="s">
        <v>1831</v>
      </c>
      <c r="BV215" s="12" t="s">
        <v>2167</v>
      </c>
      <c r="BW215" s="12" t="s">
        <v>602</v>
      </c>
      <c r="BX215" s="12" t="s">
        <v>3710</v>
      </c>
      <c r="BY215" s="12" t="s">
        <v>1035</v>
      </c>
      <c r="BZ215" s="12" t="s">
        <v>1724</v>
      </c>
      <c r="CA215" s="12" t="s">
        <v>997</v>
      </c>
      <c r="CB215" s="12" t="s">
        <v>4012</v>
      </c>
      <c r="CC215" s="12" t="s">
        <v>2680</v>
      </c>
      <c r="CD215" s="12" t="s">
        <v>1571</v>
      </c>
      <c r="CE215" s="12" t="s">
        <v>1137</v>
      </c>
      <c r="CF215" s="12" t="s">
        <v>3384</v>
      </c>
      <c r="CG215" s="12" t="s">
        <v>998</v>
      </c>
      <c r="CH215" s="12" t="s">
        <v>3528</v>
      </c>
      <c r="CI215" s="12" t="s">
        <v>2223</v>
      </c>
      <c r="CJ215" s="12" t="s">
        <v>1380</v>
      </c>
      <c r="CK215" s="12" t="s">
        <v>2050</v>
      </c>
      <c r="CL215" s="12" t="s">
        <v>827</v>
      </c>
      <c r="CM215" s="12" t="s">
        <v>2286</v>
      </c>
      <c r="CN215" s="12" t="s">
        <v>2286</v>
      </c>
      <c r="CO215" s="12" t="s">
        <v>1966</v>
      </c>
      <c r="CP215" s="12" t="s">
        <v>1463</v>
      </c>
      <c r="CQ215" s="12" t="s">
        <v>1463</v>
      </c>
      <c r="CR215" s="12" t="s">
        <v>4013</v>
      </c>
      <c r="CS215" s="12" t="s">
        <v>4014</v>
      </c>
      <c r="CT215" s="12" t="s">
        <v>1629</v>
      </c>
    </row>
    <row r="216" spans="1:98" hidden="1" x14ac:dyDescent="0.3">
      <c r="A216" s="12" t="s">
        <v>25</v>
      </c>
      <c r="B216" s="12" t="s">
        <v>4015</v>
      </c>
      <c r="C216" s="12" t="s">
        <v>4016</v>
      </c>
      <c r="D216" s="12" t="s">
        <v>4017</v>
      </c>
      <c r="E216" s="12" t="s">
        <v>578</v>
      </c>
      <c r="F216" s="12" t="s">
        <v>578</v>
      </c>
      <c r="G216" s="12" t="s">
        <v>578</v>
      </c>
      <c r="H216" s="12" t="s">
        <v>578</v>
      </c>
      <c r="I216" s="12" t="s">
        <v>578</v>
      </c>
      <c r="J216" s="12" t="s">
        <v>578</v>
      </c>
      <c r="K216" s="12" t="s">
        <v>578</v>
      </c>
      <c r="L216" s="12" t="s">
        <v>578</v>
      </c>
      <c r="M216" s="12" t="s">
        <v>578</v>
      </c>
      <c r="N216" s="12" t="s">
        <v>578</v>
      </c>
      <c r="O216" s="12" t="s">
        <v>578</v>
      </c>
      <c r="P216" s="12" t="s">
        <v>578</v>
      </c>
      <c r="Q216" s="12" t="s">
        <v>578</v>
      </c>
      <c r="R216" s="12" t="s">
        <v>578</v>
      </c>
      <c r="S216" s="12" t="s">
        <v>578</v>
      </c>
      <c r="T216" s="12" t="s">
        <v>578</v>
      </c>
      <c r="U216" s="12" t="s">
        <v>578</v>
      </c>
      <c r="V216" s="12" t="s">
        <v>578</v>
      </c>
      <c r="W216" s="12" t="s">
        <v>578</v>
      </c>
      <c r="X216" s="12" t="s">
        <v>578</v>
      </c>
      <c r="Y216" s="12" t="s">
        <v>578</v>
      </c>
      <c r="Z216" s="12" t="s">
        <v>578</v>
      </c>
      <c r="AA216" s="12" t="s">
        <v>578</v>
      </c>
      <c r="AB216" s="12" t="s">
        <v>578</v>
      </c>
      <c r="AC216" s="12" t="s">
        <v>578</v>
      </c>
      <c r="AD216" s="12" t="s">
        <v>578</v>
      </c>
      <c r="AE216" s="12" t="s">
        <v>578</v>
      </c>
      <c r="AF216" s="12" t="s">
        <v>578</v>
      </c>
      <c r="AG216" s="12" t="s">
        <v>578</v>
      </c>
      <c r="AH216" s="12" t="s">
        <v>578</v>
      </c>
      <c r="AI216" s="12" t="s">
        <v>578</v>
      </c>
      <c r="AJ216" s="12" t="s">
        <v>578</v>
      </c>
      <c r="AK216" s="12" t="s">
        <v>578</v>
      </c>
      <c r="AL216" s="12" t="s">
        <v>578</v>
      </c>
      <c r="AM216" s="12" t="s">
        <v>578</v>
      </c>
      <c r="AN216" s="12" t="s">
        <v>578</v>
      </c>
      <c r="AO216" s="12" t="s">
        <v>578</v>
      </c>
      <c r="AP216" s="12" t="s">
        <v>578</v>
      </c>
      <c r="AQ216" s="12" t="s">
        <v>578</v>
      </c>
      <c r="AR216" s="12" t="s">
        <v>578</v>
      </c>
      <c r="AS216" s="12" t="s">
        <v>578</v>
      </c>
      <c r="AT216" s="12" t="s">
        <v>578</v>
      </c>
      <c r="AU216" s="12" t="s">
        <v>578</v>
      </c>
      <c r="AV216" s="12" t="s">
        <v>578</v>
      </c>
      <c r="AW216" s="12" t="s">
        <v>578</v>
      </c>
      <c r="AX216" s="12" t="s">
        <v>578</v>
      </c>
      <c r="AY216" s="12" t="s">
        <v>578</v>
      </c>
      <c r="AZ216" s="12" t="s">
        <v>578</v>
      </c>
      <c r="BA216" s="12" t="s">
        <v>578</v>
      </c>
      <c r="BB216" s="12" t="s">
        <v>579</v>
      </c>
      <c r="BC216" s="12" t="s">
        <v>579</v>
      </c>
      <c r="BD216" s="12" t="s">
        <v>581</v>
      </c>
      <c r="BE216" s="12" t="s">
        <v>581</v>
      </c>
      <c r="BF216" s="12" t="s">
        <v>851</v>
      </c>
      <c r="BG216" s="12" t="s">
        <v>808</v>
      </c>
      <c r="BH216" s="12" t="s">
        <v>972</v>
      </c>
      <c r="BI216" s="12" t="s">
        <v>978</v>
      </c>
      <c r="BJ216" s="12" t="s">
        <v>2839</v>
      </c>
      <c r="BK216" s="12" t="s">
        <v>1099</v>
      </c>
      <c r="BL216" s="12" t="s">
        <v>2576</v>
      </c>
      <c r="BM216" s="12" t="s">
        <v>2124</v>
      </c>
      <c r="BN216" s="12" t="s">
        <v>4018</v>
      </c>
      <c r="BO216" s="12" t="s">
        <v>4019</v>
      </c>
      <c r="BP216" s="12" t="s">
        <v>4020</v>
      </c>
      <c r="BQ216" s="12" t="s">
        <v>4021</v>
      </c>
      <c r="BR216" s="12" t="s">
        <v>4022</v>
      </c>
      <c r="BS216" s="12" t="s">
        <v>4023</v>
      </c>
      <c r="BT216" s="12" t="s">
        <v>4024</v>
      </c>
      <c r="BU216" s="12" t="s">
        <v>4025</v>
      </c>
      <c r="BV216" s="12" t="s">
        <v>4026</v>
      </c>
      <c r="BW216" s="12" t="s">
        <v>4027</v>
      </c>
      <c r="BX216" s="12" t="s">
        <v>4028</v>
      </c>
      <c r="BY216" s="12" t="s">
        <v>4029</v>
      </c>
      <c r="BZ216" s="12" t="s">
        <v>4030</v>
      </c>
      <c r="CA216" s="12" t="s">
        <v>4031</v>
      </c>
      <c r="CB216" s="12" t="s">
        <v>4032</v>
      </c>
      <c r="CC216" s="12" t="s">
        <v>4033</v>
      </c>
      <c r="CD216" s="12" t="s">
        <v>4034</v>
      </c>
      <c r="CE216" s="12" t="s">
        <v>4035</v>
      </c>
      <c r="CF216" s="12" t="s">
        <v>4036</v>
      </c>
      <c r="CG216" s="12" t="s">
        <v>4037</v>
      </c>
      <c r="CH216" s="12" t="s">
        <v>4038</v>
      </c>
      <c r="CI216" s="12" t="s">
        <v>4039</v>
      </c>
      <c r="CJ216" s="12" t="s">
        <v>4040</v>
      </c>
      <c r="CK216" s="12" t="s">
        <v>4041</v>
      </c>
      <c r="CL216" s="12" t="s">
        <v>4042</v>
      </c>
      <c r="CM216" s="12" t="s">
        <v>4043</v>
      </c>
      <c r="CN216" s="12" t="s">
        <v>4044</v>
      </c>
      <c r="CO216" s="12" t="s">
        <v>4045</v>
      </c>
      <c r="CP216" s="12" t="s">
        <v>4046</v>
      </c>
      <c r="CQ216" s="12" t="s">
        <v>4047</v>
      </c>
      <c r="CR216" s="12" t="s">
        <v>4048</v>
      </c>
      <c r="CS216" s="12" t="s">
        <v>4049</v>
      </c>
      <c r="CT216" s="12" t="s">
        <v>4050</v>
      </c>
    </row>
    <row r="217" spans="1:98" hidden="1" x14ac:dyDescent="0.3">
      <c r="A217" s="12" t="s">
        <v>25</v>
      </c>
      <c r="B217" s="12" t="s">
        <v>4051</v>
      </c>
      <c r="C217" s="12" t="s">
        <v>4052</v>
      </c>
      <c r="D217" s="12" t="s">
        <v>2782</v>
      </c>
      <c r="E217" s="12" t="s">
        <v>578</v>
      </c>
      <c r="F217" s="12" t="s">
        <v>578</v>
      </c>
      <c r="G217" s="12" t="s">
        <v>578</v>
      </c>
      <c r="H217" s="12" t="s">
        <v>578</v>
      </c>
      <c r="I217" s="12" t="s">
        <v>578</v>
      </c>
      <c r="J217" s="12" t="s">
        <v>578</v>
      </c>
      <c r="K217" s="12" t="s">
        <v>578</v>
      </c>
      <c r="L217" s="12" t="s">
        <v>578</v>
      </c>
      <c r="M217" s="12" t="s">
        <v>578</v>
      </c>
      <c r="N217" s="12" t="s">
        <v>578</v>
      </c>
      <c r="O217" s="12" t="s">
        <v>578</v>
      </c>
      <c r="P217" s="12" t="s">
        <v>578</v>
      </c>
      <c r="Q217" s="12" t="s">
        <v>578</v>
      </c>
      <c r="R217" s="12" t="s">
        <v>578</v>
      </c>
      <c r="S217" s="12" t="s">
        <v>578</v>
      </c>
      <c r="T217" s="12" t="s">
        <v>578</v>
      </c>
      <c r="U217" s="12" t="s">
        <v>578</v>
      </c>
      <c r="V217" s="12" t="s">
        <v>578</v>
      </c>
      <c r="W217" s="12" t="s">
        <v>578</v>
      </c>
      <c r="X217" s="12" t="s">
        <v>578</v>
      </c>
      <c r="Y217" s="12" t="s">
        <v>578</v>
      </c>
      <c r="Z217" s="12" t="s">
        <v>578</v>
      </c>
      <c r="AA217" s="12" t="s">
        <v>578</v>
      </c>
      <c r="AB217" s="12" t="s">
        <v>578</v>
      </c>
      <c r="AC217" s="12" t="s">
        <v>578</v>
      </c>
      <c r="AD217" s="12" t="s">
        <v>578</v>
      </c>
      <c r="AE217" s="12" t="s">
        <v>578</v>
      </c>
      <c r="AF217" s="12" t="s">
        <v>578</v>
      </c>
      <c r="AG217" s="12" t="s">
        <v>578</v>
      </c>
      <c r="AH217" s="12" t="s">
        <v>578</v>
      </c>
      <c r="AI217" s="12" t="s">
        <v>578</v>
      </c>
      <c r="AJ217" s="12" t="s">
        <v>578</v>
      </c>
      <c r="AK217" s="12" t="s">
        <v>578</v>
      </c>
      <c r="AL217" s="12" t="s">
        <v>578</v>
      </c>
      <c r="AM217" s="12" t="s">
        <v>578</v>
      </c>
      <c r="AN217" s="12" t="s">
        <v>578</v>
      </c>
      <c r="AO217" s="12" t="s">
        <v>578</v>
      </c>
      <c r="AP217" s="12" t="s">
        <v>578</v>
      </c>
      <c r="AQ217" s="12" t="s">
        <v>578</v>
      </c>
      <c r="AR217" s="12" t="s">
        <v>578</v>
      </c>
      <c r="AS217" s="12" t="s">
        <v>578</v>
      </c>
      <c r="AT217" s="12" t="s">
        <v>578</v>
      </c>
      <c r="AU217" s="12" t="s">
        <v>578</v>
      </c>
      <c r="AV217" s="12" t="s">
        <v>578</v>
      </c>
      <c r="AW217" s="12" t="s">
        <v>578</v>
      </c>
      <c r="AX217" s="12" t="s">
        <v>578</v>
      </c>
      <c r="AY217" s="12" t="s">
        <v>578</v>
      </c>
      <c r="AZ217" s="12" t="s">
        <v>578</v>
      </c>
      <c r="BA217" s="12" t="s">
        <v>578</v>
      </c>
      <c r="BB217" s="12" t="s">
        <v>578</v>
      </c>
      <c r="BC217" s="12" t="s">
        <v>578</v>
      </c>
      <c r="BD217" s="12" t="s">
        <v>578</v>
      </c>
      <c r="BE217" s="12" t="s">
        <v>578</v>
      </c>
      <c r="BF217" s="12" t="s">
        <v>578</v>
      </c>
      <c r="BG217" s="12" t="s">
        <v>578</v>
      </c>
      <c r="BH217" s="12" t="s">
        <v>578</v>
      </c>
      <c r="BI217" s="12" t="s">
        <v>578</v>
      </c>
      <c r="BJ217" s="12" t="s">
        <v>578</v>
      </c>
      <c r="BK217" s="12" t="s">
        <v>578</v>
      </c>
      <c r="BL217" s="12" t="s">
        <v>579</v>
      </c>
      <c r="BM217" s="12" t="s">
        <v>579</v>
      </c>
      <c r="BN217" s="12" t="s">
        <v>761</v>
      </c>
      <c r="BO217" s="12" t="s">
        <v>761</v>
      </c>
      <c r="BP217" s="12" t="s">
        <v>756</v>
      </c>
      <c r="BQ217" s="12" t="s">
        <v>756</v>
      </c>
      <c r="BR217" s="12" t="s">
        <v>626</v>
      </c>
      <c r="BS217" s="12" t="s">
        <v>2018</v>
      </c>
      <c r="BT217" s="12" t="s">
        <v>627</v>
      </c>
      <c r="BU217" s="12" t="s">
        <v>627</v>
      </c>
      <c r="BV217" s="12" t="s">
        <v>1096</v>
      </c>
      <c r="BW217" s="12" t="s">
        <v>1096</v>
      </c>
      <c r="BX217" s="12" t="s">
        <v>768</v>
      </c>
      <c r="BY217" s="12" t="s">
        <v>678</v>
      </c>
      <c r="BZ217" s="12" t="s">
        <v>678</v>
      </c>
      <c r="CA217" s="12" t="s">
        <v>809</v>
      </c>
      <c r="CB217" s="12" t="s">
        <v>809</v>
      </c>
      <c r="CC217" s="12" t="s">
        <v>809</v>
      </c>
      <c r="CD217" s="12" t="s">
        <v>719</v>
      </c>
      <c r="CE217" s="12" t="s">
        <v>719</v>
      </c>
      <c r="CF217" s="12" t="s">
        <v>719</v>
      </c>
      <c r="CG217" s="12" t="s">
        <v>719</v>
      </c>
      <c r="CH217" s="12" t="s">
        <v>679</v>
      </c>
      <c r="CI217" s="12" t="s">
        <v>679</v>
      </c>
      <c r="CJ217" s="12" t="s">
        <v>631</v>
      </c>
      <c r="CK217" s="12" t="s">
        <v>631</v>
      </c>
      <c r="CL217" s="12" t="s">
        <v>631</v>
      </c>
      <c r="CM217" s="12" t="s">
        <v>769</v>
      </c>
      <c r="CN217" s="12" t="s">
        <v>631</v>
      </c>
      <c r="CO217" s="12" t="s">
        <v>631</v>
      </c>
      <c r="CP217" s="12" t="s">
        <v>769</v>
      </c>
      <c r="CQ217" s="12" t="s">
        <v>919</v>
      </c>
      <c r="CR217" s="12" t="s">
        <v>1180</v>
      </c>
      <c r="CS217" s="12" t="s">
        <v>589</v>
      </c>
      <c r="CT217" s="12" t="s">
        <v>720</v>
      </c>
    </row>
    <row r="218" spans="1:98" hidden="1" x14ac:dyDescent="0.3">
      <c r="A218" s="12" t="s">
        <v>25</v>
      </c>
      <c r="B218" s="12" t="s">
        <v>4053</v>
      </c>
      <c r="C218" s="12" t="s">
        <v>4054</v>
      </c>
      <c r="D218" s="12" t="s">
        <v>4055</v>
      </c>
      <c r="E218" s="12" t="s">
        <v>578</v>
      </c>
      <c r="F218" s="12" t="s">
        <v>578</v>
      </c>
      <c r="G218" s="12" t="s">
        <v>578</v>
      </c>
      <c r="H218" s="12" t="s">
        <v>578</v>
      </c>
      <c r="I218" s="12" t="s">
        <v>578</v>
      </c>
      <c r="J218" s="12" t="s">
        <v>578</v>
      </c>
      <c r="K218" s="12" t="s">
        <v>578</v>
      </c>
      <c r="L218" s="12" t="s">
        <v>578</v>
      </c>
      <c r="M218" s="12" t="s">
        <v>578</v>
      </c>
      <c r="N218" s="12" t="s">
        <v>578</v>
      </c>
      <c r="O218" s="12" t="s">
        <v>578</v>
      </c>
      <c r="P218" s="12" t="s">
        <v>578</v>
      </c>
      <c r="Q218" s="12" t="s">
        <v>578</v>
      </c>
      <c r="R218" s="12" t="s">
        <v>578</v>
      </c>
      <c r="S218" s="12" t="s">
        <v>578</v>
      </c>
      <c r="T218" s="12" t="s">
        <v>578</v>
      </c>
      <c r="U218" s="12" t="s">
        <v>578</v>
      </c>
      <c r="V218" s="12" t="s">
        <v>578</v>
      </c>
      <c r="W218" s="12" t="s">
        <v>578</v>
      </c>
      <c r="X218" s="12" t="s">
        <v>578</v>
      </c>
      <c r="Y218" s="12" t="s">
        <v>578</v>
      </c>
      <c r="Z218" s="12" t="s">
        <v>578</v>
      </c>
      <c r="AA218" s="12" t="s">
        <v>578</v>
      </c>
      <c r="AB218" s="12" t="s">
        <v>578</v>
      </c>
      <c r="AC218" s="12" t="s">
        <v>578</v>
      </c>
      <c r="AD218" s="12" t="s">
        <v>578</v>
      </c>
      <c r="AE218" s="12" t="s">
        <v>578</v>
      </c>
      <c r="AF218" s="12" t="s">
        <v>578</v>
      </c>
      <c r="AG218" s="12" t="s">
        <v>578</v>
      </c>
      <c r="AH218" s="12" t="s">
        <v>578</v>
      </c>
      <c r="AI218" s="12" t="s">
        <v>578</v>
      </c>
      <c r="AJ218" s="12" t="s">
        <v>578</v>
      </c>
      <c r="AK218" s="12" t="s">
        <v>578</v>
      </c>
      <c r="AL218" s="12" t="s">
        <v>578</v>
      </c>
      <c r="AM218" s="12" t="s">
        <v>578</v>
      </c>
      <c r="AN218" s="12" t="s">
        <v>578</v>
      </c>
      <c r="AO218" s="12" t="s">
        <v>578</v>
      </c>
      <c r="AP218" s="12" t="s">
        <v>578</v>
      </c>
      <c r="AQ218" s="12" t="s">
        <v>578</v>
      </c>
      <c r="AR218" s="12" t="s">
        <v>578</v>
      </c>
      <c r="AS218" s="12" t="s">
        <v>578</v>
      </c>
      <c r="AT218" s="12" t="s">
        <v>579</v>
      </c>
      <c r="AU218" s="12" t="s">
        <v>579</v>
      </c>
      <c r="AV218" s="12" t="s">
        <v>579</v>
      </c>
      <c r="AW218" s="12" t="s">
        <v>579</v>
      </c>
      <c r="AX218" s="12" t="s">
        <v>579</v>
      </c>
      <c r="AY218" s="12" t="s">
        <v>579</v>
      </c>
      <c r="AZ218" s="12" t="s">
        <v>579</v>
      </c>
      <c r="BA218" s="12" t="s">
        <v>579</v>
      </c>
      <c r="BB218" s="12" t="s">
        <v>579</v>
      </c>
      <c r="BC218" s="12" t="s">
        <v>579</v>
      </c>
      <c r="BD218" s="12" t="s">
        <v>672</v>
      </c>
      <c r="BE218" s="12" t="s">
        <v>672</v>
      </c>
      <c r="BF218" s="12" t="s">
        <v>672</v>
      </c>
      <c r="BG218" s="12" t="s">
        <v>582</v>
      </c>
      <c r="BH218" s="12" t="s">
        <v>756</v>
      </c>
      <c r="BI218" s="12" t="s">
        <v>756</v>
      </c>
      <c r="BJ218" s="12" t="s">
        <v>584</v>
      </c>
      <c r="BK218" s="12" t="s">
        <v>953</v>
      </c>
      <c r="BL218" s="12" t="s">
        <v>972</v>
      </c>
      <c r="BM218" s="12" t="s">
        <v>1120</v>
      </c>
      <c r="BN218" s="12" t="s">
        <v>1120</v>
      </c>
      <c r="BO218" s="12" t="s">
        <v>772</v>
      </c>
      <c r="BP218" s="12" t="s">
        <v>1886</v>
      </c>
      <c r="BQ218" s="12" t="s">
        <v>2137</v>
      </c>
      <c r="BR218" s="12" t="s">
        <v>1518</v>
      </c>
      <c r="BS218" s="12" t="s">
        <v>1888</v>
      </c>
      <c r="BT218" s="12" t="s">
        <v>658</v>
      </c>
      <c r="BU218" s="12" t="s">
        <v>662</v>
      </c>
      <c r="BV218" s="12" t="s">
        <v>1992</v>
      </c>
      <c r="BW218" s="12" t="s">
        <v>3649</v>
      </c>
      <c r="BX218" s="12" t="s">
        <v>3801</v>
      </c>
      <c r="BY218" s="12" t="s">
        <v>4056</v>
      </c>
      <c r="BZ218" s="12" t="s">
        <v>3397</v>
      </c>
      <c r="CA218" s="12" t="s">
        <v>4057</v>
      </c>
      <c r="CB218" s="12" t="s">
        <v>1016</v>
      </c>
      <c r="CC218" s="12" t="s">
        <v>3817</v>
      </c>
      <c r="CD218" s="12" t="s">
        <v>4058</v>
      </c>
      <c r="CE218" s="12" t="s">
        <v>4059</v>
      </c>
      <c r="CF218" s="12" t="s">
        <v>4060</v>
      </c>
      <c r="CG218" s="12" t="s">
        <v>4061</v>
      </c>
      <c r="CH218" s="12" t="s">
        <v>3677</v>
      </c>
      <c r="CI218" s="12" t="s">
        <v>4062</v>
      </c>
      <c r="CJ218" s="12" t="s">
        <v>4063</v>
      </c>
      <c r="CK218" s="12" t="s">
        <v>3536</v>
      </c>
      <c r="CL218" s="12" t="s">
        <v>1639</v>
      </c>
      <c r="CM218" s="12" t="s">
        <v>4064</v>
      </c>
      <c r="CN218" s="12" t="s">
        <v>4065</v>
      </c>
      <c r="CO218" s="12" t="s">
        <v>4066</v>
      </c>
      <c r="CP218" s="12" t="s">
        <v>4067</v>
      </c>
      <c r="CQ218" s="12" t="s">
        <v>4068</v>
      </c>
      <c r="CR218" s="12" t="s">
        <v>4069</v>
      </c>
      <c r="CS218" s="12" t="s">
        <v>4070</v>
      </c>
      <c r="CT218" s="12" t="s">
        <v>4071</v>
      </c>
    </row>
    <row r="219" spans="1:98" hidden="1" x14ac:dyDescent="0.3">
      <c r="A219" s="12" t="s">
        <v>25</v>
      </c>
      <c r="B219" s="12" t="s">
        <v>4072</v>
      </c>
      <c r="C219" s="12" t="s">
        <v>3713</v>
      </c>
      <c r="D219" s="12" t="s">
        <v>4073</v>
      </c>
      <c r="E219" s="12" t="s">
        <v>578</v>
      </c>
      <c r="F219" s="12" t="s">
        <v>578</v>
      </c>
      <c r="G219" s="12" t="s">
        <v>578</v>
      </c>
      <c r="H219" s="12" t="s">
        <v>578</v>
      </c>
      <c r="I219" s="12" t="s">
        <v>578</v>
      </c>
      <c r="J219" s="12" t="s">
        <v>578</v>
      </c>
      <c r="K219" s="12" t="s">
        <v>578</v>
      </c>
      <c r="L219" s="12" t="s">
        <v>580</v>
      </c>
      <c r="M219" s="12" t="s">
        <v>580</v>
      </c>
      <c r="N219" s="12" t="s">
        <v>580</v>
      </c>
      <c r="O219" s="12" t="s">
        <v>580</v>
      </c>
      <c r="P219" s="12" t="s">
        <v>581</v>
      </c>
      <c r="Q219" s="12" t="s">
        <v>581</v>
      </c>
      <c r="R219" s="12" t="s">
        <v>581</v>
      </c>
      <c r="S219" s="12" t="s">
        <v>581</v>
      </c>
      <c r="T219" s="12" t="s">
        <v>581</v>
      </c>
      <c r="U219" s="12" t="s">
        <v>581</v>
      </c>
      <c r="V219" s="12" t="s">
        <v>582</v>
      </c>
      <c r="W219" s="12" t="s">
        <v>582</v>
      </c>
      <c r="X219" s="12" t="s">
        <v>755</v>
      </c>
      <c r="Y219" s="12" t="s">
        <v>755</v>
      </c>
      <c r="Z219" s="12" t="s">
        <v>755</v>
      </c>
      <c r="AA219" s="12" t="s">
        <v>755</v>
      </c>
      <c r="AB219" s="12" t="s">
        <v>755</v>
      </c>
      <c r="AC219" s="12" t="s">
        <v>755</v>
      </c>
      <c r="AD219" s="12" t="s">
        <v>761</v>
      </c>
      <c r="AE219" s="12" t="s">
        <v>761</v>
      </c>
      <c r="AF219" s="12" t="s">
        <v>761</v>
      </c>
      <c r="AG219" s="12" t="s">
        <v>761</v>
      </c>
      <c r="AH219" s="12" t="s">
        <v>761</v>
      </c>
      <c r="AI219" s="12" t="s">
        <v>761</v>
      </c>
      <c r="AJ219" s="12" t="s">
        <v>868</v>
      </c>
      <c r="AK219" s="12" t="s">
        <v>868</v>
      </c>
      <c r="AL219" s="12" t="s">
        <v>868</v>
      </c>
      <c r="AM219" s="12" t="s">
        <v>868</v>
      </c>
      <c r="AN219" s="12" t="s">
        <v>868</v>
      </c>
      <c r="AO219" s="12" t="s">
        <v>868</v>
      </c>
      <c r="AP219" s="12" t="s">
        <v>674</v>
      </c>
      <c r="AQ219" s="12" t="s">
        <v>585</v>
      </c>
      <c r="AR219" s="12" t="s">
        <v>585</v>
      </c>
      <c r="AS219" s="12" t="s">
        <v>585</v>
      </c>
      <c r="AT219" s="12" t="s">
        <v>913</v>
      </c>
      <c r="AU219" s="12" t="s">
        <v>913</v>
      </c>
      <c r="AV219" s="12" t="s">
        <v>953</v>
      </c>
      <c r="AW219" s="12" t="s">
        <v>953</v>
      </c>
      <c r="AX219" s="12" t="s">
        <v>768</v>
      </c>
      <c r="AY219" s="12" t="s">
        <v>768</v>
      </c>
      <c r="AZ219" s="12" t="s">
        <v>768</v>
      </c>
      <c r="BA219" s="12" t="s">
        <v>589</v>
      </c>
      <c r="BB219" s="12" t="s">
        <v>589</v>
      </c>
      <c r="BC219" s="12" t="s">
        <v>1124</v>
      </c>
      <c r="BD219" s="12" t="s">
        <v>1124</v>
      </c>
      <c r="BE219" s="12" t="s">
        <v>1124</v>
      </c>
      <c r="BF219" s="12" t="s">
        <v>978</v>
      </c>
      <c r="BG219" s="12" t="s">
        <v>978</v>
      </c>
      <c r="BH219" s="12" t="s">
        <v>978</v>
      </c>
      <c r="BI219" s="12" t="s">
        <v>722</v>
      </c>
      <c r="BJ219" s="12" t="s">
        <v>1025</v>
      </c>
      <c r="BK219" s="12" t="s">
        <v>1025</v>
      </c>
      <c r="BL219" s="12" t="s">
        <v>2100</v>
      </c>
      <c r="BM219" s="12" t="s">
        <v>2100</v>
      </c>
      <c r="BN219" s="12" t="s">
        <v>3885</v>
      </c>
      <c r="BO219" s="12" t="s">
        <v>2030</v>
      </c>
      <c r="BP219" s="12" t="s">
        <v>648</v>
      </c>
      <c r="BQ219" s="12" t="s">
        <v>648</v>
      </c>
      <c r="BR219" s="12" t="s">
        <v>2078</v>
      </c>
      <c r="BS219" s="12" t="s">
        <v>1720</v>
      </c>
      <c r="BT219" s="12" t="s">
        <v>1984</v>
      </c>
      <c r="BU219" s="12" t="s">
        <v>4074</v>
      </c>
      <c r="BV219" s="12" t="s">
        <v>4075</v>
      </c>
      <c r="BW219" s="12" t="s">
        <v>2225</v>
      </c>
      <c r="BX219" s="12" t="s">
        <v>949</v>
      </c>
      <c r="BY219" s="12" t="s">
        <v>2133</v>
      </c>
      <c r="BZ219" s="12" t="s">
        <v>3818</v>
      </c>
      <c r="CA219" s="12" t="s">
        <v>4076</v>
      </c>
      <c r="CB219" s="12" t="s">
        <v>4077</v>
      </c>
      <c r="CC219" s="12" t="s">
        <v>4078</v>
      </c>
      <c r="CD219" s="12" t="s">
        <v>4079</v>
      </c>
      <c r="CE219" s="12" t="s">
        <v>4080</v>
      </c>
      <c r="CF219" s="12" t="s">
        <v>4081</v>
      </c>
      <c r="CG219" s="12" t="s">
        <v>3051</v>
      </c>
      <c r="CH219" s="12" t="s">
        <v>4082</v>
      </c>
      <c r="CI219" s="12" t="s">
        <v>4083</v>
      </c>
      <c r="CJ219" s="12" t="s">
        <v>4084</v>
      </c>
      <c r="CK219" s="12" t="s">
        <v>4085</v>
      </c>
      <c r="CL219" s="12" t="s">
        <v>4086</v>
      </c>
      <c r="CM219" s="12" t="s">
        <v>4087</v>
      </c>
      <c r="CN219" s="12" t="s">
        <v>4087</v>
      </c>
      <c r="CO219" s="12" t="s">
        <v>4088</v>
      </c>
      <c r="CP219" s="12" t="s">
        <v>4089</v>
      </c>
      <c r="CQ219" s="12" t="s">
        <v>3060</v>
      </c>
      <c r="CR219" s="12" t="s">
        <v>4090</v>
      </c>
      <c r="CS219" s="12" t="s">
        <v>4091</v>
      </c>
      <c r="CT219" s="12" t="s">
        <v>4092</v>
      </c>
    </row>
    <row r="220" spans="1:98" hidden="1" x14ac:dyDescent="0.3">
      <c r="A220" s="12" t="s">
        <v>4093</v>
      </c>
      <c r="B220" s="12" t="s">
        <v>4094</v>
      </c>
      <c r="C220" s="12" t="s">
        <v>4095</v>
      </c>
      <c r="D220" s="12" t="s">
        <v>4096</v>
      </c>
      <c r="E220" s="12" t="s">
        <v>578</v>
      </c>
      <c r="F220" s="12" t="s">
        <v>578</v>
      </c>
      <c r="G220" s="12" t="s">
        <v>578</v>
      </c>
      <c r="H220" s="12" t="s">
        <v>578</v>
      </c>
      <c r="I220" s="12" t="s">
        <v>578</v>
      </c>
      <c r="J220" s="12" t="s">
        <v>578</v>
      </c>
      <c r="K220" s="12" t="s">
        <v>578</v>
      </c>
      <c r="L220" s="12" t="s">
        <v>578</v>
      </c>
      <c r="M220" s="12" t="s">
        <v>578</v>
      </c>
      <c r="N220" s="12" t="s">
        <v>578</v>
      </c>
      <c r="O220" s="12" t="s">
        <v>578</v>
      </c>
      <c r="P220" s="12" t="s">
        <v>578</v>
      </c>
      <c r="Q220" s="12" t="s">
        <v>578</v>
      </c>
      <c r="R220" s="12" t="s">
        <v>578</v>
      </c>
      <c r="S220" s="12" t="s">
        <v>578</v>
      </c>
      <c r="T220" s="12" t="s">
        <v>578</v>
      </c>
      <c r="U220" s="12" t="s">
        <v>578</v>
      </c>
      <c r="V220" s="12" t="s">
        <v>578</v>
      </c>
      <c r="W220" s="12" t="s">
        <v>578</v>
      </c>
      <c r="X220" s="12" t="s">
        <v>578</v>
      </c>
      <c r="Y220" s="12" t="s">
        <v>578</v>
      </c>
      <c r="Z220" s="12" t="s">
        <v>578</v>
      </c>
      <c r="AA220" s="12" t="s">
        <v>578</v>
      </c>
      <c r="AB220" s="12" t="s">
        <v>578</v>
      </c>
      <c r="AC220" s="12" t="s">
        <v>578</v>
      </c>
      <c r="AD220" s="12" t="s">
        <v>578</v>
      </c>
      <c r="AE220" s="12" t="s">
        <v>578</v>
      </c>
      <c r="AF220" s="12" t="s">
        <v>578</v>
      </c>
      <c r="AG220" s="12" t="s">
        <v>578</v>
      </c>
      <c r="AH220" s="12" t="s">
        <v>578</v>
      </c>
      <c r="AI220" s="12" t="s">
        <v>578</v>
      </c>
      <c r="AJ220" s="12" t="s">
        <v>578</v>
      </c>
      <c r="AK220" s="12" t="s">
        <v>578</v>
      </c>
      <c r="AL220" s="12" t="s">
        <v>578</v>
      </c>
      <c r="AM220" s="12" t="s">
        <v>578</v>
      </c>
      <c r="AN220" s="12" t="s">
        <v>578</v>
      </c>
      <c r="AO220" s="12" t="s">
        <v>578</v>
      </c>
      <c r="AP220" s="12" t="s">
        <v>578</v>
      </c>
      <c r="AQ220" s="12" t="s">
        <v>578</v>
      </c>
      <c r="AR220" s="12" t="s">
        <v>578</v>
      </c>
      <c r="AS220" s="12" t="s">
        <v>578</v>
      </c>
      <c r="AT220" s="12" t="s">
        <v>578</v>
      </c>
      <c r="AU220" s="12" t="s">
        <v>578</v>
      </c>
      <c r="AV220" s="12" t="s">
        <v>578</v>
      </c>
      <c r="AW220" s="12" t="s">
        <v>578</v>
      </c>
      <c r="AX220" s="12" t="s">
        <v>578</v>
      </c>
      <c r="AY220" s="12" t="s">
        <v>578</v>
      </c>
      <c r="AZ220" s="12" t="s">
        <v>578</v>
      </c>
      <c r="BA220" s="12" t="s">
        <v>578</v>
      </c>
      <c r="BB220" s="12" t="s">
        <v>578</v>
      </c>
      <c r="BC220" s="12" t="s">
        <v>578</v>
      </c>
      <c r="BD220" s="12" t="s">
        <v>578</v>
      </c>
      <c r="BE220" s="12" t="s">
        <v>578</v>
      </c>
      <c r="BF220" s="12" t="s">
        <v>578</v>
      </c>
      <c r="BG220" s="12" t="s">
        <v>578</v>
      </c>
      <c r="BH220" s="12" t="s">
        <v>578</v>
      </c>
      <c r="BI220" s="12" t="s">
        <v>578</v>
      </c>
      <c r="BJ220" s="12" t="s">
        <v>623</v>
      </c>
      <c r="BK220" s="12" t="s">
        <v>623</v>
      </c>
      <c r="BL220" s="12" t="s">
        <v>623</v>
      </c>
      <c r="BM220" s="12" t="s">
        <v>851</v>
      </c>
      <c r="BN220" s="12" t="s">
        <v>851</v>
      </c>
      <c r="BO220" s="12" t="s">
        <v>851</v>
      </c>
      <c r="BP220" s="12" t="s">
        <v>582</v>
      </c>
      <c r="BQ220" s="12" t="s">
        <v>762</v>
      </c>
      <c r="BR220" s="12" t="s">
        <v>673</v>
      </c>
      <c r="BS220" s="12" t="s">
        <v>673</v>
      </c>
      <c r="BT220" s="12" t="s">
        <v>586</v>
      </c>
      <c r="BU220" s="12" t="s">
        <v>913</v>
      </c>
      <c r="BV220" s="12" t="s">
        <v>852</v>
      </c>
      <c r="BW220" s="12" t="s">
        <v>852</v>
      </c>
      <c r="BX220" s="12" t="s">
        <v>917</v>
      </c>
      <c r="BY220" s="12" t="s">
        <v>917</v>
      </c>
      <c r="BZ220" s="12" t="s">
        <v>917</v>
      </c>
      <c r="CA220" s="12" t="s">
        <v>677</v>
      </c>
      <c r="CB220" s="12" t="s">
        <v>718</v>
      </c>
      <c r="CC220" s="12" t="s">
        <v>718</v>
      </c>
      <c r="CD220" s="12" t="s">
        <v>718</v>
      </c>
      <c r="CE220" s="12" t="s">
        <v>678</v>
      </c>
      <c r="CF220" s="12" t="s">
        <v>678</v>
      </c>
      <c r="CG220" s="12" t="s">
        <v>678</v>
      </c>
      <c r="CH220" s="12" t="s">
        <v>992</v>
      </c>
      <c r="CI220" s="12" t="s">
        <v>992</v>
      </c>
      <c r="CJ220" s="12" t="s">
        <v>992</v>
      </c>
      <c r="CK220" s="12" t="s">
        <v>1184</v>
      </c>
      <c r="CL220" s="12" t="s">
        <v>1184</v>
      </c>
      <c r="CM220" s="12" t="s">
        <v>1352</v>
      </c>
      <c r="CN220" s="12" t="s">
        <v>1352</v>
      </c>
      <c r="CO220" s="12" t="s">
        <v>977</v>
      </c>
      <c r="CP220" s="12" t="s">
        <v>977</v>
      </c>
      <c r="CQ220" s="12" t="s">
        <v>977</v>
      </c>
      <c r="CR220" s="12" t="s">
        <v>860</v>
      </c>
      <c r="CS220" s="12" t="s">
        <v>860</v>
      </c>
      <c r="CT220" s="12" t="s">
        <v>860</v>
      </c>
    </row>
    <row r="221" spans="1:98" hidden="1" x14ac:dyDescent="0.3">
      <c r="A221" s="12" t="s">
        <v>4097</v>
      </c>
      <c r="B221" s="12" t="s">
        <v>4094</v>
      </c>
      <c r="C221" s="12" t="s">
        <v>4098</v>
      </c>
      <c r="D221" s="12" t="s">
        <v>4099</v>
      </c>
      <c r="E221" s="12" t="s">
        <v>578</v>
      </c>
      <c r="F221" s="12" t="s">
        <v>578</v>
      </c>
      <c r="G221" s="12" t="s">
        <v>578</v>
      </c>
      <c r="H221" s="12" t="s">
        <v>578</v>
      </c>
      <c r="I221" s="12" t="s">
        <v>578</v>
      </c>
      <c r="J221" s="12" t="s">
        <v>578</v>
      </c>
      <c r="K221" s="12" t="s">
        <v>578</v>
      </c>
      <c r="L221" s="12" t="s">
        <v>578</v>
      </c>
      <c r="M221" s="12" t="s">
        <v>578</v>
      </c>
      <c r="N221" s="12" t="s">
        <v>578</v>
      </c>
      <c r="O221" s="12" t="s">
        <v>578</v>
      </c>
      <c r="P221" s="12" t="s">
        <v>578</v>
      </c>
      <c r="Q221" s="12" t="s">
        <v>578</v>
      </c>
      <c r="R221" s="12" t="s">
        <v>578</v>
      </c>
      <c r="S221" s="12" t="s">
        <v>578</v>
      </c>
      <c r="T221" s="12" t="s">
        <v>578</v>
      </c>
      <c r="U221" s="12" t="s">
        <v>578</v>
      </c>
      <c r="V221" s="12" t="s">
        <v>578</v>
      </c>
      <c r="W221" s="12" t="s">
        <v>578</v>
      </c>
      <c r="X221" s="12" t="s">
        <v>578</v>
      </c>
      <c r="Y221" s="12" t="s">
        <v>578</v>
      </c>
      <c r="Z221" s="12" t="s">
        <v>578</v>
      </c>
      <c r="AA221" s="12" t="s">
        <v>578</v>
      </c>
      <c r="AB221" s="12" t="s">
        <v>578</v>
      </c>
      <c r="AC221" s="12" t="s">
        <v>578</v>
      </c>
      <c r="AD221" s="12" t="s">
        <v>578</v>
      </c>
      <c r="AE221" s="12" t="s">
        <v>578</v>
      </c>
      <c r="AF221" s="12" t="s">
        <v>578</v>
      </c>
      <c r="AG221" s="12" t="s">
        <v>578</v>
      </c>
      <c r="AH221" s="12" t="s">
        <v>578</v>
      </c>
      <c r="AI221" s="12" t="s">
        <v>578</v>
      </c>
      <c r="AJ221" s="12" t="s">
        <v>578</v>
      </c>
      <c r="AK221" s="12" t="s">
        <v>578</v>
      </c>
      <c r="AL221" s="12" t="s">
        <v>578</v>
      </c>
      <c r="AM221" s="12" t="s">
        <v>578</v>
      </c>
      <c r="AN221" s="12" t="s">
        <v>578</v>
      </c>
      <c r="AO221" s="12" t="s">
        <v>578</v>
      </c>
      <c r="AP221" s="12" t="s">
        <v>578</v>
      </c>
      <c r="AQ221" s="12" t="s">
        <v>578</v>
      </c>
      <c r="AR221" s="12" t="s">
        <v>578</v>
      </c>
      <c r="AS221" s="12" t="s">
        <v>578</v>
      </c>
      <c r="AT221" s="12" t="s">
        <v>578</v>
      </c>
      <c r="AU221" s="12" t="s">
        <v>578</v>
      </c>
      <c r="AV221" s="12" t="s">
        <v>578</v>
      </c>
      <c r="AW221" s="12" t="s">
        <v>578</v>
      </c>
      <c r="AX221" s="12" t="s">
        <v>578</v>
      </c>
      <c r="AY221" s="12" t="s">
        <v>578</v>
      </c>
      <c r="AZ221" s="12" t="s">
        <v>578</v>
      </c>
      <c r="BA221" s="12" t="s">
        <v>578</v>
      </c>
      <c r="BB221" s="12" t="s">
        <v>578</v>
      </c>
      <c r="BC221" s="12" t="s">
        <v>578</v>
      </c>
      <c r="BD221" s="12" t="s">
        <v>579</v>
      </c>
      <c r="BE221" s="12" t="s">
        <v>579</v>
      </c>
      <c r="BF221" s="12" t="s">
        <v>579</v>
      </c>
      <c r="BG221" s="12" t="s">
        <v>579</v>
      </c>
      <c r="BH221" s="12" t="s">
        <v>579</v>
      </c>
      <c r="BI221" s="12" t="s">
        <v>579</v>
      </c>
      <c r="BJ221" s="12" t="s">
        <v>672</v>
      </c>
      <c r="BK221" s="12" t="s">
        <v>672</v>
      </c>
      <c r="BL221" s="12" t="s">
        <v>672</v>
      </c>
      <c r="BM221" s="12" t="s">
        <v>672</v>
      </c>
      <c r="BN221" s="12" t="s">
        <v>581</v>
      </c>
      <c r="BO221" s="12" t="s">
        <v>851</v>
      </c>
      <c r="BP221" s="12" t="s">
        <v>755</v>
      </c>
      <c r="BQ221" s="12" t="s">
        <v>755</v>
      </c>
      <c r="BR221" s="12" t="s">
        <v>755</v>
      </c>
      <c r="BS221" s="12" t="s">
        <v>755</v>
      </c>
      <c r="BT221" s="12" t="s">
        <v>755</v>
      </c>
      <c r="BU221" s="12" t="s">
        <v>625</v>
      </c>
      <c r="BV221" s="12" t="s">
        <v>756</v>
      </c>
      <c r="BW221" s="12" t="s">
        <v>586</v>
      </c>
      <c r="BX221" s="12" t="s">
        <v>869</v>
      </c>
      <c r="BY221" s="12" t="s">
        <v>869</v>
      </c>
      <c r="BZ221" s="12" t="s">
        <v>917</v>
      </c>
      <c r="CA221" s="12" t="s">
        <v>917</v>
      </c>
      <c r="CB221" s="12" t="s">
        <v>718</v>
      </c>
      <c r="CC221" s="12" t="s">
        <v>768</v>
      </c>
      <c r="CD221" s="12" t="s">
        <v>768</v>
      </c>
      <c r="CE221" s="12" t="s">
        <v>768</v>
      </c>
      <c r="CF221" s="12" t="s">
        <v>768</v>
      </c>
      <c r="CG221" s="12" t="s">
        <v>768</v>
      </c>
      <c r="CH221" s="12" t="s">
        <v>719</v>
      </c>
      <c r="CI221" s="12" t="s">
        <v>719</v>
      </c>
      <c r="CJ221" s="12" t="s">
        <v>679</v>
      </c>
      <c r="CK221" s="12" t="s">
        <v>679</v>
      </c>
      <c r="CL221" s="12" t="s">
        <v>680</v>
      </c>
      <c r="CM221" s="12" t="s">
        <v>919</v>
      </c>
      <c r="CN221" s="12" t="s">
        <v>919</v>
      </c>
      <c r="CO221" s="12" t="s">
        <v>919</v>
      </c>
      <c r="CP221" s="12" t="s">
        <v>973</v>
      </c>
      <c r="CQ221" s="12" t="s">
        <v>973</v>
      </c>
      <c r="CR221" s="12" t="s">
        <v>973</v>
      </c>
      <c r="CS221" s="12" t="s">
        <v>973</v>
      </c>
      <c r="CT221" s="12" t="s">
        <v>634</v>
      </c>
    </row>
    <row r="222" spans="1:98" hidden="1" x14ac:dyDescent="0.3">
      <c r="A222" s="12" t="s">
        <v>4100</v>
      </c>
      <c r="B222" s="12" t="s">
        <v>4094</v>
      </c>
      <c r="C222" s="12" t="s">
        <v>4101</v>
      </c>
      <c r="D222" s="12" t="s">
        <v>4102</v>
      </c>
      <c r="E222" s="12" t="s">
        <v>578</v>
      </c>
      <c r="F222" s="12" t="s">
        <v>578</v>
      </c>
      <c r="G222" s="12" t="s">
        <v>578</v>
      </c>
      <c r="H222" s="12" t="s">
        <v>578</v>
      </c>
      <c r="I222" s="12" t="s">
        <v>578</v>
      </c>
      <c r="J222" s="12" t="s">
        <v>578</v>
      </c>
      <c r="K222" s="12" t="s">
        <v>578</v>
      </c>
      <c r="L222" s="12" t="s">
        <v>578</v>
      </c>
      <c r="M222" s="12" t="s">
        <v>578</v>
      </c>
      <c r="N222" s="12" t="s">
        <v>578</v>
      </c>
      <c r="O222" s="12" t="s">
        <v>578</v>
      </c>
      <c r="P222" s="12" t="s">
        <v>578</v>
      </c>
      <c r="Q222" s="12" t="s">
        <v>578</v>
      </c>
      <c r="R222" s="12" t="s">
        <v>578</v>
      </c>
      <c r="S222" s="12" t="s">
        <v>578</v>
      </c>
      <c r="T222" s="12" t="s">
        <v>578</v>
      </c>
      <c r="U222" s="12" t="s">
        <v>578</v>
      </c>
      <c r="V222" s="12" t="s">
        <v>578</v>
      </c>
      <c r="W222" s="12" t="s">
        <v>578</v>
      </c>
      <c r="X222" s="12" t="s">
        <v>578</v>
      </c>
      <c r="Y222" s="12" t="s">
        <v>578</v>
      </c>
      <c r="Z222" s="12" t="s">
        <v>578</v>
      </c>
      <c r="AA222" s="12" t="s">
        <v>578</v>
      </c>
      <c r="AB222" s="12" t="s">
        <v>578</v>
      </c>
      <c r="AC222" s="12" t="s">
        <v>578</v>
      </c>
      <c r="AD222" s="12" t="s">
        <v>578</v>
      </c>
      <c r="AE222" s="12" t="s">
        <v>578</v>
      </c>
      <c r="AF222" s="12" t="s">
        <v>578</v>
      </c>
      <c r="AG222" s="12" t="s">
        <v>578</v>
      </c>
      <c r="AH222" s="12" t="s">
        <v>578</v>
      </c>
      <c r="AI222" s="12" t="s">
        <v>578</v>
      </c>
      <c r="AJ222" s="12" t="s">
        <v>578</v>
      </c>
      <c r="AK222" s="12" t="s">
        <v>578</v>
      </c>
      <c r="AL222" s="12" t="s">
        <v>578</v>
      </c>
      <c r="AM222" s="12" t="s">
        <v>578</v>
      </c>
      <c r="AN222" s="12" t="s">
        <v>578</v>
      </c>
      <c r="AO222" s="12" t="s">
        <v>578</v>
      </c>
      <c r="AP222" s="12" t="s">
        <v>578</v>
      </c>
      <c r="AQ222" s="12" t="s">
        <v>578</v>
      </c>
      <c r="AR222" s="12" t="s">
        <v>578</v>
      </c>
      <c r="AS222" s="12" t="s">
        <v>578</v>
      </c>
      <c r="AT222" s="12" t="s">
        <v>578</v>
      </c>
      <c r="AU222" s="12" t="s">
        <v>578</v>
      </c>
      <c r="AV222" s="12" t="s">
        <v>578</v>
      </c>
      <c r="AW222" s="12" t="s">
        <v>578</v>
      </c>
      <c r="AX222" s="12" t="s">
        <v>578</v>
      </c>
      <c r="AY222" s="12" t="s">
        <v>578</v>
      </c>
      <c r="AZ222" s="12" t="s">
        <v>578</v>
      </c>
      <c r="BA222" s="12" t="s">
        <v>579</v>
      </c>
      <c r="BB222" s="12" t="s">
        <v>623</v>
      </c>
      <c r="BC222" s="12" t="s">
        <v>623</v>
      </c>
      <c r="BD222" s="12" t="s">
        <v>623</v>
      </c>
      <c r="BE222" s="12" t="s">
        <v>623</v>
      </c>
      <c r="BF222" s="12" t="s">
        <v>672</v>
      </c>
      <c r="BG222" s="12" t="s">
        <v>851</v>
      </c>
      <c r="BH222" s="12" t="s">
        <v>851</v>
      </c>
      <c r="BI222" s="12" t="s">
        <v>851</v>
      </c>
      <c r="BJ222" s="12" t="s">
        <v>583</v>
      </c>
      <c r="BK222" s="12" t="s">
        <v>756</v>
      </c>
      <c r="BL222" s="12" t="s">
        <v>852</v>
      </c>
      <c r="BM222" s="12" t="s">
        <v>852</v>
      </c>
      <c r="BN222" s="12" t="s">
        <v>971</v>
      </c>
      <c r="BO222" s="12" t="s">
        <v>971</v>
      </c>
      <c r="BP222" s="12" t="s">
        <v>918</v>
      </c>
      <c r="BQ222" s="12" t="s">
        <v>973</v>
      </c>
      <c r="BR222" s="12" t="s">
        <v>721</v>
      </c>
      <c r="BS222" s="12" t="s">
        <v>772</v>
      </c>
      <c r="BT222" s="12" t="s">
        <v>1499</v>
      </c>
      <c r="BU222" s="12" t="s">
        <v>2013</v>
      </c>
      <c r="BV222" s="12" t="s">
        <v>2013</v>
      </c>
      <c r="BW222" s="12" t="s">
        <v>1815</v>
      </c>
      <c r="BX222" s="12" t="s">
        <v>1422</v>
      </c>
      <c r="BY222" s="12" t="s">
        <v>1507</v>
      </c>
      <c r="BZ222" s="12" t="s">
        <v>1494</v>
      </c>
      <c r="CA222" s="12" t="s">
        <v>1830</v>
      </c>
      <c r="CB222" s="12" t="s">
        <v>1281</v>
      </c>
      <c r="CC222" s="12" t="s">
        <v>2056</v>
      </c>
      <c r="CD222" s="12" t="s">
        <v>1187</v>
      </c>
      <c r="CE222" s="12" t="s">
        <v>649</v>
      </c>
      <c r="CF222" s="12" t="s">
        <v>3126</v>
      </c>
      <c r="CG222" s="12" t="s">
        <v>820</v>
      </c>
      <c r="CH222" s="12" t="s">
        <v>3224</v>
      </c>
      <c r="CI222" s="12" t="s">
        <v>878</v>
      </c>
      <c r="CJ222" s="12" t="s">
        <v>1188</v>
      </c>
      <c r="CK222" s="12" t="s">
        <v>2679</v>
      </c>
      <c r="CL222" s="12" t="s">
        <v>1369</v>
      </c>
      <c r="CM222" s="12" t="s">
        <v>1844</v>
      </c>
      <c r="CN222" s="12" t="s">
        <v>604</v>
      </c>
      <c r="CO222" s="12" t="s">
        <v>1847</v>
      </c>
      <c r="CP222" s="12" t="s">
        <v>1847</v>
      </c>
      <c r="CQ222" s="12" t="s">
        <v>4103</v>
      </c>
      <c r="CR222" s="12" t="s">
        <v>2064</v>
      </c>
      <c r="CS222" s="12" t="s">
        <v>605</v>
      </c>
      <c r="CT222" s="12" t="s">
        <v>2037</v>
      </c>
    </row>
    <row r="223" spans="1:98" hidden="1" x14ac:dyDescent="0.3">
      <c r="A223" s="12" t="s">
        <v>4104</v>
      </c>
      <c r="B223" s="12" t="s">
        <v>4094</v>
      </c>
      <c r="C223" s="12" t="s">
        <v>4105</v>
      </c>
      <c r="D223" s="12" t="s">
        <v>4106</v>
      </c>
      <c r="E223" s="12" t="s">
        <v>578</v>
      </c>
      <c r="F223" s="12" t="s">
        <v>578</v>
      </c>
      <c r="G223" s="12" t="s">
        <v>578</v>
      </c>
      <c r="H223" s="12" t="s">
        <v>578</v>
      </c>
      <c r="I223" s="12" t="s">
        <v>578</v>
      </c>
      <c r="J223" s="12" t="s">
        <v>578</v>
      </c>
      <c r="K223" s="12" t="s">
        <v>578</v>
      </c>
      <c r="L223" s="12" t="s">
        <v>578</v>
      </c>
      <c r="M223" s="12" t="s">
        <v>578</v>
      </c>
      <c r="N223" s="12" t="s">
        <v>578</v>
      </c>
      <c r="O223" s="12" t="s">
        <v>578</v>
      </c>
      <c r="P223" s="12" t="s">
        <v>578</v>
      </c>
      <c r="Q223" s="12" t="s">
        <v>578</v>
      </c>
      <c r="R223" s="12" t="s">
        <v>578</v>
      </c>
      <c r="S223" s="12" t="s">
        <v>578</v>
      </c>
      <c r="T223" s="12" t="s">
        <v>578</v>
      </c>
      <c r="U223" s="12" t="s">
        <v>578</v>
      </c>
      <c r="V223" s="12" t="s">
        <v>578</v>
      </c>
      <c r="W223" s="12" t="s">
        <v>578</v>
      </c>
      <c r="X223" s="12" t="s">
        <v>578</v>
      </c>
      <c r="Y223" s="12" t="s">
        <v>578</v>
      </c>
      <c r="Z223" s="12" t="s">
        <v>578</v>
      </c>
      <c r="AA223" s="12" t="s">
        <v>578</v>
      </c>
      <c r="AB223" s="12" t="s">
        <v>578</v>
      </c>
      <c r="AC223" s="12" t="s">
        <v>578</v>
      </c>
      <c r="AD223" s="12" t="s">
        <v>578</v>
      </c>
      <c r="AE223" s="12" t="s">
        <v>578</v>
      </c>
      <c r="AF223" s="12" t="s">
        <v>578</v>
      </c>
      <c r="AG223" s="12" t="s">
        <v>578</v>
      </c>
      <c r="AH223" s="12" t="s">
        <v>578</v>
      </c>
      <c r="AI223" s="12" t="s">
        <v>578</v>
      </c>
      <c r="AJ223" s="12" t="s">
        <v>578</v>
      </c>
      <c r="AK223" s="12" t="s">
        <v>578</v>
      </c>
      <c r="AL223" s="12" t="s">
        <v>578</v>
      </c>
      <c r="AM223" s="12" t="s">
        <v>578</v>
      </c>
      <c r="AN223" s="12" t="s">
        <v>578</v>
      </c>
      <c r="AO223" s="12" t="s">
        <v>578</v>
      </c>
      <c r="AP223" s="12" t="s">
        <v>578</v>
      </c>
      <c r="AQ223" s="12" t="s">
        <v>578</v>
      </c>
      <c r="AR223" s="12" t="s">
        <v>578</v>
      </c>
      <c r="AS223" s="12" t="s">
        <v>578</v>
      </c>
      <c r="AT223" s="12" t="s">
        <v>578</v>
      </c>
      <c r="AU223" s="12" t="s">
        <v>579</v>
      </c>
      <c r="AV223" s="12" t="s">
        <v>579</v>
      </c>
      <c r="AW223" s="12" t="s">
        <v>579</v>
      </c>
      <c r="AX223" s="12" t="s">
        <v>579</v>
      </c>
      <c r="AY223" s="12" t="s">
        <v>579</v>
      </c>
      <c r="AZ223" s="12" t="s">
        <v>579</v>
      </c>
      <c r="BA223" s="12" t="s">
        <v>579</v>
      </c>
      <c r="BB223" s="12" t="s">
        <v>579</v>
      </c>
      <c r="BC223" s="12" t="s">
        <v>579</v>
      </c>
      <c r="BD223" s="12" t="s">
        <v>579</v>
      </c>
      <c r="BE223" s="12" t="s">
        <v>579</v>
      </c>
      <c r="BF223" s="12" t="s">
        <v>579</v>
      </c>
      <c r="BG223" s="12" t="s">
        <v>579</v>
      </c>
      <c r="BH223" s="12" t="s">
        <v>672</v>
      </c>
      <c r="BI223" s="12" t="s">
        <v>755</v>
      </c>
      <c r="BJ223" s="12" t="s">
        <v>624</v>
      </c>
      <c r="BK223" s="12" t="s">
        <v>624</v>
      </c>
      <c r="BL223" s="12" t="s">
        <v>624</v>
      </c>
      <c r="BM223" s="12" t="s">
        <v>762</v>
      </c>
      <c r="BN223" s="12" t="s">
        <v>762</v>
      </c>
      <c r="BO223" s="12" t="s">
        <v>762</v>
      </c>
      <c r="BP223" s="12" t="s">
        <v>676</v>
      </c>
      <c r="BQ223" s="12" t="s">
        <v>917</v>
      </c>
      <c r="BR223" s="12" t="s">
        <v>631</v>
      </c>
      <c r="BS223" s="12" t="s">
        <v>769</v>
      </c>
      <c r="BT223" s="12" t="s">
        <v>870</v>
      </c>
      <c r="BU223" s="12" t="s">
        <v>974</v>
      </c>
      <c r="BV223" s="12" t="s">
        <v>974</v>
      </c>
      <c r="BW223" s="12" t="s">
        <v>1184</v>
      </c>
      <c r="BX223" s="12" t="s">
        <v>721</v>
      </c>
      <c r="BY223" s="12" t="s">
        <v>1125</v>
      </c>
      <c r="BZ223" s="12" t="s">
        <v>978</v>
      </c>
      <c r="CA223" s="12" t="s">
        <v>862</v>
      </c>
      <c r="CB223" s="12" t="s">
        <v>1208</v>
      </c>
      <c r="CC223" s="12" t="s">
        <v>722</v>
      </c>
      <c r="CD223" s="12" t="s">
        <v>593</v>
      </c>
      <c r="CE223" s="12" t="s">
        <v>638</v>
      </c>
      <c r="CF223" s="12" t="s">
        <v>1354</v>
      </c>
      <c r="CG223" s="12" t="s">
        <v>1355</v>
      </c>
      <c r="CH223" s="12" t="s">
        <v>1355</v>
      </c>
      <c r="CI223" s="12" t="s">
        <v>1355</v>
      </c>
      <c r="CJ223" s="12" t="s">
        <v>1355</v>
      </c>
      <c r="CK223" s="12" t="s">
        <v>1047</v>
      </c>
      <c r="CL223" s="12" t="s">
        <v>1047</v>
      </c>
      <c r="CM223" s="12" t="s">
        <v>1261</v>
      </c>
      <c r="CN223" s="12" t="s">
        <v>1261</v>
      </c>
      <c r="CO223" s="12" t="s">
        <v>1261</v>
      </c>
      <c r="CP223" s="12" t="s">
        <v>1261</v>
      </c>
      <c r="CQ223" s="12" t="s">
        <v>1261</v>
      </c>
      <c r="CR223" s="12" t="s">
        <v>1261</v>
      </c>
      <c r="CS223" s="12" t="s">
        <v>723</v>
      </c>
      <c r="CT223" s="12" t="s">
        <v>723</v>
      </c>
    </row>
    <row r="224" spans="1:98" hidden="1" x14ac:dyDescent="0.3">
      <c r="A224" s="12" t="s">
        <v>4107</v>
      </c>
      <c r="B224" s="12" t="s">
        <v>4094</v>
      </c>
      <c r="C224" s="12" t="s">
        <v>4108</v>
      </c>
      <c r="D224" s="12" t="s">
        <v>4109</v>
      </c>
      <c r="E224" s="12" t="s">
        <v>578</v>
      </c>
      <c r="F224" s="12" t="s">
        <v>578</v>
      </c>
      <c r="G224" s="12" t="s">
        <v>578</v>
      </c>
      <c r="H224" s="12" t="s">
        <v>578</v>
      </c>
      <c r="I224" s="12" t="s">
        <v>578</v>
      </c>
      <c r="J224" s="12" t="s">
        <v>578</v>
      </c>
      <c r="K224" s="12" t="s">
        <v>578</v>
      </c>
      <c r="L224" s="12" t="s">
        <v>578</v>
      </c>
      <c r="M224" s="12" t="s">
        <v>578</v>
      </c>
      <c r="N224" s="12" t="s">
        <v>578</v>
      </c>
      <c r="O224" s="12" t="s">
        <v>578</v>
      </c>
      <c r="P224" s="12" t="s">
        <v>578</v>
      </c>
      <c r="Q224" s="12" t="s">
        <v>578</v>
      </c>
      <c r="R224" s="12" t="s">
        <v>578</v>
      </c>
      <c r="S224" s="12" t="s">
        <v>578</v>
      </c>
      <c r="T224" s="12" t="s">
        <v>578</v>
      </c>
      <c r="U224" s="12" t="s">
        <v>578</v>
      </c>
      <c r="V224" s="12" t="s">
        <v>578</v>
      </c>
      <c r="W224" s="12" t="s">
        <v>578</v>
      </c>
      <c r="X224" s="12" t="s">
        <v>578</v>
      </c>
      <c r="Y224" s="12" t="s">
        <v>578</v>
      </c>
      <c r="Z224" s="12" t="s">
        <v>578</v>
      </c>
      <c r="AA224" s="12" t="s">
        <v>578</v>
      </c>
      <c r="AB224" s="12" t="s">
        <v>578</v>
      </c>
      <c r="AC224" s="12" t="s">
        <v>578</v>
      </c>
      <c r="AD224" s="12" t="s">
        <v>578</v>
      </c>
      <c r="AE224" s="12" t="s">
        <v>578</v>
      </c>
      <c r="AF224" s="12" t="s">
        <v>578</v>
      </c>
      <c r="AG224" s="12" t="s">
        <v>578</v>
      </c>
      <c r="AH224" s="12" t="s">
        <v>578</v>
      </c>
      <c r="AI224" s="12" t="s">
        <v>578</v>
      </c>
      <c r="AJ224" s="12" t="s">
        <v>578</v>
      </c>
      <c r="AK224" s="12" t="s">
        <v>578</v>
      </c>
      <c r="AL224" s="12" t="s">
        <v>578</v>
      </c>
      <c r="AM224" s="12" t="s">
        <v>578</v>
      </c>
      <c r="AN224" s="12" t="s">
        <v>578</v>
      </c>
      <c r="AO224" s="12" t="s">
        <v>578</v>
      </c>
      <c r="AP224" s="12" t="s">
        <v>578</v>
      </c>
      <c r="AQ224" s="12" t="s">
        <v>578</v>
      </c>
      <c r="AR224" s="12" t="s">
        <v>578</v>
      </c>
      <c r="AS224" s="12" t="s">
        <v>578</v>
      </c>
      <c r="AT224" s="12" t="s">
        <v>578</v>
      </c>
      <c r="AU224" s="12" t="s">
        <v>578</v>
      </c>
      <c r="AV224" s="12" t="s">
        <v>578</v>
      </c>
      <c r="AW224" s="12" t="s">
        <v>578</v>
      </c>
      <c r="AX224" s="12" t="s">
        <v>578</v>
      </c>
      <c r="AY224" s="12" t="s">
        <v>578</v>
      </c>
      <c r="AZ224" s="12" t="s">
        <v>578</v>
      </c>
      <c r="BA224" s="12" t="s">
        <v>578</v>
      </c>
      <c r="BB224" s="12" t="s">
        <v>578</v>
      </c>
      <c r="BC224" s="12" t="s">
        <v>578</v>
      </c>
      <c r="BD224" s="12" t="s">
        <v>578</v>
      </c>
      <c r="BE224" s="12" t="s">
        <v>578</v>
      </c>
      <c r="BF224" s="12" t="s">
        <v>578</v>
      </c>
      <c r="BG224" s="12" t="s">
        <v>578</v>
      </c>
      <c r="BH224" s="12" t="s">
        <v>578</v>
      </c>
      <c r="BI224" s="12" t="s">
        <v>578</v>
      </c>
      <c r="BJ224" s="12" t="s">
        <v>578</v>
      </c>
      <c r="BK224" s="12" t="s">
        <v>579</v>
      </c>
      <c r="BL224" s="12" t="s">
        <v>579</v>
      </c>
      <c r="BM224" s="12" t="s">
        <v>581</v>
      </c>
      <c r="BN224" s="12" t="s">
        <v>868</v>
      </c>
      <c r="BO224" s="12" t="s">
        <v>626</v>
      </c>
      <c r="BP224" s="12" t="s">
        <v>626</v>
      </c>
      <c r="BQ224" s="12" t="s">
        <v>757</v>
      </c>
      <c r="BR224" s="12" t="s">
        <v>953</v>
      </c>
      <c r="BS224" s="12" t="s">
        <v>852</v>
      </c>
      <c r="BT224" s="12" t="s">
        <v>629</v>
      </c>
      <c r="BU224" s="12" t="s">
        <v>991</v>
      </c>
      <c r="BV224" s="12" t="s">
        <v>680</v>
      </c>
      <c r="BW224" s="12" t="s">
        <v>770</v>
      </c>
      <c r="BX224" s="12" t="s">
        <v>1125</v>
      </c>
      <c r="BY224" s="12" t="s">
        <v>1353</v>
      </c>
      <c r="BZ224" s="12" t="s">
        <v>1276</v>
      </c>
      <c r="CA224" s="12" t="s">
        <v>1354</v>
      </c>
      <c r="CB224" s="12" t="s">
        <v>683</v>
      </c>
      <c r="CC224" s="12" t="s">
        <v>1814</v>
      </c>
      <c r="CD224" s="12" t="s">
        <v>774</v>
      </c>
      <c r="CE224" s="12" t="s">
        <v>1838</v>
      </c>
      <c r="CF224" s="12" t="s">
        <v>684</v>
      </c>
      <c r="CG224" s="12" t="s">
        <v>1506</v>
      </c>
      <c r="CH224" s="12" t="s">
        <v>1127</v>
      </c>
      <c r="CI224" s="12" t="s">
        <v>1363</v>
      </c>
      <c r="CJ224" s="12" t="s">
        <v>1492</v>
      </c>
      <c r="CK224" s="12" t="s">
        <v>1128</v>
      </c>
      <c r="CL224" s="12" t="s">
        <v>3027</v>
      </c>
      <c r="CM224" s="12" t="s">
        <v>1829</v>
      </c>
      <c r="CN224" s="12" t="s">
        <v>1665</v>
      </c>
      <c r="CO224" s="12" t="s">
        <v>1098</v>
      </c>
      <c r="CP224" s="12" t="s">
        <v>1266</v>
      </c>
      <c r="CQ224" s="12" t="s">
        <v>876</v>
      </c>
      <c r="CR224" s="12" t="s">
        <v>876</v>
      </c>
      <c r="CS224" s="12" t="s">
        <v>876</v>
      </c>
      <c r="CT224" s="12" t="s">
        <v>728</v>
      </c>
    </row>
    <row r="225" spans="1:98" hidden="1" x14ac:dyDescent="0.3">
      <c r="A225" s="12" t="s">
        <v>4110</v>
      </c>
      <c r="B225" s="12" t="s">
        <v>4094</v>
      </c>
      <c r="C225" s="12" t="s">
        <v>4111</v>
      </c>
      <c r="D225" s="12" t="s">
        <v>4112</v>
      </c>
      <c r="E225" s="12" t="s">
        <v>578</v>
      </c>
      <c r="F225" s="12" t="s">
        <v>578</v>
      </c>
      <c r="G225" s="12" t="s">
        <v>578</v>
      </c>
      <c r="H225" s="12" t="s">
        <v>578</v>
      </c>
      <c r="I225" s="12" t="s">
        <v>578</v>
      </c>
      <c r="J225" s="12" t="s">
        <v>578</v>
      </c>
      <c r="K225" s="12" t="s">
        <v>578</v>
      </c>
      <c r="L225" s="12" t="s">
        <v>578</v>
      </c>
      <c r="M225" s="12" t="s">
        <v>578</v>
      </c>
      <c r="N225" s="12" t="s">
        <v>578</v>
      </c>
      <c r="O225" s="12" t="s">
        <v>578</v>
      </c>
      <c r="P225" s="12" t="s">
        <v>578</v>
      </c>
      <c r="Q225" s="12" t="s">
        <v>578</v>
      </c>
      <c r="R225" s="12" t="s">
        <v>578</v>
      </c>
      <c r="S225" s="12" t="s">
        <v>578</v>
      </c>
      <c r="T225" s="12" t="s">
        <v>578</v>
      </c>
      <c r="U225" s="12" t="s">
        <v>578</v>
      </c>
      <c r="V225" s="12" t="s">
        <v>578</v>
      </c>
      <c r="W225" s="12" t="s">
        <v>578</v>
      </c>
      <c r="X225" s="12" t="s">
        <v>578</v>
      </c>
      <c r="Y225" s="12" t="s">
        <v>578</v>
      </c>
      <c r="Z225" s="12" t="s">
        <v>578</v>
      </c>
      <c r="AA225" s="12" t="s">
        <v>578</v>
      </c>
      <c r="AB225" s="12" t="s">
        <v>578</v>
      </c>
      <c r="AC225" s="12" t="s">
        <v>578</v>
      </c>
      <c r="AD225" s="12" t="s">
        <v>578</v>
      </c>
      <c r="AE225" s="12" t="s">
        <v>578</v>
      </c>
      <c r="AF225" s="12" t="s">
        <v>578</v>
      </c>
      <c r="AG225" s="12" t="s">
        <v>578</v>
      </c>
      <c r="AH225" s="12" t="s">
        <v>578</v>
      </c>
      <c r="AI225" s="12" t="s">
        <v>578</v>
      </c>
      <c r="AJ225" s="12" t="s">
        <v>578</v>
      </c>
      <c r="AK225" s="12" t="s">
        <v>578</v>
      </c>
      <c r="AL225" s="12" t="s">
        <v>578</v>
      </c>
      <c r="AM225" s="12" t="s">
        <v>578</v>
      </c>
      <c r="AN225" s="12" t="s">
        <v>578</v>
      </c>
      <c r="AO225" s="12" t="s">
        <v>578</v>
      </c>
      <c r="AP225" s="12" t="s">
        <v>578</v>
      </c>
      <c r="AQ225" s="12" t="s">
        <v>578</v>
      </c>
      <c r="AR225" s="12" t="s">
        <v>578</v>
      </c>
      <c r="AS225" s="12" t="s">
        <v>578</v>
      </c>
      <c r="AT225" s="12" t="s">
        <v>578</v>
      </c>
      <c r="AU225" s="12" t="s">
        <v>578</v>
      </c>
      <c r="AV225" s="12" t="s">
        <v>578</v>
      </c>
      <c r="AW225" s="12" t="s">
        <v>578</v>
      </c>
      <c r="AX225" s="12" t="s">
        <v>578</v>
      </c>
      <c r="AY225" s="12" t="s">
        <v>578</v>
      </c>
      <c r="AZ225" s="12" t="s">
        <v>578</v>
      </c>
      <c r="BA225" s="12" t="s">
        <v>578</v>
      </c>
      <c r="BB225" s="12" t="s">
        <v>578</v>
      </c>
      <c r="BC225" s="12" t="s">
        <v>578</v>
      </c>
      <c r="BD225" s="12" t="s">
        <v>578</v>
      </c>
      <c r="BE225" s="12" t="s">
        <v>578</v>
      </c>
      <c r="BF225" s="12" t="s">
        <v>578</v>
      </c>
      <c r="BG225" s="12" t="s">
        <v>578</v>
      </c>
      <c r="BH225" s="12" t="s">
        <v>578</v>
      </c>
      <c r="BI225" s="12" t="s">
        <v>579</v>
      </c>
      <c r="BJ225" s="12" t="s">
        <v>579</v>
      </c>
      <c r="BK225" s="12" t="s">
        <v>579</v>
      </c>
      <c r="BL225" s="12" t="s">
        <v>579</v>
      </c>
      <c r="BM225" s="12" t="s">
        <v>579</v>
      </c>
      <c r="BN225" s="12" t="s">
        <v>579</v>
      </c>
      <c r="BO225" s="12" t="s">
        <v>579</v>
      </c>
      <c r="BP225" s="12" t="s">
        <v>579</v>
      </c>
      <c r="BQ225" s="12" t="s">
        <v>581</v>
      </c>
      <c r="BR225" s="12" t="s">
        <v>581</v>
      </c>
      <c r="BS225" s="12" t="s">
        <v>581</v>
      </c>
      <c r="BT225" s="12" t="s">
        <v>581</v>
      </c>
      <c r="BU225" s="12" t="s">
        <v>581</v>
      </c>
      <c r="BV225" s="12" t="s">
        <v>581</v>
      </c>
      <c r="BW225" s="12" t="s">
        <v>581</v>
      </c>
      <c r="BX225" s="12" t="s">
        <v>581</v>
      </c>
      <c r="BY225" s="12" t="s">
        <v>851</v>
      </c>
      <c r="BZ225" s="12" t="s">
        <v>851</v>
      </c>
      <c r="CA225" s="12" t="s">
        <v>851</v>
      </c>
      <c r="CB225" s="12" t="s">
        <v>851</v>
      </c>
      <c r="CC225" s="12" t="s">
        <v>761</v>
      </c>
      <c r="CD225" s="12" t="s">
        <v>761</v>
      </c>
      <c r="CE225" s="12" t="s">
        <v>761</v>
      </c>
      <c r="CF225" s="12" t="s">
        <v>761</v>
      </c>
      <c r="CG225" s="12" t="s">
        <v>761</v>
      </c>
      <c r="CH225" s="12" t="s">
        <v>761</v>
      </c>
      <c r="CI225" s="12" t="s">
        <v>583</v>
      </c>
      <c r="CJ225" s="12" t="s">
        <v>583</v>
      </c>
      <c r="CK225" s="12" t="s">
        <v>583</v>
      </c>
      <c r="CL225" s="12" t="s">
        <v>583</v>
      </c>
      <c r="CM225" s="12" t="s">
        <v>583</v>
      </c>
      <c r="CN225" s="12" t="s">
        <v>583</v>
      </c>
      <c r="CO225" s="12" t="s">
        <v>583</v>
      </c>
      <c r="CP225" s="12" t="s">
        <v>583</v>
      </c>
      <c r="CQ225" s="12" t="s">
        <v>583</v>
      </c>
      <c r="CR225" s="12" t="s">
        <v>583</v>
      </c>
      <c r="CS225" s="12" t="s">
        <v>583</v>
      </c>
      <c r="CT225" s="12" t="s">
        <v>583</v>
      </c>
    </row>
    <row r="226" spans="1:98" hidden="1" x14ac:dyDescent="0.3">
      <c r="A226" s="12" t="s">
        <v>25</v>
      </c>
      <c r="B226" s="12" t="s">
        <v>4094</v>
      </c>
      <c r="C226" s="12" t="s">
        <v>4113</v>
      </c>
      <c r="D226" s="12" t="s">
        <v>4114</v>
      </c>
      <c r="E226" s="12" t="s">
        <v>578</v>
      </c>
      <c r="F226" s="12" t="s">
        <v>578</v>
      </c>
      <c r="G226" s="12" t="s">
        <v>578</v>
      </c>
      <c r="H226" s="12" t="s">
        <v>578</v>
      </c>
      <c r="I226" s="12" t="s">
        <v>578</v>
      </c>
      <c r="J226" s="12" t="s">
        <v>578</v>
      </c>
      <c r="K226" s="12" t="s">
        <v>578</v>
      </c>
      <c r="L226" s="12" t="s">
        <v>578</v>
      </c>
      <c r="M226" s="12" t="s">
        <v>578</v>
      </c>
      <c r="N226" s="12" t="s">
        <v>623</v>
      </c>
      <c r="O226" s="12" t="s">
        <v>623</v>
      </c>
      <c r="P226" s="12" t="s">
        <v>623</v>
      </c>
      <c r="Q226" s="12" t="s">
        <v>623</v>
      </c>
      <c r="R226" s="12" t="s">
        <v>623</v>
      </c>
      <c r="S226" s="12" t="s">
        <v>623</v>
      </c>
      <c r="T226" s="12" t="s">
        <v>623</v>
      </c>
      <c r="U226" s="12" t="s">
        <v>672</v>
      </c>
      <c r="V226" s="12" t="s">
        <v>672</v>
      </c>
      <c r="W226" s="12" t="s">
        <v>672</v>
      </c>
      <c r="X226" s="12" t="s">
        <v>755</v>
      </c>
      <c r="Y226" s="12" t="s">
        <v>755</v>
      </c>
      <c r="Z226" s="12" t="s">
        <v>761</v>
      </c>
      <c r="AA226" s="12" t="s">
        <v>761</v>
      </c>
      <c r="AB226" s="12" t="s">
        <v>761</v>
      </c>
      <c r="AC226" s="12" t="s">
        <v>761</v>
      </c>
      <c r="AD226" s="12" t="s">
        <v>761</v>
      </c>
      <c r="AE226" s="12" t="s">
        <v>761</v>
      </c>
      <c r="AF226" s="12" t="s">
        <v>761</v>
      </c>
      <c r="AG226" s="12" t="s">
        <v>761</v>
      </c>
      <c r="AH226" s="12" t="s">
        <v>761</v>
      </c>
      <c r="AI226" s="12" t="s">
        <v>761</v>
      </c>
      <c r="AJ226" s="12" t="s">
        <v>761</v>
      </c>
      <c r="AK226" s="12" t="s">
        <v>761</v>
      </c>
      <c r="AL226" s="12" t="s">
        <v>868</v>
      </c>
      <c r="AM226" s="12" t="s">
        <v>868</v>
      </c>
      <c r="AN226" s="12" t="s">
        <v>868</v>
      </c>
      <c r="AO226" s="12" t="s">
        <v>762</v>
      </c>
      <c r="AP226" s="12" t="s">
        <v>675</v>
      </c>
      <c r="AQ226" s="12" t="s">
        <v>626</v>
      </c>
      <c r="AR226" s="12" t="s">
        <v>971</v>
      </c>
      <c r="AS226" s="12" t="s">
        <v>588</v>
      </c>
      <c r="AT226" s="12" t="s">
        <v>630</v>
      </c>
      <c r="AU226" s="12" t="s">
        <v>1124</v>
      </c>
      <c r="AV226" s="12" t="s">
        <v>811</v>
      </c>
      <c r="AW226" s="12" t="s">
        <v>1186</v>
      </c>
      <c r="AX226" s="12" t="s">
        <v>1604</v>
      </c>
      <c r="AY226" s="12" t="s">
        <v>597</v>
      </c>
      <c r="AZ226" s="12" t="s">
        <v>1311</v>
      </c>
      <c r="BA226" s="12" t="s">
        <v>2189</v>
      </c>
      <c r="BB226" s="12" t="s">
        <v>1701</v>
      </c>
      <c r="BC226" s="12" t="s">
        <v>1701</v>
      </c>
      <c r="BD226" s="12" t="s">
        <v>2140</v>
      </c>
      <c r="BE226" s="12" t="s">
        <v>4115</v>
      </c>
      <c r="BF226" s="12" t="s">
        <v>4115</v>
      </c>
      <c r="BG226" s="12" t="s">
        <v>4116</v>
      </c>
      <c r="BH226" s="12" t="s">
        <v>2210</v>
      </c>
      <c r="BI226" s="12" t="s">
        <v>3194</v>
      </c>
      <c r="BJ226" s="12" t="s">
        <v>4117</v>
      </c>
      <c r="BK226" s="12" t="s">
        <v>4118</v>
      </c>
      <c r="BL226" s="12" t="s">
        <v>4119</v>
      </c>
      <c r="BM226" s="12" t="s">
        <v>4120</v>
      </c>
      <c r="BN226" s="12" t="s">
        <v>4121</v>
      </c>
      <c r="BO226" s="12" t="s">
        <v>4122</v>
      </c>
      <c r="BP226" s="12" t="s">
        <v>4123</v>
      </c>
      <c r="BQ226" s="12" t="s">
        <v>4124</v>
      </c>
      <c r="BR226" s="12" t="s">
        <v>4125</v>
      </c>
      <c r="BS226" s="12" t="s">
        <v>4126</v>
      </c>
      <c r="BT226" s="12" t="s">
        <v>4127</v>
      </c>
      <c r="BU226" s="12" t="s">
        <v>4128</v>
      </c>
      <c r="BV226" s="12" t="s">
        <v>4129</v>
      </c>
      <c r="BW226" s="12" t="s">
        <v>4130</v>
      </c>
      <c r="BX226" s="12" t="s">
        <v>4131</v>
      </c>
      <c r="BY226" s="12" t="s">
        <v>4132</v>
      </c>
      <c r="BZ226" s="12" t="s">
        <v>4133</v>
      </c>
      <c r="CA226" s="12" t="s">
        <v>4134</v>
      </c>
      <c r="CB226" s="12" t="s">
        <v>4135</v>
      </c>
      <c r="CC226" s="12" t="s">
        <v>4136</v>
      </c>
      <c r="CD226" s="12" t="s">
        <v>4137</v>
      </c>
      <c r="CE226" s="12" t="s">
        <v>4138</v>
      </c>
      <c r="CF226" s="12" t="s">
        <v>4139</v>
      </c>
      <c r="CG226" s="12" t="s">
        <v>4140</v>
      </c>
      <c r="CH226" s="12" t="s">
        <v>4141</v>
      </c>
      <c r="CI226" s="12" t="s">
        <v>4142</v>
      </c>
      <c r="CJ226" s="12" t="s">
        <v>4143</v>
      </c>
      <c r="CK226" s="12" t="s">
        <v>4144</v>
      </c>
      <c r="CL226" s="12" t="s">
        <v>4145</v>
      </c>
      <c r="CM226" s="12" t="s">
        <v>4146</v>
      </c>
      <c r="CN226" s="12" t="s">
        <v>4147</v>
      </c>
      <c r="CO226" s="12" t="s">
        <v>4148</v>
      </c>
      <c r="CP226" s="12" t="s">
        <v>4149</v>
      </c>
      <c r="CQ226" s="12" t="s">
        <v>4150</v>
      </c>
      <c r="CR226" s="12" t="s">
        <v>4151</v>
      </c>
      <c r="CS226" s="12" t="s">
        <v>4152</v>
      </c>
      <c r="CT226" s="12" t="s">
        <v>4153</v>
      </c>
    </row>
    <row r="227" spans="1:98" hidden="1" x14ac:dyDescent="0.3">
      <c r="A227" s="12" t="s">
        <v>25</v>
      </c>
      <c r="B227" s="12" t="s">
        <v>4154</v>
      </c>
      <c r="C227" s="12" t="s">
        <v>4155</v>
      </c>
      <c r="D227" s="12" t="s">
        <v>4156</v>
      </c>
      <c r="E227" s="12" t="s">
        <v>578</v>
      </c>
      <c r="F227" s="12" t="s">
        <v>578</v>
      </c>
      <c r="G227" s="12" t="s">
        <v>578</v>
      </c>
      <c r="H227" s="12" t="s">
        <v>578</v>
      </c>
      <c r="I227" s="12" t="s">
        <v>578</v>
      </c>
      <c r="J227" s="12" t="s">
        <v>578</v>
      </c>
      <c r="K227" s="12" t="s">
        <v>578</v>
      </c>
      <c r="L227" s="12" t="s">
        <v>578</v>
      </c>
      <c r="M227" s="12" t="s">
        <v>578</v>
      </c>
      <c r="N227" s="12" t="s">
        <v>578</v>
      </c>
      <c r="O227" s="12" t="s">
        <v>578</v>
      </c>
      <c r="P227" s="12" t="s">
        <v>578</v>
      </c>
      <c r="Q227" s="12" t="s">
        <v>578</v>
      </c>
      <c r="R227" s="12" t="s">
        <v>578</v>
      </c>
      <c r="S227" s="12" t="s">
        <v>578</v>
      </c>
      <c r="T227" s="12" t="s">
        <v>578</v>
      </c>
      <c r="U227" s="12" t="s">
        <v>578</v>
      </c>
      <c r="V227" s="12" t="s">
        <v>578</v>
      </c>
      <c r="W227" s="12" t="s">
        <v>578</v>
      </c>
      <c r="X227" s="12" t="s">
        <v>578</v>
      </c>
      <c r="Y227" s="12" t="s">
        <v>578</v>
      </c>
      <c r="Z227" s="12" t="s">
        <v>578</v>
      </c>
      <c r="AA227" s="12" t="s">
        <v>578</v>
      </c>
      <c r="AB227" s="12" t="s">
        <v>578</v>
      </c>
      <c r="AC227" s="12" t="s">
        <v>578</v>
      </c>
      <c r="AD227" s="12" t="s">
        <v>578</v>
      </c>
      <c r="AE227" s="12" t="s">
        <v>578</v>
      </c>
      <c r="AF227" s="12" t="s">
        <v>578</v>
      </c>
      <c r="AG227" s="12" t="s">
        <v>578</v>
      </c>
      <c r="AH227" s="12" t="s">
        <v>578</v>
      </c>
      <c r="AI227" s="12" t="s">
        <v>578</v>
      </c>
      <c r="AJ227" s="12" t="s">
        <v>578</v>
      </c>
      <c r="AK227" s="12" t="s">
        <v>578</v>
      </c>
      <c r="AL227" s="12" t="s">
        <v>578</v>
      </c>
      <c r="AM227" s="12" t="s">
        <v>578</v>
      </c>
      <c r="AN227" s="12" t="s">
        <v>578</v>
      </c>
      <c r="AO227" s="12" t="s">
        <v>578</v>
      </c>
      <c r="AP227" s="12" t="s">
        <v>578</v>
      </c>
      <c r="AQ227" s="12" t="s">
        <v>578</v>
      </c>
      <c r="AR227" s="12" t="s">
        <v>578</v>
      </c>
      <c r="AS227" s="12" t="s">
        <v>578</v>
      </c>
      <c r="AT227" s="12" t="s">
        <v>578</v>
      </c>
      <c r="AU227" s="12" t="s">
        <v>578</v>
      </c>
      <c r="AV227" s="12" t="s">
        <v>578</v>
      </c>
      <c r="AW227" s="12" t="s">
        <v>578</v>
      </c>
      <c r="AX227" s="12" t="s">
        <v>578</v>
      </c>
      <c r="AY227" s="12" t="s">
        <v>578</v>
      </c>
      <c r="AZ227" s="12" t="s">
        <v>578</v>
      </c>
      <c r="BA227" s="12" t="s">
        <v>578</v>
      </c>
      <c r="BB227" s="12" t="s">
        <v>578</v>
      </c>
      <c r="BC227" s="12" t="s">
        <v>578</v>
      </c>
      <c r="BD227" s="12" t="s">
        <v>578</v>
      </c>
      <c r="BE227" s="12" t="s">
        <v>580</v>
      </c>
      <c r="BF227" s="12" t="s">
        <v>580</v>
      </c>
      <c r="BG227" s="12" t="s">
        <v>755</v>
      </c>
      <c r="BH227" s="12" t="s">
        <v>953</v>
      </c>
      <c r="BI227" s="12" t="s">
        <v>954</v>
      </c>
      <c r="BJ227" s="12" t="s">
        <v>771</v>
      </c>
      <c r="BK227" s="12" t="s">
        <v>591</v>
      </c>
      <c r="BL227" s="12" t="s">
        <v>592</v>
      </c>
      <c r="BM227" s="12" t="s">
        <v>774</v>
      </c>
      <c r="BN227" s="12" t="s">
        <v>1310</v>
      </c>
      <c r="BO227" s="12" t="s">
        <v>1310</v>
      </c>
      <c r="BP227" s="12" t="s">
        <v>1976</v>
      </c>
      <c r="BQ227" s="12" t="s">
        <v>1489</v>
      </c>
      <c r="BR227" s="12" t="s">
        <v>1624</v>
      </c>
      <c r="BS227" s="12" t="s">
        <v>1687</v>
      </c>
      <c r="BT227" s="12" t="s">
        <v>647</v>
      </c>
      <c r="BU227" s="12" t="s">
        <v>1518</v>
      </c>
      <c r="BV227" s="12" t="s">
        <v>1744</v>
      </c>
      <c r="BW227" s="12" t="s">
        <v>1744</v>
      </c>
      <c r="BX227" s="12" t="s">
        <v>1746</v>
      </c>
      <c r="BY227" s="12" t="s">
        <v>2428</v>
      </c>
      <c r="BZ227" s="12" t="s">
        <v>652</v>
      </c>
      <c r="CA227" s="12" t="s">
        <v>652</v>
      </c>
      <c r="CB227" s="12" t="s">
        <v>4157</v>
      </c>
      <c r="CC227" s="12" t="s">
        <v>821</v>
      </c>
      <c r="CD227" s="12" t="s">
        <v>821</v>
      </c>
      <c r="CE227" s="12" t="s">
        <v>1701</v>
      </c>
      <c r="CF227" s="12" t="s">
        <v>2699</v>
      </c>
      <c r="CG227" s="12" t="s">
        <v>659</v>
      </c>
      <c r="CH227" s="12" t="s">
        <v>1668</v>
      </c>
      <c r="CI227" s="12" t="s">
        <v>1668</v>
      </c>
      <c r="CJ227" s="12" t="s">
        <v>1846</v>
      </c>
      <c r="CK227" s="12" t="s">
        <v>1982</v>
      </c>
      <c r="CL227" s="12" t="s">
        <v>778</v>
      </c>
      <c r="CM227" s="12" t="s">
        <v>778</v>
      </c>
      <c r="CN227" s="12" t="s">
        <v>2080</v>
      </c>
      <c r="CO227" s="12" t="s">
        <v>1038</v>
      </c>
      <c r="CP227" s="12" t="s">
        <v>1755</v>
      </c>
      <c r="CQ227" s="12" t="s">
        <v>1755</v>
      </c>
      <c r="CR227" s="12" t="s">
        <v>1983</v>
      </c>
      <c r="CS227" s="12" t="s">
        <v>1403</v>
      </c>
      <c r="CT227" s="12" t="s">
        <v>4158</v>
      </c>
    </row>
    <row r="228" spans="1:98" hidden="1" x14ac:dyDescent="0.3">
      <c r="A228" s="12" t="s">
        <v>25</v>
      </c>
      <c r="B228" s="12" t="s">
        <v>4159</v>
      </c>
      <c r="C228" s="12" t="s">
        <v>4160</v>
      </c>
      <c r="D228" s="12" t="s">
        <v>4161</v>
      </c>
      <c r="E228" s="12" t="s">
        <v>579</v>
      </c>
      <c r="F228" s="12" t="s">
        <v>579</v>
      </c>
      <c r="G228" s="12" t="s">
        <v>623</v>
      </c>
      <c r="H228" s="12" t="s">
        <v>623</v>
      </c>
      <c r="I228" s="12" t="s">
        <v>581</v>
      </c>
      <c r="J228" s="12" t="s">
        <v>581</v>
      </c>
      <c r="K228" s="12" t="s">
        <v>581</v>
      </c>
      <c r="L228" s="12" t="s">
        <v>581</v>
      </c>
      <c r="M228" s="12" t="s">
        <v>581</v>
      </c>
      <c r="N228" s="12" t="s">
        <v>582</v>
      </c>
      <c r="O228" s="12" t="s">
        <v>755</v>
      </c>
      <c r="P228" s="12" t="s">
        <v>755</v>
      </c>
      <c r="Q228" s="12" t="s">
        <v>583</v>
      </c>
      <c r="R228" s="12" t="s">
        <v>583</v>
      </c>
      <c r="S228" s="12" t="s">
        <v>583</v>
      </c>
      <c r="T228" s="12" t="s">
        <v>583</v>
      </c>
      <c r="U228" s="12" t="s">
        <v>583</v>
      </c>
      <c r="V228" s="12" t="s">
        <v>583</v>
      </c>
      <c r="W228" s="12" t="s">
        <v>583</v>
      </c>
      <c r="X228" s="12" t="s">
        <v>583</v>
      </c>
      <c r="Y228" s="12" t="s">
        <v>625</v>
      </c>
      <c r="Z228" s="12" t="s">
        <v>625</v>
      </c>
      <c r="AA228" s="12" t="s">
        <v>868</v>
      </c>
      <c r="AB228" s="12" t="s">
        <v>868</v>
      </c>
      <c r="AC228" s="12" t="s">
        <v>868</v>
      </c>
      <c r="AD228" s="12" t="s">
        <v>868</v>
      </c>
      <c r="AE228" s="12" t="s">
        <v>868</v>
      </c>
      <c r="AF228" s="12" t="s">
        <v>868</v>
      </c>
      <c r="AG228" s="12" t="s">
        <v>868</v>
      </c>
      <c r="AH228" s="12" t="s">
        <v>868</v>
      </c>
      <c r="AI228" s="12" t="s">
        <v>762</v>
      </c>
      <c r="AJ228" s="12" t="s">
        <v>762</v>
      </c>
      <c r="AK228" s="12" t="s">
        <v>762</v>
      </c>
      <c r="AL228" s="12" t="s">
        <v>630</v>
      </c>
      <c r="AM228" s="12" t="s">
        <v>630</v>
      </c>
      <c r="AN228" s="12" t="s">
        <v>992</v>
      </c>
      <c r="AO228" s="12" t="s">
        <v>1413</v>
      </c>
      <c r="AP228" s="12" t="s">
        <v>680</v>
      </c>
      <c r="AQ228" s="12" t="s">
        <v>770</v>
      </c>
      <c r="AR228" s="12" t="s">
        <v>589</v>
      </c>
      <c r="AS228" s="12" t="s">
        <v>978</v>
      </c>
      <c r="AT228" s="12" t="s">
        <v>1501</v>
      </c>
      <c r="AU228" s="12" t="s">
        <v>2099</v>
      </c>
      <c r="AV228" s="12" t="s">
        <v>1489</v>
      </c>
      <c r="AW228" s="12" t="s">
        <v>1494</v>
      </c>
      <c r="AX228" s="12" t="s">
        <v>2395</v>
      </c>
      <c r="AY228" s="12" t="s">
        <v>660</v>
      </c>
      <c r="AZ228" s="12" t="s">
        <v>740</v>
      </c>
      <c r="BA228" s="12" t="s">
        <v>3321</v>
      </c>
      <c r="BB228" s="12" t="s">
        <v>1013</v>
      </c>
      <c r="BC228" s="12" t="s">
        <v>4162</v>
      </c>
      <c r="BD228" s="12" t="s">
        <v>3719</v>
      </c>
      <c r="BE228" s="12" t="s">
        <v>4163</v>
      </c>
      <c r="BF228" s="12" t="s">
        <v>4164</v>
      </c>
      <c r="BG228" s="12" t="s">
        <v>4165</v>
      </c>
      <c r="BH228" s="12" t="s">
        <v>4166</v>
      </c>
      <c r="BI228" s="12" t="s">
        <v>4167</v>
      </c>
      <c r="BJ228" s="12" t="s">
        <v>4168</v>
      </c>
      <c r="BK228" s="12" t="s">
        <v>4169</v>
      </c>
      <c r="BL228" s="12" t="s">
        <v>4170</v>
      </c>
      <c r="BM228" s="12" t="s">
        <v>4171</v>
      </c>
      <c r="BN228" s="12" t="s">
        <v>4172</v>
      </c>
      <c r="BO228" s="12" t="s">
        <v>4173</v>
      </c>
      <c r="BP228" s="12" t="s">
        <v>4174</v>
      </c>
      <c r="BQ228" s="12" t="s">
        <v>4175</v>
      </c>
      <c r="BR228" s="12" t="s">
        <v>4176</v>
      </c>
      <c r="BS228" s="12" t="s">
        <v>4177</v>
      </c>
      <c r="BT228" s="12" t="s">
        <v>4178</v>
      </c>
      <c r="BU228" s="12" t="s">
        <v>4179</v>
      </c>
      <c r="BV228" s="12" t="s">
        <v>4180</v>
      </c>
      <c r="BW228" s="12" t="s">
        <v>4181</v>
      </c>
      <c r="BX228" s="12" t="s">
        <v>4182</v>
      </c>
      <c r="BY228" s="12" t="s">
        <v>4183</v>
      </c>
      <c r="BZ228" s="12" t="s">
        <v>4184</v>
      </c>
      <c r="CA228" s="12" t="s">
        <v>4185</v>
      </c>
      <c r="CB228" s="12" t="s">
        <v>4186</v>
      </c>
      <c r="CC228" s="12" t="s">
        <v>4187</v>
      </c>
      <c r="CD228" s="12" t="s">
        <v>4188</v>
      </c>
      <c r="CE228" s="12" t="s">
        <v>4189</v>
      </c>
      <c r="CF228" s="12" t="s">
        <v>4190</v>
      </c>
      <c r="CG228" s="12" t="s">
        <v>4191</v>
      </c>
      <c r="CH228" s="12" t="s">
        <v>4192</v>
      </c>
      <c r="CI228" s="12" t="s">
        <v>4193</v>
      </c>
      <c r="CJ228" s="12" t="s">
        <v>4194</v>
      </c>
      <c r="CK228" s="12" t="s">
        <v>4195</v>
      </c>
      <c r="CL228" s="12" t="s">
        <v>4196</v>
      </c>
      <c r="CM228" s="12" t="s">
        <v>4197</v>
      </c>
      <c r="CN228" s="12" t="s">
        <v>4198</v>
      </c>
      <c r="CO228" s="12" t="s">
        <v>4199</v>
      </c>
      <c r="CP228" s="12" t="s">
        <v>4200</v>
      </c>
      <c r="CQ228" s="12" t="s">
        <v>4201</v>
      </c>
      <c r="CR228" s="12" t="s">
        <v>4202</v>
      </c>
      <c r="CS228" s="12" t="s">
        <v>4203</v>
      </c>
      <c r="CT228" s="12" t="s">
        <v>4204</v>
      </c>
    </row>
    <row r="229" spans="1:98" hidden="1" x14ac:dyDescent="0.3">
      <c r="A229" s="12" t="s">
        <v>25</v>
      </c>
      <c r="B229" s="12" t="s">
        <v>4205</v>
      </c>
      <c r="C229" s="12" t="s">
        <v>4206</v>
      </c>
      <c r="D229" s="12" t="s">
        <v>4207</v>
      </c>
      <c r="E229" s="12" t="s">
        <v>578</v>
      </c>
      <c r="F229" s="12" t="s">
        <v>578</v>
      </c>
      <c r="G229" s="12" t="s">
        <v>578</v>
      </c>
      <c r="H229" s="12" t="s">
        <v>578</v>
      </c>
      <c r="I229" s="12" t="s">
        <v>578</v>
      </c>
      <c r="J229" s="12" t="s">
        <v>578</v>
      </c>
      <c r="K229" s="12" t="s">
        <v>578</v>
      </c>
      <c r="L229" s="12" t="s">
        <v>578</v>
      </c>
      <c r="M229" s="12" t="s">
        <v>578</v>
      </c>
      <c r="N229" s="12" t="s">
        <v>578</v>
      </c>
      <c r="O229" s="12" t="s">
        <v>578</v>
      </c>
      <c r="P229" s="12" t="s">
        <v>578</v>
      </c>
      <c r="Q229" s="12" t="s">
        <v>578</v>
      </c>
      <c r="R229" s="12" t="s">
        <v>578</v>
      </c>
      <c r="S229" s="12" t="s">
        <v>578</v>
      </c>
      <c r="T229" s="12" t="s">
        <v>578</v>
      </c>
      <c r="U229" s="12" t="s">
        <v>578</v>
      </c>
      <c r="V229" s="12" t="s">
        <v>578</v>
      </c>
      <c r="W229" s="12" t="s">
        <v>578</v>
      </c>
      <c r="X229" s="12" t="s">
        <v>578</v>
      </c>
      <c r="Y229" s="12" t="s">
        <v>578</v>
      </c>
      <c r="Z229" s="12" t="s">
        <v>578</v>
      </c>
      <c r="AA229" s="12" t="s">
        <v>578</v>
      </c>
      <c r="AB229" s="12" t="s">
        <v>578</v>
      </c>
      <c r="AC229" s="12" t="s">
        <v>578</v>
      </c>
      <c r="AD229" s="12" t="s">
        <v>578</v>
      </c>
      <c r="AE229" s="12" t="s">
        <v>578</v>
      </c>
      <c r="AF229" s="12" t="s">
        <v>578</v>
      </c>
      <c r="AG229" s="12" t="s">
        <v>578</v>
      </c>
      <c r="AH229" s="12" t="s">
        <v>578</v>
      </c>
      <c r="AI229" s="12" t="s">
        <v>578</v>
      </c>
      <c r="AJ229" s="12" t="s">
        <v>578</v>
      </c>
      <c r="AK229" s="12" t="s">
        <v>578</v>
      </c>
      <c r="AL229" s="12" t="s">
        <v>578</v>
      </c>
      <c r="AM229" s="12" t="s">
        <v>578</v>
      </c>
      <c r="AN229" s="12" t="s">
        <v>578</v>
      </c>
      <c r="AO229" s="12" t="s">
        <v>578</v>
      </c>
      <c r="AP229" s="12" t="s">
        <v>578</v>
      </c>
      <c r="AQ229" s="12" t="s">
        <v>578</v>
      </c>
      <c r="AR229" s="12" t="s">
        <v>578</v>
      </c>
      <c r="AS229" s="12" t="s">
        <v>578</v>
      </c>
      <c r="AT229" s="12" t="s">
        <v>578</v>
      </c>
      <c r="AU229" s="12" t="s">
        <v>578</v>
      </c>
      <c r="AV229" s="12" t="s">
        <v>578</v>
      </c>
      <c r="AW229" s="12" t="s">
        <v>578</v>
      </c>
      <c r="AX229" s="12" t="s">
        <v>578</v>
      </c>
      <c r="AY229" s="12" t="s">
        <v>578</v>
      </c>
      <c r="AZ229" s="12" t="s">
        <v>578</v>
      </c>
      <c r="BA229" s="12" t="s">
        <v>578</v>
      </c>
      <c r="BB229" s="12" t="s">
        <v>578</v>
      </c>
      <c r="BC229" s="12" t="s">
        <v>578</v>
      </c>
      <c r="BD229" s="12" t="s">
        <v>578</v>
      </c>
      <c r="BE229" s="12" t="s">
        <v>578</v>
      </c>
      <c r="BF229" s="12" t="s">
        <v>579</v>
      </c>
      <c r="BG229" s="12" t="s">
        <v>851</v>
      </c>
      <c r="BH229" s="12" t="s">
        <v>624</v>
      </c>
      <c r="BI229" s="12" t="s">
        <v>762</v>
      </c>
      <c r="BJ229" s="12" t="s">
        <v>626</v>
      </c>
      <c r="BK229" s="12" t="s">
        <v>627</v>
      </c>
      <c r="BL229" s="12" t="s">
        <v>1259</v>
      </c>
      <c r="BM229" s="12" t="s">
        <v>1259</v>
      </c>
      <c r="BN229" s="12" t="s">
        <v>918</v>
      </c>
      <c r="BO229" s="12" t="s">
        <v>954</v>
      </c>
      <c r="BP229" s="12" t="s">
        <v>680</v>
      </c>
      <c r="BQ229" s="12" t="s">
        <v>720</v>
      </c>
      <c r="BR229" s="12" t="s">
        <v>721</v>
      </c>
      <c r="BS229" s="12" t="s">
        <v>637</v>
      </c>
      <c r="BT229" s="12" t="s">
        <v>920</v>
      </c>
      <c r="BU229" s="12" t="s">
        <v>2099</v>
      </c>
      <c r="BV229" s="12" t="s">
        <v>1815</v>
      </c>
      <c r="BW229" s="12" t="s">
        <v>1569</v>
      </c>
      <c r="BX229" s="12" t="s">
        <v>986</v>
      </c>
      <c r="BY229" s="12" t="s">
        <v>1839</v>
      </c>
      <c r="BZ229" s="12" t="s">
        <v>775</v>
      </c>
      <c r="CA229" s="12" t="s">
        <v>1519</v>
      </c>
      <c r="CB229" s="12" t="s">
        <v>1369</v>
      </c>
      <c r="CC229" s="12" t="s">
        <v>996</v>
      </c>
      <c r="CD229" s="12" t="s">
        <v>738</v>
      </c>
      <c r="CE229" s="12" t="s">
        <v>1710</v>
      </c>
      <c r="CF229" s="12" t="s">
        <v>1286</v>
      </c>
      <c r="CG229" s="12" t="s">
        <v>2044</v>
      </c>
      <c r="CH229" s="12" t="s">
        <v>2397</v>
      </c>
      <c r="CI229" s="12" t="s">
        <v>943</v>
      </c>
      <c r="CJ229" s="12" t="s">
        <v>4208</v>
      </c>
      <c r="CK229" s="12" t="s">
        <v>1015</v>
      </c>
      <c r="CL229" s="12" t="s">
        <v>1771</v>
      </c>
      <c r="CM229" s="12" t="s">
        <v>883</v>
      </c>
      <c r="CN229" s="12" t="s">
        <v>1471</v>
      </c>
      <c r="CO229" s="12" t="s">
        <v>4209</v>
      </c>
      <c r="CP229" s="12" t="s">
        <v>4210</v>
      </c>
      <c r="CQ229" s="12" t="s">
        <v>4211</v>
      </c>
      <c r="CR229" s="12" t="s">
        <v>3442</v>
      </c>
      <c r="CS229" s="12" t="s">
        <v>4212</v>
      </c>
      <c r="CT229" s="12" t="s">
        <v>4213</v>
      </c>
    </row>
    <row r="230" spans="1:98" hidden="1" x14ac:dyDescent="0.3">
      <c r="A230" s="12" t="s">
        <v>25</v>
      </c>
      <c r="B230" s="12" t="s">
        <v>4214</v>
      </c>
      <c r="C230" s="12" t="s">
        <v>4215</v>
      </c>
      <c r="D230" s="12" t="s">
        <v>4216</v>
      </c>
      <c r="E230" s="12" t="s">
        <v>578</v>
      </c>
      <c r="F230" s="12" t="s">
        <v>578</v>
      </c>
      <c r="G230" s="12" t="s">
        <v>578</v>
      </c>
      <c r="H230" s="12" t="s">
        <v>578</v>
      </c>
      <c r="I230" s="12" t="s">
        <v>578</v>
      </c>
      <c r="J230" s="12" t="s">
        <v>578</v>
      </c>
      <c r="K230" s="12" t="s">
        <v>578</v>
      </c>
      <c r="L230" s="12" t="s">
        <v>578</v>
      </c>
      <c r="M230" s="12" t="s">
        <v>578</v>
      </c>
      <c r="N230" s="12" t="s">
        <v>578</v>
      </c>
      <c r="O230" s="12" t="s">
        <v>578</v>
      </c>
      <c r="P230" s="12" t="s">
        <v>578</v>
      </c>
      <c r="Q230" s="12" t="s">
        <v>578</v>
      </c>
      <c r="R230" s="12" t="s">
        <v>578</v>
      </c>
      <c r="S230" s="12" t="s">
        <v>578</v>
      </c>
      <c r="T230" s="12" t="s">
        <v>578</v>
      </c>
      <c r="U230" s="12" t="s">
        <v>578</v>
      </c>
      <c r="V230" s="12" t="s">
        <v>578</v>
      </c>
      <c r="W230" s="12" t="s">
        <v>578</v>
      </c>
      <c r="X230" s="12" t="s">
        <v>578</v>
      </c>
      <c r="Y230" s="12" t="s">
        <v>578</v>
      </c>
      <c r="Z230" s="12" t="s">
        <v>578</v>
      </c>
      <c r="AA230" s="12" t="s">
        <v>578</v>
      </c>
      <c r="AB230" s="12" t="s">
        <v>578</v>
      </c>
      <c r="AC230" s="12" t="s">
        <v>578</v>
      </c>
      <c r="AD230" s="12" t="s">
        <v>578</v>
      </c>
      <c r="AE230" s="12" t="s">
        <v>578</v>
      </c>
      <c r="AF230" s="12" t="s">
        <v>578</v>
      </c>
      <c r="AG230" s="12" t="s">
        <v>578</v>
      </c>
      <c r="AH230" s="12" t="s">
        <v>578</v>
      </c>
      <c r="AI230" s="12" t="s">
        <v>578</v>
      </c>
      <c r="AJ230" s="12" t="s">
        <v>578</v>
      </c>
      <c r="AK230" s="12" t="s">
        <v>578</v>
      </c>
      <c r="AL230" s="12" t="s">
        <v>578</v>
      </c>
      <c r="AM230" s="12" t="s">
        <v>578</v>
      </c>
      <c r="AN230" s="12" t="s">
        <v>578</v>
      </c>
      <c r="AO230" s="12" t="s">
        <v>578</v>
      </c>
      <c r="AP230" s="12" t="s">
        <v>578</v>
      </c>
      <c r="AQ230" s="12" t="s">
        <v>578</v>
      </c>
      <c r="AR230" s="12" t="s">
        <v>578</v>
      </c>
      <c r="AS230" s="12" t="s">
        <v>578</v>
      </c>
      <c r="AT230" s="12" t="s">
        <v>578</v>
      </c>
      <c r="AU230" s="12" t="s">
        <v>578</v>
      </c>
      <c r="AV230" s="12" t="s">
        <v>578</v>
      </c>
      <c r="AW230" s="12" t="s">
        <v>578</v>
      </c>
      <c r="AX230" s="12" t="s">
        <v>578</v>
      </c>
      <c r="AY230" s="12" t="s">
        <v>578</v>
      </c>
      <c r="AZ230" s="12" t="s">
        <v>578</v>
      </c>
      <c r="BA230" s="12" t="s">
        <v>578</v>
      </c>
      <c r="BB230" s="12" t="s">
        <v>578</v>
      </c>
      <c r="BC230" s="12" t="s">
        <v>578</v>
      </c>
      <c r="BD230" s="12" t="s">
        <v>578</v>
      </c>
      <c r="BE230" s="12" t="s">
        <v>623</v>
      </c>
      <c r="BF230" s="12" t="s">
        <v>624</v>
      </c>
      <c r="BG230" s="12" t="s">
        <v>673</v>
      </c>
      <c r="BH230" s="12" t="s">
        <v>627</v>
      </c>
      <c r="BI230" s="12" t="s">
        <v>971</v>
      </c>
      <c r="BJ230" s="12" t="s">
        <v>629</v>
      </c>
      <c r="BK230" s="12" t="s">
        <v>629</v>
      </c>
      <c r="BL230" s="12" t="s">
        <v>634</v>
      </c>
      <c r="BM230" s="12" t="s">
        <v>634</v>
      </c>
      <c r="BN230" s="12" t="s">
        <v>855</v>
      </c>
      <c r="BO230" s="12" t="s">
        <v>590</v>
      </c>
      <c r="BP230" s="12" t="s">
        <v>857</v>
      </c>
      <c r="BQ230" s="12" t="s">
        <v>1260</v>
      </c>
      <c r="BR230" s="12" t="s">
        <v>1260</v>
      </c>
      <c r="BS230" s="12" t="s">
        <v>1418</v>
      </c>
      <c r="BT230" s="12" t="s">
        <v>1418</v>
      </c>
      <c r="BU230" s="12" t="s">
        <v>1356</v>
      </c>
      <c r="BV230" s="12" t="s">
        <v>1356</v>
      </c>
      <c r="BW230" s="12" t="s">
        <v>1821</v>
      </c>
      <c r="BX230" s="12" t="s">
        <v>639</v>
      </c>
      <c r="BY230" s="12" t="s">
        <v>2100</v>
      </c>
      <c r="BZ230" s="12" t="s">
        <v>1623</v>
      </c>
      <c r="CA230" s="12" t="s">
        <v>1733</v>
      </c>
      <c r="CB230" s="12" t="s">
        <v>981</v>
      </c>
      <c r="CC230" s="12" t="s">
        <v>981</v>
      </c>
      <c r="CD230" s="12" t="s">
        <v>1487</v>
      </c>
      <c r="CE230" s="12" t="s">
        <v>874</v>
      </c>
      <c r="CF230" s="12" t="s">
        <v>874</v>
      </c>
      <c r="CG230" s="12" t="s">
        <v>1026</v>
      </c>
      <c r="CH230" s="12" t="s">
        <v>1569</v>
      </c>
      <c r="CI230" s="12" t="s">
        <v>1976</v>
      </c>
      <c r="CJ230" s="12" t="s">
        <v>1976</v>
      </c>
      <c r="CK230" s="12" t="s">
        <v>641</v>
      </c>
      <c r="CL230" s="12" t="s">
        <v>2515</v>
      </c>
      <c r="CM230" s="12" t="s">
        <v>2515</v>
      </c>
      <c r="CN230" s="12" t="s">
        <v>1839</v>
      </c>
      <c r="CO230" s="12" t="s">
        <v>1128</v>
      </c>
      <c r="CP230" s="12" t="s">
        <v>1128</v>
      </c>
      <c r="CQ230" s="12" t="s">
        <v>1129</v>
      </c>
      <c r="CR230" s="12" t="s">
        <v>1395</v>
      </c>
      <c r="CS230" s="12" t="s">
        <v>1029</v>
      </c>
      <c r="CT230" s="12" t="s">
        <v>1396</v>
      </c>
    </row>
    <row r="231" spans="1:98" hidden="1" x14ac:dyDescent="0.3">
      <c r="A231" s="12" t="s">
        <v>25</v>
      </c>
      <c r="B231" s="12" t="s">
        <v>4217</v>
      </c>
      <c r="C231" s="12" t="s">
        <v>3894</v>
      </c>
      <c r="D231" s="12" t="s">
        <v>4218</v>
      </c>
      <c r="E231" s="12" t="s">
        <v>578</v>
      </c>
      <c r="F231" s="12" t="s">
        <v>623</v>
      </c>
      <c r="G231" s="12" t="s">
        <v>623</v>
      </c>
      <c r="H231" s="12" t="s">
        <v>623</v>
      </c>
      <c r="I231" s="12" t="s">
        <v>623</v>
      </c>
      <c r="J231" s="12" t="s">
        <v>623</v>
      </c>
      <c r="K231" s="12" t="s">
        <v>623</v>
      </c>
      <c r="L231" s="12" t="s">
        <v>623</v>
      </c>
      <c r="M231" s="12" t="s">
        <v>623</v>
      </c>
      <c r="N231" s="12" t="s">
        <v>623</v>
      </c>
      <c r="O231" s="12" t="s">
        <v>851</v>
      </c>
      <c r="P231" s="12" t="s">
        <v>851</v>
      </c>
      <c r="Q231" s="12" t="s">
        <v>755</v>
      </c>
      <c r="R231" s="12" t="s">
        <v>755</v>
      </c>
      <c r="S231" s="12" t="s">
        <v>755</v>
      </c>
      <c r="T231" s="12" t="s">
        <v>624</v>
      </c>
      <c r="U231" s="12" t="s">
        <v>624</v>
      </c>
      <c r="V231" s="12" t="s">
        <v>868</v>
      </c>
      <c r="W231" s="12" t="s">
        <v>868</v>
      </c>
      <c r="X231" s="12" t="s">
        <v>756</v>
      </c>
      <c r="Y231" s="12" t="s">
        <v>762</v>
      </c>
      <c r="Z231" s="12" t="s">
        <v>762</v>
      </c>
      <c r="AA231" s="12" t="s">
        <v>584</v>
      </c>
      <c r="AB231" s="12" t="s">
        <v>584</v>
      </c>
      <c r="AC231" s="12" t="s">
        <v>584</v>
      </c>
      <c r="AD231" s="12" t="s">
        <v>584</v>
      </c>
      <c r="AE231" s="12" t="s">
        <v>584</v>
      </c>
      <c r="AF231" s="12" t="s">
        <v>584</v>
      </c>
      <c r="AG231" s="12" t="s">
        <v>584</v>
      </c>
      <c r="AH231" s="12" t="s">
        <v>584</v>
      </c>
      <c r="AI231" s="12" t="s">
        <v>584</v>
      </c>
      <c r="AJ231" s="12" t="s">
        <v>584</v>
      </c>
      <c r="AK231" s="12" t="s">
        <v>584</v>
      </c>
      <c r="AL231" s="12" t="s">
        <v>584</v>
      </c>
      <c r="AM231" s="12" t="s">
        <v>584</v>
      </c>
      <c r="AN231" s="12" t="s">
        <v>584</v>
      </c>
      <c r="AO231" s="12" t="s">
        <v>584</v>
      </c>
      <c r="AP231" s="12" t="s">
        <v>584</v>
      </c>
      <c r="AQ231" s="12" t="s">
        <v>584</v>
      </c>
      <c r="AR231" s="12" t="s">
        <v>584</v>
      </c>
      <c r="AS231" s="12" t="s">
        <v>584</v>
      </c>
      <c r="AT231" s="12" t="s">
        <v>584</v>
      </c>
      <c r="AU231" s="12" t="s">
        <v>584</v>
      </c>
      <c r="AV231" s="12" t="s">
        <v>584</v>
      </c>
      <c r="AW231" s="12" t="s">
        <v>584</v>
      </c>
      <c r="AX231" s="12" t="s">
        <v>808</v>
      </c>
      <c r="AY231" s="12" t="s">
        <v>2018</v>
      </c>
      <c r="AZ231" s="12" t="s">
        <v>2018</v>
      </c>
      <c r="BA231" s="12" t="s">
        <v>766</v>
      </c>
      <c r="BB231" s="12" t="s">
        <v>628</v>
      </c>
      <c r="BC231" s="12" t="s">
        <v>718</v>
      </c>
      <c r="BD231" s="12" t="s">
        <v>972</v>
      </c>
      <c r="BE231" s="12" t="s">
        <v>719</v>
      </c>
      <c r="BF231" s="12" t="s">
        <v>769</v>
      </c>
      <c r="BG231" s="12" t="s">
        <v>919</v>
      </c>
      <c r="BH231" s="12" t="s">
        <v>973</v>
      </c>
      <c r="BI231" s="12" t="s">
        <v>720</v>
      </c>
      <c r="BJ231" s="12" t="s">
        <v>1124</v>
      </c>
      <c r="BK231" s="12" t="s">
        <v>857</v>
      </c>
      <c r="BL231" s="12" t="s">
        <v>591</v>
      </c>
      <c r="BM231" s="12" t="s">
        <v>722</v>
      </c>
      <c r="BN231" s="12" t="s">
        <v>638</v>
      </c>
      <c r="BO231" s="12" t="s">
        <v>873</v>
      </c>
      <c r="BP231" s="12" t="s">
        <v>2013</v>
      </c>
      <c r="BQ231" s="12" t="s">
        <v>2100</v>
      </c>
      <c r="BR231" s="12" t="s">
        <v>1186</v>
      </c>
      <c r="BS231" s="12" t="s">
        <v>595</v>
      </c>
      <c r="BT231" s="12" t="s">
        <v>725</v>
      </c>
      <c r="BU231" s="12" t="s">
        <v>1488</v>
      </c>
      <c r="BV231" s="12" t="s">
        <v>642</v>
      </c>
      <c r="BW231" s="12" t="s">
        <v>1163</v>
      </c>
      <c r="BX231" s="12" t="s">
        <v>1423</v>
      </c>
      <c r="BY231" s="12" t="s">
        <v>596</v>
      </c>
      <c r="BZ231" s="12" t="s">
        <v>2000</v>
      </c>
      <c r="CA231" s="12" t="s">
        <v>1508</v>
      </c>
      <c r="CB231" s="12" t="s">
        <v>1816</v>
      </c>
      <c r="CC231" s="12" t="s">
        <v>816</v>
      </c>
      <c r="CD231" s="12" t="s">
        <v>1817</v>
      </c>
      <c r="CE231" s="12" t="s">
        <v>1493</v>
      </c>
      <c r="CF231" s="12" t="s">
        <v>956</v>
      </c>
      <c r="CG231" s="12" t="s">
        <v>1280</v>
      </c>
      <c r="CH231" s="12" t="s">
        <v>1494</v>
      </c>
      <c r="CI231" s="12" t="s">
        <v>817</v>
      </c>
      <c r="CJ231" s="12" t="s">
        <v>775</v>
      </c>
      <c r="CK231" s="12" t="s">
        <v>727</v>
      </c>
      <c r="CL231" s="12" t="s">
        <v>1264</v>
      </c>
      <c r="CM231" s="12" t="s">
        <v>1264</v>
      </c>
      <c r="CN231" s="12" t="s">
        <v>1264</v>
      </c>
      <c r="CO231" s="12" t="s">
        <v>1264</v>
      </c>
      <c r="CP231" s="12" t="s">
        <v>1264</v>
      </c>
      <c r="CQ231" s="12" t="s">
        <v>1264</v>
      </c>
      <c r="CR231" s="12" t="s">
        <v>1264</v>
      </c>
      <c r="CS231" s="12" t="s">
        <v>1264</v>
      </c>
      <c r="CT231" s="12" t="s">
        <v>3044</v>
      </c>
    </row>
    <row r="232" spans="1:98" hidden="1" x14ac:dyDescent="0.3">
      <c r="A232" s="12" t="s">
        <v>25</v>
      </c>
      <c r="B232" s="12" t="s">
        <v>4219</v>
      </c>
      <c r="C232" s="12" t="s">
        <v>4220</v>
      </c>
      <c r="D232" s="12" t="s">
        <v>4221</v>
      </c>
      <c r="E232" s="12" t="s">
        <v>578</v>
      </c>
      <c r="F232" s="12" t="s">
        <v>578</v>
      </c>
      <c r="G232" s="12" t="s">
        <v>578</v>
      </c>
      <c r="H232" s="12" t="s">
        <v>578</v>
      </c>
      <c r="I232" s="12" t="s">
        <v>578</v>
      </c>
      <c r="J232" s="12" t="s">
        <v>578</v>
      </c>
      <c r="K232" s="12" t="s">
        <v>578</v>
      </c>
      <c r="L232" s="12" t="s">
        <v>578</v>
      </c>
      <c r="M232" s="12" t="s">
        <v>578</v>
      </c>
      <c r="N232" s="12" t="s">
        <v>578</v>
      </c>
      <c r="O232" s="12" t="s">
        <v>578</v>
      </c>
      <c r="P232" s="12" t="s">
        <v>578</v>
      </c>
      <c r="Q232" s="12" t="s">
        <v>578</v>
      </c>
      <c r="R232" s="12" t="s">
        <v>578</v>
      </c>
      <c r="S232" s="12" t="s">
        <v>578</v>
      </c>
      <c r="T232" s="12" t="s">
        <v>578</v>
      </c>
      <c r="U232" s="12" t="s">
        <v>578</v>
      </c>
      <c r="V232" s="12" t="s">
        <v>578</v>
      </c>
      <c r="W232" s="12" t="s">
        <v>578</v>
      </c>
      <c r="X232" s="12" t="s">
        <v>578</v>
      </c>
      <c r="Y232" s="12" t="s">
        <v>578</v>
      </c>
      <c r="Z232" s="12" t="s">
        <v>578</v>
      </c>
      <c r="AA232" s="12" t="s">
        <v>578</v>
      </c>
      <c r="AB232" s="12" t="s">
        <v>578</v>
      </c>
      <c r="AC232" s="12" t="s">
        <v>578</v>
      </c>
      <c r="AD232" s="12" t="s">
        <v>578</v>
      </c>
      <c r="AE232" s="12" t="s">
        <v>578</v>
      </c>
      <c r="AF232" s="12" t="s">
        <v>578</v>
      </c>
      <c r="AG232" s="12" t="s">
        <v>578</v>
      </c>
      <c r="AH232" s="12" t="s">
        <v>578</v>
      </c>
      <c r="AI232" s="12" t="s">
        <v>578</v>
      </c>
      <c r="AJ232" s="12" t="s">
        <v>578</v>
      </c>
      <c r="AK232" s="12" t="s">
        <v>578</v>
      </c>
      <c r="AL232" s="12" t="s">
        <v>578</v>
      </c>
      <c r="AM232" s="12" t="s">
        <v>578</v>
      </c>
      <c r="AN232" s="12" t="s">
        <v>578</v>
      </c>
      <c r="AO232" s="12" t="s">
        <v>578</v>
      </c>
      <c r="AP232" s="12" t="s">
        <v>578</v>
      </c>
      <c r="AQ232" s="12" t="s">
        <v>578</v>
      </c>
      <c r="AR232" s="12" t="s">
        <v>578</v>
      </c>
      <c r="AS232" s="12" t="s">
        <v>578</v>
      </c>
      <c r="AT232" s="12" t="s">
        <v>578</v>
      </c>
      <c r="AU232" s="12" t="s">
        <v>578</v>
      </c>
      <c r="AV232" s="12" t="s">
        <v>578</v>
      </c>
      <c r="AW232" s="12" t="s">
        <v>578</v>
      </c>
      <c r="AX232" s="12" t="s">
        <v>578</v>
      </c>
      <c r="AY232" s="12" t="s">
        <v>578</v>
      </c>
      <c r="AZ232" s="12" t="s">
        <v>578</v>
      </c>
      <c r="BA232" s="12" t="s">
        <v>578</v>
      </c>
      <c r="BB232" s="12" t="s">
        <v>578</v>
      </c>
      <c r="BC232" s="12" t="s">
        <v>578</v>
      </c>
      <c r="BD232" s="12" t="s">
        <v>578</v>
      </c>
      <c r="BE232" s="12" t="s">
        <v>578</v>
      </c>
      <c r="BF232" s="12" t="s">
        <v>578</v>
      </c>
      <c r="BG232" s="12" t="s">
        <v>578</v>
      </c>
      <c r="BH232" s="12" t="s">
        <v>578</v>
      </c>
      <c r="BI232" s="12" t="s">
        <v>623</v>
      </c>
      <c r="BJ232" s="12" t="s">
        <v>623</v>
      </c>
      <c r="BK232" s="12" t="s">
        <v>623</v>
      </c>
      <c r="BL232" s="12" t="s">
        <v>623</v>
      </c>
      <c r="BM232" s="12" t="s">
        <v>672</v>
      </c>
      <c r="BN232" s="12" t="s">
        <v>672</v>
      </c>
      <c r="BO232" s="12" t="s">
        <v>672</v>
      </c>
      <c r="BP232" s="12" t="s">
        <v>625</v>
      </c>
      <c r="BQ232" s="12" t="s">
        <v>584</v>
      </c>
      <c r="BR232" s="12" t="s">
        <v>586</v>
      </c>
      <c r="BS232" s="12" t="s">
        <v>869</v>
      </c>
      <c r="BT232" s="12" t="s">
        <v>953</v>
      </c>
      <c r="BU232" s="12" t="s">
        <v>917</v>
      </c>
      <c r="BV232" s="12" t="s">
        <v>917</v>
      </c>
      <c r="BW232" s="12" t="s">
        <v>971</v>
      </c>
      <c r="BX232" s="12" t="s">
        <v>718</v>
      </c>
      <c r="BY232" s="12" t="s">
        <v>718</v>
      </c>
      <c r="BZ232" s="12" t="s">
        <v>718</v>
      </c>
      <c r="CA232" s="12" t="s">
        <v>718</v>
      </c>
      <c r="CB232" s="12" t="s">
        <v>718</v>
      </c>
      <c r="CC232" s="12" t="s">
        <v>718</v>
      </c>
      <c r="CD232" s="12" t="s">
        <v>718</v>
      </c>
      <c r="CE232" s="12" t="s">
        <v>718</v>
      </c>
      <c r="CF232" s="12" t="s">
        <v>588</v>
      </c>
      <c r="CG232" s="12" t="s">
        <v>588</v>
      </c>
      <c r="CH232" s="12" t="s">
        <v>1259</v>
      </c>
      <c r="CI232" s="12" t="s">
        <v>768</v>
      </c>
      <c r="CJ232" s="12" t="s">
        <v>768</v>
      </c>
      <c r="CK232" s="12" t="s">
        <v>678</v>
      </c>
      <c r="CL232" s="12" t="s">
        <v>678</v>
      </c>
      <c r="CM232" s="12" t="s">
        <v>809</v>
      </c>
      <c r="CN232" s="12" t="s">
        <v>992</v>
      </c>
      <c r="CO232" s="12" t="s">
        <v>919</v>
      </c>
      <c r="CP232" s="12" t="s">
        <v>870</v>
      </c>
      <c r="CQ232" s="12" t="s">
        <v>634</v>
      </c>
      <c r="CR232" s="12" t="s">
        <v>589</v>
      </c>
      <c r="CS232" s="12" t="s">
        <v>635</v>
      </c>
      <c r="CT232" s="12" t="s">
        <v>590</v>
      </c>
    </row>
    <row r="233" spans="1:98" hidden="1" x14ac:dyDescent="0.3">
      <c r="A233" s="12" t="s">
        <v>25</v>
      </c>
      <c r="B233" s="12" t="s">
        <v>4222</v>
      </c>
      <c r="C233" s="12" t="s">
        <v>4223</v>
      </c>
      <c r="D233" s="12" t="s">
        <v>2394</v>
      </c>
      <c r="E233" s="12" t="s">
        <v>578</v>
      </c>
      <c r="F233" s="12" t="s">
        <v>578</v>
      </c>
      <c r="G233" s="12" t="s">
        <v>578</v>
      </c>
      <c r="H233" s="12" t="s">
        <v>578</v>
      </c>
      <c r="I233" s="12" t="s">
        <v>578</v>
      </c>
      <c r="J233" s="12" t="s">
        <v>578</v>
      </c>
      <c r="K233" s="12" t="s">
        <v>578</v>
      </c>
      <c r="L233" s="12" t="s">
        <v>578</v>
      </c>
      <c r="M233" s="12" t="s">
        <v>578</v>
      </c>
      <c r="N233" s="12" t="s">
        <v>578</v>
      </c>
      <c r="O233" s="12" t="s">
        <v>578</v>
      </c>
      <c r="P233" s="12" t="s">
        <v>578</v>
      </c>
      <c r="Q233" s="12" t="s">
        <v>578</v>
      </c>
      <c r="R233" s="12" t="s">
        <v>578</v>
      </c>
      <c r="S233" s="12" t="s">
        <v>578</v>
      </c>
      <c r="T233" s="12" t="s">
        <v>578</v>
      </c>
      <c r="U233" s="12" t="s">
        <v>578</v>
      </c>
      <c r="V233" s="12" t="s">
        <v>578</v>
      </c>
      <c r="W233" s="12" t="s">
        <v>578</v>
      </c>
      <c r="X233" s="12" t="s">
        <v>578</v>
      </c>
      <c r="Y233" s="12" t="s">
        <v>578</v>
      </c>
      <c r="Z233" s="12" t="s">
        <v>578</v>
      </c>
      <c r="AA233" s="12" t="s">
        <v>578</v>
      </c>
      <c r="AB233" s="12" t="s">
        <v>578</v>
      </c>
      <c r="AC233" s="12" t="s">
        <v>578</v>
      </c>
      <c r="AD233" s="12" t="s">
        <v>578</v>
      </c>
      <c r="AE233" s="12" t="s">
        <v>578</v>
      </c>
      <c r="AF233" s="12" t="s">
        <v>578</v>
      </c>
      <c r="AG233" s="12" t="s">
        <v>578</v>
      </c>
      <c r="AH233" s="12" t="s">
        <v>578</v>
      </c>
      <c r="AI233" s="12" t="s">
        <v>578</v>
      </c>
      <c r="AJ233" s="12" t="s">
        <v>578</v>
      </c>
      <c r="AK233" s="12" t="s">
        <v>578</v>
      </c>
      <c r="AL233" s="12" t="s">
        <v>578</v>
      </c>
      <c r="AM233" s="12" t="s">
        <v>578</v>
      </c>
      <c r="AN233" s="12" t="s">
        <v>578</v>
      </c>
      <c r="AO233" s="12" t="s">
        <v>578</v>
      </c>
      <c r="AP233" s="12" t="s">
        <v>578</v>
      </c>
      <c r="AQ233" s="12" t="s">
        <v>578</v>
      </c>
      <c r="AR233" s="12" t="s">
        <v>578</v>
      </c>
      <c r="AS233" s="12" t="s">
        <v>578</v>
      </c>
      <c r="AT233" s="12" t="s">
        <v>578</v>
      </c>
      <c r="AU233" s="12" t="s">
        <v>578</v>
      </c>
      <c r="AV233" s="12" t="s">
        <v>578</v>
      </c>
      <c r="AW233" s="12" t="s">
        <v>578</v>
      </c>
      <c r="AX233" s="12" t="s">
        <v>578</v>
      </c>
      <c r="AY233" s="12" t="s">
        <v>578</v>
      </c>
      <c r="AZ233" s="12" t="s">
        <v>578</v>
      </c>
      <c r="BA233" s="12" t="s">
        <v>578</v>
      </c>
      <c r="BB233" s="12" t="s">
        <v>578</v>
      </c>
      <c r="BC233" s="12" t="s">
        <v>578</v>
      </c>
      <c r="BD233" s="12" t="s">
        <v>578</v>
      </c>
      <c r="BE233" s="12" t="s">
        <v>578</v>
      </c>
      <c r="BF233" s="12" t="s">
        <v>578</v>
      </c>
      <c r="BG233" s="12" t="s">
        <v>578</v>
      </c>
      <c r="BH233" s="12" t="s">
        <v>578</v>
      </c>
      <c r="BI233" s="12" t="s">
        <v>578</v>
      </c>
      <c r="BJ233" s="12" t="s">
        <v>578</v>
      </c>
      <c r="BK233" s="12" t="s">
        <v>579</v>
      </c>
      <c r="BL233" s="12" t="s">
        <v>672</v>
      </c>
      <c r="BM233" s="12" t="s">
        <v>672</v>
      </c>
      <c r="BN233" s="12" t="s">
        <v>672</v>
      </c>
      <c r="BO233" s="12" t="s">
        <v>672</v>
      </c>
      <c r="BP233" s="12" t="s">
        <v>672</v>
      </c>
      <c r="BQ233" s="12" t="s">
        <v>672</v>
      </c>
      <c r="BR233" s="12" t="s">
        <v>581</v>
      </c>
      <c r="BS233" s="12" t="s">
        <v>582</v>
      </c>
      <c r="BT233" s="12" t="s">
        <v>582</v>
      </c>
      <c r="BU233" s="12" t="s">
        <v>582</v>
      </c>
      <c r="BV233" s="12" t="s">
        <v>755</v>
      </c>
      <c r="BW233" s="12" t="s">
        <v>755</v>
      </c>
      <c r="BX233" s="12" t="s">
        <v>761</v>
      </c>
      <c r="BY233" s="12" t="s">
        <v>761</v>
      </c>
      <c r="BZ233" s="12" t="s">
        <v>761</v>
      </c>
      <c r="CA233" s="12" t="s">
        <v>761</v>
      </c>
      <c r="CB233" s="12" t="s">
        <v>624</v>
      </c>
      <c r="CC233" s="12" t="s">
        <v>583</v>
      </c>
      <c r="CD233" s="12" t="s">
        <v>583</v>
      </c>
      <c r="CE233" s="12" t="s">
        <v>583</v>
      </c>
      <c r="CF233" s="12" t="s">
        <v>868</v>
      </c>
      <c r="CG233" s="12" t="s">
        <v>756</v>
      </c>
      <c r="CH233" s="12" t="s">
        <v>756</v>
      </c>
      <c r="CI233" s="12" t="s">
        <v>673</v>
      </c>
      <c r="CJ233" s="12" t="s">
        <v>673</v>
      </c>
      <c r="CK233" s="12" t="s">
        <v>626</v>
      </c>
      <c r="CL233" s="12" t="s">
        <v>626</v>
      </c>
      <c r="CM233" s="12" t="s">
        <v>587</v>
      </c>
      <c r="CN233" s="12" t="s">
        <v>757</v>
      </c>
      <c r="CO233" s="12" t="s">
        <v>757</v>
      </c>
      <c r="CP233" s="12" t="s">
        <v>757</v>
      </c>
      <c r="CQ233" s="12" t="s">
        <v>869</v>
      </c>
      <c r="CR233" s="12" t="s">
        <v>869</v>
      </c>
      <c r="CS233" s="12" t="s">
        <v>869</v>
      </c>
      <c r="CT233" s="12" t="s">
        <v>953</v>
      </c>
    </row>
    <row r="234" spans="1:98" hidden="1" x14ac:dyDescent="0.3">
      <c r="A234" s="12" t="s">
        <v>2212</v>
      </c>
      <c r="B234" s="12" t="s">
        <v>1435</v>
      </c>
      <c r="C234" s="12" t="s">
        <v>2213</v>
      </c>
      <c r="D234" s="12" t="s">
        <v>2213</v>
      </c>
      <c r="E234" s="12" t="s">
        <v>578</v>
      </c>
      <c r="F234" s="12" t="s">
        <v>578</v>
      </c>
      <c r="G234" s="12" t="s">
        <v>578</v>
      </c>
      <c r="H234" s="12" t="s">
        <v>578</v>
      </c>
      <c r="I234" s="12" t="s">
        <v>578</v>
      </c>
      <c r="J234" s="12" t="s">
        <v>578</v>
      </c>
      <c r="K234" s="12" t="s">
        <v>578</v>
      </c>
      <c r="L234" s="12" t="s">
        <v>578</v>
      </c>
      <c r="M234" s="12" t="s">
        <v>578</v>
      </c>
      <c r="N234" s="12" t="s">
        <v>578</v>
      </c>
      <c r="O234" s="12" t="s">
        <v>578</v>
      </c>
      <c r="P234" s="12" t="s">
        <v>578</v>
      </c>
      <c r="Q234" s="12" t="s">
        <v>578</v>
      </c>
      <c r="R234" s="12" t="s">
        <v>578</v>
      </c>
      <c r="S234" s="12" t="s">
        <v>578</v>
      </c>
      <c r="T234" s="12" t="s">
        <v>578</v>
      </c>
      <c r="U234" s="12" t="s">
        <v>578</v>
      </c>
      <c r="V234" s="12" t="s">
        <v>578</v>
      </c>
      <c r="W234" s="12" t="s">
        <v>578</v>
      </c>
      <c r="X234" s="12" t="s">
        <v>578</v>
      </c>
      <c r="Y234" s="12" t="s">
        <v>578</v>
      </c>
      <c r="Z234" s="12" t="s">
        <v>578</v>
      </c>
      <c r="AA234" s="12" t="s">
        <v>578</v>
      </c>
      <c r="AB234" s="12" t="s">
        <v>578</v>
      </c>
      <c r="AC234" s="12" t="s">
        <v>578</v>
      </c>
      <c r="AD234" s="12" t="s">
        <v>578</v>
      </c>
      <c r="AE234" s="12" t="s">
        <v>578</v>
      </c>
      <c r="AF234" s="12" t="s">
        <v>578</v>
      </c>
      <c r="AG234" s="12" t="s">
        <v>578</v>
      </c>
      <c r="AH234" s="12" t="s">
        <v>578</v>
      </c>
      <c r="AI234" s="12" t="s">
        <v>578</v>
      </c>
      <c r="AJ234" s="12" t="s">
        <v>578</v>
      </c>
      <c r="AK234" s="12" t="s">
        <v>578</v>
      </c>
      <c r="AL234" s="12" t="s">
        <v>578</v>
      </c>
      <c r="AM234" s="12" t="s">
        <v>578</v>
      </c>
      <c r="AN234" s="12" t="s">
        <v>578</v>
      </c>
      <c r="AO234" s="12" t="s">
        <v>578</v>
      </c>
      <c r="AP234" s="12" t="s">
        <v>578</v>
      </c>
      <c r="AQ234" s="12" t="s">
        <v>578</v>
      </c>
      <c r="AR234" s="12" t="s">
        <v>578</v>
      </c>
      <c r="AS234" s="12" t="s">
        <v>578</v>
      </c>
      <c r="AT234" s="12" t="s">
        <v>578</v>
      </c>
      <c r="AU234" s="12" t="s">
        <v>578</v>
      </c>
      <c r="AV234" s="12" t="s">
        <v>578</v>
      </c>
      <c r="AW234" s="12" t="s">
        <v>578</v>
      </c>
      <c r="AX234" s="12" t="s">
        <v>578</v>
      </c>
      <c r="AY234" s="12" t="s">
        <v>578</v>
      </c>
      <c r="AZ234" s="12" t="s">
        <v>578</v>
      </c>
      <c r="BA234" s="12" t="s">
        <v>578</v>
      </c>
      <c r="BB234" s="12" t="s">
        <v>578</v>
      </c>
      <c r="BC234" s="12" t="s">
        <v>578</v>
      </c>
      <c r="BD234" s="12" t="s">
        <v>578</v>
      </c>
      <c r="BE234" s="12" t="s">
        <v>578</v>
      </c>
      <c r="BF234" s="12" t="s">
        <v>578</v>
      </c>
      <c r="BG234" s="12" t="s">
        <v>578</v>
      </c>
      <c r="BH234" s="12" t="s">
        <v>578</v>
      </c>
      <c r="BI234" s="12" t="s">
        <v>578</v>
      </c>
      <c r="BJ234" s="12" t="s">
        <v>578</v>
      </c>
      <c r="BK234" s="12" t="s">
        <v>578</v>
      </c>
      <c r="BL234" s="12" t="s">
        <v>578</v>
      </c>
      <c r="BM234" s="12" t="s">
        <v>578</v>
      </c>
      <c r="BN234" s="12" t="s">
        <v>578</v>
      </c>
      <c r="BO234" s="12" t="s">
        <v>578</v>
      </c>
      <c r="BP234" s="12" t="s">
        <v>578</v>
      </c>
      <c r="BQ234" s="12" t="s">
        <v>578</v>
      </c>
      <c r="BR234" s="12" t="s">
        <v>578</v>
      </c>
      <c r="BS234" s="12" t="s">
        <v>578</v>
      </c>
      <c r="BT234" s="12" t="s">
        <v>578</v>
      </c>
      <c r="BU234" s="12" t="s">
        <v>578</v>
      </c>
      <c r="BV234" s="12" t="s">
        <v>578</v>
      </c>
      <c r="BW234" s="12" t="s">
        <v>578</v>
      </c>
      <c r="BX234" s="12" t="s">
        <v>578</v>
      </c>
      <c r="BY234" s="12" t="s">
        <v>578</v>
      </c>
      <c r="BZ234" s="12" t="s">
        <v>578</v>
      </c>
      <c r="CA234" s="12" t="s">
        <v>578</v>
      </c>
      <c r="CB234" s="12" t="s">
        <v>578</v>
      </c>
      <c r="CC234" s="12" t="s">
        <v>578</v>
      </c>
      <c r="CD234" s="12" t="s">
        <v>578</v>
      </c>
      <c r="CE234" s="12" t="s">
        <v>578</v>
      </c>
      <c r="CF234" s="12" t="s">
        <v>578</v>
      </c>
      <c r="CG234" s="12" t="s">
        <v>578</v>
      </c>
      <c r="CH234" s="12" t="s">
        <v>1483</v>
      </c>
      <c r="CI234" s="12" t="s">
        <v>1483</v>
      </c>
      <c r="CJ234" s="12" t="s">
        <v>1483</v>
      </c>
      <c r="CK234" s="12" t="s">
        <v>1483</v>
      </c>
      <c r="CL234" s="12" t="s">
        <v>1483</v>
      </c>
      <c r="CM234" s="12" t="s">
        <v>1483</v>
      </c>
      <c r="CN234" s="12" t="s">
        <v>1483</v>
      </c>
      <c r="CO234" s="12" t="s">
        <v>1483</v>
      </c>
      <c r="CP234" s="12" t="s">
        <v>1483</v>
      </c>
      <c r="CQ234" s="12" t="s">
        <v>1483</v>
      </c>
      <c r="CR234" s="12" t="s">
        <v>1483</v>
      </c>
      <c r="CS234" s="12" t="s">
        <v>578</v>
      </c>
      <c r="CT234" s="12" t="s">
        <v>578</v>
      </c>
    </row>
    <row r="235" spans="1:98" hidden="1" x14ac:dyDescent="0.3">
      <c r="A235" s="12" t="s">
        <v>25</v>
      </c>
      <c r="B235" s="12" t="s">
        <v>4224</v>
      </c>
      <c r="C235" s="12" t="s">
        <v>4225</v>
      </c>
      <c r="D235" s="12" t="s">
        <v>4226</v>
      </c>
      <c r="E235" s="12" t="s">
        <v>578</v>
      </c>
      <c r="F235" s="12" t="s">
        <v>578</v>
      </c>
      <c r="G235" s="12" t="s">
        <v>578</v>
      </c>
      <c r="H235" s="12" t="s">
        <v>578</v>
      </c>
      <c r="I235" s="12" t="s">
        <v>578</v>
      </c>
      <c r="J235" s="12" t="s">
        <v>578</v>
      </c>
      <c r="K235" s="12" t="s">
        <v>578</v>
      </c>
      <c r="L235" s="12" t="s">
        <v>578</v>
      </c>
      <c r="M235" s="12" t="s">
        <v>578</v>
      </c>
      <c r="N235" s="12" t="s">
        <v>578</v>
      </c>
      <c r="O235" s="12" t="s">
        <v>578</v>
      </c>
      <c r="P235" s="12" t="s">
        <v>578</v>
      </c>
      <c r="Q235" s="12" t="s">
        <v>578</v>
      </c>
      <c r="R235" s="12" t="s">
        <v>578</v>
      </c>
      <c r="S235" s="12" t="s">
        <v>578</v>
      </c>
      <c r="T235" s="12" t="s">
        <v>578</v>
      </c>
      <c r="U235" s="12" t="s">
        <v>578</v>
      </c>
      <c r="V235" s="12" t="s">
        <v>578</v>
      </c>
      <c r="W235" s="12" t="s">
        <v>578</v>
      </c>
      <c r="X235" s="12" t="s">
        <v>578</v>
      </c>
      <c r="Y235" s="12" t="s">
        <v>578</v>
      </c>
      <c r="Z235" s="12" t="s">
        <v>578</v>
      </c>
      <c r="AA235" s="12" t="s">
        <v>578</v>
      </c>
      <c r="AB235" s="12" t="s">
        <v>578</v>
      </c>
      <c r="AC235" s="12" t="s">
        <v>578</v>
      </c>
      <c r="AD235" s="12" t="s">
        <v>578</v>
      </c>
      <c r="AE235" s="12" t="s">
        <v>578</v>
      </c>
      <c r="AF235" s="12" t="s">
        <v>578</v>
      </c>
      <c r="AG235" s="12" t="s">
        <v>578</v>
      </c>
      <c r="AH235" s="12" t="s">
        <v>578</v>
      </c>
      <c r="AI235" s="12" t="s">
        <v>578</v>
      </c>
      <c r="AJ235" s="12" t="s">
        <v>578</v>
      </c>
      <c r="AK235" s="12" t="s">
        <v>578</v>
      </c>
      <c r="AL235" s="12" t="s">
        <v>578</v>
      </c>
      <c r="AM235" s="12" t="s">
        <v>578</v>
      </c>
      <c r="AN235" s="12" t="s">
        <v>578</v>
      </c>
      <c r="AO235" s="12" t="s">
        <v>578</v>
      </c>
      <c r="AP235" s="12" t="s">
        <v>578</v>
      </c>
      <c r="AQ235" s="12" t="s">
        <v>578</v>
      </c>
      <c r="AR235" s="12" t="s">
        <v>578</v>
      </c>
      <c r="AS235" s="12" t="s">
        <v>578</v>
      </c>
      <c r="AT235" s="12" t="s">
        <v>578</v>
      </c>
      <c r="AU235" s="12" t="s">
        <v>578</v>
      </c>
      <c r="AV235" s="12" t="s">
        <v>578</v>
      </c>
      <c r="AW235" s="12" t="s">
        <v>578</v>
      </c>
      <c r="AX235" s="12" t="s">
        <v>578</v>
      </c>
      <c r="AY235" s="12" t="s">
        <v>578</v>
      </c>
      <c r="AZ235" s="12" t="s">
        <v>578</v>
      </c>
      <c r="BA235" s="12" t="s">
        <v>578</v>
      </c>
      <c r="BB235" s="12" t="s">
        <v>578</v>
      </c>
      <c r="BC235" s="12" t="s">
        <v>578</v>
      </c>
      <c r="BD235" s="12" t="s">
        <v>578</v>
      </c>
      <c r="BE235" s="12" t="s">
        <v>578</v>
      </c>
      <c r="BF235" s="12" t="s">
        <v>578</v>
      </c>
      <c r="BG235" s="12" t="s">
        <v>578</v>
      </c>
      <c r="BH235" s="12" t="s">
        <v>578</v>
      </c>
      <c r="BI235" s="12" t="s">
        <v>578</v>
      </c>
      <c r="BJ235" s="12" t="s">
        <v>578</v>
      </c>
      <c r="BK235" s="12" t="s">
        <v>578</v>
      </c>
      <c r="BL235" s="12" t="s">
        <v>578</v>
      </c>
      <c r="BM235" s="12" t="s">
        <v>579</v>
      </c>
      <c r="BN235" s="12" t="s">
        <v>623</v>
      </c>
      <c r="BO235" s="12" t="s">
        <v>623</v>
      </c>
      <c r="BP235" s="12" t="s">
        <v>582</v>
      </c>
      <c r="BQ235" s="12" t="s">
        <v>583</v>
      </c>
      <c r="BR235" s="12" t="s">
        <v>583</v>
      </c>
      <c r="BS235" s="12" t="s">
        <v>583</v>
      </c>
      <c r="BT235" s="12" t="s">
        <v>583</v>
      </c>
      <c r="BU235" s="12" t="s">
        <v>583</v>
      </c>
      <c r="BV235" s="12" t="s">
        <v>625</v>
      </c>
      <c r="BW235" s="12" t="s">
        <v>625</v>
      </c>
      <c r="BX235" s="12" t="s">
        <v>625</v>
      </c>
      <c r="BY235" s="12" t="s">
        <v>625</v>
      </c>
      <c r="BZ235" s="12" t="s">
        <v>756</v>
      </c>
      <c r="CA235" s="12" t="s">
        <v>756</v>
      </c>
      <c r="CB235" s="12" t="s">
        <v>762</v>
      </c>
      <c r="CC235" s="12" t="s">
        <v>762</v>
      </c>
      <c r="CD235" s="12" t="s">
        <v>762</v>
      </c>
      <c r="CE235" s="12" t="s">
        <v>762</v>
      </c>
      <c r="CF235" s="12" t="s">
        <v>584</v>
      </c>
      <c r="CG235" s="12" t="s">
        <v>584</v>
      </c>
      <c r="CH235" s="12" t="s">
        <v>584</v>
      </c>
      <c r="CI235" s="12" t="s">
        <v>584</v>
      </c>
      <c r="CJ235" s="12" t="s">
        <v>584</v>
      </c>
      <c r="CK235" s="12" t="s">
        <v>584</v>
      </c>
      <c r="CL235" s="12" t="s">
        <v>584</v>
      </c>
      <c r="CM235" s="12" t="s">
        <v>584</v>
      </c>
      <c r="CN235" s="12" t="s">
        <v>584</v>
      </c>
      <c r="CO235" s="12" t="s">
        <v>584</v>
      </c>
      <c r="CP235" s="12" t="s">
        <v>584</v>
      </c>
      <c r="CQ235" s="12" t="s">
        <v>584</v>
      </c>
      <c r="CR235" s="12" t="s">
        <v>584</v>
      </c>
      <c r="CS235" s="12" t="s">
        <v>584</v>
      </c>
      <c r="CT235" s="12" t="s">
        <v>584</v>
      </c>
    </row>
    <row r="236" spans="1:98" hidden="1" x14ac:dyDescent="0.3">
      <c r="A236" s="12" t="s">
        <v>25</v>
      </c>
      <c r="B236" s="12" t="s">
        <v>4227</v>
      </c>
      <c r="C236" s="12" t="s">
        <v>4228</v>
      </c>
      <c r="D236" s="12" t="s">
        <v>4229</v>
      </c>
      <c r="E236" s="12" t="s">
        <v>578</v>
      </c>
      <c r="F236" s="12" t="s">
        <v>578</v>
      </c>
      <c r="G236" s="12" t="s">
        <v>578</v>
      </c>
      <c r="H236" s="12" t="s">
        <v>578</v>
      </c>
      <c r="I236" s="12" t="s">
        <v>578</v>
      </c>
      <c r="J236" s="12" t="s">
        <v>578</v>
      </c>
      <c r="K236" s="12" t="s">
        <v>578</v>
      </c>
      <c r="L236" s="12" t="s">
        <v>578</v>
      </c>
      <c r="M236" s="12" t="s">
        <v>578</v>
      </c>
      <c r="N236" s="12" t="s">
        <v>578</v>
      </c>
      <c r="O236" s="12" t="s">
        <v>578</v>
      </c>
      <c r="P236" s="12" t="s">
        <v>578</v>
      </c>
      <c r="Q236" s="12" t="s">
        <v>578</v>
      </c>
      <c r="R236" s="12" t="s">
        <v>578</v>
      </c>
      <c r="S236" s="12" t="s">
        <v>578</v>
      </c>
      <c r="T236" s="12" t="s">
        <v>578</v>
      </c>
      <c r="U236" s="12" t="s">
        <v>578</v>
      </c>
      <c r="V236" s="12" t="s">
        <v>578</v>
      </c>
      <c r="W236" s="12" t="s">
        <v>578</v>
      </c>
      <c r="X236" s="12" t="s">
        <v>578</v>
      </c>
      <c r="Y236" s="12" t="s">
        <v>578</v>
      </c>
      <c r="Z236" s="12" t="s">
        <v>578</v>
      </c>
      <c r="AA236" s="12" t="s">
        <v>578</v>
      </c>
      <c r="AB236" s="12" t="s">
        <v>578</v>
      </c>
      <c r="AC236" s="12" t="s">
        <v>578</v>
      </c>
      <c r="AD236" s="12" t="s">
        <v>578</v>
      </c>
      <c r="AE236" s="12" t="s">
        <v>578</v>
      </c>
      <c r="AF236" s="12" t="s">
        <v>578</v>
      </c>
      <c r="AG236" s="12" t="s">
        <v>578</v>
      </c>
      <c r="AH236" s="12" t="s">
        <v>578</v>
      </c>
      <c r="AI236" s="12" t="s">
        <v>578</v>
      </c>
      <c r="AJ236" s="12" t="s">
        <v>578</v>
      </c>
      <c r="AK236" s="12" t="s">
        <v>578</v>
      </c>
      <c r="AL236" s="12" t="s">
        <v>578</v>
      </c>
      <c r="AM236" s="12" t="s">
        <v>578</v>
      </c>
      <c r="AN236" s="12" t="s">
        <v>578</v>
      </c>
      <c r="AO236" s="12" t="s">
        <v>578</v>
      </c>
      <c r="AP236" s="12" t="s">
        <v>578</v>
      </c>
      <c r="AQ236" s="12" t="s">
        <v>578</v>
      </c>
      <c r="AR236" s="12" t="s">
        <v>578</v>
      </c>
      <c r="AS236" s="12" t="s">
        <v>578</v>
      </c>
      <c r="AT236" s="12" t="s">
        <v>578</v>
      </c>
      <c r="AU236" s="12" t="s">
        <v>578</v>
      </c>
      <c r="AV236" s="12" t="s">
        <v>578</v>
      </c>
      <c r="AW236" s="12" t="s">
        <v>578</v>
      </c>
      <c r="AX236" s="12" t="s">
        <v>578</v>
      </c>
      <c r="AY236" s="12" t="s">
        <v>578</v>
      </c>
      <c r="AZ236" s="12" t="s">
        <v>578</v>
      </c>
      <c r="BA236" s="12" t="s">
        <v>578</v>
      </c>
      <c r="BB236" s="12" t="s">
        <v>578</v>
      </c>
      <c r="BC236" s="12" t="s">
        <v>578</v>
      </c>
      <c r="BD236" s="12" t="s">
        <v>578</v>
      </c>
      <c r="BE236" s="12" t="s">
        <v>578</v>
      </c>
      <c r="BF236" s="12" t="s">
        <v>578</v>
      </c>
      <c r="BG236" s="12" t="s">
        <v>578</v>
      </c>
      <c r="BH236" s="12" t="s">
        <v>578</v>
      </c>
      <c r="BI236" s="12" t="s">
        <v>578</v>
      </c>
      <c r="BJ236" s="12" t="s">
        <v>578</v>
      </c>
      <c r="BK236" s="12" t="s">
        <v>578</v>
      </c>
      <c r="BL236" s="12" t="s">
        <v>578</v>
      </c>
      <c r="BM236" s="12" t="s">
        <v>579</v>
      </c>
      <c r="BN236" s="12" t="s">
        <v>579</v>
      </c>
      <c r="BO236" s="12" t="s">
        <v>579</v>
      </c>
      <c r="BP236" s="12" t="s">
        <v>579</v>
      </c>
      <c r="BQ236" s="12" t="s">
        <v>582</v>
      </c>
      <c r="BR236" s="12" t="s">
        <v>582</v>
      </c>
      <c r="BS236" s="12" t="s">
        <v>582</v>
      </c>
      <c r="BT236" s="12" t="s">
        <v>761</v>
      </c>
      <c r="BU236" s="12" t="s">
        <v>761</v>
      </c>
      <c r="BV236" s="12" t="s">
        <v>761</v>
      </c>
      <c r="BW236" s="12" t="s">
        <v>761</v>
      </c>
      <c r="BX236" s="12" t="s">
        <v>624</v>
      </c>
      <c r="BY236" s="12" t="s">
        <v>625</v>
      </c>
      <c r="BZ236" s="12" t="s">
        <v>625</v>
      </c>
      <c r="CA236" s="12" t="s">
        <v>625</v>
      </c>
      <c r="CB236" s="12" t="s">
        <v>625</v>
      </c>
      <c r="CC236" s="12" t="s">
        <v>625</v>
      </c>
      <c r="CD236" s="12" t="s">
        <v>625</v>
      </c>
      <c r="CE236" s="12" t="s">
        <v>625</v>
      </c>
      <c r="CF236" s="12" t="s">
        <v>756</v>
      </c>
      <c r="CG236" s="12" t="s">
        <v>756</v>
      </c>
      <c r="CH236" s="12" t="s">
        <v>756</v>
      </c>
      <c r="CI236" s="12" t="s">
        <v>756</v>
      </c>
      <c r="CJ236" s="12" t="s">
        <v>756</v>
      </c>
      <c r="CK236" s="12" t="s">
        <v>756</v>
      </c>
      <c r="CL236" s="12" t="s">
        <v>756</v>
      </c>
      <c r="CM236" s="12" t="s">
        <v>756</v>
      </c>
      <c r="CN236" s="12" t="s">
        <v>756</v>
      </c>
      <c r="CO236" s="12" t="s">
        <v>756</v>
      </c>
      <c r="CP236" s="12" t="s">
        <v>756</v>
      </c>
      <c r="CQ236" s="12" t="s">
        <v>756</v>
      </c>
      <c r="CR236" s="12" t="s">
        <v>762</v>
      </c>
      <c r="CS236" s="12" t="s">
        <v>762</v>
      </c>
      <c r="CT236" s="12" t="s">
        <v>762</v>
      </c>
    </row>
    <row r="237" spans="1:98" hidden="1" x14ac:dyDescent="0.3">
      <c r="A237" s="12" t="s">
        <v>25</v>
      </c>
      <c r="B237" s="12" t="s">
        <v>4230</v>
      </c>
      <c r="C237" s="12" t="s">
        <v>4231</v>
      </c>
      <c r="D237" s="12" t="s">
        <v>4232</v>
      </c>
      <c r="E237" s="12" t="s">
        <v>578</v>
      </c>
      <c r="F237" s="12" t="s">
        <v>578</v>
      </c>
      <c r="G237" s="12" t="s">
        <v>578</v>
      </c>
      <c r="H237" s="12" t="s">
        <v>578</v>
      </c>
      <c r="I237" s="12" t="s">
        <v>578</v>
      </c>
      <c r="J237" s="12" t="s">
        <v>578</v>
      </c>
      <c r="K237" s="12" t="s">
        <v>578</v>
      </c>
      <c r="L237" s="12" t="s">
        <v>578</v>
      </c>
      <c r="M237" s="12" t="s">
        <v>578</v>
      </c>
      <c r="N237" s="12" t="s">
        <v>578</v>
      </c>
      <c r="O237" s="12" t="s">
        <v>578</v>
      </c>
      <c r="P237" s="12" t="s">
        <v>578</v>
      </c>
      <c r="Q237" s="12" t="s">
        <v>578</v>
      </c>
      <c r="R237" s="12" t="s">
        <v>578</v>
      </c>
      <c r="S237" s="12" t="s">
        <v>578</v>
      </c>
      <c r="T237" s="12" t="s">
        <v>578</v>
      </c>
      <c r="U237" s="12" t="s">
        <v>578</v>
      </c>
      <c r="V237" s="12" t="s">
        <v>578</v>
      </c>
      <c r="W237" s="12" t="s">
        <v>578</v>
      </c>
      <c r="X237" s="12" t="s">
        <v>578</v>
      </c>
      <c r="Y237" s="12" t="s">
        <v>578</v>
      </c>
      <c r="Z237" s="12" t="s">
        <v>578</v>
      </c>
      <c r="AA237" s="12" t="s">
        <v>578</v>
      </c>
      <c r="AB237" s="12" t="s">
        <v>578</v>
      </c>
      <c r="AC237" s="12" t="s">
        <v>578</v>
      </c>
      <c r="AD237" s="12" t="s">
        <v>578</v>
      </c>
      <c r="AE237" s="12" t="s">
        <v>578</v>
      </c>
      <c r="AF237" s="12" t="s">
        <v>578</v>
      </c>
      <c r="AG237" s="12" t="s">
        <v>578</v>
      </c>
      <c r="AH237" s="12" t="s">
        <v>578</v>
      </c>
      <c r="AI237" s="12" t="s">
        <v>578</v>
      </c>
      <c r="AJ237" s="12" t="s">
        <v>578</v>
      </c>
      <c r="AK237" s="12" t="s">
        <v>578</v>
      </c>
      <c r="AL237" s="12" t="s">
        <v>578</v>
      </c>
      <c r="AM237" s="12" t="s">
        <v>578</v>
      </c>
      <c r="AN237" s="12" t="s">
        <v>578</v>
      </c>
      <c r="AO237" s="12" t="s">
        <v>578</v>
      </c>
      <c r="AP237" s="12" t="s">
        <v>578</v>
      </c>
      <c r="AQ237" s="12" t="s">
        <v>578</v>
      </c>
      <c r="AR237" s="12" t="s">
        <v>578</v>
      </c>
      <c r="AS237" s="12" t="s">
        <v>578</v>
      </c>
      <c r="AT237" s="12" t="s">
        <v>578</v>
      </c>
      <c r="AU237" s="12" t="s">
        <v>578</v>
      </c>
      <c r="AV237" s="12" t="s">
        <v>578</v>
      </c>
      <c r="AW237" s="12" t="s">
        <v>578</v>
      </c>
      <c r="AX237" s="12" t="s">
        <v>578</v>
      </c>
      <c r="AY237" s="12" t="s">
        <v>578</v>
      </c>
      <c r="AZ237" s="12" t="s">
        <v>578</v>
      </c>
      <c r="BA237" s="12" t="s">
        <v>578</v>
      </c>
      <c r="BB237" s="12" t="s">
        <v>578</v>
      </c>
      <c r="BC237" s="12" t="s">
        <v>578</v>
      </c>
      <c r="BD237" s="12" t="s">
        <v>578</v>
      </c>
      <c r="BE237" s="12" t="s">
        <v>578</v>
      </c>
      <c r="BF237" s="12" t="s">
        <v>578</v>
      </c>
      <c r="BG237" s="12" t="s">
        <v>578</v>
      </c>
      <c r="BH237" s="12" t="s">
        <v>578</v>
      </c>
      <c r="BI237" s="12" t="s">
        <v>578</v>
      </c>
      <c r="BJ237" s="12" t="s">
        <v>578</v>
      </c>
      <c r="BK237" s="12" t="s">
        <v>578</v>
      </c>
      <c r="BL237" s="12" t="s">
        <v>578</v>
      </c>
      <c r="BM237" s="12" t="s">
        <v>579</v>
      </c>
      <c r="BN237" s="12" t="s">
        <v>579</v>
      </c>
      <c r="BO237" s="12" t="s">
        <v>672</v>
      </c>
      <c r="BP237" s="12" t="s">
        <v>581</v>
      </c>
      <c r="BQ237" s="12" t="s">
        <v>582</v>
      </c>
      <c r="BR237" s="12" t="s">
        <v>582</v>
      </c>
      <c r="BS237" s="12" t="s">
        <v>755</v>
      </c>
      <c r="BT237" s="12" t="s">
        <v>755</v>
      </c>
      <c r="BU237" s="12" t="s">
        <v>755</v>
      </c>
      <c r="BV237" s="12" t="s">
        <v>755</v>
      </c>
      <c r="BW237" s="12" t="s">
        <v>624</v>
      </c>
      <c r="BX237" s="12" t="s">
        <v>624</v>
      </c>
      <c r="BY237" s="12" t="s">
        <v>624</v>
      </c>
      <c r="BZ237" s="12" t="s">
        <v>624</v>
      </c>
      <c r="CA237" s="12" t="s">
        <v>624</v>
      </c>
      <c r="CB237" s="12" t="s">
        <v>624</v>
      </c>
      <c r="CC237" s="12" t="s">
        <v>624</v>
      </c>
      <c r="CD237" s="12" t="s">
        <v>673</v>
      </c>
      <c r="CE237" s="12" t="s">
        <v>673</v>
      </c>
      <c r="CF237" s="12" t="s">
        <v>675</v>
      </c>
      <c r="CG237" s="12" t="s">
        <v>675</v>
      </c>
      <c r="CH237" s="12" t="s">
        <v>585</v>
      </c>
      <c r="CI237" s="12" t="s">
        <v>585</v>
      </c>
      <c r="CJ237" s="12" t="s">
        <v>869</v>
      </c>
      <c r="CK237" s="12" t="s">
        <v>953</v>
      </c>
      <c r="CL237" s="12" t="s">
        <v>766</v>
      </c>
      <c r="CM237" s="12" t="s">
        <v>767</v>
      </c>
      <c r="CN237" s="12" t="s">
        <v>917</v>
      </c>
      <c r="CO237" s="12" t="s">
        <v>718</v>
      </c>
      <c r="CP237" s="12" t="s">
        <v>718</v>
      </c>
      <c r="CQ237" s="12" t="s">
        <v>718</v>
      </c>
      <c r="CR237" s="12" t="s">
        <v>1046</v>
      </c>
      <c r="CS237" s="12" t="s">
        <v>918</v>
      </c>
      <c r="CT237" s="12" t="s">
        <v>870</v>
      </c>
    </row>
    <row r="238" spans="1:98" hidden="1" x14ac:dyDescent="0.3">
      <c r="A238" s="12" t="s">
        <v>25</v>
      </c>
      <c r="B238" s="12" t="s">
        <v>4233</v>
      </c>
      <c r="C238" s="12" t="s">
        <v>4234</v>
      </c>
      <c r="D238" s="12" t="s">
        <v>4235</v>
      </c>
      <c r="E238" s="12" t="s">
        <v>578</v>
      </c>
      <c r="F238" s="12" t="s">
        <v>578</v>
      </c>
      <c r="G238" s="12" t="s">
        <v>578</v>
      </c>
      <c r="H238" s="12" t="s">
        <v>578</v>
      </c>
      <c r="I238" s="12" t="s">
        <v>578</v>
      </c>
      <c r="J238" s="12" t="s">
        <v>578</v>
      </c>
      <c r="K238" s="12" t="s">
        <v>578</v>
      </c>
      <c r="L238" s="12" t="s">
        <v>578</v>
      </c>
      <c r="M238" s="12" t="s">
        <v>578</v>
      </c>
      <c r="N238" s="12" t="s">
        <v>578</v>
      </c>
      <c r="O238" s="12" t="s">
        <v>578</v>
      </c>
      <c r="P238" s="12" t="s">
        <v>578</v>
      </c>
      <c r="Q238" s="12" t="s">
        <v>578</v>
      </c>
      <c r="R238" s="12" t="s">
        <v>578</v>
      </c>
      <c r="S238" s="12" t="s">
        <v>578</v>
      </c>
      <c r="T238" s="12" t="s">
        <v>578</v>
      </c>
      <c r="U238" s="12" t="s">
        <v>578</v>
      </c>
      <c r="V238" s="12" t="s">
        <v>578</v>
      </c>
      <c r="W238" s="12" t="s">
        <v>578</v>
      </c>
      <c r="X238" s="12" t="s">
        <v>578</v>
      </c>
      <c r="Y238" s="12" t="s">
        <v>578</v>
      </c>
      <c r="Z238" s="12" t="s">
        <v>578</v>
      </c>
      <c r="AA238" s="12" t="s">
        <v>578</v>
      </c>
      <c r="AB238" s="12" t="s">
        <v>578</v>
      </c>
      <c r="AC238" s="12" t="s">
        <v>578</v>
      </c>
      <c r="AD238" s="12" t="s">
        <v>578</v>
      </c>
      <c r="AE238" s="12" t="s">
        <v>578</v>
      </c>
      <c r="AF238" s="12" t="s">
        <v>578</v>
      </c>
      <c r="AG238" s="12" t="s">
        <v>578</v>
      </c>
      <c r="AH238" s="12" t="s">
        <v>578</v>
      </c>
      <c r="AI238" s="12" t="s">
        <v>578</v>
      </c>
      <c r="AJ238" s="12" t="s">
        <v>578</v>
      </c>
      <c r="AK238" s="12" t="s">
        <v>578</v>
      </c>
      <c r="AL238" s="12" t="s">
        <v>578</v>
      </c>
      <c r="AM238" s="12" t="s">
        <v>578</v>
      </c>
      <c r="AN238" s="12" t="s">
        <v>578</v>
      </c>
      <c r="AO238" s="12" t="s">
        <v>578</v>
      </c>
      <c r="AP238" s="12" t="s">
        <v>578</v>
      </c>
      <c r="AQ238" s="12" t="s">
        <v>578</v>
      </c>
      <c r="AR238" s="12" t="s">
        <v>578</v>
      </c>
      <c r="AS238" s="12" t="s">
        <v>578</v>
      </c>
      <c r="AT238" s="12" t="s">
        <v>578</v>
      </c>
      <c r="AU238" s="12" t="s">
        <v>578</v>
      </c>
      <c r="AV238" s="12" t="s">
        <v>578</v>
      </c>
      <c r="AW238" s="12" t="s">
        <v>578</v>
      </c>
      <c r="AX238" s="12" t="s">
        <v>578</v>
      </c>
      <c r="AY238" s="12" t="s">
        <v>578</v>
      </c>
      <c r="AZ238" s="12" t="s">
        <v>578</v>
      </c>
      <c r="BA238" s="12" t="s">
        <v>578</v>
      </c>
      <c r="BB238" s="12" t="s">
        <v>578</v>
      </c>
      <c r="BC238" s="12" t="s">
        <v>578</v>
      </c>
      <c r="BD238" s="12" t="s">
        <v>578</v>
      </c>
      <c r="BE238" s="12" t="s">
        <v>578</v>
      </c>
      <c r="BF238" s="12" t="s">
        <v>578</v>
      </c>
      <c r="BG238" s="12" t="s">
        <v>578</v>
      </c>
      <c r="BH238" s="12" t="s">
        <v>578</v>
      </c>
      <c r="BI238" s="12" t="s">
        <v>578</v>
      </c>
      <c r="BJ238" s="12" t="s">
        <v>578</v>
      </c>
      <c r="BK238" s="12" t="s">
        <v>578</v>
      </c>
      <c r="BL238" s="12" t="s">
        <v>578</v>
      </c>
      <c r="BM238" s="12" t="s">
        <v>579</v>
      </c>
      <c r="BN238" s="12" t="s">
        <v>579</v>
      </c>
      <c r="BO238" s="12" t="s">
        <v>579</v>
      </c>
      <c r="BP238" s="12" t="s">
        <v>581</v>
      </c>
      <c r="BQ238" s="12" t="s">
        <v>581</v>
      </c>
      <c r="BR238" s="12" t="s">
        <v>581</v>
      </c>
      <c r="BS238" s="12" t="s">
        <v>581</v>
      </c>
      <c r="BT238" s="12" t="s">
        <v>761</v>
      </c>
      <c r="BU238" s="12" t="s">
        <v>624</v>
      </c>
      <c r="BV238" s="12" t="s">
        <v>624</v>
      </c>
      <c r="BW238" s="12" t="s">
        <v>624</v>
      </c>
      <c r="BX238" s="12" t="s">
        <v>584</v>
      </c>
      <c r="BY238" s="12" t="s">
        <v>584</v>
      </c>
      <c r="BZ238" s="12" t="s">
        <v>584</v>
      </c>
      <c r="CA238" s="12" t="s">
        <v>674</v>
      </c>
      <c r="CB238" s="12" t="s">
        <v>674</v>
      </c>
      <c r="CC238" s="12" t="s">
        <v>674</v>
      </c>
      <c r="CD238" s="12" t="s">
        <v>674</v>
      </c>
      <c r="CE238" s="12" t="s">
        <v>674</v>
      </c>
      <c r="CF238" s="12" t="s">
        <v>674</v>
      </c>
      <c r="CG238" s="12" t="s">
        <v>757</v>
      </c>
      <c r="CH238" s="12" t="s">
        <v>757</v>
      </c>
      <c r="CI238" s="12" t="s">
        <v>757</v>
      </c>
      <c r="CJ238" s="12" t="s">
        <v>953</v>
      </c>
      <c r="CK238" s="12" t="s">
        <v>627</v>
      </c>
      <c r="CL238" s="12" t="s">
        <v>627</v>
      </c>
      <c r="CM238" s="12" t="s">
        <v>628</v>
      </c>
      <c r="CN238" s="12" t="s">
        <v>628</v>
      </c>
      <c r="CO238" s="12" t="s">
        <v>718</v>
      </c>
      <c r="CP238" s="12" t="s">
        <v>718</v>
      </c>
      <c r="CQ238" s="12" t="s">
        <v>629</v>
      </c>
      <c r="CR238" s="12" t="s">
        <v>629</v>
      </c>
      <c r="CS238" s="12" t="s">
        <v>629</v>
      </c>
      <c r="CT238" s="12" t="s">
        <v>629</v>
      </c>
    </row>
    <row r="239" spans="1:98" hidden="1" x14ac:dyDescent="0.3">
      <c r="A239" s="12" t="s">
        <v>25</v>
      </c>
      <c r="B239" s="12" t="s">
        <v>4236</v>
      </c>
      <c r="C239" s="12" t="s">
        <v>4237</v>
      </c>
      <c r="D239" s="12" t="s">
        <v>4238</v>
      </c>
      <c r="E239" s="12" t="s">
        <v>578</v>
      </c>
      <c r="F239" s="12" t="s">
        <v>578</v>
      </c>
      <c r="G239" s="12" t="s">
        <v>578</v>
      </c>
      <c r="H239" s="12" t="s">
        <v>578</v>
      </c>
      <c r="I239" s="12" t="s">
        <v>578</v>
      </c>
      <c r="J239" s="12" t="s">
        <v>578</v>
      </c>
      <c r="K239" s="12" t="s">
        <v>578</v>
      </c>
      <c r="L239" s="12" t="s">
        <v>578</v>
      </c>
      <c r="M239" s="12" t="s">
        <v>578</v>
      </c>
      <c r="N239" s="12" t="s">
        <v>578</v>
      </c>
      <c r="O239" s="12" t="s">
        <v>578</v>
      </c>
      <c r="P239" s="12" t="s">
        <v>578</v>
      </c>
      <c r="Q239" s="12" t="s">
        <v>578</v>
      </c>
      <c r="R239" s="12" t="s">
        <v>578</v>
      </c>
      <c r="S239" s="12" t="s">
        <v>578</v>
      </c>
      <c r="T239" s="12" t="s">
        <v>578</v>
      </c>
      <c r="U239" s="12" t="s">
        <v>578</v>
      </c>
      <c r="V239" s="12" t="s">
        <v>578</v>
      </c>
      <c r="W239" s="12" t="s">
        <v>578</v>
      </c>
      <c r="X239" s="12" t="s">
        <v>578</v>
      </c>
      <c r="Y239" s="12" t="s">
        <v>578</v>
      </c>
      <c r="Z239" s="12" t="s">
        <v>578</v>
      </c>
      <c r="AA239" s="12" t="s">
        <v>578</v>
      </c>
      <c r="AB239" s="12" t="s">
        <v>578</v>
      </c>
      <c r="AC239" s="12" t="s">
        <v>578</v>
      </c>
      <c r="AD239" s="12" t="s">
        <v>578</v>
      </c>
      <c r="AE239" s="12" t="s">
        <v>578</v>
      </c>
      <c r="AF239" s="12" t="s">
        <v>578</v>
      </c>
      <c r="AG239" s="12" t="s">
        <v>578</v>
      </c>
      <c r="AH239" s="12" t="s">
        <v>578</v>
      </c>
      <c r="AI239" s="12" t="s">
        <v>578</v>
      </c>
      <c r="AJ239" s="12" t="s">
        <v>578</v>
      </c>
      <c r="AK239" s="12" t="s">
        <v>578</v>
      </c>
      <c r="AL239" s="12" t="s">
        <v>578</v>
      </c>
      <c r="AM239" s="12" t="s">
        <v>578</v>
      </c>
      <c r="AN239" s="12" t="s">
        <v>578</v>
      </c>
      <c r="AO239" s="12" t="s">
        <v>578</v>
      </c>
      <c r="AP239" s="12" t="s">
        <v>578</v>
      </c>
      <c r="AQ239" s="12" t="s">
        <v>578</v>
      </c>
      <c r="AR239" s="12" t="s">
        <v>578</v>
      </c>
      <c r="AS239" s="12" t="s">
        <v>578</v>
      </c>
      <c r="AT239" s="12" t="s">
        <v>578</v>
      </c>
      <c r="AU239" s="12" t="s">
        <v>578</v>
      </c>
      <c r="AV239" s="12" t="s">
        <v>578</v>
      </c>
      <c r="AW239" s="12" t="s">
        <v>578</v>
      </c>
      <c r="AX239" s="12" t="s">
        <v>578</v>
      </c>
      <c r="AY239" s="12" t="s">
        <v>578</v>
      </c>
      <c r="AZ239" s="12" t="s">
        <v>578</v>
      </c>
      <c r="BA239" s="12" t="s">
        <v>578</v>
      </c>
      <c r="BB239" s="12" t="s">
        <v>578</v>
      </c>
      <c r="BC239" s="12" t="s">
        <v>578</v>
      </c>
      <c r="BD239" s="12" t="s">
        <v>578</v>
      </c>
      <c r="BE239" s="12" t="s">
        <v>578</v>
      </c>
      <c r="BF239" s="12" t="s">
        <v>578</v>
      </c>
      <c r="BG239" s="12" t="s">
        <v>578</v>
      </c>
      <c r="BH239" s="12" t="s">
        <v>578</v>
      </c>
      <c r="BI239" s="12" t="s">
        <v>578</v>
      </c>
      <c r="BJ239" s="12" t="s">
        <v>578</v>
      </c>
      <c r="BK239" s="12" t="s">
        <v>578</v>
      </c>
      <c r="BL239" s="12" t="s">
        <v>578</v>
      </c>
      <c r="BM239" s="12" t="s">
        <v>579</v>
      </c>
      <c r="BN239" s="12" t="s">
        <v>579</v>
      </c>
      <c r="BO239" s="12" t="s">
        <v>579</v>
      </c>
      <c r="BP239" s="12" t="s">
        <v>579</v>
      </c>
      <c r="BQ239" s="12" t="s">
        <v>579</v>
      </c>
      <c r="BR239" s="12" t="s">
        <v>579</v>
      </c>
      <c r="BS239" s="12" t="s">
        <v>579</v>
      </c>
      <c r="BT239" s="12" t="s">
        <v>579</v>
      </c>
      <c r="BU239" s="12" t="s">
        <v>579</v>
      </c>
      <c r="BV239" s="12" t="s">
        <v>579</v>
      </c>
      <c r="BW239" s="12" t="s">
        <v>579</v>
      </c>
      <c r="BX239" s="12" t="s">
        <v>579</v>
      </c>
      <c r="BY239" s="12" t="s">
        <v>579</v>
      </c>
      <c r="BZ239" s="12" t="s">
        <v>579</v>
      </c>
      <c r="CA239" s="12" t="s">
        <v>579</v>
      </c>
      <c r="CB239" s="12" t="s">
        <v>579</v>
      </c>
      <c r="CC239" s="12" t="s">
        <v>579</v>
      </c>
      <c r="CD239" s="12" t="s">
        <v>579</v>
      </c>
      <c r="CE239" s="12" t="s">
        <v>579</v>
      </c>
      <c r="CF239" s="12" t="s">
        <v>623</v>
      </c>
      <c r="CG239" s="12" t="s">
        <v>623</v>
      </c>
      <c r="CH239" s="12" t="s">
        <v>623</v>
      </c>
      <c r="CI239" s="12" t="s">
        <v>580</v>
      </c>
      <c r="CJ239" s="12" t="s">
        <v>851</v>
      </c>
      <c r="CK239" s="12" t="s">
        <v>755</v>
      </c>
      <c r="CL239" s="12" t="s">
        <v>808</v>
      </c>
      <c r="CM239" s="12" t="s">
        <v>808</v>
      </c>
      <c r="CN239" s="12" t="s">
        <v>808</v>
      </c>
      <c r="CO239" s="12" t="s">
        <v>674</v>
      </c>
      <c r="CP239" s="12" t="s">
        <v>586</v>
      </c>
      <c r="CQ239" s="12" t="s">
        <v>626</v>
      </c>
      <c r="CR239" s="12" t="s">
        <v>626</v>
      </c>
      <c r="CS239" s="12" t="s">
        <v>626</v>
      </c>
      <c r="CT239" s="12" t="s">
        <v>587</v>
      </c>
    </row>
    <row r="240" spans="1:98" hidden="1" x14ac:dyDescent="0.3">
      <c r="A240" s="12" t="s">
        <v>25</v>
      </c>
      <c r="B240" s="12" t="s">
        <v>4239</v>
      </c>
      <c r="C240" s="12" t="s">
        <v>1178</v>
      </c>
      <c r="D240" s="12" t="s">
        <v>1179</v>
      </c>
      <c r="E240" s="12" t="s">
        <v>578</v>
      </c>
      <c r="F240" s="12" t="s">
        <v>578</v>
      </c>
      <c r="G240" s="12" t="s">
        <v>578</v>
      </c>
      <c r="H240" s="12" t="s">
        <v>578</v>
      </c>
      <c r="I240" s="12" t="s">
        <v>578</v>
      </c>
      <c r="J240" s="12" t="s">
        <v>578</v>
      </c>
      <c r="K240" s="12" t="s">
        <v>578</v>
      </c>
      <c r="L240" s="12" t="s">
        <v>578</v>
      </c>
      <c r="M240" s="12" t="s">
        <v>578</v>
      </c>
      <c r="N240" s="12" t="s">
        <v>578</v>
      </c>
      <c r="O240" s="12" t="s">
        <v>578</v>
      </c>
      <c r="P240" s="12" t="s">
        <v>578</v>
      </c>
      <c r="Q240" s="12" t="s">
        <v>578</v>
      </c>
      <c r="R240" s="12" t="s">
        <v>578</v>
      </c>
      <c r="S240" s="12" t="s">
        <v>578</v>
      </c>
      <c r="T240" s="12" t="s">
        <v>578</v>
      </c>
      <c r="U240" s="12" t="s">
        <v>578</v>
      </c>
      <c r="V240" s="12" t="s">
        <v>578</v>
      </c>
      <c r="W240" s="12" t="s">
        <v>578</v>
      </c>
      <c r="X240" s="12" t="s">
        <v>578</v>
      </c>
      <c r="Y240" s="12" t="s">
        <v>578</v>
      </c>
      <c r="Z240" s="12" t="s">
        <v>578</v>
      </c>
      <c r="AA240" s="12" t="s">
        <v>578</v>
      </c>
      <c r="AB240" s="12" t="s">
        <v>578</v>
      </c>
      <c r="AC240" s="12" t="s">
        <v>578</v>
      </c>
      <c r="AD240" s="12" t="s">
        <v>578</v>
      </c>
      <c r="AE240" s="12" t="s">
        <v>578</v>
      </c>
      <c r="AF240" s="12" t="s">
        <v>578</v>
      </c>
      <c r="AG240" s="12" t="s">
        <v>578</v>
      </c>
      <c r="AH240" s="12" t="s">
        <v>578</v>
      </c>
      <c r="AI240" s="12" t="s">
        <v>578</v>
      </c>
      <c r="AJ240" s="12" t="s">
        <v>578</v>
      </c>
      <c r="AK240" s="12" t="s">
        <v>578</v>
      </c>
      <c r="AL240" s="12" t="s">
        <v>578</v>
      </c>
      <c r="AM240" s="12" t="s">
        <v>578</v>
      </c>
      <c r="AN240" s="12" t="s">
        <v>578</v>
      </c>
      <c r="AO240" s="12" t="s">
        <v>578</v>
      </c>
      <c r="AP240" s="12" t="s">
        <v>578</v>
      </c>
      <c r="AQ240" s="12" t="s">
        <v>578</v>
      </c>
      <c r="AR240" s="12" t="s">
        <v>578</v>
      </c>
      <c r="AS240" s="12" t="s">
        <v>578</v>
      </c>
      <c r="AT240" s="12" t="s">
        <v>578</v>
      </c>
      <c r="AU240" s="12" t="s">
        <v>578</v>
      </c>
      <c r="AV240" s="12" t="s">
        <v>578</v>
      </c>
      <c r="AW240" s="12" t="s">
        <v>578</v>
      </c>
      <c r="AX240" s="12" t="s">
        <v>578</v>
      </c>
      <c r="AY240" s="12" t="s">
        <v>578</v>
      </c>
      <c r="AZ240" s="12" t="s">
        <v>578</v>
      </c>
      <c r="BA240" s="12" t="s">
        <v>578</v>
      </c>
      <c r="BB240" s="12" t="s">
        <v>578</v>
      </c>
      <c r="BC240" s="12" t="s">
        <v>578</v>
      </c>
      <c r="BD240" s="12" t="s">
        <v>578</v>
      </c>
      <c r="BE240" s="12" t="s">
        <v>578</v>
      </c>
      <c r="BF240" s="12" t="s">
        <v>578</v>
      </c>
      <c r="BG240" s="12" t="s">
        <v>578</v>
      </c>
      <c r="BH240" s="12" t="s">
        <v>578</v>
      </c>
      <c r="BI240" s="12" t="s">
        <v>578</v>
      </c>
      <c r="BJ240" s="12" t="s">
        <v>578</v>
      </c>
      <c r="BK240" s="12" t="s">
        <v>578</v>
      </c>
      <c r="BL240" s="12" t="s">
        <v>578</v>
      </c>
      <c r="BM240" s="12" t="s">
        <v>578</v>
      </c>
      <c r="BN240" s="12" t="s">
        <v>579</v>
      </c>
      <c r="BO240" s="12" t="s">
        <v>579</v>
      </c>
      <c r="BP240" s="12" t="s">
        <v>623</v>
      </c>
      <c r="BQ240" s="12" t="s">
        <v>623</v>
      </c>
      <c r="BR240" s="12" t="s">
        <v>623</v>
      </c>
      <c r="BS240" s="12" t="s">
        <v>623</v>
      </c>
      <c r="BT240" s="12" t="s">
        <v>623</v>
      </c>
      <c r="BU240" s="12" t="s">
        <v>672</v>
      </c>
      <c r="BV240" s="12" t="s">
        <v>672</v>
      </c>
      <c r="BW240" s="12" t="s">
        <v>672</v>
      </c>
      <c r="BX240" s="12" t="s">
        <v>672</v>
      </c>
      <c r="BY240" s="12" t="s">
        <v>580</v>
      </c>
      <c r="BZ240" s="12" t="s">
        <v>580</v>
      </c>
      <c r="CA240" s="12" t="s">
        <v>581</v>
      </c>
      <c r="CB240" s="12" t="s">
        <v>582</v>
      </c>
      <c r="CC240" s="12" t="s">
        <v>582</v>
      </c>
      <c r="CD240" s="12" t="s">
        <v>755</v>
      </c>
      <c r="CE240" s="12" t="s">
        <v>761</v>
      </c>
      <c r="CF240" s="12" t="s">
        <v>624</v>
      </c>
      <c r="CG240" s="12" t="s">
        <v>868</v>
      </c>
      <c r="CH240" s="12" t="s">
        <v>756</v>
      </c>
      <c r="CI240" s="12" t="s">
        <v>808</v>
      </c>
      <c r="CJ240" s="12" t="s">
        <v>808</v>
      </c>
      <c r="CK240" s="12" t="s">
        <v>808</v>
      </c>
      <c r="CL240" s="12" t="s">
        <v>808</v>
      </c>
      <c r="CM240" s="12" t="s">
        <v>808</v>
      </c>
      <c r="CN240" s="12" t="s">
        <v>808</v>
      </c>
      <c r="CO240" s="12" t="s">
        <v>808</v>
      </c>
      <c r="CP240" s="12" t="s">
        <v>808</v>
      </c>
      <c r="CQ240" s="12" t="s">
        <v>808</v>
      </c>
      <c r="CR240" s="12" t="s">
        <v>808</v>
      </c>
      <c r="CS240" s="12" t="s">
        <v>808</v>
      </c>
      <c r="CT240" s="12" t="s">
        <v>808</v>
      </c>
    </row>
    <row r="241" spans="1:98" hidden="1" x14ac:dyDescent="0.3">
      <c r="A241" s="12" t="s">
        <v>4240</v>
      </c>
      <c r="B241" s="12" t="s">
        <v>1435</v>
      </c>
      <c r="C241" s="12" t="s">
        <v>2213</v>
      </c>
      <c r="D241" s="12" t="s">
        <v>2213</v>
      </c>
      <c r="E241" s="12" t="s">
        <v>578</v>
      </c>
      <c r="F241" s="12" t="s">
        <v>578</v>
      </c>
      <c r="G241" s="12" t="s">
        <v>578</v>
      </c>
      <c r="H241" s="12" t="s">
        <v>578</v>
      </c>
      <c r="I241" s="12" t="s">
        <v>578</v>
      </c>
      <c r="J241" s="12" t="s">
        <v>578</v>
      </c>
      <c r="K241" s="12" t="s">
        <v>578</v>
      </c>
      <c r="L241" s="12" t="s">
        <v>578</v>
      </c>
      <c r="M241" s="12" t="s">
        <v>578</v>
      </c>
      <c r="N241" s="12" t="s">
        <v>578</v>
      </c>
      <c r="O241" s="12" t="s">
        <v>578</v>
      </c>
      <c r="P241" s="12" t="s">
        <v>578</v>
      </c>
      <c r="Q241" s="12" t="s">
        <v>578</v>
      </c>
      <c r="R241" s="12" t="s">
        <v>578</v>
      </c>
      <c r="S241" s="12" t="s">
        <v>578</v>
      </c>
      <c r="T241" s="12" t="s">
        <v>578</v>
      </c>
      <c r="U241" s="12" t="s">
        <v>578</v>
      </c>
      <c r="V241" s="12" t="s">
        <v>578</v>
      </c>
      <c r="W241" s="12" t="s">
        <v>578</v>
      </c>
      <c r="X241" s="12" t="s">
        <v>578</v>
      </c>
      <c r="Y241" s="12" t="s">
        <v>578</v>
      </c>
      <c r="Z241" s="12" t="s">
        <v>578</v>
      </c>
      <c r="AA241" s="12" t="s">
        <v>578</v>
      </c>
      <c r="AB241" s="12" t="s">
        <v>578</v>
      </c>
      <c r="AC241" s="12" t="s">
        <v>578</v>
      </c>
      <c r="AD241" s="12" t="s">
        <v>578</v>
      </c>
      <c r="AE241" s="12" t="s">
        <v>578</v>
      </c>
      <c r="AF241" s="12" t="s">
        <v>578</v>
      </c>
      <c r="AG241" s="12" t="s">
        <v>578</v>
      </c>
      <c r="AH241" s="12" t="s">
        <v>578</v>
      </c>
      <c r="AI241" s="12" t="s">
        <v>578</v>
      </c>
      <c r="AJ241" s="12" t="s">
        <v>578</v>
      </c>
      <c r="AK241" s="12" t="s">
        <v>578</v>
      </c>
      <c r="AL241" s="12" t="s">
        <v>578</v>
      </c>
      <c r="AM241" s="12" t="s">
        <v>578</v>
      </c>
      <c r="AN241" s="12" t="s">
        <v>578</v>
      </c>
      <c r="AO241" s="12" t="s">
        <v>578</v>
      </c>
      <c r="AP241" s="12" t="s">
        <v>578</v>
      </c>
      <c r="AQ241" s="12" t="s">
        <v>578</v>
      </c>
      <c r="AR241" s="12" t="s">
        <v>578</v>
      </c>
      <c r="AS241" s="12" t="s">
        <v>578</v>
      </c>
      <c r="AT241" s="12" t="s">
        <v>578</v>
      </c>
      <c r="AU241" s="12" t="s">
        <v>578</v>
      </c>
      <c r="AV241" s="12" t="s">
        <v>578</v>
      </c>
      <c r="AW241" s="12" t="s">
        <v>578</v>
      </c>
      <c r="AX241" s="12" t="s">
        <v>578</v>
      </c>
      <c r="AY241" s="12" t="s">
        <v>578</v>
      </c>
      <c r="AZ241" s="12" t="s">
        <v>578</v>
      </c>
      <c r="BA241" s="12" t="s">
        <v>578</v>
      </c>
      <c r="BB241" s="12" t="s">
        <v>578</v>
      </c>
      <c r="BC241" s="12" t="s">
        <v>578</v>
      </c>
      <c r="BD241" s="12" t="s">
        <v>578</v>
      </c>
      <c r="BE241" s="12" t="s">
        <v>578</v>
      </c>
      <c r="BF241" s="12" t="s">
        <v>578</v>
      </c>
      <c r="BG241" s="12" t="s">
        <v>578</v>
      </c>
      <c r="BH241" s="12" t="s">
        <v>578</v>
      </c>
      <c r="BI241" s="12" t="s">
        <v>578</v>
      </c>
      <c r="BJ241" s="12" t="s">
        <v>578</v>
      </c>
      <c r="BK241" s="12" t="s">
        <v>578</v>
      </c>
      <c r="BL241" s="12" t="s">
        <v>578</v>
      </c>
      <c r="BM241" s="12" t="s">
        <v>578</v>
      </c>
      <c r="BN241" s="12" t="s">
        <v>578</v>
      </c>
      <c r="BO241" s="12" t="s">
        <v>578</v>
      </c>
      <c r="BP241" s="12" t="s">
        <v>578</v>
      </c>
      <c r="BQ241" s="12" t="s">
        <v>578</v>
      </c>
      <c r="BR241" s="12" t="s">
        <v>578</v>
      </c>
      <c r="BS241" s="12" t="s">
        <v>578</v>
      </c>
      <c r="BT241" s="12" t="s">
        <v>578</v>
      </c>
      <c r="BU241" s="12" t="s">
        <v>578</v>
      </c>
      <c r="BV241" s="12" t="s">
        <v>578</v>
      </c>
      <c r="BW241" s="12" t="s">
        <v>578</v>
      </c>
      <c r="BX241" s="12" t="s">
        <v>578</v>
      </c>
      <c r="BY241" s="12" t="s">
        <v>578</v>
      </c>
      <c r="BZ241" s="12" t="s">
        <v>578</v>
      </c>
      <c r="CA241" s="12" t="s">
        <v>578</v>
      </c>
      <c r="CB241" s="12" t="s">
        <v>578</v>
      </c>
      <c r="CC241" s="12" t="s">
        <v>578</v>
      </c>
      <c r="CD241" s="12" t="s">
        <v>578</v>
      </c>
      <c r="CE241" s="12" t="s">
        <v>578</v>
      </c>
      <c r="CF241" s="12" t="s">
        <v>578</v>
      </c>
      <c r="CG241" s="12" t="s">
        <v>578</v>
      </c>
      <c r="CH241" s="12" t="s">
        <v>578</v>
      </c>
      <c r="CI241" s="12" t="s">
        <v>578</v>
      </c>
      <c r="CJ241" s="12" t="s">
        <v>578</v>
      </c>
      <c r="CK241" s="12" t="s">
        <v>578</v>
      </c>
      <c r="CL241" s="12" t="s">
        <v>578</v>
      </c>
      <c r="CM241" s="12" t="s">
        <v>578</v>
      </c>
      <c r="CN241" s="12" t="s">
        <v>578</v>
      </c>
      <c r="CO241" s="12" t="s">
        <v>578</v>
      </c>
      <c r="CP241" s="12" t="s">
        <v>578</v>
      </c>
      <c r="CQ241" s="12" t="s">
        <v>578</v>
      </c>
      <c r="CR241" s="12" t="s">
        <v>578</v>
      </c>
      <c r="CS241" s="12" t="s">
        <v>578</v>
      </c>
      <c r="CT241" s="12" t="s">
        <v>578</v>
      </c>
    </row>
    <row r="242" spans="1:98" hidden="1" x14ac:dyDescent="0.3">
      <c r="A242" s="12" t="s">
        <v>25</v>
      </c>
      <c r="B242" s="12" t="s">
        <v>4241</v>
      </c>
      <c r="C242" s="12" t="s">
        <v>4242</v>
      </c>
      <c r="D242" s="12" t="s">
        <v>4243</v>
      </c>
      <c r="E242" s="12" t="s">
        <v>578</v>
      </c>
      <c r="F242" s="12" t="s">
        <v>578</v>
      </c>
      <c r="G242" s="12" t="s">
        <v>578</v>
      </c>
      <c r="H242" s="12" t="s">
        <v>578</v>
      </c>
      <c r="I242" s="12" t="s">
        <v>578</v>
      </c>
      <c r="J242" s="12" t="s">
        <v>578</v>
      </c>
      <c r="K242" s="12" t="s">
        <v>578</v>
      </c>
      <c r="L242" s="12" t="s">
        <v>578</v>
      </c>
      <c r="M242" s="12" t="s">
        <v>578</v>
      </c>
      <c r="N242" s="12" t="s">
        <v>578</v>
      </c>
      <c r="O242" s="12" t="s">
        <v>578</v>
      </c>
      <c r="P242" s="12" t="s">
        <v>578</v>
      </c>
      <c r="Q242" s="12" t="s">
        <v>578</v>
      </c>
      <c r="R242" s="12" t="s">
        <v>578</v>
      </c>
      <c r="S242" s="12" t="s">
        <v>578</v>
      </c>
      <c r="T242" s="12" t="s">
        <v>578</v>
      </c>
      <c r="U242" s="12" t="s">
        <v>578</v>
      </c>
      <c r="V242" s="12" t="s">
        <v>578</v>
      </c>
      <c r="W242" s="12" t="s">
        <v>578</v>
      </c>
      <c r="X242" s="12" t="s">
        <v>578</v>
      </c>
      <c r="Y242" s="12" t="s">
        <v>578</v>
      </c>
      <c r="Z242" s="12" t="s">
        <v>578</v>
      </c>
      <c r="AA242" s="12" t="s">
        <v>578</v>
      </c>
      <c r="AB242" s="12" t="s">
        <v>578</v>
      </c>
      <c r="AC242" s="12" t="s">
        <v>578</v>
      </c>
      <c r="AD242" s="12" t="s">
        <v>578</v>
      </c>
      <c r="AE242" s="12" t="s">
        <v>578</v>
      </c>
      <c r="AF242" s="12" t="s">
        <v>578</v>
      </c>
      <c r="AG242" s="12" t="s">
        <v>578</v>
      </c>
      <c r="AH242" s="12" t="s">
        <v>578</v>
      </c>
      <c r="AI242" s="12" t="s">
        <v>578</v>
      </c>
      <c r="AJ242" s="12" t="s">
        <v>578</v>
      </c>
      <c r="AK242" s="12" t="s">
        <v>578</v>
      </c>
      <c r="AL242" s="12" t="s">
        <v>578</v>
      </c>
      <c r="AM242" s="12" t="s">
        <v>578</v>
      </c>
      <c r="AN242" s="12" t="s">
        <v>578</v>
      </c>
      <c r="AO242" s="12" t="s">
        <v>578</v>
      </c>
      <c r="AP242" s="12" t="s">
        <v>578</v>
      </c>
      <c r="AQ242" s="12" t="s">
        <v>578</v>
      </c>
      <c r="AR242" s="12" t="s">
        <v>578</v>
      </c>
      <c r="AS242" s="12" t="s">
        <v>578</v>
      </c>
      <c r="AT242" s="12" t="s">
        <v>578</v>
      </c>
      <c r="AU242" s="12" t="s">
        <v>578</v>
      </c>
      <c r="AV242" s="12" t="s">
        <v>578</v>
      </c>
      <c r="AW242" s="12" t="s">
        <v>578</v>
      </c>
      <c r="AX242" s="12" t="s">
        <v>578</v>
      </c>
      <c r="AY242" s="12" t="s">
        <v>578</v>
      </c>
      <c r="AZ242" s="12" t="s">
        <v>578</v>
      </c>
      <c r="BA242" s="12" t="s">
        <v>578</v>
      </c>
      <c r="BB242" s="12" t="s">
        <v>578</v>
      </c>
      <c r="BC242" s="12" t="s">
        <v>578</v>
      </c>
      <c r="BD242" s="12" t="s">
        <v>578</v>
      </c>
      <c r="BE242" s="12" t="s">
        <v>578</v>
      </c>
      <c r="BF242" s="12" t="s">
        <v>578</v>
      </c>
      <c r="BG242" s="12" t="s">
        <v>578</v>
      </c>
      <c r="BH242" s="12" t="s">
        <v>578</v>
      </c>
      <c r="BI242" s="12" t="s">
        <v>578</v>
      </c>
      <c r="BJ242" s="12" t="s">
        <v>578</v>
      </c>
      <c r="BK242" s="12" t="s">
        <v>578</v>
      </c>
      <c r="BL242" s="12" t="s">
        <v>578</v>
      </c>
      <c r="BM242" s="12" t="s">
        <v>578</v>
      </c>
      <c r="BN242" s="12" t="s">
        <v>578</v>
      </c>
      <c r="BO242" s="12" t="s">
        <v>623</v>
      </c>
      <c r="BP242" s="12" t="s">
        <v>672</v>
      </c>
      <c r="BQ242" s="12" t="s">
        <v>851</v>
      </c>
      <c r="BR242" s="12" t="s">
        <v>851</v>
      </c>
      <c r="BS242" s="12" t="s">
        <v>755</v>
      </c>
      <c r="BT242" s="12" t="s">
        <v>755</v>
      </c>
      <c r="BU242" s="12" t="s">
        <v>755</v>
      </c>
      <c r="BV242" s="12" t="s">
        <v>761</v>
      </c>
      <c r="BW242" s="12" t="s">
        <v>624</v>
      </c>
      <c r="BX242" s="12" t="s">
        <v>624</v>
      </c>
      <c r="BY242" s="12" t="s">
        <v>624</v>
      </c>
      <c r="BZ242" s="12" t="s">
        <v>624</v>
      </c>
      <c r="CA242" s="12" t="s">
        <v>583</v>
      </c>
      <c r="CB242" s="12" t="s">
        <v>625</v>
      </c>
      <c r="CC242" s="12" t="s">
        <v>756</v>
      </c>
      <c r="CD242" s="12" t="s">
        <v>762</v>
      </c>
      <c r="CE242" s="12" t="s">
        <v>584</v>
      </c>
      <c r="CF242" s="12" t="s">
        <v>584</v>
      </c>
      <c r="CG242" s="12" t="s">
        <v>808</v>
      </c>
      <c r="CH242" s="12" t="s">
        <v>674</v>
      </c>
      <c r="CI242" s="12" t="s">
        <v>674</v>
      </c>
      <c r="CJ242" s="12" t="s">
        <v>674</v>
      </c>
      <c r="CK242" s="12" t="s">
        <v>674</v>
      </c>
      <c r="CL242" s="12" t="s">
        <v>674</v>
      </c>
      <c r="CM242" s="12" t="s">
        <v>674</v>
      </c>
      <c r="CN242" s="12" t="s">
        <v>674</v>
      </c>
      <c r="CO242" s="12" t="s">
        <v>674</v>
      </c>
      <c r="CP242" s="12" t="s">
        <v>674</v>
      </c>
      <c r="CQ242" s="12" t="s">
        <v>674</v>
      </c>
      <c r="CR242" s="12" t="s">
        <v>674</v>
      </c>
      <c r="CS242" s="12" t="s">
        <v>674</v>
      </c>
      <c r="CT242" s="12" t="s">
        <v>674</v>
      </c>
    </row>
    <row r="243" spans="1:98" hidden="1" x14ac:dyDescent="0.3">
      <c r="A243" s="12" t="s">
        <v>25</v>
      </c>
      <c r="B243" s="12" t="s">
        <v>4244</v>
      </c>
      <c r="C243" s="12" t="s">
        <v>4245</v>
      </c>
      <c r="D243" s="12" t="s">
        <v>4246</v>
      </c>
      <c r="E243" s="12" t="s">
        <v>578</v>
      </c>
      <c r="F243" s="12" t="s">
        <v>578</v>
      </c>
      <c r="G243" s="12" t="s">
        <v>578</v>
      </c>
      <c r="H243" s="12" t="s">
        <v>578</v>
      </c>
      <c r="I243" s="12" t="s">
        <v>578</v>
      </c>
      <c r="J243" s="12" t="s">
        <v>578</v>
      </c>
      <c r="K243" s="12" t="s">
        <v>578</v>
      </c>
      <c r="L243" s="12" t="s">
        <v>578</v>
      </c>
      <c r="M243" s="12" t="s">
        <v>578</v>
      </c>
      <c r="N243" s="12" t="s">
        <v>578</v>
      </c>
      <c r="O243" s="12" t="s">
        <v>578</v>
      </c>
      <c r="P243" s="12" t="s">
        <v>578</v>
      </c>
      <c r="Q243" s="12" t="s">
        <v>578</v>
      </c>
      <c r="R243" s="12" t="s">
        <v>578</v>
      </c>
      <c r="S243" s="12" t="s">
        <v>578</v>
      </c>
      <c r="T243" s="12" t="s">
        <v>578</v>
      </c>
      <c r="U243" s="12" t="s">
        <v>578</v>
      </c>
      <c r="V243" s="12" t="s">
        <v>578</v>
      </c>
      <c r="W243" s="12" t="s">
        <v>578</v>
      </c>
      <c r="X243" s="12" t="s">
        <v>578</v>
      </c>
      <c r="Y243" s="12" t="s">
        <v>578</v>
      </c>
      <c r="Z243" s="12" t="s">
        <v>578</v>
      </c>
      <c r="AA243" s="12" t="s">
        <v>578</v>
      </c>
      <c r="AB243" s="12" t="s">
        <v>578</v>
      </c>
      <c r="AC243" s="12" t="s">
        <v>578</v>
      </c>
      <c r="AD243" s="12" t="s">
        <v>578</v>
      </c>
      <c r="AE243" s="12" t="s">
        <v>578</v>
      </c>
      <c r="AF243" s="12" t="s">
        <v>578</v>
      </c>
      <c r="AG243" s="12" t="s">
        <v>578</v>
      </c>
      <c r="AH243" s="12" t="s">
        <v>578</v>
      </c>
      <c r="AI243" s="12" t="s">
        <v>578</v>
      </c>
      <c r="AJ243" s="12" t="s">
        <v>578</v>
      </c>
      <c r="AK243" s="12" t="s">
        <v>578</v>
      </c>
      <c r="AL243" s="12" t="s">
        <v>578</v>
      </c>
      <c r="AM243" s="12" t="s">
        <v>578</v>
      </c>
      <c r="AN243" s="12" t="s">
        <v>578</v>
      </c>
      <c r="AO243" s="12" t="s">
        <v>578</v>
      </c>
      <c r="AP243" s="12" t="s">
        <v>578</v>
      </c>
      <c r="AQ243" s="12" t="s">
        <v>578</v>
      </c>
      <c r="AR243" s="12" t="s">
        <v>578</v>
      </c>
      <c r="AS243" s="12" t="s">
        <v>578</v>
      </c>
      <c r="AT243" s="12" t="s">
        <v>578</v>
      </c>
      <c r="AU243" s="12" t="s">
        <v>578</v>
      </c>
      <c r="AV243" s="12" t="s">
        <v>578</v>
      </c>
      <c r="AW243" s="12" t="s">
        <v>578</v>
      </c>
      <c r="AX243" s="12" t="s">
        <v>578</v>
      </c>
      <c r="AY243" s="12" t="s">
        <v>578</v>
      </c>
      <c r="AZ243" s="12" t="s">
        <v>578</v>
      </c>
      <c r="BA243" s="12" t="s">
        <v>578</v>
      </c>
      <c r="BB243" s="12" t="s">
        <v>578</v>
      </c>
      <c r="BC243" s="12" t="s">
        <v>578</v>
      </c>
      <c r="BD243" s="12" t="s">
        <v>578</v>
      </c>
      <c r="BE243" s="12" t="s">
        <v>578</v>
      </c>
      <c r="BF243" s="12" t="s">
        <v>578</v>
      </c>
      <c r="BG243" s="12" t="s">
        <v>578</v>
      </c>
      <c r="BH243" s="12" t="s">
        <v>578</v>
      </c>
      <c r="BI243" s="12" t="s">
        <v>578</v>
      </c>
      <c r="BJ243" s="12" t="s">
        <v>578</v>
      </c>
      <c r="BK243" s="12" t="s">
        <v>578</v>
      </c>
      <c r="BL243" s="12" t="s">
        <v>578</v>
      </c>
      <c r="BM243" s="12" t="s">
        <v>578</v>
      </c>
      <c r="BN243" s="12" t="s">
        <v>578</v>
      </c>
      <c r="BO243" s="12" t="s">
        <v>579</v>
      </c>
      <c r="BP243" s="12" t="s">
        <v>579</v>
      </c>
      <c r="BQ243" s="12" t="s">
        <v>579</v>
      </c>
      <c r="BR243" s="12" t="s">
        <v>579</v>
      </c>
      <c r="BS243" s="12" t="s">
        <v>672</v>
      </c>
      <c r="BT243" s="12" t="s">
        <v>755</v>
      </c>
      <c r="BU243" s="12" t="s">
        <v>755</v>
      </c>
      <c r="BV243" s="12" t="s">
        <v>624</v>
      </c>
      <c r="BW243" s="12" t="s">
        <v>624</v>
      </c>
      <c r="BX243" s="12" t="s">
        <v>583</v>
      </c>
      <c r="BY243" s="12" t="s">
        <v>583</v>
      </c>
      <c r="BZ243" s="12" t="s">
        <v>808</v>
      </c>
      <c r="CA243" s="12" t="s">
        <v>808</v>
      </c>
      <c r="CB243" s="12" t="s">
        <v>674</v>
      </c>
      <c r="CC243" s="12" t="s">
        <v>675</v>
      </c>
      <c r="CD243" s="12" t="s">
        <v>585</v>
      </c>
      <c r="CE243" s="12" t="s">
        <v>587</v>
      </c>
      <c r="CF243" s="12" t="s">
        <v>587</v>
      </c>
      <c r="CG243" s="12" t="s">
        <v>587</v>
      </c>
      <c r="CH243" s="12" t="s">
        <v>757</v>
      </c>
      <c r="CI243" s="12" t="s">
        <v>676</v>
      </c>
      <c r="CJ243" s="12" t="s">
        <v>917</v>
      </c>
      <c r="CK243" s="12" t="s">
        <v>678</v>
      </c>
      <c r="CL243" s="12" t="s">
        <v>991</v>
      </c>
      <c r="CM243" s="12" t="s">
        <v>991</v>
      </c>
      <c r="CN243" s="12" t="s">
        <v>991</v>
      </c>
      <c r="CO243" s="12" t="s">
        <v>630</v>
      </c>
      <c r="CP243" s="12" t="s">
        <v>630</v>
      </c>
      <c r="CQ243" s="12" t="s">
        <v>630</v>
      </c>
      <c r="CR243" s="12" t="s">
        <v>632</v>
      </c>
      <c r="CS243" s="12" t="s">
        <v>680</v>
      </c>
      <c r="CT243" s="12" t="s">
        <v>919</v>
      </c>
    </row>
    <row r="244" spans="1:98" hidden="1" x14ac:dyDescent="0.3">
      <c r="A244" s="12" t="s">
        <v>25</v>
      </c>
      <c r="B244" s="12" t="s">
        <v>4247</v>
      </c>
      <c r="C244" s="12" t="s">
        <v>4248</v>
      </c>
      <c r="D244" s="12" t="s">
        <v>4249</v>
      </c>
      <c r="E244" s="12" t="s">
        <v>578</v>
      </c>
      <c r="F244" s="12" t="s">
        <v>578</v>
      </c>
      <c r="G244" s="12" t="s">
        <v>578</v>
      </c>
      <c r="H244" s="12" t="s">
        <v>578</v>
      </c>
      <c r="I244" s="12" t="s">
        <v>578</v>
      </c>
      <c r="J244" s="12" t="s">
        <v>578</v>
      </c>
      <c r="K244" s="12" t="s">
        <v>578</v>
      </c>
      <c r="L244" s="12" t="s">
        <v>578</v>
      </c>
      <c r="M244" s="12" t="s">
        <v>578</v>
      </c>
      <c r="N244" s="12" t="s">
        <v>578</v>
      </c>
      <c r="O244" s="12" t="s">
        <v>578</v>
      </c>
      <c r="P244" s="12" t="s">
        <v>578</v>
      </c>
      <c r="Q244" s="12" t="s">
        <v>578</v>
      </c>
      <c r="R244" s="12" t="s">
        <v>578</v>
      </c>
      <c r="S244" s="12" t="s">
        <v>578</v>
      </c>
      <c r="T244" s="12" t="s">
        <v>578</v>
      </c>
      <c r="U244" s="12" t="s">
        <v>578</v>
      </c>
      <c r="V244" s="12" t="s">
        <v>578</v>
      </c>
      <c r="W244" s="12" t="s">
        <v>578</v>
      </c>
      <c r="X244" s="12" t="s">
        <v>578</v>
      </c>
      <c r="Y244" s="12" t="s">
        <v>578</v>
      </c>
      <c r="Z244" s="12" t="s">
        <v>578</v>
      </c>
      <c r="AA244" s="12" t="s">
        <v>578</v>
      </c>
      <c r="AB244" s="12" t="s">
        <v>578</v>
      </c>
      <c r="AC244" s="12" t="s">
        <v>578</v>
      </c>
      <c r="AD244" s="12" t="s">
        <v>578</v>
      </c>
      <c r="AE244" s="12" t="s">
        <v>578</v>
      </c>
      <c r="AF244" s="12" t="s">
        <v>578</v>
      </c>
      <c r="AG244" s="12" t="s">
        <v>578</v>
      </c>
      <c r="AH244" s="12" t="s">
        <v>578</v>
      </c>
      <c r="AI244" s="12" t="s">
        <v>578</v>
      </c>
      <c r="AJ244" s="12" t="s">
        <v>578</v>
      </c>
      <c r="AK244" s="12" t="s">
        <v>578</v>
      </c>
      <c r="AL244" s="12" t="s">
        <v>578</v>
      </c>
      <c r="AM244" s="12" t="s">
        <v>578</v>
      </c>
      <c r="AN244" s="12" t="s">
        <v>578</v>
      </c>
      <c r="AO244" s="12" t="s">
        <v>578</v>
      </c>
      <c r="AP244" s="12" t="s">
        <v>578</v>
      </c>
      <c r="AQ244" s="12" t="s">
        <v>578</v>
      </c>
      <c r="AR244" s="12" t="s">
        <v>578</v>
      </c>
      <c r="AS244" s="12" t="s">
        <v>578</v>
      </c>
      <c r="AT244" s="12" t="s">
        <v>578</v>
      </c>
      <c r="AU244" s="12" t="s">
        <v>578</v>
      </c>
      <c r="AV244" s="12" t="s">
        <v>580</v>
      </c>
      <c r="AW244" s="12" t="s">
        <v>582</v>
      </c>
      <c r="AX244" s="12" t="s">
        <v>584</v>
      </c>
      <c r="AY244" s="12" t="s">
        <v>584</v>
      </c>
      <c r="AZ244" s="12" t="s">
        <v>674</v>
      </c>
      <c r="BA244" s="12" t="s">
        <v>676</v>
      </c>
      <c r="BB244" s="12" t="s">
        <v>2018</v>
      </c>
      <c r="BC244" s="12" t="s">
        <v>2018</v>
      </c>
      <c r="BD244" s="12" t="s">
        <v>766</v>
      </c>
      <c r="BE244" s="12" t="s">
        <v>917</v>
      </c>
      <c r="BF244" s="12" t="s">
        <v>628</v>
      </c>
      <c r="BG244" s="12" t="s">
        <v>628</v>
      </c>
      <c r="BH244" s="12" t="s">
        <v>718</v>
      </c>
      <c r="BI244" s="12" t="s">
        <v>1046</v>
      </c>
      <c r="BJ244" s="12" t="s">
        <v>1096</v>
      </c>
      <c r="BK244" s="12" t="s">
        <v>972</v>
      </c>
      <c r="BL244" s="12" t="s">
        <v>678</v>
      </c>
      <c r="BM244" s="12" t="s">
        <v>809</v>
      </c>
      <c r="BN244" s="12" t="s">
        <v>632</v>
      </c>
      <c r="BO244" s="12" t="s">
        <v>632</v>
      </c>
      <c r="BP244" s="12" t="s">
        <v>632</v>
      </c>
      <c r="BQ244" s="12" t="s">
        <v>590</v>
      </c>
      <c r="BR244" s="12" t="s">
        <v>857</v>
      </c>
      <c r="BS244" s="12" t="s">
        <v>978</v>
      </c>
      <c r="BT244" s="12" t="s">
        <v>1208</v>
      </c>
      <c r="BU244" s="12" t="s">
        <v>1500</v>
      </c>
      <c r="BV244" s="12" t="s">
        <v>1418</v>
      </c>
      <c r="BW244" s="12" t="s">
        <v>873</v>
      </c>
      <c r="BX244" s="12" t="s">
        <v>2089</v>
      </c>
      <c r="BY244" s="12" t="s">
        <v>814</v>
      </c>
      <c r="BZ244" s="12" t="s">
        <v>1489</v>
      </c>
      <c r="CA244" s="12" t="s">
        <v>596</v>
      </c>
      <c r="CB244" s="12" t="s">
        <v>1492</v>
      </c>
      <c r="CC244" s="12" t="s">
        <v>1393</v>
      </c>
      <c r="CD244" s="12" t="s">
        <v>1495</v>
      </c>
      <c r="CE244" s="12" t="s">
        <v>1495</v>
      </c>
      <c r="CF244" s="12" t="s">
        <v>727</v>
      </c>
      <c r="CG244" s="12" t="s">
        <v>1264</v>
      </c>
      <c r="CH244" s="12" t="s">
        <v>818</v>
      </c>
      <c r="CI244" s="12" t="s">
        <v>728</v>
      </c>
      <c r="CJ244" s="12" t="s">
        <v>728</v>
      </c>
      <c r="CK244" s="12" t="s">
        <v>3932</v>
      </c>
      <c r="CL244" s="12" t="s">
        <v>3932</v>
      </c>
      <c r="CM244" s="12" t="s">
        <v>2395</v>
      </c>
      <c r="CN244" s="12" t="s">
        <v>1697</v>
      </c>
      <c r="CO244" s="12" t="s">
        <v>966</v>
      </c>
      <c r="CP244" s="12" t="s">
        <v>3122</v>
      </c>
      <c r="CQ244" s="12" t="s">
        <v>735</v>
      </c>
      <c r="CR244" s="12" t="s">
        <v>1521</v>
      </c>
      <c r="CS244" s="12" t="s">
        <v>1668</v>
      </c>
      <c r="CT244" s="12" t="s">
        <v>604</v>
      </c>
    </row>
    <row r="245" spans="1:98" hidden="1" x14ac:dyDescent="0.3">
      <c r="A245" s="12" t="s">
        <v>25</v>
      </c>
      <c r="B245" s="12" t="s">
        <v>4250</v>
      </c>
      <c r="C245" s="12" t="s">
        <v>4251</v>
      </c>
      <c r="D245" s="12" t="s">
        <v>4252</v>
      </c>
      <c r="E245" s="12" t="s">
        <v>578</v>
      </c>
      <c r="F245" s="12" t="s">
        <v>578</v>
      </c>
      <c r="G245" s="12" t="s">
        <v>578</v>
      </c>
      <c r="H245" s="12" t="s">
        <v>578</v>
      </c>
      <c r="I245" s="12" t="s">
        <v>578</v>
      </c>
      <c r="J245" s="12" t="s">
        <v>578</v>
      </c>
      <c r="K245" s="12" t="s">
        <v>578</v>
      </c>
      <c r="L245" s="12" t="s">
        <v>578</v>
      </c>
      <c r="M245" s="12" t="s">
        <v>578</v>
      </c>
      <c r="N245" s="12" t="s">
        <v>578</v>
      </c>
      <c r="O245" s="12" t="s">
        <v>578</v>
      </c>
      <c r="P245" s="12" t="s">
        <v>578</v>
      </c>
      <c r="Q245" s="12" t="s">
        <v>578</v>
      </c>
      <c r="R245" s="12" t="s">
        <v>578</v>
      </c>
      <c r="S245" s="12" t="s">
        <v>578</v>
      </c>
      <c r="T245" s="12" t="s">
        <v>578</v>
      </c>
      <c r="U245" s="12" t="s">
        <v>578</v>
      </c>
      <c r="V245" s="12" t="s">
        <v>578</v>
      </c>
      <c r="W245" s="12" t="s">
        <v>578</v>
      </c>
      <c r="X245" s="12" t="s">
        <v>578</v>
      </c>
      <c r="Y245" s="12" t="s">
        <v>578</v>
      </c>
      <c r="Z245" s="12" t="s">
        <v>578</v>
      </c>
      <c r="AA245" s="12" t="s">
        <v>578</v>
      </c>
      <c r="AB245" s="12" t="s">
        <v>578</v>
      </c>
      <c r="AC245" s="12" t="s">
        <v>578</v>
      </c>
      <c r="AD245" s="12" t="s">
        <v>578</v>
      </c>
      <c r="AE245" s="12" t="s">
        <v>578</v>
      </c>
      <c r="AF245" s="12" t="s">
        <v>578</v>
      </c>
      <c r="AG245" s="12" t="s">
        <v>578</v>
      </c>
      <c r="AH245" s="12" t="s">
        <v>578</v>
      </c>
      <c r="AI245" s="12" t="s">
        <v>578</v>
      </c>
      <c r="AJ245" s="12" t="s">
        <v>578</v>
      </c>
      <c r="AK245" s="12" t="s">
        <v>578</v>
      </c>
      <c r="AL245" s="12" t="s">
        <v>578</v>
      </c>
      <c r="AM245" s="12" t="s">
        <v>578</v>
      </c>
      <c r="AN245" s="12" t="s">
        <v>578</v>
      </c>
      <c r="AO245" s="12" t="s">
        <v>578</v>
      </c>
      <c r="AP245" s="12" t="s">
        <v>578</v>
      </c>
      <c r="AQ245" s="12" t="s">
        <v>578</v>
      </c>
      <c r="AR245" s="12" t="s">
        <v>578</v>
      </c>
      <c r="AS245" s="12" t="s">
        <v>578</v>
      </c>
      <c r="AT245" s="12" t="s">
        <v>578</v>
      </c>
      <c r="AU245" s="12" t="s">
        <v>578</v>
      </c>
      <c r="AV245" s="12" t="s">
        <v>578</v>
      </c>
      <c r="AW245" s="12" t="s">
        <v>578</v>
      </c>
      <c r="AX245" s="12" t="s">
        <v>578</v>
      </c>
      <c r="AY245" s="12" t="s">
        <v>578</v>
      </c>
      <c r="AZ245" s="12" t="s">
        <v>578</v>
      </c>
      <c r="BA245" s="12" t="s">
        <v>578</v>
      </c>
      <c r="BB245" s="12" t="s">
        <v>578</v>
      </c>
      <c r="BC245" s="12" t="s">
        <v>578</v>
      </c>
      <c r="BD245" s="12" t="s">
        <v>578</v>
      </c>
      <c r="BE245" s="12" t="s">
        <v>578</v>
      </c>
      <c r="BF245" s="12" t="s">
        <v>578</v>
      </c>
      <c r="BG245" s="12" t="s">
        <v>578</v>
      </c>
      <c r="BH245" s="12" t="s">
        <v>578</v>
      </c>
      <c r="BI245" s="12" t="s">
        <v>578</v>
      </c>
      <c r="BJ245" s="12" t="s">
        <v>578</v>
      </c>
      <c r="BK245" s="12" t="s">
        <v>578</v>
      </c>
      <c r="BL245" s="12" t="s">
        <v>578</v>
      </c>
      <c r="BM245" s="12" t="s">
        <v>578</v>
      </c>
      <c r="BN245" s="12" t="s">
        <v>578</v>
      </c>
      <c r="BO245" s="12" t="s">
        <v>578</v>
      </c>
      <c r="BP245" s="12" t="s">
        <v>623</v>
      </c>
      <c r="BQ245" s="12" t="s">
        <v>623</v>
      </c>
      <c r="BR245" s="12" t="s">
        <v>623</v>
      </c>
      <c r="BS245" s="12" t="s">
        <v>623</v>
      </c>
      <c r="BT245" s="12" t="s">
        <v>623</v>
      </c>
      <c r="BU245" s="12" t="s">
        <v>755</v>
      </c>
      <c r="BV245" s="12" t="s">
        <v>755</v>
      </c>
      <c r="BW245" s="12" t="s">
        <v>761</v>
      </c>
      <c r="BX245" s="12" t="s">
        <v>761</v>
      </c>
      <c r="BY245" s="12" t="s">
        <v>762</v>
      </c>
      <c r="BZ245" s="12" t="s">
        <v>808</v>
      </c>
      <c r="CA245" s="12" t="s">
        <v>808</v>
      </c>
      <c r="CB245" s="12" t="s">
        <v>808</v>
      </c>
      <c r="CC245" s="12" t="s">
        <v>627</v>
      </c>
      <c r="CD245" s="12" t="s">
        <v>627</v>
      </c>
      <c r="CE245" s="12" t="s">
        <v>971</v>
      </c>
      <c r="CF245" s="12" t="s">
        <v>971</v>
      </c>
      <c r="CG245" s="12" t="s">
        <v>628</v>
      </c>
      <c r="CH245" s="12" t="s">
        <v>628</v>
      </c>
      <c r="CI245" s="12" t="s">
        <v>628</v>
      </c>
      <c r="CJ245" s="12" t="s">
        <v>628</v>
      </c>
      <c r="CK245" s="12" t="s">
        <v>1259</v>
      </c>
      <c r="CL245" s="12" t="s">
        <v>1259</v>
      </c>
      <c r="CM245" s="12" t="s">
        <v>1259</v>
      </c>
      <c r="CN245" s="12" t="s">
        <v>918</v>
      </c>
      <c r="CO245" s="12" t="s">
        <v>954</v>
      </c>
      <c r="CP245" s="12" t="s">
        <v>954</v>
      </c>
      <c r="CQ245" s="12" t="s">
        <v>954</v>
      </c>
      <c r="CR245" s="12" t="s">
        <v>954</v>
      </c>
      <c r="CS245" s="12" t="s">
        <v>954</v>
      </c>
      <c r="CT245" s="12" t="s">
        <v>809</v>
      </c>
    </row>
    <row r="246" spans="1:98" hidden="1" x14ac:dyDescent="0.3">
      <c r="A246" s="12" t="s">
        <v>25</v>
      </c>
      <c r="B246" s="12" t="s">
        <v>4253</v>
      </c>
      <c r="C246" s="12" t="s">
        <v>4254</v>
      </c>
      <c r="D246" s="12" t="s">
        <v>4255</v>
      </c>
      <c r="E246" s="12" t="s">
        <v>578</v>
      </c>
      <c r="F246" s="12" t="s">
        <v>578</v>
      </c>
      <c r="G246" s="12" t="s">
        <v>578</v>
      </c>
      <c r="H246" s="12" t="s">
        <v>578</v>
      </c>
      <c r="I246" s="12" t="s">
        <v>578</v>
      </c>
      <c r="J246" s="12" t="s">
        <v>578</v>
      </c>
      <c r="K246" s="12" t="s">
        <v>578</v>
      </c>
      <c r="L246" s="12" t="s">
        <v>578</v>
      </c>
      <c r="M246" s="12" t="s">
        <v>578</v>
      </c>
      <c r="N246" s="12" t="s">
        <v>578</v>
      </c>
      <c r="O246" s="12" t="s">
        <v>578</v>
      </c>
      <c r="P246" s="12" t="s">
        <v>578</v>
      </c>
      <c r="Q246" s="12" t="s">
        <v>578</v>
      </c>
      <c r="R246" s="12" t="s">
        <v>578</v>
      </c>
      <c r="S246" s="12" t="s">
        <v>578</v>
      </c>
      <c r="T246" s="12" t="s">
        <v>578</v>
      </c>
      <c r="U246" s="12" t="s">
        <v>578</v>
      </c>
      <c r="V246" s="12" t="s">
        <v>578</v>
      </c>
      <c r="W246" s="12" t="s">
        <v>578</v>
      </c>
      <c r="X246" s="12" t="s">
        <v>578</v>
      </c>
      <c r="Y246" s="12" t="s">
        <v>578</v>
      </c>
      <c r="Z246" s="12" t="s">
        <v>578</v>
      </c>
      <c r="AA246" s="12" t="s">
        <v>578</v>
      </c>
      <c r="AB246" s="12" t="s">
        <v>578</v>
      </c>
      <c r="AC246" s="12" t="s">
        <v>578</v>
      </c>
      <c r="AD246" s="12" t="s">
        <v>578</v>
      </c>
      <c r="AE246" s="12" t="s">
        <v>578</v>
      </c>
      <c r="AF246" s="12" t="s">
        <v>578</v>
      </c>
      <c r="AG246" s="12" t="s">
        <v>578</v>
      </c>
      <c r="AH246" s="12" t="s">
        <v>578</v>
      </c>
      <c r="AI246" s="12" t="s">
        <v>578</v>
      </c>
      <c r="AJ246" s="12" t="s">
        <v>578</v>
      </c>
      <c r="AK246" s="12" t="s">
        <v>578</v>
      </c>
      <c r="AL246" s="12" t="s">
        <v>578</v>
      </c>
      <c r="AM246" s="12" t="s">
        <v>578</v>
      </c>
      <c r="AN246" s="12" t="s">
        <v>578</v>
      </c>
      <c r="AO246" s="12" t="s">
        <v>578</v>
      </c>
      <c r="AP246" s="12" t="s">
        <v>578</v>
      </c>
      <c r="AQ246" s="12" t="s">
        <v>578</v>
      </c>
      <c r="AR246" s="12" t="s">
        <v>578</v>
      </c>
      <c r="AS246" s="12" t="s">
        <v>578</v>
      </c>
      <c r="AT246" s="12" t="s">
        <v>578</v>
      </c>
      <c r="AU246" s="12" t="s">
        <v>578</v>
      </c>
      <c r="AV246" s="12" t="s">
        <v>578</v>
      </c>
      <c r="AW246" s="12" t="s">
        <v>578</v>
      </c>
      <c r="AX246" s="12" t="s">
        <v>578</v>
      </c>
      <c r="AY246" s="12" t="s">
        <v>578</v>
      </c>
      <c r="AZ246" s="12" t="s">
        <v>578</v>
      </c>
      <c r="BA246" s="12" t="s">
        <v>578</v>
      </c>
      <c r="BB246" s="12" t="s">
        <v>578</v>
      </c>
      <c r="BC246" s="12" t="s">
        <v>578</v>
      </c>
      <c r="BD246" s="12" t="s">
        <v>578</v>
      </c>
      <c r="BE246" s="12" t="s">
        <v>578</v>
      </c>
      <c r="BF246" s="12" t="s">
        <v>578</v>
      </c>
      <c r="BG246" s="12" t="s">
        <v>578</v>
      </c>
      <c r="BH246" s="12" t="s">
        <v>578</v>
      </c>
      <c r="BI246" s="12" t="s">
        <v>578</v>
      </c>
      <c r="BJ246" s="12" t="s">
        <v>578</v>
      </c>
      <c r="BK246" s="12" t="s">
        <v>578</v>
      </c>
      <c r="BL246" s="12" t="s">
        <v>578</v>
      </c>
      <c r="BM246" s="12" t="s">
        <v>578</v>
      </c>
      <c r="BN246" s="12" t="s">
        <v>578</v>
      </c>
      <c r="BO246" s="12" t="s">
        <v>578</v>
      </c>
      <c r="BP246" s="12" t="s">
        <v>623</v>
      </c>
      <c r="BQ246" s="12" t="s">
        <v>580</v>
      </c>
      <c r="BR246" s="12" t="s">
        <v>583</v>
      </c>
      <c r="BS246" s="12" t="s">
        <v>808</v>
      </c>
      <c r="BT246" s="12" t="s">
        <v>808</v>
      </c>
      <c r="BU246" s="12" t="s">
        <v>757</v>
      </c>
      <c r="BV246" s="12" t="s">
        <v>869</v>
      </c>
      <c r="BW246" s="12" t="s">
        <v>766</v>
      </c>
      <c r="BX246" s="12" t="s">
        <v>971</v>
      </c>
      <c r="BY246" s="12" t="s">
        <v>718</v>
      </c>
      <c r="BZ246" s="12" t="s">
        <v>1046</v>
      </c>
      <c r="CA246" s="12" t="s">
        <v>768</v>
      </c>
      <c r="CB246" s="12" t="s">
        <v>972</v>
      </c>
      <c r="CC246" s="12" t="s">
        <v>769</v>
      </c>
      <c r="CD246" s="12" t="s">
        <v>632</v>
      </c>
      <c r="CE246" s="12" t="s">
        <v>589</v>
      </c>
      <c r="CF246" s="12" t="s">
        <v>681</v>
      </c>
      <c r="CG246" s="12" t="s">
        <v>681</v>
      </c>
      <c r="CH246" s="12" t="s">
        <v>864</v>
      </c>
      <c r="CI246" s="12" t="s">
        <v>638</v>
      </c>
      <c r="CJ246" s="12" t="s">
        <v>920</v>
      </c>
      <c r="CK246" s="12" t="s">
        <v>1505</v>
      </c>
      <c r="CL246" s="12" t="s">
        <v>874</v>
      </c>
      <c r="CM246" s="12" t="s">
        <v>874</v>
      </c>
      <c r="CN246" s="12" t="s">
        <v>3043</v>
      </c>
      <c r="CO246" s="12" t="s">
        <v>726</v>
      </c>
      <c r="CP246" s="12" t="s">
        <v>1049</v>
      </c>
      <c r="CQ246" s="12" t="s">
        <v>1280</v>
      </c>
      <c r="CR246" s="12" t="s">
        <v>1364</v>
      </c>
      <c r="CS246" s="12" t="s">
        <v>1830</v>
      </c>
      <c r="CT246" s="12" t="s">
        <v>1833</v>
      </c>
    </row>
    <row r="247" spans="1:98" hidden="1" x14ac:dyDescent="0.3">
      <c r="A247" s="12" t="s">
        <v>25</v>
      </c>
      <c r="B247" s="12" t="s">
        <v>4256</v>
      </c>
      <c r="C247" s="12" t="s">
        <v>4257</v>
      </c>
      <c r="D247" s="12" t="s">
        <v>4258</v>
      </c>
      <c r="E247" s="12" t="s">
        <v>578</v>
      </c>
      <c r="F247" s="12" t="s">
        <v>578</v>
      </c>
      <c r="G247" s="12" t="s">
        <v>578</v>
      </c>
      <c r="H247" s="12" t="s">
        <v>578</v>
      </c>
      <c r="I247" s="12" t="s">
        <v>578</v>
      </c>
      <c r="J247" s="12" t="s">
        <v>578</v>
      </c>
      <c r="K247" s="12" t="s">
        <v>578</v>
      </c>
      <c r="L247" s="12" t="s">
        <v>578</v>
      </c>
      <c r="M247" s="12" t="s">
        <v>578</v>
      </c>
      <c r="N247" s="12" t="s">
        <v>578</v>
      </c>
      <c r="O247" s="12" t="s">
        <v>578</v>
      </c>
      <c r="P247" s="12" t="s">
        <v>578</v>
      </c>
      <c r="Q247" s="12" t="s">
        <v>578</v>
      </c>
      <c r="R247" s="12" t="s">
        <v>578</v>
      </c>
      <c r="S247" s="12" t="s">
        <v>578</v>
      </c>
      <c r="T247" s="12" t="s">
        <v>578</v>
      </c>
      <c r="U247" s="12" t="s">
        <v>578</v>
      </c>
      <c r="V247" s="12" t="s">
        <v>578</v>
      </c>
      <c r="W247" s="12" t="s">
        <v>578</v>
      </c>
      <c r="X247" s="12" t="s">
        <v>578</v>
      </c>
      <c r="Y247" s="12" t="s">
        <v>578</v>
      </c>
      <c r="Z247" s="12" t="s">
        <v>578</v>
      </c>
      <c r="AA247" s="12" t="s">
        <v>578</v>
      </c>
      <c r="AB247" s="12" t="s">
        <v>578</v>
      </c>
      <c r="AC247" s="12" t="s">
        <v>578</v>
      </c>
      <c r="AD247" s="12" t="s">
        <v>578</v>
      </c>
      <c r="AE247" s="12" t="s">
        <v>578</v>
      </c>
      <c r="AF247" s="12" t="s">
        <v>578</v>
      </c>
      <c r="AG247" s="12" t="s">
        <v>578</v>
      </c>
      <c r="AH247" s="12" t="s">
        <v>578</v>
      </c>
      <c r="AI247" s="12" t="s">
        <v>578</v>
      </c>
      <c r="AJ247" s="12" t="s">
        <v>578</v>
      </c>
      <c r="AK247" s="12" t="s">
        <v>578</v>
      </c>
      <c r="AL247" s="12" t="s">
        <v>578</v>
      </c>
      <c r="AM247" s="12" t="s">
        <v>578</v>
      </c>
      <c r="AN247" s="12" t="s">
        <v>578</v>
      </c>
      <c r="AO247" s="12" t="s">
        <v>578</v>
      </c>
      <c r="AP247" s="12" t="s">
        <v>578</v>
      </c>
      <c r="AQ247" s="12" t="s">
        <v>578</v>
      </c>
      <c r="AR247" s="12" t="s">
        <v>578</v>
      </c>
      <c r="AS247" s="12" t="s">
        <v>578</v>
      </c>
      <c r="AT247" s="12" t="s">
        <v>578</v>
      </c>
      <c r="AU247" s="12" t="s">
        <v>578</v>
      </c>
      <c r="AV247" s="12" t="s">
        <v>578</v>
      </c>
      <c r="AW247" s="12" t="s">
        <v>578</v>
      </c>
      <c r="AX247" s="12" t="s">
        <v>578</v>
      </c>
      <c r="AY247" s="12" t="s">
        <v>578</v>
      </c>
      <c r="AZ247" s="12" t="s">
        <v>578</v>
      </c>
      <c r="BA247" s="12" t="s">
        <v>578</v>
      </c>
      <c r="BB247" s="12" t="s">
        <v>578</v>
      </c>
      <c r="BC247" s="12" t="s">
        <v>578</v>
      </c>
      <c r="BD247" s="12" t="s">
        <v>578</v>
      </c>
      <c r="BE247" s="12" t="s">
        <v>578</v>
      </c>
      <c r="BF247" s="12" t="s">
        <v>578</v>
      </c>
      <c r="BG247" s="12" t="s">
        <v>578</v>
      </c>
      <c r="BH247" s="12" t="s">
        <v>578</v>
      </c>
      <c r="BI247" s="12" t="s">
        <v>578</v>
      </c>
      <c r="BJ247" s="12" t="s">
        <v>578</v>
      </c>
      <c r="BK247" s="12" t="s">
        <v>578</v>
      </c>
      <c r="BL247" s="12" t="s">
        <v>578</v>
      </c>
      <c r="BM247" s="12" t="s">
        <v>578</v>
      </c>
      <c r="BN247" s="12" t="s">
        <v>578</v>
      </c>
      <c r="BO247" s="12" t="s">
        <v>578</v>
      </c>
      <c r="BP247" s="12" t="s">
        <v>623</v>
      </c>
      <c r="BQ247" s="12" t="s">
        <v>623</v>
      </c>
      <c r="BR247" s="12" t="s">
        <v>623</v>
      </c>
      <c r="BS247" s="12" t="s">
        <v>623</v>
      </c>
      <c r="BT247" s="12" t="s">
        <v>623</v>
      </c>
      <c r="BU247" s="12" t="s">
        <v>582</v>
      </c>
      <c r="BV247" s="12" t="s">
        <v>755</v>
      </c>
      <c r="BW247" s="12" t="s">
        <v>755</v>
      </c>
      <c r="BX247" s="12" t="s">
        <v>761</v>
      </c>
      <c r="BY247" s="12" t="s">
        <v>761</v>
      </c>
      <c r="BZ247" s="12" t="s">
        <v>761</v>
      </c>
      <c r="CA247" s="12" t="s">
        <v>624</v>
      </c>
      <c r="CB247" s="12" t="s">
        <v>624</v>
      </c>
      <c r="CC247" s="12" t="s">
        <v>583</v>
      </c>
      <c r="CD247" s="12" t="s">
        <v>583</v>
      </c>
      <c r="CE247" s="12" t="s">
        <v>583</v>
      </c>
      <c r="CF247" s="12" t="s">
        <v>625</v>
      </c>
      <c r="CG247" s="12" t="s">
        <v>625</v>
      </c>
      <c r="CH247" s="12" t="s">
        <v>625</v>
      </c>
      <c r="CI247" s="12" t="s">
        <v>625</v>
      </c>
      <c r="CJ247" s="12" t="s">
        <v>756</v>
      </c>
      <c r="CK247" s="12" t="s">
        <v>756</v>
      </c>
      <c r="CL247" s="12" t="s">
        <v>756</v>
      </c>
      <c r="CM247" s="12" t="s">
        <v>756</v>
      </c>
      <c r="CN247" s="12" t="s">
        <v>756</v>
      </c>
      <c r="CO247" s="12" t="s">
        <v>756</v>
      </c>
      <c r="CP247" s="12" t="s">
        <v>762</v>
      </c>
      <c r="CQ247" s="12" t="s">
        <v>762</v>
      </c>
      <c r="CR247" s="12" t="s">
        <v>762</v>
      </c>
      <c r="CS247" s="12" t="s">
        <v>762</v>
      </c>
      <c r="CT247" s="12" t="s">
        <v>762</v>
      </c>
    </row>
    <row r="248" spans="1:98" hidden="1" x14ac:dyDescent="0.3">
      <c r="A248" s="12" t="s">
        <v>4259</v>
      </c>
      <c r="B248" s="12" t="s">
        <v>1435</v>
      </c>
      <c r="C248" s="12" t="s">
        <v>4260</v>
      </c>
      <c r="D248" s="12" t="s">
        <v>4261</v>
      </c>
      <c r="E248" s="12" t="s">
        <v>578</v>
      </c>
      <c r="F248" s="12" t="s">
        <v>578</v>
      </c>
      <c r="G248" s="12" t="s">
        <v>578</v>
      </c>
      <c r="H248" s="12" t="s">
        <v>578</v>
      </c>
      <c r="I248" s="12" t="s">
        <v>578</v>
      </c>
      <c r="J248" s="12" t="s">
        <v>578</v>
      </c>
      <c r="K248" s="12" t="s">
        <v>578</v>
      </c>
      <c r="L248" s="12" t="s">
        <v>578</v>
      </c>
      <c r="M248" s="12" t="s">
        <v>578</v>
      </c>
      <c r="N248" s="12" t="s">
        <v>578</v>
      </c>
      <c r="O248" s="12" t="s">
        <v>578</v>
      </c>
      <c r="P248" s="12" t="s">
        <v>578</v>
      </c>
      <c r="Q248" s="12" t="s">
        <v>578</v>
      </c>
      <c r="R248" s="12" t="s">
        <v>578</v>
      </c>
      <c r="S248" s="12" t="s">
        <v>578</v>
      </c>
      <c r="T248" s="12" t="s">
        <v>578</v>
      </c>
      <c r="U248" s="12" t="s">
        <v>578</v>
      </c>
      <c r="V248" s="12" t="s">
        <v>578</v>
      </c>
      <c r="W248" s="12" t="s">
        <v>578</v>
      </c>
      <c r="X248" s="12" t="s">
        <v>578</v>
      </c>
      <c r="Y248" s="12" t="s">
        <v>578</v>
      </c>
      <c r="Z248" s="12" t="s">
        <v>578</v>
      </c>
      <c r="AA248" s="12" t="s">
        <v>578</v>
      </c>
      <c r="AB248" s="12" t="s">
        <v>578</v>
      </c>
      <c r="AC248" s="12" t="s">
        <v>578</v>
      </c>
      <c r="AD248" s="12" t="s">
        <v>578</v>
      </c>
      <c r="AE248" s="12" t="s">
        <v>578</v>
      </c>
      <c r="AF248" s="12" t="s">
        <v>578</v>
      </c>
      <c r="AG248" s="12" t="s">
        <v>578</v>
      </c>
      <c r="AH248" s="12" t="s">
        <v>578</v>
      </c>
      <c r="AI248" s="12" t="s">
        <v>578</v>
      </c>
      <c r="AJ248" s="12" t="s">
        <v>578</v>
      </c>
      <c r="AK248" s="12" t="s">
        <v>578</v>
      </c>
      <c r="AL248" s="12" t="s">
        <v>578</v>
      </c>
      <c r="AM248" s="12" t="s">
        <v>578</v>
      </c>
      <c r="AN248" s="12" t="s">
        <v>578</v>
      </c>
      <c r="AO248" s="12" t="s">
        <v>578</v>
      </c>
      <c r="AP248" s="12" t="s">
        <v>578</v>
      </c>
      <c r="AQ248" s="12" t="s">
        <v>578</v>
      </c>
      <c r="AR248" s="12" t="s">
        <v>578</v>
      </c>
      <c r="AS248" s="12" t="s">
        <v>578</v>
      </c>
      <c r="AT248" s="12" t="s">
        <v>578</v>
      </c>
      <c r="AU248" s="12" t="s">
        <v>578</v>
      </c>
      <c r="AV248" s="12" t="s">
        <v>578</v>
      </c>
      <c r="AW248" s="12" t="s">
        <v>578</v>
      </c>
      <c r="AX248" s="12" t="s">
        <v>578</v>
      </c>
      <c r="AY248" s="12" t="s">
        <v>578</v>
      </c>
      <c r="AZ248" s="12" t="s">
        <v>578</v>
      </c>
      <c r="BA248" s="12" t="s">
        <v>578</v>
      </c>
      <c r="BB248" s="12" t="s">
        <v>578</v>
      </c>
      <c r="BC248" s="12" t="s">
        <v>578</v>
      </c>
      <c r="BD248" s="12" t="s">
        <v>578</v>
      </c>
      <c r="BE248" s="12" t="s">
        <v>578</v>
      </c>
      <c r="BF248" s="12" t="s">
        <v>578</v>
      </c>
      <c r="BG248" s="12" t="s">
        <v>578</v>
      </c>
      <c r="BH248" s="12" t="s">
        <v>578</v>
      </c>
      <c r="BI248" s="12" t="s">
        <v>578</v>
      </c>
      <c r="BJ248" s="12" t="s">
        <v>578</v>
      </c>
      <c r="BK248" s="12" t="s">
        <v>578</v>
      </c>
      <c r="BL248" s="12" t="s">
        <v>578</v>
      </c>
      <c r="BM248" s="12" t="s">
        <v>578</v>
      </c>
      <c r="BN248" s="12" t="s">
        <v>578</v>
      </c>
      <c r="BO248" s="12" t="s">
        <v>578</v>
      </c>
      <c r="BP248" s="12" t="s">
        <v>578</v>
      </c>
      <c r="BQ248" s="12" t="s">
        <v>579</v>
      </c>
      <c r="BR248" s="12" t="s">
        <v>579</v>
      </c>
      <c r="BS248" s="12" t="s">
        <v>579</v>
      </c>
      <c r="BT248" s="12" t="s">
        <v>579</v>
      </c>
      <c r="BU248" s="12" t="s">
        <v>579</v>
      </c>
      <c r="BV248" s="12" t="s">
        <v>579</v>
      </c>
      <c r="BW248" s="12" t="s">
        <v>623</v>
      </c>
      <c r="BX248" s="12" t="s">
        <v>623</v>
      </c>
      <c r="BY248" s="12" t="s">
        <v>623</v>
      </c>
      <c r="BZ248" s="12" t="s">
        <v>580</v>
      </c>
      <c r="CA248" s="12" t="s">
        <v>580</v>
      </c>
      <c r="CB248" s="12" t="s">
        <v>581</v>
      </c>
      <c r="CC248" s="12" t="s">
        <v>581</v>
      </c>
      <c r="CD248" s="12" t="s">
        <v>581</v>
      </c>
      <c r="CE248" s="12" t="s">
        <v>581</v>
      </c>
      <c r="CF248" s="12" t="s">
        <v>581</v>
      </c>
      <c r="CG248" s="12" t="s">
        <v>581</v>
      </c>
      <c r="CH248" s="12" t="s">
        <v>581</v>
      </c>
      <c r="CI248" s="12" t="s">
        <v>581</v>
      </c>
      <c r="CJ248" s="12" t="s">
        <v>581</v>
      </c>
      <c r="CK248" s="12" t="s">
        <v>581</v>
      </c>
      <c r="CL248" s="12" t="s">
        <v>581</v>
      </c>
      <c r="CM248" s="12" t="s">
        <v>581</v>
      </c>
      <c r="CN248" s="12" t="s">
        <v>581</v>
      </c>
      <c r="CO248" s="12" t="s">
        <v>581</v>
      </c>
      <c r="CP248" s="12" t="s">
        <v>581</v>
      </c>
      <c r="CQ248" s="12" t="s">
        <v>581</v>
      </c>
      <c r="CR248" s="12" t="s">
        <v>581</v>
      </c>
      <c r="CS248" s="12" t="s">
        <v>581</v>
      </c>
      <c r="CT248" s="12" t="s">
        <v>581</v>
      </c>
    </row>
    <row r="249" spans="1:98" hidden="1" x14ac:dyDescent="0.3">
      <c r="A249" s="12" t="s">
        <v>4262</v>
      </c>
      <c r="B249" s="12" t="s">
        <v>1435</v>
      </c>
      <c r="C249" s="12" t="s">
        <v>4263</v>
      </c>
      <c r="D249" s="12" t="s">
        <v>4264</v>
      </c>
      <c r="E249" s="12" t="s">
        <v>578</v>
      </c>
      <c r="F249" s="12" t="s">
        <v>578</v>
      </c>
      <c r="G249" s="12" t="s">
        <v>578</v>
      </c>
      <c r="H249" s="12" t="s">
        <v>578</v>
      </c>
      <c r="I249" s="12" t="s">
        <v>578</v>
      </c>
      <c r="J249" s="12" t="s">
        <v>578</v>
      </c>
      <c r="K249" s="12" t="s">
        <v>578</v>
      </c>
      <c r="L249" s="12" t="s">
        <v>578</v>
      </c>
      <c r="M249" s="12" t="s">
        <v>578</v>
      </c>
      <c r="N249" s="12" t="s">
        <v>578</v>
      </c>
      <c r="O249" s="12" t="s">
        <v>578</v>
      </c>
      <c r="P249" s="12" t="s">
        <v>578</v>
      </c>
      <c r="Q249" s="12" t="s">
        <v>578</v>
      </c>
      <c r="R249" s="12" t="s">
        <v>578</v>
      </c>
      <c r="S249" s="12" t="s">
        <v>578</v>
      </c>
      <c r="T249" s="12" t="s">
        <v>578</v>
      </c>
      <c r="U249" s="12" t="s">
        <v>578</v>
      </c>
      <c r="V249" s="12" t="s">
        <v>578</v>
      </c>
      <c r="W249" s="12" t="s">
        <v>578</v>
      </c>
      <c r="X249" s="12" t="s">
        <v>578</v>
      </c>
      <c r="Y249" s="12" t="s">
        <v>578</v>
      </c>
      <c r="Z249" s="12" t="s">
        <v>578</v>
      </c>
      <c r="AA249" s="12" t="s">
        <v>578</v>
      </c>
      <c r="AB249" s="12" t="s">
        <v>578</v>
      </c>
      <c r="AC249" s="12" t="s">
        <v>578</v>
      </c>
      <c r="AD249" s="12" t="s">
        <v>578</v>
      </c>
      <c r="AE249" s="12" t="s">
        <v>578</v>
      </c>
      <c r="AF249" s="12" t="s">
        <v>578</v>
      </c>
      <c r="AG249" s="12" t="s">
        <v>578</v>
      </c>
      <c r="AH249" s="12" t="s">
        <v>578</v>
      </c>
      <c r="AI249" s="12" t="s">
        <v>578</v>
      </c>
      <c r="AJ249" s="12" t="s">
        <v>578</v>
      </c>
      <c r="AK249" s="12" t="s">
        <v>578</v>
      </c>
      <c r="AL249" s="12" t="s">
        <v>578</v>
      </c>
      <c r="AM249" s="12" t="s">
        <v>578</v>
      </c>
      <c r="AN249" s="12" t="s">
        <v>578</v>
      </c>
      <c r="AO249" s="12" t="s">
        <v>578</v>
      </c>
      <c r="AP249" s="12" t="s">
        <v>578</v>
      </c>
      <c r="AQ249" s="12" t="s">
        <v>578</v>
      </c>
      <c r="AR249" s="12" t="s">
        <v>578</v>
      </c>
      <c r="AS249" s="12" t="s">
        <v>578</v>
      </c>
      <c r="AT249" s="12" t="s">
        <v>578</v>
      </c>
      <c r="AU249" s="12" t="s">
        <v>578</v>
      </c>
      <c r="AV249" s="12" t="s">
        <v>578</v>
      </c>
      <c r="AW249" s="12" t="s">
        <v>578</v>
      </c>
      <c r="AX249" s="12" t="s">
        <v>578</v>
      </c>
      <c r="AY249" s="12" t="s">
        <v>578</v>
      </c>
      <c r="AZ249" s="12" t="s">
        <v>578</v>
      </c>
      <c r="BA249" s="12" t="s">
        <v>578</v>
      </c>
      <c r="BB249" s="12" t="s">
        <v>578</v>
      </c>
      <c r="BC249" s="12" t="s">
        <v>578</v>
      </c>
      <c r="BD249" s="12" t="s">
        <v>578</v>
      </c>
      <c r="BE249" s="12" t="s">
        <v>578</v>
      </c>
      <c r="BF249" s="12" t="s">
        <v>578</v>
      </c>
      <c r="BG249" s="12" t="s">
        <v>578</v>
      </c>
      <c r="BH249" s="12" t="s">
        <v>578</v>
      </c>
      <c r="BI249" s="12" t="s">
        <v>578</v>
      </c>
      <c r="BJ249" s="12" t="s">
        <v>578</v>
      </c>
      <c r="BK249" s="12" t="s">
        <v>578</v>
      </c>
      <c r="BL249" s="12" t="s">
        <v>578</v>
      </c>
      <c r="BM249" s="12" t="s">
        <v>578</v>
      </c>
      <c r="BN249" s="12" t="s">
        <v>578</v>
      </c>
      <c r="BO249" s="12" t="s">
        <v>578</v>
      </c>
      <c r="BP249" s="12" t="s">
        <v>578</v>
      </c>
      <c r="BQ249" s="12" t="s">
        <v>672</v>
      </c>
      <c r="BR249" s="12" t="s">
        <v>672</v>
      </c>
      <c r="BS249" s="12" t="s">
        <v>580</v>
      </c>
      <c r="BT249" s="12" t="s">
        <v>580</v>
      </c>
      <c r="BU249" s="12" t="s">
        <v>580</v>
      </c>
      <c r="BV249" s="12" t="s">
        <v>581</v>
      </c>
      <c r="BW249" s="12" t="s">
        <v>581</v>
      </c>
      <c r="BX249" s="12" t="s">
        <v>851</v>
      </c>
      <c r="BY249" s="12" t="s">
        <v>851</v>
      </c>
      <c r="BZ249" s="12" t="s">
        <v>851</v>
      </c>
      <c r="CA249" s="12" t="s">
        <v>851</v>
      </c>
      <c r="CB249" s="12" t="s">
        <v>851</v>
      </c>
      <c r="CC249" s="12" t="s">
        <v>582</v>
      </c>
      <c r="CD249" s="12" t="s">
        <v>582</v>
      </c>
      <c r="CE249" s="12" t="s">
        <v>582</v>
      </c>
      <c r="CF249" s="12" t="s">
        <v>755</v>
      </c>
      <c r="CG249" s="12" t="s">
        <v>755</v>
      </c>
      <c r="CH249" s="12" t="s">
        <v>755</v>
      </c>
      <c r="CI249" s="12" t="s">
        <v>755</v>
      </c>
      <c r="CJ249" s="12" t="s">
        <v>755</v>
      </c>
      <c r="CK249" s="12" t="s">
        <v>755</v>
      </c>
      <c r="CL249" s="12" t="s">
        <v>755</v>
      </c>
      <c r="CM249" s="12" t="s">
        <v>755</v>
      </c>
      <c r="CN249" s="12" t="s">
        <v>761</v>
      </c>
      <c r="CO249" s="12" t="s">
        <v>761</v>
      </c>
      <c r="CP249" s="12" t="s">
        <v>583</v>
      </c>
      <c r="CQ249" s="12" t="s">
        <v>583</v>
      </c>
      <c r="CR249" s="12" t="s">
        <v>583</v>
      </c>
      <c r="CS249" s="12" t="s">
        <v>583</v>
      </c>
      <c r="CT249" s="12" t="s">
        <v>583</v>
      </c>
    </row>
    <row r="250" spans="1:98" hidden="1" x14ac:dyDescent="0.3">
      <c r="A250" s="12" t="s">
        <v>25</v>
      </c>
      <c r="B250" s="12" t="s">
        <v>4265</v>
      </c>
      <c r="C250" s="12" t="s">
        <v>4266</v>
      </c>
      <c r="D250" s="12" t="s">
        <v>4267</v>
      </c>
      <c r="E250" s="12" t="s">
        <v>578</v>
      </c>
      <c r="F250" s="12" t="s">
        <v>578</v>
      </c>
      <c r="G250" s="12" t="s">
        <v>578</v>
      </c>
      <c r="H250" s="12" t="s">
        <v>578</v>
      </c>
      <c r="I250" s="12" t="s">
        <v>578</v>
      </c>
      <c r="J250" s="12" t="s">
        <v>578</v>
      </c>
      <c r="K250" s="12" t="s">
        <v>578</v>
      </c>
      <c r="L250" s="12" t="s">
        <v>578</v>
      </c>
      <c r="M250" s="12" t="s">
        <v>578</v>
      </c>
      <c r="N250" s="12" t="s">
        <v>578</v>
      </c>
      <c r="O250" s="12" t="s">
        <v>578</v>
      </c>
      <c r="P250" s="12" t="s">
        <v>578</v>
      </c>
      <c r="Q250" s="12" t="s">
        <v>578</v>
      </c>
      <c r="R250" s="12" t="s">
        <v>578</v>
      </c>
      <c r="S250" s="12" t="s">
        <v>578</v>
      </c>
      <c r="T250" s="12" t="s">
        <v>578</v>
      </c>
      <c r="U250" s="12" t="s">
        <v>578</v>
      </c>
      <c r="V250" s="12" t="s">
        <v>578</v>
      </c>
      <c r="W250" s="12" t="s">
        <v>578</v>
      </c>
      <c r="X250" s="12" t="s">
        <v>578</v>
      </c>
      <c r="Y250" s="12" t="s">
        <v>578</v>
      </c>
      <c r="Z250" s="12" t="s">
        <v>578</v>
      </c>
      <c r="AA250" s="12" t="s">
        <v>578</v>
      </c>
      <c r="AB250" s="12" t="s">
        <v>578</v>
      </c>
      <c r="AC250" s="12" t="s">
        <v>578</v>
      </c>
      <c r="AD250" s="12" t="s">
        <v>578</v>
      </c>
      <c r="AE250" s="12" t="s">
        <v>578</v>
      </c>
      <c r="AF250" s="12" t="s">
        <v>578</v>
      </c>
      <c r="AG250" s="12" t="s">
        <v>578</v>
      </c>
      <c r="AH250" s="12" t="s">
        <v>578</v>
      </c>
      <c r="AI250" s="12" t="s">
        <v>578</v>
      </c>
      <c r="AJ250" s="12" t="s">
        <v>578</v>
      </c>
      <c r="AK250" s="12" t="s">
        <v>578</v>
      </c>
      <c r="AL250" s="12" t="s">
        <v>578</v>
      </c>
      <c r="AM250" s="12" t="s">
        <v>578</v>
      </c>
      <c r="AN250" s="12" t="s">
        <v>578</v>
      </c>
      <c r="AO250" s="12" t="s">
        <v>578</v>
      </c>
      <c r="AP250" s="12" t="s">
        <v>578</v>
      </c>
      <c r="AQ250" s="12" t="s">
        <v>578</v>
      </c>
      <c r="AR250" s="12" t="s">
        <v>578</v>
      </c>
      <c r="AS250" s="12" t="s">
        <v>578</v>
      </c>
      <c r="AT250" s="12" t="s">
        <v>578</v>
      </c>
      <c r="AU250" s="12" t="s">
        <v>578</v>
      </c>
      <c r="AV250" s="12" t="s">
        <v>578</v>
      </c>
      <c r="AW250" s="12" t="s">
        <v>578</v>
      </c>
      <c r="AX250" s="12" t="s">
        <v>578</v>
      </c>
      <c r="AY250" s="12" t="s">
        <v>578</v>
      </c>
      <c r="AZ250" s="12" t="s">
        <v>578</v>
      </c>
      <c r="BA250" s="12" t="s">
        <v>578</v>
      </c>
      <c r="BB250" s="12" t="s">
        <v>578</v>
      </c>
      <c r="BC250" s="12" t="s">
        <v>578</v>
      </c>
      <c r="BD250" s="12" t="s">
        <v>578</v>
      </c>
      <c r="BE250" s="12" t="s">
        <v>578</v>
      </c>
      <c r="BF250" s="12" t="s">
        <v>578</v>
      </c>
      <c r="BG250" s="12" t="s">
        <v>578</v>
      </c>
      <c r="BH250" s="12" t="s">
        <v>578</v>
      </c>
      <c r="BI250" s="12" t="s">
        <v>578</v>
      </c>
      <c r="BJ250" s="12" t="s">
        <v>578</v>
      </c>
      <c r="BK250" s="12" t="s">
        <v>578</v>
      </c>
      <c r="BL250" s="12" t="s">
        <v>578</v>
      </c>
      <c r="BM250" s="12" t="s">
        <v>578</v>
      </c>
      <c r="BN250" s="12" t="s">
        <v>578</v>
      </c>
      <c r="BO250" s="12" t="s">
        <v>578</v>
      </c>
      <c r="BP250" s="12" t="s">
        <v>578</v>
      </c>
      <c r="BQ250" s="12" t="s">
        <v>854</v>
      </c>
      <c r="BR250" s="12" t="s">
        <v>977</v>
      </c>
      <c r="BS250" s="12" t="s">
        <v>857</v>
      </c>
      <c r="BT250" s="12" t="s">
        <v>591</v>
      </c>
      <c r="BU250" s="12" t="s">
        <v>591</v>
      </c>
      <c r="BV250" s="12" t="s">
        <v>872</v>
      </c>
      <c r="BW250" s="12" t="s">
        <v>1751</v>
      </c>
      <c r="BX250" s="12" t="s">
        <v>1751</v>
      </c>
      <c r="BY250" s="12" t="s">
        <v>1276</v>
      </c>
      <c r="BZ250" s="12" t="s">
        <v>1356</v>
      </c>
      <c r="CA250" s="12" t="s">
        <v>1886</v>
      </c>
      <c r="CB250" s="12" t="s">
        <v>1886</v>
      </c>
      <c r="CC250" s="12" t="s">
        <v>594</v>
      </c>
      <c r="CD250" s="12" t="s">
        <v>921</v>
      </c>
      <c r="CE250" s="12" t="s">
        <v>921</v>
      </c>
      <c r="CF250" s="12" t="s">
        <v>1490</v>
      </c>
      <c r="CG250" s="12" t="s">
        <v>1828</v>
      </c>
      <c r="CH250" s="12" t="s">
        <v>1828</v>
      </c>
      <c r="CI250" s="12" t="s">
        <v>1828</v>
      </c>
      <c r="CJ250" s="12" t="s">
        <v>777</v>
      </c>
      <c r="CK250" s="12" t="s">
        <v>777</v>
      </c>
      <c r="CL250" s="12" t="s">
        <v>3122</v>
      </c>
      <c r="CM250" s="12" t="s">
        <v>1668</v>
      </c>
      <c r="CN250" s="12" t="s">
        <v>2675</v>
      </c>
      <c r="CO250" s="12" t="s">
        <v>2675</v>
      </c>
      <c r="CP250" s="12" t="s">
        <v>2675</v>
      </c>
      <c r="CQ250" s="12" t="s">
        <v>2675</v>
      </c>
      <c r="CR250" s="12" t="s">
        <v>2675</v>
      </c>
      <c r="CS250" s="12" t="s">
        <v>2675</v>
      </c>
      <c r="CT250" s="12" t="s">
        <v>2675</v>
      </c>
    </row>
    <row r="251" spans="1:98" hidden="1" x14ac:dyDescent="0.3">
      <c r="A251" s="12" t="s">
        <v>25</v>
      </c>
      <c r="B251" s="12" t="s">
        <v>4268</v>
      </c>
      <c r="C251" s="12" t="s">
        <v>4269</v>
      </c>
      <c r="D251" s="12" t="s">
        <v>4270</v>
      </c>
      <c r="E251" s="12" t="s">
        <v>578</v>
      </c>
      <c r="F251" s="12" t="s">
        <v>578</v>
      </c>
      <c r="G251" s="12" t="s">
        <v>578</v>
      </c>
      <c r="H251" s="12" t="s">
        <v>578</v>
      </c>
      <c r="I251" s="12" t="s">
        <v>578</v>
      </c>
      <c r="J251" s="12" t="s">
        <v>578</v>
      </c>
      <c r="K251" s="12" t="s">
        <v>578</v>
      </c>
      <c r="L251" s="12" t="s">
        <v>578</v>
      </c>
      <c r="M251" s="12" t="s">
        <v>578</v>
      </c>
      <c r="N251" s="12" t="s">
        <v>578</v>
      </c>
      <c r="O251" s="12" t="s">
        <v>578</v>
      </c>
      <c r="P251" s="12" t="s">
        <v>578</v>
      </c>
      <c r="Q251" s="12" t="s">
        <v>578</v>
      </c>
      <c r="R251" s="12" t="s">
        <v>578</v>
      </c>
      <c r="S251" s="12" t="s">
        <v>578</v>
      </c>
      <c r="T251" s="12" t="s">
        <v>578</v>
      </c>
      <c r="U251" s="12" t="s">
        <v>578</v>
      </c>
      <c r="V251" s="12" t="s">
        <v>578</v>
      </c>
      <c r="W251" s="12" t="s">
        <v>578</v>
      </c>
      <c r="X251" s="12" t="s">
        <v>578</v>
      </c>
      <c r="Y251" s="12" t="s">
        <v>578</v>
      </c>
      <c r="Z251" s="12" t="s">
        <v>578</v>
      </c>
      <c r="AA251" s="12" t="s">
        <v>578</v>
      </c>
      <c r="AB251" s="12" t="s">
        <v>578</v>
      </c>
      <c r="AC251" s="12" t="s">
        <v>578</v>
      </c>
      <c r="AD251" s="12" t="s">
        <v>578</v>
      </c>
      <c r="AE251" s="12" t="s">
        <v>578</v>
      </c>
      <c r="AF251" s="12" t="s">
        <v>578</v>
      </c>
      <c r="AG251" s="12" t="s">
        <v>578</v>
      </c>
      <c r="AH251" s="12" t="s">
        <v>578</v>
      </c>
      <c r="AI251" s="12" t="s">
        <v>578</v>
      </c>
      <c r="AJ251" s="12" t="s">
        <v>578</v>
      </c>
      <c r="AK251" s="12" t="s">
        <v>578</v>
      </c>
      <c r="AL251" s="12" t="s">
        <v>578</v>
      </c>
      <c r="AM251" s="12" t="s">
        <v>578</v>
      </c>
      <c r="AN251" s="12" t="s">
        <v>578</v>
      </c>
      <c r="AO251" s="12" t="s">
        <v>578</v>
      </c>
      <c r="AP251" s="12" t="s">
        <v>578</v>
      </c>
      <c r="AQ251" s="12" t="s">
        <v>578</v>
      </c>
      <c r="AR251" s="12" t="s">
        <v>578</v>
      </c>
      <c r="AS251" s="12" t="s">
        <v>578</v>
      </c>
      <c r="AT251" s="12" t="s">
        <v>578</v>
      </c>
      <c r="AU251" s="12" t="s">
        <v>578</v>
      </c>
      <c r="AV251" s="12" t="s">
        <v>578</v>
      </c>
      <c r="AW251" s="12" t="s">
        <v>578</v>
      </c>
      <c r="AX251" s="12" t="s">
        <v>578</v>
      </c>
      <c r="AY251" s="12" t="s">
        <v>578</v>
      </c>
      <c r="AZ251" s="12" t="s">
        <v>578</v>
      </c>
      <c r="BA251" s="12" t="s">
        <v>578</v>
      </c>
      <c r="BB251" s="12" t="s">
        <v>578</v>
      </c>
      <c r="BC251" s="12" t="s">
        <v>578</v>
      </c>
      <c r="BD251" s="12" t="s">
        <v>578</v>
      </c>
      <c r="BE251" s="12" t="s">
        <v>578</v>
      </c>
      <c r="BF251" s="12" t="s">
        <v>578</v>
      </c>
      <c r="BG251" s="12" t="s">
        <v>578</v>
      </c>
      <c r="BH251" s="12" t="s">
        <v>578</v>
      </c>
      <c r="BI251" s="12" t="s">
        <v>578</v>
      </c>
      <c r="BJ251" s="12" t="s">
        <v>578</v>
      </c>
      <c r="BK251" s="12" t="s">
        <v>578</v>
      </c>
      <c r="BL251" s="12" t="s">
        <v>578</v>
      </c>
      <c r="BM251" s="12" t="s">
        <v>578</v>
      </c>
      <c r="BN251" s="12" t="s">
        <v>578</v>
      </c>
      <c r="BO251" s="12" t="s">
        <v>578</v>
      </c>
      <c r="BP251" s="12" t="s">
        <v>578</v>
      </c>
      <c r="BQ251" s="12" t="s">
        <v>578</v>
      </c>
      <c r="BR251" s="12" t="s">
        <v>755</v>
      </c>
      <c r="BS251" s="12" t="s">
        <v>755</v>
      </c>
      <c r="BT251" s="12" t="s">
        <v>624</v>
      </c>
      <c r="BU251" s="12" t="s">
        <v>756</v>
      </c>
      <c r="BV251" s="12" t="s">
        <v>762</v>
      </c>
      <c r="BW251" s="12" t="s">
        <v>762</v>
      </c>
      <c r="BX251" s="12" t="s">
        <v>675</v>
      </c>
      <c r="BY251" s="12" t="s">
        <v>675</v>
      </c>
      <c r="BZ251" s="12" t="s">
        <v>585</v>
      </c>
      <c r="CA251" s="12" t="s">
        <v>585</v>
      </c>
      <c r="CB251" s="12" t="s">
        <v>586</v>
      </c>
      <c r="CC251" s="12" t="s">
        <v>586</v>
      </c>
      <c r="CD251" s="12" t="s">
        <v>586</v>
      </c>
      <c r="CE251" s="12" t="s">
        <v>626</v>
      </c>
      <c r="CF251" s="12" t="s">
        <v>913</v>
      </c>
      <c r="CG251" s="12" t="s">
        <v>628</v>
      </c>
      <c r="CH251" s="12" t="s">
        <v>1046</v>
      </c>
      <c r="CI251" s="12" t="s">
        <v>853</v>
      </c>
      <c r="CJ251" s="12" t="s">
        <v>1180</v>
      </c>
      <c r="CK251" s="12" t="s">
        <v>589</v>
      </c>
      <c r="CL251" s="12" t="s">
        <v>1124</v>
      </c>
      <c r="CM251" s="12" t="s">
        <v>721</v>
      </c>
      <c r="CN251" s="12" t="s">
        <v>978</v>
      </c>
      <c r="CO251" s="12" t="s">
        <v>979</v>
      </c>
      <c r="CP251" s="12" t="s">
        <v>1418</v>
      </c>
      <c r="CQ251" s="12" t="s">
        <v>993</v>
      </c>
      <c r="CR251" s="12" t="s">
        <v>638</v>
      </c>
      <c r="CS251" s="12" t="s">
        <v>683</v>
      </c>
      <c r="CT251" s="12" t="s">
        <v>920</v>
      </c>
    </row>
    <row r="252" spans="1:98" hidden="1" x14ac:dyDescent="0.3">
      <c r="A252" s="12" t="s">
        <v>4271</v>
      </c>
      <c r="B252" s="12" t="s">
        <v>4094</v>
      </c>
      <c r="C252" s="12" t="s">
        <v>4272</v>
      </c>
      <c r="D252" s="12" t="s">
        <v>4273</v>
      </c>
      <c r="E252" s="12" t="s">
        <v>578</v>
      </c>
      <c r="F252" s="12" t="s">
        <v>578</v>
      </c>
      <c r="G252" s="12" t="s">
        <v>578</v>
      </c>
      <c r="H252" s="12" t="s">
        <v>578</v>
      </c>
      <c r="I252" s="12" t="s">
        <v>578</v>
      </c>
      <c r="J252" s="12" t="s">
        <v>578</v>
      </c>
      <c r="K252" s="12" t="s">
        <v>578</v>
      </c>
      <c r="L252" s="12" t="s">
        <v>578</v>
      </c>
      <c r="M252" s="12" t="s">
        <v>578</v>
      </c>
      <c r="N252" s="12" t="s">
        <v>578</v>
      </c>
      <c r="O252" s="12" t="s">
        <v>578</v>
      </c>
      <c r="P252" s="12" t="s">
        <v>578</v>
      </c>
      <c r="Q252" s="12" t="s">
        <v>578</v>
      </c>
      <c r="R252" s="12" t="s">
        <v>578</v>
      </c>
      <c r="S252" s="12" t="s">
        <v>578</v>
      </c>
      <c r="T252" s="12" t="s">
        <v>578</v>
      </c>
      <c r="U252" s="12" t="s">
        <v>578</v>
      </c>
      <c r="V252" s="12" t="s">
        <v>578</v>
      </c>
      <c r="W252" s="12" t="s">
        <v>578</v>
      </c>
      <c r="X252" s="12" t="s">
        <v>578</v>
      </c>
      <c r="Y252" s="12" t="s">
        <v>578</v>
      </c>
      <c r="Z252" s="12" t="s">
        <v>578</v>
      </c>
      <c r="AA252" s="12" t="s">
        <v>578</v>
      </c>
      <c r="AB252" s="12" t="s">
        <v>578</v>
      </c>
      <c r="AC252" s="12" t="s">
        <v>578</v>
      </c>
      <c r="AD252" s="12" t="s">
        <v>578</v>
      </c>
      <c r="AE252" s="12" t="s">
        <v>578</v>
      </c>
      <c r="AF252" s="12" t="s">
        <v>578</v>
      </c>
      <c r="AG252" s="12" t="s">
        <v>578</v>
      </c>
      <c r="AH252" s="12" t="s">
        <v>578</v>
      </c>
      <c r="AI252" s="12" t="s">
        <v>578</v>
      </c>
      <c r="AJ252" s="12" t="s">
        <v>578</v>
      </c>
      <c r="AK252" s="12" t="s">
        <v>578</v>
      </c>
      <c r="AL252" s="12" t="s">
        <v>578</v>
      </c>
      <c r="AM252" s="12" t="s">
        <v>578</v>
      </c>
      <c r="AN252" s="12" t="s">
        <v>578</v>
      </c>
      <c r="AO252" s="12" t="s">
        <v>578</v>
      </c>
      <c r="AP252" s="12" t="s">
        <v>578</v>
      </c>
      <c r="AQ252" s="12" t="s">
        <v>578</v>
      </c>
      <c r="AR252" s="12" t="s">
        <v>578</v>
      </c>
      <c r="AS252" s="12" t="s">
        <v>578</v>
      </c>
      <c r="AT252" s="12" t="s">
        <v>578</v>
      </c>
      <c r="AU252" s="12" t="s">
        <v>578</v>
      </c>
      <c r="AV252" s="12" t="s">
        <v>578</v>
      </c>
      <c r="AW252" s="12" t="s">
        <v>578</v>
      </c>
      <c r="AX252" s="12" t="s">
        <v>578</v>
      </c>
      <c r="AY252" s="12" t="s">
        <v>578</v>
      </c>
      <c r="AZ252" s="12" t="s">
        <v>578</v>
      </c>
      <c r="BA252" s="12" t="s">
        <v>578</v>
      </c>
      <c r="BB252" s="12" t="s">
        <v>578</v>
      </c>
      <c r="BC252" s="12" t="s">
        <v>578</v>
      </c>
      <c r="BD252" s="12" t="s">
        <v>578</v>
      </c>
      <c r="BE252" s="12" t="s">
        <v>578</v>
      </c>
      <c r="BF252" s="12" t="s">
        <v>578</v>
      </c>
      <c r="BG252" s="12" t="s">
        <v>578</v>
      </c>
      <c r="BH252" s="12" t="s">
        <v>578</v>
      </c>
      <c r="BI252" s="12" t="s">
        <v>578</v>
      </c>
      <c r="BJ252" s="12" t="s">
        <v>578</v>
      </c>
      <c r="BK252" s="12" t="s">
        <v>578</v>
      </c>
      <c r="BL252" s="12" t="s">
        <v>578</v>
      </c>
      <c r="BM252" s="12" t="s">
        <v>578</v>
      </c>
      <c r="BN252" s="12" t="s">
        <v>578</v>
      </c>
      <c r="BO252" s="12" t="s">
        <v>578</v>
      </c>
      <c r="BP252" s="12" t="s">
        <v>578</v>
      </c>
      <c r="BQ252" s="12" t="s">
        <v>578</v>
      </c>
      <c r="BR252" s="12" t="s">
        <v>578</v>
      </c>
      <c r="BS252" s="12" t="s">
        <v>623</v>
      </c>
      <c r="BT252" s="12" t="s">
        <v>623</v>
      </c>
      <c r="BU252" s="12" t="s">
        <v>623</v>
      </c>
      <c r="BV252" s="12" t="s">
        <v>623</v>
      </c>
      <c r="BW252" s="12" t="s">
        <v>623</v>
      </c>
      <c r="BX252" s="12" t="s">
        <v>672</v>
      </c>
      <c r="BY252" s="12" t="s">
        <v>672</v>
      </c>
      <c r="BZ252" s="12" t="s">
        <v>672</v>
      </c>
      <c r="CA252" s="12" t="s">
        <v>672</v>
      </c>
      <c r="CB252" s="12" t="s">
        <v>672</v>
      </c>
      <c r="CC252" s="12" t="s">
        <v>672</v>
      </c>
      <c r="CD252" s="12" t="s">
        <v>672</v>
      </c>
      <c r="CE252" s="12" t="s">
        <v>672</v>
      </c>
      <c r="CF252" s="12" t="s">
        <v>672</v>
      </c>
      <c r="CG252" s="12" t="s">
        <v>672</v>
      </c>
      <c r="CH252" s="12" t="s">
        <v>672</v>
      </c>
      <c r="CI252" s="12" t="s">
        <v>672</v>
      </c>
      <c r="CJ252" s="12" t="s">
        <v>672</v>
      </c>
      <c r="CK252" s="12" t="s">
        <v>672</v>
      </c>
      <c r="CL252" s="12" t="s">
        <v>672</v>
      </c>
      <c r="CM252" s="12" t="s">
        <v>672</v>
      </c>
      <c r="CN252" s="12" t="s">
        <v>672</v>
      </c>
      <c r="CO252" s="12" t="s">
        <v>672</v>
      </c>
      <c r="CP252" s="12" t="s">
        <v>672</v>
      </c>
      <c r="CQ252" s="12" t="s">
        <v>672</v>
      </c>
      <c r="CR252" s="12" t="s">
        <v>672</v>
      </c>
      <c r="CS252" s="12" t="s">
        <v>672</v>
      </c>
      <c r="CT252" s="12" t="s">
        <v>672</v>
      </c>
    </row>
    <row r="253" spans="1:98" hidden="1" x14ac:dyDescent="0.3">
      <c r="A253" s="12" t="s">
        <v>4274</v>
      </c>
      <c r="B253" s="12" t="s">
        <v>4094</v>
      </c>
      <c r="C253" s="12" t="s">
        <v>4275</v>
      </c>
      <c r="D253" s="12" t="s">
        <v>4276</v>
      </c>
      <c r="E253" s="12" t="s">
        <v>578</v>
      </c>
      <c r="F253" s="12" t="s">
        <v>578</v>
      </c>
      <c r="G253" s="12" t="s">
        <v>578</v>
      </c>
      <c r="H253" s="12" t="s">
        <v>578</v>
      </c>
      <c r="I253" s="12" t="s">
        <v>578</v>
      </c>
      <c r="J253" s="12" t="s">
        <v>578</v>
      </c>
      <c r="K253" s="12" t="s">
        <v>578</v>
      </c>
      <c r="L253" s="12" t="s">
        <v>578</v>
      </c>
      <c r="M253" s="12" t="s">
        <v>578</v>
      </c>
      <c r="N253" s="12" t="s">
        <v>578</v>
      </c>
      <c r="O253" s="12" t="s">
        <v>578</v>
      </c>
      <c r="P253" s="12" t="s">
        <v>578</v>
      </c>
      <c r="Q253" s="12" t="s">
        <v>578</v>
      </c>
      <c r="R253" s="12" t="s">
        <v>578</v>
      </c>
      <c r="S253" s="12" t="s">
        <v>578</v>
      </c>
      <c r="T253" s="12" t="s">
        <v>578</v>
      </c>
      <c r="U253" s="12" t="s">
        <v>578</v>
      </c>
      <c r="V253" s="12" t="s">
        <v>578</v>
      </c>
      <c r="W253" s="12" t="s">
        <v>578</v>
      </c>
      <c r="X253" s="12" t="s">
        <v>578</v>
      </c>
      <c r="Y253" s="12" t="s">
        <v>578</v>
      </c>
      <c r="Z253" s="12" t="s">
        <v>578</v>
      </c>
      <c r="AA253" s="12" t="s">
        <v>578</v>
      </c>
      <c r="AB253" s="12" t="s">
        <v>578</v>
      </c>
      <c r="AC253" s="12" t="s">
        <v>578</v>
      </c>
      <c r="AD253" s="12" t="s">
        <v>578</v>
      </c>
      <c r="AE253" s="12" t="s">
        <v>578</v>
      </c>
      <c r="AF253" s="12" t="s">
        <v>578</v>
      </c>
      <c r="AG253" s="12" t="s">
        <v>578</v>
      </c>
      <c r="AH253" s="12" t="s">
        <v>578</v>
      </c>
      <c r="AI253" s="12" t="s">
        <v>578</v>
      </c>
      <c r="AJ253" s="12" t="s">
        <v>578</v>
      </c>
      <c r="AK253" s="12" t="s">
        <v>578</v>
      </c>
      <c r="AL253" s="12" t="s">
        <v>578</v>
      </c>
      <c r="AM253" s="12" t="s">
        <v>578</v>
      </c>
      <c r="AN253" s="12" t="s">
        <v>578</v>
      </c>
      <c r="AO253" s="12" t="s">
        <v>578</v>
      </c>
      <c r="AP253" s="12" t="s">
        <v>578</v>
      </c>
      <c r="AQ253" s="12" t="s">
        <v>578</v>
      </c>
      <c r="AR253" s="12" t="s">
        <v>578</v>
      </c>
      <c r="AS253" s="12" t="s">
        <v>578</v>
      </c>
      <c r="AT253" s="12" t="s">
        <v>578</v>
      </c>
      <c r="AU253" s="12" t="s">
        <v>578</v>
      </c>
      <c r="AV253" s="12" t="s">
        <v>578</v>
      </c>
      <c r="AW253" s="12" t="s">
        <v>578</v>
      </c>
      <c r="AX253" s="12" t="s">
        <v>578</v>
      </c>
      <c r="AY253" s="12" t="s">
        <v>578</v>
      </c>
      <c r="AZ253" s="12" t="s">
        <v>578</v>
      </c>
      <c r="BA253" s="12" t="s">
        <v>578</v>
      </c>
      <c r="BB253" s="12" t="s">
        <v>578</v>
      </c>
      <c r="BC253" s="12" t="s">
        <v>578</v>
      </c>
      <c r="BD253" s="12" t="s">
        <v>578</v>
      </c>
      <c r="BE253" s="12" t="s">
        <v>578</v>
      </c>
      <c r="BF253" s="12" t="s">
        <v>578</v>
      </c>
      <c r="BG253" s="12" t="s">
        <v>578</v>
      </c>
      <c r="BH253" s="12" t="s">
        <v>578</v>
      </c>
      <c r="BI253" s="12" t="s">
        <v>578</v>
      </c>
      <c r="BJ253" s="12" t="s">
        <v>578</v>
      </c>
      <c r="BK253" s="12" t="s">
        <v>578</v>
      </c>
      <c r="BL253" s="12" t="s">
        <v>578</v>
      </c>
      <c r="BM253" s="12" t="s">
        <v>578</v>
      </c>
      <c r="BN253" s="12" t="s">
        <v>578</v>
      </c>
      <c r="BO253" s="12" t="s">
        <v>578</v>
      </c>
      <c r="BP253" s="12" t="s">
        <v>578</v>
      </c>
      <c r="BQ253" s="12" t="s">
        <v>578</v>
      </c>
      <c r="BR253" s="12" t="s">
        <v>578</v>
      </c>
      <c r="BS253" s="12" t="s">
        <v>623</v>
      </c>
      <c r="BT253" s="12" t="s">
        <v>623</v>
      </c>
      <c r="BU253" s="12" t="s">
        <v>623</v>
      </c>
      <c r="BV253" s="12" t="s">
        <v>672</v>
      </c>
      <c r="BW253" s="12" t="s">
        <v>672</v>
      </c>
      <c r="BX253" s="12" t="s">
        <v>672</v>
      </c>
      <c r="BY253" s="12" t="s">
        <v>672</v>
      </c>
      <c r="BZ253" s="12" t="s">
        <v>672</v>
      </c>
      <c r="CA253" s="12" t="s">
        <v>672</v>
      </c>
      <c r="CB253" s="12" t="s">
        <v>672</v>
      </c>
      <c r="CC253" s="12" t="s">
        <v>672</v>
      </c>
      <c r="CD253" s="12" t="s">
        <v>672</v>
      </c>
      <c r="CE253" s="12" t="s">
        <v>672</v>
      </c>
      <c r="CF253" s="12" t="s">
        <v>672</v>
      </c>
      <c r="CG253" s="12" t="s">
        <v>672</v>
      </c>
      <c r="CH253" s="12" t="s">
        <v>672</v>
      </c>
      <c r="CI253" s="12" t="s">
        <v>672</v>
      </c>
      <c r="CJ253" s="12" t="s">
        <v>672</v>
      </c>
      <c r="CK253" s="12" t="s">
        <v>672</v>
      </c>
      <c r="CL253" s="12" t="s">
        <v>672</v>
      </c>
      <c r="CM253" s="12" t="s">
        <v>580</v>
      </c>
      <c r="CN253" s="12" t="s">
        <v>580</v>
      </c>
      <c r="CO253" s="12" t="s">
        <v>580</v>
      </c>
      <c r="CP253" s="12" t="s">
        <v>581</v>
      </c>
      <c r="CQ253" s="12" t="s">
        <v>581</v>
      </c>
      <c r="CR253" s="12" t="s">
        <v>581</v>
      </c>
      <c r="CS253" s="12" t="s">
        <v>581</v>
      </c>
      <c r="CT253" s="12" t="s">
        <v>581</v>
      </c>
    </row>
    <row r="254" spans="1:98" hidden="1" x14ac:dyDescent="0.3">
      <c r="A254" s="12" t="s">
        <v>4277</v>
      </c>
      <c r="B254" s="12" t="s">
        <v>4094</v>
      </c>
      <c r="C254" s="12" t="s">
        <v>4278</v>
      </c>
      <c r="D254" s="12" t="s">
        <v>4279</v>
      </c>
      <c r="E254" s="12" t="s">
        <v>578</v>
      </c>
      <c r="F254" s="12" t="s">
        <v>578</v>
      </c>
      <c r="G254" s="12" t="s">
        <v>578</v>
      </c>
      <c r="H254" s="12" t="s">
        <v>578</v>
      </c>
      <c r="I254" s="12" t="s">
        <v>578</v>
      </c>
      <c r="J254" s="12" t="s">
        <v>578</v>
      </c>
      <c r="K254" s="12" t="s">
        <v>578</v>
      </c>
      <c r="L254" s="12" t="s">
        <v>578</v>
      </c>
      <c r="M254" s="12" t="s">
        <v>578</v>
      </c>
      <c r="N254" s="12" t="s">
        <v>578</v>
      </c>
      <c r="O254" s="12" t="s">
        <v>578</v>
      </c>
      <c r="P254" s="12" t="s">
        <v>578</v>
      </c>
      <c r="Q254" s="12" t="s">
        <v>578</v>
      </c>
      <c r="R254" s="12" t="s">
        <v>578</v>
      </c>
      <c r="S254" s="12" t="s">
        <v>578</v>
      </c>
      <c r="T254" s="12" t="s">
        <v>578</v>
      </c>
      <c r="U254" s="12" t="s">
        <v>578</v>
      </c>
      <c r="V254" s="12" t="s">
        <v>578</v>
      </c>
      <c r="W254" s="12" t="s">
        <v>578</v>
      </c>
      <c r="X254" s="12" t="s">
        <v>578</v>
      </c>
      <c r="Y254" s="12" t="s">
        <v>578</v>
      </c>
      <c r="Z254" s="12" t="s">
        <v>578</v>
      </c>
      <c r="AA254" s="12" t="s">
        <v>578</v>
      </c>
      <c r="AB254" s="12" t="s">
        <v>578</v>
      </c>
      <c r="AC254" s="12" t="s">
        <v>578</v>
      </c>
      <c r="AD254" s="12" t="s">
        <v>578</v>
      </c>
      <c r="AE254" s="12" t="s">
        <v>578</v>
      </c>
      <c r="AF254" s="12" t="s">
        <v>578</v>
      </c>
      <c r="AG254" s="12" t="s">
        <v>578</v>
      </c>
      <c r="AH254" s="12" t="s">
        <v>578</v>
      </c>
      <c r="AI254" s="12" t="s">
        <v>578</v>
      </c>
      <c r="AJ254" s="12" t="s">
        <v>578</v>
      </c>
      <c r="AK254" s="12" t="s">
        <v>578</v>
      </c>
      <c r="AL254" s="12" t="s">
        <v>578</v>
      </c>
      <c r="AM254" s="12" t="s">
        <v>578</v>
      </c>
      <c r="AN254" s="12" t="s">
        <v>578</v>
      </c>
      <c r="AO254" s="12" t="s">
        <v>578</v>
      </c>
      <c r="AP254" s="12" t="s">
        <v>578</v>
      </c>
      <c r="AQ254" s="12" t="s">
        <v>578</v>
      </c>
      <c r="AR254" s="12" t="s">
        <v>578</v>
      </c>
      <c r="AS254" s="12" t="s">
        <v>578</v>
      </c>
      <c r="AT254" s="12" t="s">
        <v>578</v>
      </c>
      <c r="AU254" s="12" t="s">
        <v>578</v>
      </c>
      <c r="AV254" s="12" t="s">
        <v>578</v>
      </c>
      <c r="AW254" s="12" t="s">
        <v>578</v>
      </c>
      <c r="AX254" s="12" t="s">
        <v>578</v>
      </c>
      <c r="AY254" s="12" t="s">
        <v>578</v>
      </c>
      <c r="AZ254" s="12" t="s">
        <v>578</v>
      </c>
      <c r="BA254" s="12" t="s">
        <v>578</v>
      </c>
      <c r="BB254" s="12" t="s">
        <v>578</v>
      </c>
      <c r="BC254" s="12" t="s">
        <v>578</v>
      </c>
      <c r="BD254" s="12" t="s">
        <v>578</v>
      </c>
      <c r="BE254" s="12" t="s">
        <v>578</v>
      </c>
      <c r="BF254" s="12" t="s">
        <v>578</v>
      </c>
      <c r="BG254" s="12" t="s">
        <v>578</v>
      </c>
      <c r="BH254" s="12" t="s">
        <v>578</v>
      </c>
      <c r="BI254" s="12" t="s">
        <v>578</v>
      </c>
      <c r="BJ254" s="12" t="s">
        <v>578</v>
      </c>
      <c r="BK254" s="12" t="s">
        <v>578</v>
      </c>
      <c r="BL254" s="12" t="s">
        <v>578</v>
      </c>
      <c r="BM254" s="12" t="s">
        <v>578</v>
      </c>
      <c r="BN254" s="12" t="s">
        <v>578</v>
      </c>
      <c r="BO254" s="12" t="s">
        <v>578</v>
      </c>
      <c r="BP254" s="12" t="s">
        <v>578</v>
      </c>
      <c r="BQ254" s="12" t="s">
        <v>578</v>
      </c>
      <c r="BR254" s="12" t="s">
        <v>578</v>
      </c>
      <c r="BS254" s="12" t="s">
        <v>580</v>
      </c>
      <c r="BT254" s="12" t="s">
        <v>580</v>
      </c>
      <c r="BU254" s="12" t="s">
        <v>581</v>
      </c>
      <c r="BV254" s="12" t="s">
        <v>581</v>
      </c>
      <c r="BW254" s="12" t="s">
        <v>851</v>
      </c>
      <c r="BX254" s="12" t="s">
        <v>581</v>
      </c>
      <c r="BY254" s="12" t="s">
        <v>581</v>
      </c>
      <c r="BZ254" s="12" t="s">
        <v>581</v>
      </c>
      <c r="CA254" s="12" t="s">
        <v>581</v>
      </c>
      <c r="CB254" s="12" t="s">
        <v>755</v>
      </c>
      <c r="CC254" s="12" t="s">
        <v>755</v>
      </c>
      <c r="CD254" s="12" t="s">
        <v>755</v>
      </c>
      <c r="CE254" s="12" t="s">
        <v>755</v>
      </c>
      <c r="CF254" s="12" t="s">
        <v>755</v>
      </c>
      <c r="CG254" s="12" t="s">
        <v>755</v>
      </c>
      <c r="CH254" s="12" t="s">
        <v>761</v>
      </c>
      <c r="CI254" s="12" t="s">
        <v>624</v>
      </c>
      <c r="CJ254" s="12" t="s">
        <v>624</v>
      </c>
      <c r="CK254" s="12" t="s">
        <v>624</v>
      </c>
      <c r="CL254" s="12" t="s">
        <v>583</v>
      </c>
      <c r="CM254" s="12" t="s">
        <v>583</v>
      </c>
      <c r="CN254" s="12" t="s">
        <v>583</v>
      </c>
      <c r="CO254" s="12" t="s">
        <v>583</v>
      </c>
      <c r="CP254" s="12" t="s">
        <v>583</v>
      </c>
      <c r="CQ254" s="12" t="s">
        <v>583</v>
      </c>
      <c r="CR254" s="12" t="s">
        <v>583</v>
      </c>
      <c r="CS254" s="12" t="s">
        <v>583</v>
      </c>
      <c r="CT254" s="12" t="s">
        <v>583</v>
      </c>
    </row>
    <row r="255" spans="1:98" hidden="1" x14ac:dyDescent="0.3">
      <c r="A255" s="12" t="s">
        <v>25</v>
      </c>
      <c r="B255" s="12" t="s">
        <v>4280</v>
      </c>
      <c r="C255" s="12" t="s">
        <v>2213</v>
      </c>
      <c r="D255" s="12" t="s">
        <v>2213</v>
      </c>
      <c r="E255" s="12" t="s">
        <v>578</v>
      </c>
      <c r="F255" s="12" t="s">
        <v>578</v>
      </c>
      <c r="G255" s="12" t="s">
        <v>578</v>
      </c>
      <c r="H255" s="12" t="s">
        <v>578</v>
      </c>
      <c r="I255" s="12" t="s">
        <v>578</v>
      </c>
      <c r="J255" s="12" t="s">
        <v>578</v>
      </c>
      <c r="K255" s="12" t="s">
        <v>578</v>
      </c>
      <c r="L255" s="12" t="s">
        <v>578</v>
      </c>
      <c r="M255" s="12" t="s">
        <v>578</v>
      </c>
      <c r="N255" s="12" t="s">
        <v>578</v>
      </c>
      <c r="O255" s="12" t="s">
        <v>578</v>
      </c>
      <c r="P255" s="12" t="s">
        <v>578</v>
      </c>
      <c r="Q255" s="12" t="s">
        <v>578</v>
      </c>
      <c r="R255" s="12" t="s">
        <v>578</v>
      </c>
      <c r="S255" s="12" t="s">
        <v>578</v>
      </c>
      <c r="T255" s="12" t="s">
        <v>578</v>
      </c>
      <c r="U255" s="12" t="s">
        <v>578</v>
      </c>
      <c r="V255" s="12" t="s">
        <v>578</v>
      </c>
      <c r="W255" s="12" t="s">
        <v>578</v>
      </c>
      <c r="X255" s="12" t="s">
        <v>578</v>
      </c>
      <c r="Y255" s="12" t="s">
        <v>578</v>
      </c>
      <c r="Z255" s="12" t="s">
        <v>578</v>
      </c>
      <c r="AA255" s="12" t="s">
        <v>578</v>
      </c>
      <c r="AB255" s="12" t="s">
        <v>578</v>
      </c>
      <c r="AC255" s="12" t="s">
        <v>578</v>
      </c>
      <c r="AD255" s="12" t="s">
        <v>578</v>
      </c>
      <c r="AE255" s="12" t="s">
        <v>578</v>
      </c>
      <c r="AF255" s="12" t="s">
        <v>578</v>
      </c>
      <c r="AG255" s="12" t="s">
        <v>578</v>
      </c>
      <c r="AH255" s="12" t="s">
        <v>578</v>
      </c>
      <c r="AI255" s="12" t="s">
        <v>578</v>
      </c>
      <c r="AJ255" s="12" t="s">
        <v>578</v>
      </c>
      <c r="AK255" s="12" t="s">
        <v>578</v>
      </c>
      <c r="AL255" s="12" t="s">
        <v>578</v>
      </c>
      <c r="AM255" s="12" t="s">
        <v>578</v>
      </c>
      <c r="AN255" s="12" t="s">
        <v>578</v>
      </c>
      <c r="AO255" s="12" t="s">
        <v>578</v>
      </c>
      <c r="AP255" s="12" t="s">
        <v>578</v>
      </c>
      <c r="AQ255" s="12" t="s">
        <v>578</v>
      </c>
      <c r="AR255" s="12" t="s">
        <v>578</v>
      </c>
      <c r="AS255" s="12" t="s">
        <v>578</v>
      </c>
      <c r="AT255" s="12" t="s">
        <v>578</v>
      </c>
      <c r="AU255" s="12" t="s">
        <v>578</v>
      </c>
      <c r="AV255" s="12" t="s">
        <v>578</v>
      </c>
      <c r="AW255" s="12" t="s">
        <v>578</v>
      </c>
      <c r="AX255" s="12" t="s">
        <v>578</v>
      </c>
      <c r="AY255" s="12" t="s">
        <v>578</v>
      </c>
      <c r="AZ255" s="12" t="s">
        <v>578</v>
      </c>
      <c r="BA255" s="12" t="s">
        <v>578</v>
      </c>
      <c r="BB255" s="12" t="s">
        <v>578</v>
      </c>
      <c r="BC255" s="12" t="s">
        <v>578</v>
      </c>
      <c r="BD255" s="12" t="s">
        <v>578</v>
      </c>
      <c r="BE255" s="12" t="s">
        <v>578</v>
      </c>
      <c r="BF255" s="12" t="s">
        <v>578</v>
      </c>
      <c r="BG255" s="12" t="s">
        <v>578</v>
      </c>
      <c r="BH255" s="12" t="s">
        <v>578</v>
      </c>
      <c r="BI255" s="12" t="s">
        <v>578</v>
      </c>
      <c r="BJ255" s="12" t="s">
        <v>578</v>
      </c>
      <c r="BK255" s="12" t="s">
        <v>578</v>
      </c>
      <c r="BL255" s="12" t="s">
        <v>578</v>
      </c>
      <c r="BM255" s="12" t="s">
        <v>578</v>
      </c>
      <c r="BN255" s="12" t="s">
        <v>578</v>
      </c>
      <c r="BO255" s="12" t="s">
        <v>578</v>
      </c>
      <c r="BP255" s="12" t="s">
        <v>578</v>
      </c>
      <c r="BQ255" s="12" t="s">
        <v>578</v>
      </c>
      <c r="BR255" s="12" t="s">
        <v>578</v>
      </c>
      <c r="BS255" s="12" t="s">
        <v>623</v>
      </c>
      <c r="BT255" s="12" t="s">
        <v>623</v>
      </c>
      <c r="BU255" s="12" t="s">
        <v>623</v>
      </c>
      <c r="BV255" s="12" t="s">
        <v>623</v>
      </c>
      <c r="BW255" s="12" t="s">
        <v>761</v>
      </c>
      <c r="BX255" s="12" t="s">
        <v>761</v>
      </c>
      <c r="BY255" s="12" t="s">
        <v>761</v>
      </c>
      <c r="BZ255" s="12" t="s">
        <v>761</v>
      </c>
      <c r="CA255" s="12" t="s">
        <v>761</v>
      </c>
      <c r="CB255" s="12" t="s">
        <v>761</v>
      </c>
      <c r="CC255" s="12" t="s">
        <v>761</v>
      </c>
      <c r="CD255" s="12" t="s">
        <v>761</v>
      </c>
      <c r="CE255" s="12" t="s">
        <v>761</v>
      </c>
      <c r="CF255" s="12" t="s">
        <v>761</v>
      </c>
      <c r="CG255" s="12" t="s">
        <v>761</v>
      </c>
      <c r="CH255" s="12" t="s">
        <v>761</v>
      </c>
      <c r="CI255" s="12" t="s">
        <v>761</v>
      </c>
      <c r="CJ255" s="12" t="s">
        <v>761</v>
      </c>
      <c r="CK255" s="12" t="s">
        <v>761</v>
      </c>
      <c r="CL255" s="12" t="s">
        <v>761</v>
      </c>
      <c r="CM255" s="12" t="s">
        <v>761</v>
      </c>
      <c r="CN255" s="12" t="s">
        <v>761</v>
      </c>
      <c r="CO255" s="12" t="s">
        <v>761</v>
      </c>
      <c r="CP255" s="12" t="s">
        <v>761</v>
      </c>
      <c r="CQ255" s="12" t="s">
        <v>761</v>
      </c>
      <c r="CR255" s="12" t="s">
        <v>761</v>
      </c>
      <c r="CS255" s="12" t="s">
        <v>761</v>
      </c>
      <c r="CT255" s="12" t="s">
        <v>761</v>
      </c>
    </row>
    <row r="256" spans="1:98" hidden="1" x14ac:dyDescent="0.3">
      <c r="A256" s="12" t="s">
        <v>25</v>
      </c>
      <c r="B256" s="12" t="s">
        <v>4281</v>
      </c>
      <c r="C256" s="12" t="s">
        <v>4282</v>
      </c>
      <c r="D256" s="12" t="s">
        <v>4283</v>
      </c>
      <c r="E256" s="12" t="s">
        <v>578</v>
      </c>
      <c r="F256" s="12" t="s">
        <v>578</v>
      </c>
      <c r="G256" s="12" t="s">
        <v>578</v>
      </c>
      <c r="H256" s="12" t="s">
        <v>578</v>
      </c>
      <c r="I256" s="12" t="s">
        <v>578</v>
      </c>
      <c r="J256" s="12" t="s">
        <v>578</v>
      </c>
      <c r="K256" s="12" t="s">
        <v>578</v>
      </c>
      <c r="L256" s="12" t="s">
        <v>578</v>
      </c>
      <c r="M256" s="12" t="s">
        <v>578</v>
      </c>
      <c r="N256" s="12" t="s">
        <v>578</v>
      </c>
      <c r="O256" s="12" t="s">
        <v>578</v>
      </c>
      <c r="P256" s="12" t="s">
        <v>578</v>
      </c>
      <c r="Q256" s="12" t="s">
        <v>578</v>
      </c>
      <c r="R256" s="12" t="s">
        <v>578</v>
      </c>
      <c r="S256" s="12" t="s">
        <v>578</v>
      </c>
      <c r="T256" s="12" t="s">
        <v>578</v>
      </c>
      <c r="U256" s="12" t="s">
        <v>578</v>
      </c>
      <c r="V256" s="12" t="s">
        <v>578</v>
      </c>
      <c r="W256" s="12" t="s">
        <v>578</v>
      </c>
      <c r="X256" s="12" t="s">
        <v>578</v>
      </c>
      <c r="Y256" s="12" t="s">
        <v>578</v>
      </c>
      <c r="Z256" s="12" t="s">
        <v>578</v>
      </c>
      <c r="AA256" s="12" t="s">
        <v>578</v>
      </c>
      <c r="AB256" s="12" t="s">
        <v>578</v>
      </c>
      <c r="AC256" s="12" t="s">
        <v>578</v>
      </c>
      <c r="AD256" s="12" t="s">
        <v>578</v>
      </c>
      <c r="AE256" s="12" t="s">
        <v>578</v>
      </c>
      <c r="AF256" s="12" t="s">
        <v>578</v>
      </c>
      <c r="AG256" s="12" t="s">
        <v>578</v>
      </c>
      <c r="AH256" s="12" t="s">
        <v>578</v>
      </c>
      <c r="AI256" s="12" t="s">
        <v>578</v>
      </c>
      <c r="AJ256" s="12" t="s">
        <v>578</v>
      </c>
      <c r="AK256" s="12" t="s">
        <v>578</v>
      </c>
      <c r="AL256" s="12" t="s">
        <v>578</v>
      </c>
      <c r="AM256" s="12" t="s">
        <v>578</v>
      </c>
      <c r="AN256" s="12" t="s">
        <v>578</v>
      </c>
      <c r="AO256" s="12" t="s">
        <v>578</v>
      </c>
      <c r="AP256" s="12" t="s">
        <v>578</v>
      </c>
      <c r="AQ256" s="12" t="s">
        <v>578</v>
      </c>
      <c r="AR256" s="12" t="s">
        <v>578</v>
      </c>
      <c r="AS256" s="12" t="s">
        <v>578</v>
      </c>
      <c r="AT256" s="12" t="s">
        <v>578</v>
      </c>
      <c r="AU256" s="12" t="s">
        <v>578</v>
      </c>
      <c r="AV256" s="12" t="s">
        <v>578</v>
      </c>
      <c r="AW256" s="12" t="s">
        <v>578</v>
      </c>
      <c r="AX256" s="12" t="s">
        <v>578</v>
      </c>
      <c r="AY256" s="12" t="s">
        <v>578</v>
      </c>
      <c r="AZ256" s="12" t="s">
        <v>578</v>
      </c>
      <c r="BA256" s="12" t="s">
        <v>578</v>
      </c>
      <c r="BB256" s="12" t="s">
        <v>578</v>
      </c>
      <c r="BC256" s="12" t="s">
        <v>578</v>
      </c>
      <c r="BD256" s="12" t="s">
        <v>578</v>
      </c>
      <c r="BE256" s="12" t="s">
        <v>578</v>
      </c>
      <c r="BF256" s="12" t="s">
        <v>578</v>
      </c>
      <c r="BG256" s="12" t="s">
        <v>578</v>
      </c>
      <c r="BH256" s="12" t="s">
        <v>578</v>
      </c>
      <c r="BI256" s="12" t="s">
        <v>578</v>
      </c>
      <c r="BJ256" s="12" t="s">
        <v>578</v>
      </c>
      <c r="BK256" s="12" t="s">
        <v>578</v>
      </c>
      <c r="BL256" s="12" t="s">
        <v>578</v>
      </c>
      <c r="BM256" s="12" t="s">
        <v>578</v>
      </c>
      <c r="BN256" s="12" t="s">
        <v>578</v>
      </c>
      <c r="BO256" s="12" t="s">
        <v>578</v>
      </c>
      <c r="BP256" s="12" t="s">
        <v>578</v>
      </c>
      <c r="BQ256" s="12" t="s">
        <v>578</v>
      </c>
      <c r="BR256" s="12" t="s">
        <v>578</v>
      </c>
      <c r="BS256" s="12" t="s">
        <v>578</v>
      </c>
      <c r="BT256" s="12" t="s">
        <v>578</v>
      </c>
      <c r="BU256" s="12" t="s">
        <v>672</v>
      </c>
      <c r="BV256" s="12" t="s">
        <v>580</v>
      </c>
      <c r="BW256" s="12" t="s">
        <v>580</v>
      </c>
      <c r="BX256" s="12" t="s">
        <v>580</v>
      </c>
      <c r="BY256" s="12" t="s">
        <v>580</v>
      </c>
      <c r="BZ256" s="12" t="s">
        <v>580</v>
      </c>
      <c r="CA256" s="12" t="s">
        <v>851</v>
      </c>
      <c r="CB256" s="12" t="s">
        <v>851</v>
      </c>
      <c r="CC256" s="12" t="s">
        <v>851</v>
      </c>
      <c r="CD256" s="12" t="s">
        <v>851</v>
      </c>
      <c r="CE256" s="12" t="s">
        <v>868</v>
      </c>
      <c r="CF256" s="12" t="s">
        <v>868</v>
      </c>
      <c r="CG256" s="12" t="s">
        <v>868</v>
      </c>
      <c r="CH256" s="12" t="s">
        <v>868</v>
      </c>
      <c r="CI256" s="12" t="s">
        <v>868</v>
      </c>
      <c r="CJ256" s="12" t="s">
        <v>868</v>
      </c>
      <c r="CK256" s="12" t="s">
        <v>868</v>
      </c>
      <c r="CL256" s="12" t="s">
        <v>762</v>
      </c>
      <c r="CM256" s="12" t="s">
        <v>762</v>
      </c>
      <c r="CN256" s="12" t="s">
        <v>762</v>
      </c>
      <c r="CO256" s="12" t="s">
        <v>675</v>
      </c>
      <c r="CP256" s="12" t="s">
        <v>675</v>
      </c>
      <c r="CQ256" s="12" t="s">
        <v>675</v>
      </c>
      <c r="CR256" s="12" t="s">
        <v>586</v>
      </c>
      <c r="CS256" s="12" t="s">
        <v>586</v>
      </c>
      <c r="CT256" s="12" t="s">
        <v>586</v>
      </c>
    </row>
    <row r="257" spans="1:98" hidden="1" x14ac:dyDescent="0.3">
      <c r="A257" s="12" t="s">
        <v>25</v>
      </c>
      <c r="B257" s="12" t="s">
        <v>4284</v>
      </c>
      <c r="C257" s="12" t="s">
        <v>4285</v>
      </c>
      <c r="D257" s="12" t="s">
        <v>4286</v>
      </c>
      <c r="E257" s="12" t="s">
        <v>578</v>
      </c>
      <c r="F257" s="12" t="s">
        <v>578</v>
      </c>
      <c r="G257" s="12" t="s">
        <v>578</v>
      </c>
      <c r="H257" s="12" t="s">
        <v>578</v>
      </c>
      <c r="I257" s="12" t="s">
        <v>578</v>
      </c>
      <c r="J257" s="12" t="s">
        <v>578</v>
      </c>
      <c r="K257" s="12" t="s">
        <v>578</v>
      </c>
      <c r="L257" s="12" t="s">
        <v>578</v>
      </c>
      <c r="M257" s="12" t="s">
        <v>578</v>
      </c>
      <c r="N257" s="12" t="s">
        <v>578</v>
      </c>
      <c r="O257" s="12" t="s">
        <v>578</v>
      </c>
      <c r="P257" s="12" t="s">
        <v>578</v>
      </c>
      <c r="Q257" s="12" t="s">
        <v>578</v>
      </c>
      <c r="R257" s="12" t="s">
        <v>578</v>
      </c>
      <c r="S257" s="12" t="s">
        <v>578</v>
      </c>
      <c r="T257" s="12" t="s">
        <v>578</v>
      </c>
      <c r="U257" s="12" t="s">
        <v>578</v>
      </c>
      <c r="V257" s="12" t="s">
        <v>578</v>
      </c>
      <c r="W257" s="12" t="s">
        <v>578</v>
      </c>
      <c r="X257" s="12" t="s">
        <v>578</v>
      </c>
      <c r="Y257" s="12" t="s">
        <v>578</v>
      </c>
      <c r="Z257" s="12" t="s">
        <v>578</v>
      </c>
      <c r="AA257" s="12" t="s">
        <v>578</v>
      </c>
      <c r="AB257" s="12" t="s">
        <v>578</v>
      </c>
      <c r="AC257" s="12" t="s">
        <v>578</v>
      </c>
      <c r="AD257" s="12" t="s">
        <v>578</v>
      </c>
      <c r="AE257" s="12" t="s">
        <v>578</v>
      </c>
      <c r="AF257" s="12" t="s">
        <v>578</v>
      </c>
      <c r="AG257" s="12" t="s">
        <v>578</v>
      </c>
      <c r="AH257" s="12" t="s">
        <v>578</v>
      </c>
      <c r="AI257" s="12" t="s">
        <v>578</v>
      </c>
      <c r="AJ257" s="12" t="s">
        <v>578</v>
      </c>
      <c r="AK257" s="12" t="s">
        <v>578</v>
      </c>
      <c r="AL257" s="12" t="s">
        <v>578</v>
      </c>
      <c r="AM257" s="12" t="s">
        <v>578</v>
      </c>
      <c r="AN257" s="12" t="s">
        <v>578</v>
      </c>
      <c r="AO257" s="12" t="s">
        <v>578</v>
      </c>
      <c r="AP257" s="12" t="s">
        <v>578</v>
      </c>
      <c r="AQ257" s="12" t="s">
        <v>578</v>
      </c>
      <c r="AR257" s="12" t="s">
        <v>578</v>
      </c>
      <c r="AS257" s="12" t="s">
        <v>578</v>
      </c>
      <c r="AT257" s="12" t="s">
        <v>578</v>
      </c>
      <c r="AU257" s="12" t="s">
        <v>578</v>
      </c>
      <c r="AV257" s="12" t="s">
        <v>578</v>
      </c>
      <c r="AW257" s="12" t="s">
        <v>578</v>
      </c>
      <c r="AX257" s="12" t="s">
        <v>578</v>
      </c>
      <c r="AY257" s="12" t="s">
        <v>578</v>
      </c>
      <c r="AZ257" s="12" t="s">
        <v>578</v>
      </c>
      <c r="BA257" s="12" t="s">
        <v>578</v>
      </c>
      <c r="BB257" s="12" t="s">
        <v>578</v>
      </c>
      <c r="BC257" s="12" t="s">
        <v>578</v>
      </c>
      <c r="BD257" s="12" t="s">
        <v>578</v>
      </c>
      <c r="BE257" s="12" t="s">
        <v>578</v>
      </c>
      <c r="BF257" s="12" t="s">
        <v>578</v>
      </c>
      <c r="BG257" s="12" t="s">
        <v>578</v>
      </c>
      <c r="BH257" s="12" t="s">
        <v>578</v>
      </c>
      <c r="BI257" s="12" t="s">
        <v>578</v>
      </c>
      <c r="BJ257" s="12" t="s">
        <v>578</v>
      </c>
      <c r="BK257" s="12" t="s">
        <v>578</v>
      </c>
      <c r="BL257" s="12" t="s">
        <v>578</v>
      </c>
      <c r="BM257" s="12" t="s">
        <v>578</v>
      </c>
      <c r="BN257" s="12" t="s">
        <v>578</v>
      </c>
      <c r="BO257" s="12" t="s">
        <v>578</v>
      </c>
      <c r="BP257" s="12" t="s">
        <v>578</v>
      </c>
      <c r="BQ257" s="12" t="s">
        <v>578</v>
      </c>
      <c r="BR257" s="12" t="s">
        <v>578</v>
      </c>
      <c r="BS257" s="12" t="s">
        <v>578</v>
      </c>
      <c r="BT257" s="12" t="s">
        <v>578</v>
      </c>
      <c r="BU257" s="12" t="s">
        <v>578</v>
      </c>
      <c r="BV257" s="12" t="s">
        <v>623</v>
      </c>
      <c r="BW257" s="12" t="s">
        <v>623</v>
      </c>
      <c r="BX257" s="12" t="s">
        <v>672</v>
      </c>
      <c r="BY257" s="12" t="s">
        <v>672</v>
      </c>
      <c r="BZ257" s="12" t="s">
        <v>672</v>
      </c>
      <c r="CA257" s="12" t="s">
        <v>672</v>
      </c>
      <c r="CB257" s="12" t="s">
        <v>672</v>
      </c>
      <c r="CC257" s="12" t="s">
        <v>672</v>
      </c>
      <c r="CD257" s="12" t="s">
        <v>672</v>
      </c>
      <c r="CE257" s="12" t="s">
        <v>672</v>
      </c>
      <c r="CF257" s="12" t="s">
        <v>672</v>
      </c>
      <c r="CG257" s="12" t="s">
        <v>581</v>
      </c>
      <c r="CH257" s="12" t="s">
        <v>581</v>
      </c>
      <c r="CI257" s="12" t="s">
        <v>581</v>
      </c>
      <c r="CJ257" s="12" t="s">
        <v>581</v>
      </c>
      <c r="CK257" s="12" t="s">
        <v>581</v>
      </c>
      <c r="CL257" s="12" t="s">
        <v>581</v>
      </c>
      <c r="CM257" s="12" t="s">
        <v>581</v>
      </c>
      <c r="CN257" s="12" t="s">
        <v>581</v>
      </c>
      <c r="CO257" s="12" t="s">
        <v>581</v>
      </c>
      <c r="CP257" s="12" t="s">
        <v>581</v>
      </c>
      <c r="CQ257" s="12" t="s">
        <v>581</v>
      </c>
      <c r="CR257" s="12" t="s">
        <v>583</v>
      </c>
      <c r="CS257" s="12" t="s">
        <v>583</v>
      </c>
      <c r="CT257" s="12" t="s">
        <v>583</v>
      </c>
    </row>
    <row r="258" spans="1:98" hidden="1" x14ac:dyDescent="0.3">
      <c r="A258" s="12" t="s">
        <v>25</v>
      </c>
      <c r="B258" s="12" t="s">
        <v>4287</v>
      </c>
      <c r="C258" s="12" t="s">
        <v>4288</v>
      </c>
      <c r="D258" s="12" t="s">
        <v>4289</v>
      </c>
      <c r="E258" s="12" t="s">
        <v>578</v>
      </c>
      <c r="F258" s="12" t="s">
        <v>578</v>
      </c>
      <c r="G258" s="12" t="s">
        <v>578</v>
      </c>
      <c r="H258" s="12" t="s">
        <v>578</v>
      </c>
      <c r="I258" s="12" t="s">
        <v>578</v>
      </c>
      <c r="J258" s="12" t="s">
        <v>578</v>
      </c>
      <c r="K258" s="12" t="s">
        <v>578</v>
      </c>
      <c r="L258" s="12" t="s">
        <v>578</v>
      </c>
      <c r="M258" s="12" t="s">
        <v>578</v>
      </c>
      <c r="N258" s="12" t="s">
        <v>578</v>
      </c>
      <c r="O258" s="12" t="s">
        <v>578</v>
      </c>
      <c r="P258" s="12" t="s">
        <v>578</v>
      </c>
      <c r="Q258" s="12" t="s">
        <v>578</v>
      </c>
      <c r="R258" s="12" t="s">
        <v>578</v>
      </c>
      <c r="S258" s="12" t="s">
        <v>578</v>
      </c>
      <c r="T258" s="12" t="s">
        <v>578</v>
      </c>
      <c r="U258" s="12" t="s">
        <v>578</v>
      </c>
      <c r="V258" s="12" t="s">
        <v>578</v>
      </c>
      <c r="W258" s="12" t="s">
        <v>578</v>
      </c>
      <c r="X258" s="12" t="s">
        <v>578</v>
      </c>
      <c r="Y258" s="12" t="s">
        <v>578</v>
      </c>
      <c r="Z258" s="12" t="s">
        <v>578</v>
      </c>
      <c r="AA258" s="12" t="s">
        <v>578</v>
      </c>
      <c r="AB258" s="12" t="s">
        <v>578</v>
      </c>
      <c r="AC258" s="12" t="s">
        <v>578</v>
      </c>
      <c r="AD258" s="12" t="s">
        <v>578</v>
      </c>
      <c r="AE258" s="12" t="s">
        <v>578</v>
      </c>
      <c r="AF258" s="12" t="s">
        <v>578</v>
      </c>
      <c r="AG258" s="12" t="s">
        <v>578</v>
      </c>
      <c r="AH258" s="12" t="s">
        <v>578</v>
      </c>
      <c r="AI258" s="12" t="s">
        <v>578</v>
      </c>
      <c r="AJ258" s="12" t="s">
        <v>578</v>
      </c>
      <c r="AK258" s="12" t="s">
        <v>578</v>
      </c>
      <c r="AL258" s="12" t="s">
        <v>578</v>
      </c>
      <c r="AM258" s="12" t="s">
        <v>578</v>
      </c>
      <c r="AN258" s="12" t="s">
        <v>578</v>
      </c>
      <c r="AO258" s="12" t="s">
        <v>578</v>
      </c>
      <c r="AP258" s="12" t="s">
        <v>578</v>
      </c>
      <c r="AQ258" s="12" t="s">
        <v>578</v>
      </c>
      <c r="AR258" s="12" t="s">
        <v>578</v>
      </c>
      <c r="AS258" s="12" t="s">
        <v>578</v>
      </c>
      <c r="AT258" s="12" t="s">
        <v>578</v>
      </c>
      <c r="AU258" s="12" t="s">
        <v>578</v>
      </c>
      <c r="AV258" s="12" t="s">
        <v>578</v>
      </c>
      <c r="AW258" s="12" t="s">
        <v>578</v>
      </c>
      <c r="AX258" s="12" t="s">
        <v>578</v>
      </c>
      <c r="AY258" s="12" t="s">
        <v>578</v>
      </c>
      <c r="AZ258" s="12" t="s">
        <v>578</v>
      </c>
      <c r="BA258" s="12" t="s">
        <v>578</v>
      </c>
      <c r="BB258" s="12" t="s">
        <v>578</v>
      </c>
      <c r="BC258" s="12" t="s">
        <v>578</v>
      </c>
      <c r="BD258" s="12" t="s">
        <v>578</v>
      </c>
      <c r="BE258" s="12" t="s">
        <v>578</v>
      </c>
      <c r="BF258" s="12" t="s">
        <v>578</v>
      </c>
      <c r="BG258" s="12" t="s">
        <v>578</v>
      </c>
      <c r="BH258" s="12" t="s">
        <v>578</v>
      </c>
      <c r="BI258" s="12" t="s">
        <v>578</v>
      </c>
      <c r="BJ258" s="12" t="s">
        <v>578</v>
      </c>
      <c r="BK258" s="12" t="s">
        <v>578</v>
      </c>
      <c r="BL258" s="12" t="s">
        <v>578</v>
      </c>
      <c r="BM258" s="12" t="s">
        <v>578</v>
      </c>
      <c r="BN258" s="12" t="s">
        <v>578</v>
      </c>
      <c r="BO258" s="12" t="s">
        <v>578</v>
      </c>
      <c r="BP258" s="12" t="s">
        <v>578</v>
      </c>
      <c r="BQ258" s="12" t="s">
        <v>578</v>
      </c>
      <c r="BR258" s="12" t="s">
        <v>578</v>
      </c>
      <c r="BS258" s="12" t="s">
        <v>578</v>
      </c>
      <c r="BT258" s="12" t="s">
        <v>578</v>
      </c>
      <c r="BU258" s="12" t="s">
        <v>578</v>
      </c>
      <c r="BV258" s="12" t="s">
        <v>579</v>
      </c>
      <c r="BW258" s="12" t="s">
        <v>623</v>
      </c>
      <c r="BX258" s="12" t="s">
        <v>623</v>
      </c>
      <c r="BY258" s="12" t="s">
        <v>623</v>
      </c>
      <c r="BZ258" s="12" t="s">
        <v>580</v>
      </c>
      <c r="CA258" s="12" t="s">
        <v>851</v>
      </c>
      <c r="CB258" s="12" t="s">
        <v>851</v>
      </c>
      <c r="CC258" s="12" t="s">
        <v>851</v>
      </c>
      <c r="CD258" s="12" t="s">
        <v>582</v>
      </c>
      <c r="CE258" s="12" t="s">
        <v>582</v>
      </c>
      <c r="CF258" s="12" t="s">
        <v>755</v>
      </c>
      <c r="CG258" s="12" t="s">
        <v>755</v>
      </c>
      <c r="CH258" s="12" t="s">
        <v>624</v>
      </c>
      <c r="CI258" s="12" t="s">
        <v>624</v>
      </c>
      <c r="CJ258" s="12" t="s">
        <v>583</v>
      </c>
      <c r="CK258" s="12" t="s">
        <v>868</v>
      </c>
      <c r="CL258" s="12" t="s">
        <v>762</v>
      </c>
      <c r="CM258" s="12" t="s">
        <v>676</v>
      </c>
      <c r="CN258" s="12" t="s">
        <v>2018</v>
      </c>
      <c r="CO258" s="12" t="s">
        <v>917</v>
      </c>
      <c r="CP258" s="12" t="s">
        <v>1259</v>
      </c>
      <c r="CQ258" s="12" t="s">
        <v>954</v>
      </c>
      <c r="CR258" s="12" t="s">
        <v>919</v>
      </c>
      <c r="CS258" s="12" t="s">
        <v>633</v>
      </c>
      <c r="CT258" s="12" t="s">
        <v>976</v>
      </c>
    </row>
    <row r="259" spans="1:98" hidden="1" x14ac:dyDescent="0.3">
      <c r="A259" s="12" t="s">
        <v>4290</v>
      </c>
      <c r="B259" s="12" t="s">
        <v>3310</v>
      </c>
      <c r="C259" s="12" t="s">
        <v>4291</v>
      </c>
      <c r="D259" s="12" t="s">
        <v>4292</v>
      </c>
      <c r="E259" s="12" t="s">
        <v>578</v>
      </c>
      <c r="F259" s="12" t="s">
        <v>578</v>
      </c>
      <c r="G259" s="12" t="s">
        <v>578</v>
      </c>
      <c r="H259" s="12" t="s">
        <v>578</v>
      </c>
      <c r="I259" s="12" t="s">
        <v>578</v>
      </c>
      <c r="J259" s="12" t="s">
        <v>578</v>
      </c>
      <c r="K259" s="12" t="s">
        <v>578</v>
      </c>
      <c r="L259" s="12" t="s">
        <v>578</v>
      </c>
      <c r="M259" s="12" t="s">
        <v>578</v>
      </c>
      <c r="N259" s="12" t="s">
        <v>578</v>
      </c>
      <c r="O259" s="12" t="s">
        <v>578</v>
      </c>
      <c r="P259" s="12" t="s">
        <v>578</v>
      </c>
      <c r="Q259" s="12" t="s">
        <v>578</v>
      </c>
      <c r="R259" s="12" t="s">
        <v>578</v>
      </c>
      <c r="S259" s="12" t="s">
        <v>578</v>
      </c>
      <c r="T259" s="12" t="s">
        <v>578</v>
      </c>
      <c r="U259" s="12" t="s">
        <v>578</v>
      </c>
      <c r="V259" s="12" t="s">
        <v>578</v>
      </c>
      <c r="W259" s="12" t="s">
        <v>578</v>
      </c>
      <c r="X259" s="12" t="s">
        <v>578</v>
      </c>
      <c r="Y259" s="12" t="s">
        <v>578</v>
      </c>
      <c r="Z259" s="12" t="s">
        <v>578</v>
      </c>
      <c r="AA259" s="12" t="s">
        <v>578</v>
      </c>
      <c r="AB259" s="12" t="s">
        <v>578</v>
      </c>
      <c r="AC259" s="12" t="s">
        <v>578</v>
      </c>
      <c r="AD259" s="12" t="s">
        <v>578</v>
      </c>
      <c r="AE259" s="12" t="s">
        <v>578</v>
      </c>
      <c r="AF259" s="12" t="s">
        <v>578</v>
      </c>
      <c r="AG259" s="12" t="s">
        <v>578</v>
      </c>
      <c r="AH259" s="12" t="s">
        <v>578</v>
      </c>
      <c r="AI259" s="12" t="s">
        <v>578</v>
      </c>
      <c r="AJ259" s="12" t="s">
        <v>578</v>
      </c>
      <c r="AK259" s="12" t="s">
        <v>578</v>
      </c>
      <c r="AL259" s="12" t="s">
        <v>578</v>
      </c>
      <c r="AM259" s="12" t="s">
        <v>578</v>
      </c>
      <c r="AN259" s="12" t="s">
        <v>578</v>
      </c>
      <c r="AO259" s="12" t="s">
        <v>578</v>
      </c>
      <c r="AP259" s="12" t="s">
        <v>578</v>
      </c>
      <c r="AQ259" s="12" t="s">
        <v>578</v>
      </c>
      <c r="AR259" s="12" t="s">
        <v>578</v>
      </c>
      <c r="AS259" s="12" t="s">
        <v>578</v>
      </c>
      <c r="AT259" s="12" t="s">
        <v>578</v>
      </c>
      <c r="AU259" s="12" t="s">
        <v>578</v>
      </c>
      <c r="AV259" s="12" t="s">
        <v>578</v>
      </c>
      <c r="AW259" s="12" t="s">
        <v>578</v>
      </c>
      <c r="AX259" s="12" t="s">
        <v>578</v>
      </c>
      <c r="AY259" s="12" t="s">
        <v>578</v>
      </c>
      <c r="AZ259" s="12" t="s">
        <v>578</v>
      </c>
      <c r="BA259" s="12" t="s">
        <v>578</v>
      </c>
      <c r="BB259" s="12" t="s">
        <v>578</v>
      </c>
      <c r="BC259" s="12" t="s">
        <v>578</v>
      </c>
      <c r="BD259" s="12" t="s">
        <v>578</v>
      </c>
      <c r="BE259" s="12" t="s">
        <v>578</v>
      </c>
      <c r="BF259" s="12" t="s">
        <v>578</v>
      </c>
      <c r="BG259" s="12" t="s">
        <v>578</v>
      </c>
      <c r="BH259" s="12" t="s">
        <v>578</v>
      </c>
      <c r="BI259" s="12" t="s">
        <v>578</v>
      </c>
      <c r="BJ259" s="12" t="s">
        <v>578</v>
      </c>
      <c r="BK259" s="12" t="s">
        <v>578</v>
      </c>
      <c r="BL259" s="12" t="s">
        <v>578</v>
      </c>
      <c r="BM259" s="12" t="s">
        <v>578</v>
      </c>
      <c r="BN259" s="12" t="s">
        <v>578</v>
      </c>
      <c r="BO259" s="12" t="s">
        <v>578</v>
      </c>
      <c r="BP259" s="12" t="s">
        <v>578</v>
      </c>
      <c r="BQ259" s="12" t="s">
        <v>578</v>
      </c>
      <c r="BR259" s="12" t="s">
        <v>578</v>
      </c>
      <c r="BS259" s="12" t="s">
        <v>578</v>
      </c>
      <c r="BT259" s="12" t="s">
        <v>578</v>
      </c>
      <c r="BU259" s="12" t="s">
        <v>578</v>
      </c>
      <c r="BV259" s="12" t="s">
        <v>578</v>
      </c>
      <c r="BW259" s="12" t="s">
        <v>578</v>
      </c>
      <c r="BX259" s="12" t="s">
        <v>623</v>
      </c>
      <c r="BY259" s="12" t="s">
        <v>623</v>
      </c>
      <c r="BZ259" s="12" t="s">
        <v>623</v>
      </c>
      <c r="CA259" s="12" t="s">
        <v>623</v>
      </c>
      <c r="CB259" s="12" t="s">
        <v>623</v>
      </c>
      <c r="CC259" s="12" t="s">
        <v>623</v>
      </c>
      <c r="CD259" s="12" t="s">
        <v>623</v>
      </c>
      <c r="CE259" s="12" t="s">
        <v>623</v>
      </c>
      <c r="CF259" s="12" t="s">
        <v>623</v>
      </c>
      <c r="CG259" s="12" t="s">
        <v>623</v>
      </c>
      <c r="CH259" s="12" t="s">
        <v>672</v>
      </c>
      <c r="CI259" s="12" t="s">
        <v>672</v>
      </c>
      <c r="CJ259" s="12" t="s">
        <v>672</v>
      </c>
      <c r="CK259" s="12" t="s">
        <v>672</v>
      </c>
      <c r="CL259" s="12" t="s">
        <v>672</v>
      </c>
      <c r="CM259" s="12" t="s">
        <v>672</v>
      </c>
      <c r="CN259" s="12" t="s">
        <v>672</v>
      </c>
      <c r="CO259" s="12" t="s">
        <v>581</v>
      </c>
      <c r="CP259" s="12" t="s">
        <v>581</v>
      </c>
      <c r="CQ259" s="12" t="s">
        <v>581</v>
      </c>
      <c r="CR259" s="12" t="s">
        <v>581</v>
      </c>
      <c r="CS259" s="12" t="s">
        <v>581</v>
      </c>
      <c r="CT259" s="12" t="s">
        <v>581</v>
      </c>
    </row>
    <row r="260" spans="1:98" hidden="1" x14ac:dyDescent="0.3">
      <c r="A260" s="12" t="s">
        <v>25</v>
      </c>
      <c r="B260" s="12" t="s">
        <v>4293</v>
      </c>
      <c r="C260" s="12" t="s">
        <v>4294</v>
      </c>
      <c r="D260" s="12" t="s">
        <v>4295</v>
      </c>
      <c r="E260" s="12" t="s">
        <v>578</v>
      </c>
      <c r="F260" s="12" t="s">
        <v>578</v>
      </c>
      <c r="G260" s="12" t="s">
        <v>578</v>
      </c>
      <c r="H260" s="12" t="s">
        <v>578</v>
      </c>
      <c r="I260" s="12" t="s">
        <v>578</v>
      </c>
      <c r="J260" s="12" t="s">
        <v>578</v>
      </c>
      <c r="K260" s="12" t="s">
        <v>578</v>
      </c>
      <c r="L260" s="12" t="s">
        <v>578</v>
      </c>
      <c r="M260" s="12" t="s">
        <v>578</v>
      </c>
      <c r="N260" s="12" t="s">
        <v>578</v>
      </c>
      <c r="O260" s="12" t="s">
        <v>578</v>
      </c>
      <c r="P260" s="12" t="s">
        <v>578</v>
      </c>
      <c r="Q260" s="12" t="s">
        <v>578</v>
      </c>
      <c r="R260" s="12" t="s">
        <v>578</v>
      </c>
      <c r="S260" s="12" t="s">
        <v>578</v>
      </c>
      <c r="T260" s="12" t="s">
        <v>578</v>
      </c>
      <c r="U260" s="12" t="s">
        <v>578</v>
      </c>
      <c r="V260" s="12" t="s">
        <v>578</v>
      </c>
      <c r="W260" s="12" t="s">
        <v>578</v>
      </c>
      <c r="X260" s="12" t="s">
        <v>578</v>
      </c>
      <c r="Y260" s="12" t="s">
        <v>578</v>
      </c>
      <c r="Z260" s="12" t="s">
        <v>578</v>
      </c>
      <c r="AA260" s="12" t="s">
        <v>578</v>
      </c>
      <c r="AB260" s="12" t="s">
        <v>578</v>
      </c>
      <c r="AC260" s="12" t="s">
        <v>578</v>
      </c>
      <c r="AD260" s="12" t="s">
        <v>578</v>
      </c>
      <c r="AE260" s="12" t="s">
        <v>578</v>
      </c>
      <c r="AF260" s="12" t="s">
        <v>578</v>
      </c>
      <c r="AG260" s="12" t="s">
        <v>578</v>
      </c>
      <c r="AH260" s="12" t="s">
        <v>578</v>
      </c>
      <c r="AI260" s="12" t="s">
        <v>578</v>
      </c>
      <c r="AJ260" s="12" t="s">
        <v>578</v>
      </c>
      <c r="AK260" s="12" t="s">
        <v>578</v>
      </c>
      <c r="AL260" s="12" t="s">
        <v>578</v>
      </c>
      <c r="AM260" s="12" t="s">
        <v>578</v>
      </c>
      <c r="AN260" s="12" t="s">
        <v>578</v>
      </c>
      <c r="AO260" s="12" t="s">
        <v>578</v>
      </c>
      <c r="AP260" s="12" t="s">
        <v>578</v>
      </c>
      <c r="AQ260" s="12" t="s">
        <v>578</v>
      </c>
      <c r="AR260" s="12" t="s">
        <v>578</v>
      </c>
      <c r="AS260" s="12" t="s">
        <v>578</v>
      </c>
      <c r="AT260" s="12" t="s">
        <v>578</v>
      </c>
      <c r="AU260" s="12" t="s">
        <v>578</v>
      </c>
      <c r="AV260" s="12" t="s">
        <v>578</v>
      </c>
      <c r="AW260" s="12" t="s">
        <v>578</v>
      </c>
      <c r="AX260" s="12" t="s">
        <v>578</v>
      </c>
      <c r="AY260" s="12" t="s">
        <v>578</v>
      </c>
      <c r="AZ260" s="12" t="s">
        <v>578</v>
      </c>
      <c r="BA260" s="12" t="s">
        <v>578</v>
      </c>
      <c r="BB260" s="12" t="s">
        <v>578</v>
      </c>
      <c r="BC260" s="12" t="s">
        <v>578</v>
      </c>
      <c r="BD260" s="12" t="s">
        <v>578</v>
      </c>
      <c r="BE260" s="12" t="s">
        <v>578</v>
      </c>
      <c r="BF260" s="12" t="s">
        <v>578</v>
      </c>
      <c r="BG260" s="12" t="s">
        <v>578</v>
      </c>
      <c r="BH260" s="12" t="s">
        <v>578</v>
      </c>
      <c r="BI260" s="12" t="s">
        <v>578</v>
      </c>
      <c r="BJ260" s="12" t="s">
        <v>578</v>
      </c>
      <c r="BK260" s="12" t="s">
        <v>578</v>
      </c>
      <c r="BL260" s="12" t="s">
        <v>578</v>
      </c>
      <c r="BM260" s="12" t="s">
        <v>578</v>
      </c>
      <c r="BN260" s="12" t="s">
        <v>578</v>
      </c>
      <c r="BO260" s="12" t="s">
        <v>578</v>
      </c>
      <c r="BP260" s="12" t="s">
        <v>578</v>
      </c>
      <c r="BQ260" s="12" t="s">
        <v>578</v>
      </c>
      <c r="BR260" s="12" t="s">
        <v>578</v>
      </c>
      <c r="BS260" s="12" t="s">
        <v>578</v>
      </c>
      <c r="BT260" s="12" t="s">
        <v>578</v>
      </c>
      <c r="BU260" s="12" t="s">
        <v>578</v>
      </c>
      <c r="BV260" s="12" t="s">
        <v>578</v>
      </c>
      <c r="BW260" s="12" t="s">
        <v>578</v>
      </c>
      <c r="BX260" s="12" t="s">
        <v>672</v>
      </c>
      <c r="BY260" s="12" t="s">
        <v>672</v>
      </c>
      <c r="BZ260" s="12" t="s">
        <v>580</v>
      </c>
      <c r="CA260" s="12" t="s">
        <v>580</v>
      </c>
      <c r="CB260" s="12" t="s">
        <v>581</v>
      </c>
      <c r="CC260" s="12" t="s">
        <v>755</v>
      </c>
      <c r="CD260" s="12" t="s">
        <v>755</v>
      </c>
      <c r="CE260" s="12" t="s">
        <v>755</v>
      </c>
      <c r="CF260" s="12" t="s">
        <v>761</v>
      </c>
      <c r="CG260" s="12" t="s">
        <v>625</v>
      </c>
      <c r="CH260" s="12" t="s">
        <v>868</v>
      </c>
      <c r="CI260" s="12" t="s">
        <v>584</v>
      </c>
      <c r="CJ260" s="12" t="s">
        <v>584</v>
      </c>
      <c r="CK260" s="12" t="s">
        <v>584</v>
      </c>
      <c r="CL260" s="12" t="s">
        <v>584</v>
      </c>
      <c r="CM260" s="12" t="s">
        <v>673</v>
      </c>
      <c r="CN260" s="12" t="s">
        <v>673</v>
      </c>
      <c r="CO260" s="12" t="s">
        <v>673</v>
      </c>
      <c r="CP260" s="12" t="s">
        <v>673</v>
      </c>
      <c r="CQ260" s="12" t="s">
        <v>808</v>
      </c>
      <c r="CR260" s="12" t="s">
        <v>626</v>
      </c>
      <c r="CS260" s="12" t="s">
        <v>627</v>
      </c>
      <c r="CT260" s="12" t="s">
        <v>627</v>
      </c>
    </row>
    <row r="261" spans="1:98" hidden="1" x14ac:dyDescent="0.3">
      <c r="A261" s="12" t="s">
        <v>4296</v>
      </c>
      <c r="B261" s="12" t="s">
        <v>4094</v>
      </c>
      <c r="C261" s="12" t="s">
        <v>4297</v>
      </c>
      <c r="D261" s="12" t="s">
        <v>4298</v>
      </c>
      <c r="E261" s="12" t="s">
        <v>578</v>
      </c>
      <c r="F261" s="12" t="s">
        <v>578</v>
      </c>
      <c r="G261" s="12" t="s">
        <v>578</v>
      </c>
      <c r="H261" s="12" t="s">
        <v>578</v>
      </c>
      <c r="I261" s="12" t="s">
        <v>578</v>
      </c>
      <c r="J261" s="12" t="s">
        <v>578</v>
      </c>
      <c r="K261" s="12" t="s">
        <v>578</v>
      </c>
      <c r="L261" s="12" t="s">
        <v>578</v>
      </c>
      <c r="M261" s="12" t="s">
        <v>578</v>
      </c>
      <c r="N261" s="12" t="s">
        <v>578</v>
      </c>
      <c r="O261" s="12" t="s">
        <v>578</v>
      </c>
      <c r="P261" s="12" t="s">
        <v>578</v>
      </c>
      <c r="Q261" s="12" t="s">
        <v>578</v>
      </c>
      <c r="R261" s="12" t="s">
        <v>578</v>
      </c>
      <c r="S261" s="12" t="s">
        <v>578</v>
      </c>
      <c r="T261" s="12" t="s">
        <v>578</v>
      </c>
      <c r="U261" s="12" t="s">
        <v>578</v>
      </c>
      <c r="V261" s="12" t="s">
        <v>578</v>
      </c>
      <c r="W261" s="12" t="s">
        <v>578</v>
      </c>
      <c r="X261" s="12" t="s">
        <v>578</v>
      </c>
      <c r="Y261" s="12" t="s">
        <v>578</v>
      </c>
      <c r="Z261" s="12" t="s">
        <v>578</v>
      </c>
      <c r="AA261" s="12" t="s">
        <v>578</v>
      </c>
      <c r="AB261" s="12" t="s">
        <v>578</v>
      </c>
      <c r="AC261" s="12" t="s">
        <v>578</v>
      </c>
      <c r="AD261" s="12" t="s">
        <v>578</v>
      </c>
      <c r="AE261" s="12" t="s">
        <v>578</v>
      </c>
      <c r="AF261" s="12" t="s">
        <v>578</v>
      </c>
      <c r="AG261" s="12" t="s">
        <v>578</v>
      </c>
      <c r="AH261" s="12" t="s">
        <v>578</v>
      </c>
      <c r="AI261" s="12" t="s">
        <v>578</v>
      </c>
      <c r="AJ261" s="12" t="s">
        <v>578</v>
      </c>
      <c r="AK261" s="12" t="s">
        <v>578</v>
      </c>
      <c r="AL261" s="12" t="s">
        <v>578</v>
      </c>
      <c r="AM261" s="12" t="s">
        <v>578</v>
      </c>
      <c r="AN261" s="12" t="s">
        <v>578</v>
      </c>
      <c r="AO261" s="12" t="s">
        <v>578</v>
      </c>
      <c r="AP261" s="12" t="s">
        <v>578</v>
      </c>
      <c r="AQ261" s="12" t="s">
        <v>578</v>
      </c>
      <c r="AR261" s="12" t="s">
        <v>578</v>
      </c>
      <c r="AS261" s="12" t="s">
        <v>578</v>
      </c>
      <c r="AT261" s="12" t="s">
        <v>578</v>
      </c>
      <c r="AU261" s="12" t="s">
        <v>578</v>
      </c>
      <c r="AV261" s="12" t="s">
        <v>578</v>
      </c>
      <c r="AW261" s="12" t="s">
        <v>578</v>
      </c>
      <c r="AX261" s="12" t="s">
        <v>578</v>
      </c>
      <c r="AY261" s="12" t="s">
        <v>578</v>
      </c>
      <c r="AZ261" s="12" t="s">
        <v>578</v>
      </c>
      <c r="BA261" s="12" t="s">
        <v>578</v>
      </c>
      <c r="BB261" s="12" t="s">
        <v>578</v>
      </c>
      <c r="BC261" s="12" t="s">
        <v>578</v>
      </c>
      <c r="BD261" s="12" t="s">
        <v>578</v>
      </c>
      <c r="BE261" s="12" t="s">
        <v>578</v>
      </c>
      <c r="BF261" s="12" t="s">
        <v>578</v>
      </c>
      <c r="BG261" s="12" t="s">
        <v>578</v>
      </c>
      <c r="BH261" s="12" t="s">
        <v>578</v>
      </c>
      <c r="BI261" s="12" t="s">
        <v>578</v>
      </c>
      <c r="BJ261" s="12" t="s">
        <v>578</v>
      </c>
      <c r="BK261" s="12" t="s">
        <v>578</v>
      </c>
      <c r="BL261" s="12" t="s">
        <v>578</v>
      </c>
      <c r="BM261" s="12" t="s">
        <v>578</v>
      </c>
      <c r="BN261" s="12" t="s">
        <v>578</v>
      </c>
      <c r="BO261" s="12" t="s">
        <v>578</v>
      </c>
      <c r="BP261" s="12" t="s">
        <v>578</v>
      </c>
      <c r="BQ261" s="12" t="s">
        <v>578</v>
      </c>
      <c r="BR261" s="12" t="s">
        <v>578</v>
      </c>
      <c r="BS261" s="12" t="s">
        <v>578</v>
      </c>
      <c r="BT261" s="12" t="s">
        <v>578</v>
      </c>
      <c r="BU261" s="12" t="s">
        <v>578</v>
      </c>
      <c r="BV261" s="12" t="s">
        <v>578</v>
      </c>
      <c r="BW261" s="12" t="s">
        <v>578</v>
      </c>
      <c r="BX261" s="12" t="s">
        <v>578</v>
      </c>
      <c r="BY261" s="12" t="s">
        <v>578</v>
      </c>
      <c r="BZ261" s="12" t="s">
        <v>579</v>
      </c>
      <c r="CA261" s="12" t="s">
        <v>623</v>
      </c>
      <c r="CB261" s="12" t="s">
        <v>623</v>
      </c>
      <c r="CC261" s="12" t="s">
        <v>623</v>
      </c>
      <c r="CD261" s="12" t="s">
        <v>581</v>
      </c>
      <c r="CE261" s="12" t="s">
        <v>581</v>
      </c>
      <c r="CF261" s="12" t="s">
        <v>581</v>
      </c>
      <c r="CG261" s="12" t="s">
        <v>581</v>
      </c>
      <c r="CH261" s="12" t="s">
        <v>581</v>
      </c>
      <c r="CI261" s="12" t="s">
        <v>581</v>
      </c>
      <c r="CJ261" s="12" t="s">
        <v>583</v>
      </c>
      <c r="CK261" s="12" t="s">
        <v>583</v>
      </c>
      <c r="CL261" s="12" t="s">
        <v>583</v>
      </c>
      <c r="CM261" s="12" t="s">
        <v>583</v>
      </c>
      <c r="CN261" s="12" t="s">
        <v>583</v>
      </c>
      <c r="CO261" s="12" t="s">
        <v>583</v>
      </c>
      <c r="CP261" s="12" t="s">
        <v>583</v>
      </c>
      <c r="CQ261" s="12" t="s">
        <v>583</v>
      </c>
      <c r="CR261" s="12" t="s">
        <v>583</v>
      </c>
      <c r="CS261" s="12" t="s">
        <v>625</v>
      </c>
      <c r="CT261" s="12" t="s">
        <v>868</v>
      </c>
    </row>
    <row r="262" spans="1:98" hidden="1" x14ac:dyDescent="0.3">
      <c r="A262" s="12" t="s">
        <v>4299</v>
      </c>
      <c r="B262" s="12" t="s">
        <v>2483</v>
      </c>
      <c r="C262" s="12" t="s">
        <v>4300</v>
      </c>
      <c r="D262" s="12" t="s">
        <v>4301</v>
      </c>
      <c r="E262" s="12" t="s">
        <v>578</v>
      </c>
      <c r="F262" s="12" t="s">
        <v>578</v>
      </c>
      <c r="G262" s="12" t="s">
        <v>578</v>
      </c>
      <c r="H262" s="12" t="s">
        <v>578</v>
      </c>
      <c r="I262" s="12" t="s">
        <v>578</v>
      </c>
      <c r="J262" s="12" t="s">
        <v>578</v>
      </c>
      <c r="K262" s="12" t="s">
        <v>578</v>
      </c>
      <c r="L262" s="12" t="s">
        <v>578</v>
      </c>
      <c r="M262" s="12" t="s">
        <v>578</v>
      </c>
      <c r="N262" s="12" t="s">
        <v>578</v>
      </c>
      <c r="O262" s="12" t="s">
        <v>578</v>
      </c>
      <c r="P262" s="12" t="s">
        <v>578</v>
      </c>
      <c r="Q262" s="12" t="s">
        <v>578</v>
      </c>
      <c r="R262" s="12" t="s">
        <v>578</v>
      </c>
      <c r="S262" s="12" t="s">
        <v>578</v>
      </c>
      <c r="T262" s="12" t="s">
        <v>578</v>
      </c>
      <c r="U262" s="12" t="s">
        <v>578</v>
      </c>
      <c r="V262" s="12" t="s">
        <v>578</v>
      </c>
      <c r="W262" s="12" t="s">
        <v>578</v>
      </c>
      <c r="X262" s="12" t="s">
        <v>578</v>
      </c>
      <c r="Y262" s="12" t="s">
        <v>578</v>
      </c>
      <c r="Z262" s="12" t="s">
        <v>578</v>
      </c>
      <c r="AA262" s="12" t="s">
        <v>578</v>
      </c>
      <c r="AB262" s="12" t="s">
        <v>578</v>
      </c>
      <c r="AC262" s="12" t="s">
        <v>578</v>
      </c>
      <c r="AD262" s="12" t="s">
        <v>578</v>
      </c>
      <c r="AE262" s="12" t="s">
        <v>578</v>
      </c>
      <c r="AF262" s="12" t="s">
        <v>578</v>
      </c>
      <c r="AG262" s="12" t="s">
        <v>578</v>
      </c>
      <c r="AH262" s="12" t="s">
        <v>578</v>
      </c>
      <c r="AI262" s="12" t="s">
        <v>578</v>
      </c>
      <c r="AJ262" s="12" t="s">
        <v>578</v>
      </c>
      <c r="AK262" s="12" t="s">
        <v>578</v>
      </c>
      <c r="AL262" s="12" t="s">
        <v>578</v>
      </c>
      <c r="AM262" s="12" t="s">
        <v>578</v>
      </c>
      <c r="AN262" s="12" t="s">
        <v>578</v>
      </c>
      <c r="AO262" s="12" t="s">
        <v>578</v>
      </c>
      <c r="AP262" s="12" t="s">
        <v>578</v>
      </c>
      <c r="AQ262" s="12" t="s">
        <v>578</v>
      </c>
      <c r="AR262" s="12" t="s">
        <v>578</v>
      </c>
      <c r="AS262" s="12" t="s">
        <v>578</v>
      </c>
      <c r="AT262" s="12" t="s">
        <v>578</v>
      </c>
      <c r="AU262" s="12" t="s">
        <v>578</v>
      </c>
      <c r="AV262" s="12" t="s">
        <v>578</v>
      </c>
      <c r="AW262" s="12" t="s">
        <v>578</v>
      </c>
      <c r="AX262" s="12" t="s">
        <v>578</v>
      </c>
      <c r="AY262" s="12" t="s">
        <v>578</v>
      </c>
      <c r="AZ262" s="12" t="s">
        <v>578</v>
      </c>
      <c r="BA262" s="12" t="s">
        <v>578</v>
      </c>
      <c r="BB262" s="12" t="s">
        <v>578</v>
      </c>
      <c r="BC262" s="12" t="s">
        <v>578</v>
      </c>
      <c r="BD262" s="12" t="s">
        <v>578</v>
      </c>
      <c r="BE262" s="12" t="s">
        <v>578</v>
      </c>
      <c r="BF262" s="12" t="s">
        <v>578</v>
      </c>
      <c r="BG262" s="12" t="s">
        <v>578</v>
      </c>
      <c r="BH262" s="12" t="s">
        <v>578</v>
      </c>
      <c r="BI262" s="12" t="s">
        <v>578</v>
      </c>
      <c r="BJ262" s="12" t="s">
        <v>578</v>
      </c>
      <c r="BK262" s="12" t="s">
        <v>578</v>
      </c>
      <c r="BL262" s="12" t="s">
        <v>578</v>
      </c>
      <c r="BM262" s="12" t="s">
        <v>578</v>
      </c>
      <c r="BN262" s="12" t="s">
        <v>578</v>
      </c>
      <c r="BO262" s="12" t="s">
        <v>578</v>
      </c>
      <c r="BP262" s="12" t="s">
        <v>578</v>
      </c>
      <c r="BQ262" s="12" t="s">
        <v>578</v>
      </c>
      <c r="BR262" s="12" t="s">
        <v>578</v>
      </c>
      <c r="BS262" s="12" t="s">
        <v>578</v>
      </c>
      <c r="BT262" s="12" t="s">
        <v>578</v>
      </c>
      <c r="BU262" s="12" t="s">
        <v>578</v>
      </c>
      <c r="BV262" s="12" t="s">
        <v>578</v>
      </c>
      <c r="BW262" s="12" t="s">
        <v>578</v>
      </c>
      <c r="BX262" s="12" t="s">
        <v>578</v>
      </c>
      <c r="BY262" s="12" t="s">
        <v>578</v>
      </c>
      <c r="BZ262" s="12" t="s">
        <v>578</v>
      </c>
      <c r="CA262" s="12" t="s">
        <v>579</v>
      </c>
      <c r="CB262" s="12" t="s">
        <v>579</v>
      </c>
      <c r="CC262" s="12" t="s">
        <v>579</v>
      </c>
      <c r="CD262" s="12" t="s">
        <v>579</v>
      </c>
      <c r="CE262" s="12" t="s">
        <v>579</v>
      </c>
      <c r="CF262" s="12" t="s">
        <v>579</v>
      </c>
      <c r="CG262" s="12" t="s">
        <v>579</v>
      </c>
      <c r="CH262" s="12" t="s">
        <v>579</v>
      </c>
      <c r="CI262" s="12" t="s">
        <v>579</v>
      </c>
      <c r="CJ262" s="12" t="s">
        <v>579</v>
      </c>
      <c r="CK262" s="12" t="s">
        <v>579</v>
      </c>
      <c r="CL262" s="12" t="s">
        <v>579</v>
      </c>
      <c r="CM262" s="12" t="s">
        <v>579</v>
      </c>
      <c r="CN262" s="12" t="s">
        <v>579</v>
      </c>
      <c r="CO262" s="12" t="s">
        <v>579</v>
      </c>
      <c r="CP262" s="12" t="s">
        <v>579</v>
      </c>
      <c r="CQ262" s="12" t="s">
        <v>579</v>
      </c>
      <c r="CR262" s="12" t="s">
        <v>579</v>
      </c>
      <c r="CS262" s="12" t="s">
        <v>579</v>
      </c>
      <c r="CT262" s="12" t="s">
        <v>579</v>
      </c>
    </row>
    <row r="263" spans="1:98" hidden="1" x14ac:dyDescent="0.3">
      <c r="A263" s="12" t="s">
        <v>25</v>
      </c>
      <c r="B263" s="12" t="s">
        <v>4302</v>
      </c>
      <c r="C263" s="12" t="s">
        <v>4303</v>
      </c>
      <c r="D263" s="12" t="s">
        <v>4304</v>
      </c>
      <c r="E263" s="12" t="s">
        <v>578</v>
      </c>
      <c r="F263" s="12" t="s">
        <v>578</v>
      </c>
      <c r="G263" s="12" t="s">
        <v>578</v>
      </c>
      <c r="H263" s="12" t="s">
        <v>578</v>
      </c>
      <c r="I263" s="12" t="s">
        <v>578</v>
      </c>
      <c r="J263" s="12" t="s">
        <v>578</v>
      </c>
      <c r="K263" s="12" t="s">
        <v>578</v>
      </c>
      <c r="L263" s="12" t="s">
        <v>578</v>
      </c>
      <c r="M263" s="12" t="s">
        <v>578</v>
      </c>
      <c r="N263" s="12" t="s">
        <v>578</v>
      </c>
      <c r="O263" s="12" t="s">
        <v>578</v>
      </c>
      <c r="P263" s="12" t="s">
        <v>578</v>
      </c>
      <c r="Q263" s="12" t="s">
        <v>578</v>
      </c>
      <c r="R263" s="12" t="s">
        <v>578</v>
      </c>
      <c r="S263" s="12" t="s">
        <v>578</v>
      </c>
      <c r="T263" s="12" t="s">
        <v>578</v>
      </c>
      <c r="U263" s="12" t="s">
        <v>578</v>
      </c>
      <c r="V263" s="12" t="s">
        <v>578</v>
      </c>
      <c r="W263" s="12" t="s">
        <v>578</v>
      </c>
      <c r="X263" s="12" t="s">
        <v>578</v>
      </c>
      <c r="Y263" s="12" t="s">
        <v>578</v>
      </c>
      <c r="Z263" s="12" t="s">
        <v>578</v>
      </c>
      <c r="AA263" s="12" t="s">
        <v>578</v>
      </c>
      <c r="AB263" s="12" t="s">
        <v>578</v>
      </c>
      <c r="AC263" s="12" t="s">
        <v>578</v>
      </c>
      <c r="AD263" s="12" t="s">
        <v>578</v>
      </c>
      <c r="AE263" s="12" t="s">
        <v>578</v>
      </c>
      <c r="AF263" s="12" t="s">
        <v>578</v>
      </c>
      <c r="AG263" s="12" t="s">
        <v>578</v>
      </c>
      <c r="AH263" s="12" t="s">
        <v>578</v>
      </c>
      <c r="AI263" s="12" t="s">
        <v>578</v>
      </c>
      <c r="AJ263" s="12" t="s">
        <v>578</v>
      </c>
      <c r="AK263" s="12" t="s">
        <v>578</v>
      </c>
      <c r="AL263" s="12" t="s">
        <v>578</v>
      </c>
      <c r="AM263" s="12" t="s">
        <v>578</v>
      </c>
      <c r="AN263" s="12" t="s">
        <v>578</v>
      </c>
      <c r="AO263" s="12" t="s">
        <v>578</v>
      </c>
      <c r="AP263" s="12" t="s">
        <v>578</v>
      </c>
      <c r="AQ263" s="12" t="s">
        <v>578</v>
      </c>
      <c r="AR263" s="12" t="s">
        <v>578</v>
      </c>
      <c r="AS263" s="12" t="s">
        <v>578</v>
      </c>
      <c r="AT263" s="12" t="s">
        <v>578</v>
      </c>
      <c r="AU263" s="12" t="s">
        <v>578</v>
      </c>
      <c r="AV263" s="12" t="s">
        <v>578</v>
      </c>
      <c r="AW263" s="12" t="s">
        <v>578</v>
      </c>
      <c r="AX263" s="12" t="s">
        <v>578</v>
      </c>
      <c r="AY263" s="12" t="s">
        <v>578</v>
      </c>
      <c r="AZ263" s="12" t="s">
        <v>578</v>
      </c>
      <c r="BA263" s="12" t="s">
        <v>578</v>
      </c>
      <c r="BB263" s="12" t="s">
        <v>578</v>
      </c>
      <c r="BC263" s="12" t="s">
        <v>578</v>
      </c>
      <c r="BD263" s="12" t="s">
        <v>578</v>
      </c>
      <c r="BE263" s="12" t="s">
        <v>578</v>
      </c>
      <c r="BF263" s="12" t="s">
        <v>578</v>
      </c>
      <c r="BG263" s="12" t="s">
        <v>578</v>
      </c>
      <c r="BH263" s="12" t="s">
        <v>578</v>
      </c>
      <c r="BI263" s="12" t="s">
        <v>578</v>
      </c>
      <c r="BJ263" s="12" t="s">
        <v>578</v>
      </c>
      <c r="BK263" s="12" t="s">
        <v>578</v>
      </c>
      <c r="BL263" s="12" t="s">
        <v>578</v>
      </c>
      <c r="BM263" s="12" t="s">
        <v>578</v>
      </c>
      <c r="BN263" s="12" t="s">
        <v>578</v>
      </c>
      <c r="BO263" s="12" t="s">
        <v>578</v>
      </c>
      <c r="BP263" s="12" t="s">
        <v>578</v>
      </c>
      <c r="BQ263" s="12" t="s">
        <v>578</v>
      </c>
      <c r="BR263" s="12" t="s">
        <v>578</v>
      </c>
      <c r="BS263" s="12" t="s">
        <v>578</v>
      </c>
      <c r="BT263" s="12" t="s">
        <v>578</v>
      </c>
      <c r="BU263" s="12" t="s">
        <v>578</v>
      </c>
      <c r="BV263" s="12" t="s">
        <v>578</v>
      </c>
      <c r="BW263" s="12" t="s">
        <v>578</v>
      </c>
      <c r="BX263" s="12" t="s">
        <v>578</v>
      </c>
      <c r="BY263" s="12" t="s">
        <v>578</v>
      </c>
      <c r="BZ263" s="12" t="s">
        <v>578</v>
      </c>
      <c r="CA263" s="12" t="s">
        <v>579</v>
      </c>
      <c r="CB263" s="12" t="s">
        <v>579</v>
      </c>
      <c r="CC263" s="12" t="s">
        <v>623</v>
      </c>
      <c r="CD263" s="12" t="s">
        <v>623</v>
      </c>
      <c r="CE263" s="12" t="s">
        <v>672</v>
      </c>
      <c r="CF263" s="12" t="s">
        <v>580</v>
      </c>
      <c r="CG263" s="12" t="s">
        <v>580</v>
      </c>
      <c r="CH263" s="12" t="s">
        <v>580</v>
      </c>
      <c r="CI263" s="12" t="s">
        <v>580</v>
      </c>
      <c r="CJ263" s="12" t="s">
        <v>580</v>
      </c>
      <c r="CK263" s="12" t="s">
        <v>580</v>
      </c>
      <c r="CL263" s="12" t="s">
        <v>580</v>
      </c>
      <c r="CM263" s="12" t="s">
        <v>580</v>
      </c>
      <c r="CN263" s="12" t="s">
        <v>580</v>
      </c>
      <c r="CO263" s="12" t="s">
        <v>580</v>
      </c>
      <c r="CP263" s="12" t="s">
        <v>580</v>
      </c>
      <c r="CQ263" s="12" t="s">
        <v>580</v>
      </c>
      <c r="CR263" s="12" t="s">
        <v>580</v>
      </c>
      <c r="CS263" s="12" t="s">
        <v>581</v>
      </c>
      <c r="CT263" s="12" t="s">
        <v>581</v>
      </c>
    </row>
    <row r="264" spans="1:98" hidden="1" x14ac:dyDescent="0.3">
      <c r="A264" s="12" t="s">
        <v>25</v>
      </c>
      <c r="B264" s="12" t="s">
        <v>4305</v>
      </c>
      <c r="C264" s="12" t="s">
        <v>4306</v>
      </c>
      <c r="D264" s="12" t="s">
        <v>4307</v>
      </c>
      <c r="E264" s="12" t="s">
        <v>578</v>
      </c>
      <c r="F264" s="12" t="s">
        <v>578</v>
      </c>
      <c r="G264" s="12" t="s">
        <v>578</v>
      </c>
      <c r="H264" s="12" t="s">
        <v>578</v>
      </c>
      <c r="I264" s="12" t="s">
        <v>578</v>
      </c>
      <c r="J264" s="12" t="s">
        <v>578</v>
      </c>
      <c r="K264" s="12" t="s">
        <v>578</v>
      </c>
      <c r="L264" s="12" t="s">
        <v>578</v>
      </c>
      <c r="M264" s="12" t="s">
        <v>578</v>
      </c>
      <c r="N264" s="12" t="s">
        <v>578</v>
      </c>
      <c r="O264" s="12" t="s">
        <v>578</v>
      </c>
      <c r="P264" s="12" t="s">
        <v>578</v>
      </c>
      <c r="Q264" s="12" t="s">
        <v>578</v>
      </c>
      <c r="R264" s="12" t="s">
        <v>578</v>
      </c>
      <c r="S264" s="12" t="s">
        <v>578</v>
      </c>
      <c r="T264" s="12" t="s">
        <v>578</v>
      </c>
      <c r="U264" s="12" t="s">
        <v>578</v>
      </c>
      <c r="V264" s="12" t="s">
        <v>578</v>
      </c>
      <c r="W264" s="12" t="s">
        <v>578</v>
      </c>
      <c r="X264" s="12" t="s">
        <v>578</v>
      </c>
      <c r="Y264" s="12" t="s">
        <v>578</v>
      </c>
      <c r="Z264" s="12" t="s">
        <v>578</v>
      </c>
      <c r="AA264" s="12" t="s">
        <v>578</v>
      </c>
      <c r="AB264" s="12" t="s">
        <v>578</v>
      </c>
      <c r="AC264" s="12" t="s">
        <v>578</v>
      </c>
      <c r="AD264" s="12" t="s">
        <v>578</v>
      </c>
      <c r="AE264" s="12" t="s">
        <v>578</v>
      </c>
      <c r="AF264" s="12" t="s">
        <v>578</v>
      </c>
      <c r="AG264" s="12" t="s">
        <v>578</v>
      </c>
      <c r="AH264" s="12" t="s">
        <v>578</v>
      </c>
      <c r="AI264" s="12" t="s">
        <v>578</v>
      </c>
      <c r="AJ264" s="12" t="s">
        <v>578</v>
      </c>
      <c r="AK264" s="12" t="s">
        <v>578</v>
      </c>
      <c r="AL264" s="12" t="s">
        <v>578</v>
      </c>
      <c r="AM264" s="12" t="s">
        <v>578</v>
      </c>
      <c r="AN264" s="12" t="s">
        <v>578</v>
      </c>
      <c r="AO264" s="12" t="s">
        <v>578</v>
      </c>
      <c r="AP264" s="12" t="s">
        <v>578</v>
      </c>
      <c r="AQ264" s="12" t="s">
        <v>578</v>
      </c>
      <c r="AR264" s="12" t="s">
        <v>578</v>
      </c>
      <c r="AS264" s="12" t="s">
        <v>578</v>
      </c>
      <c r="AT264" s="12" t="s">
        <v>578</v>
      </c>
      <c r="AU264" s="12" t="s">
        <v>578</v>
      </c>
      <c r="AV264" s="12" t="s">
        <v>578</v>
      </c>
      <c r="AW264" s="12" t="s">
        <v>578</v>
      </c>
      <c r="AX264" s="12" t="s">
        <v>578</v>
      </c>
      <c r="AY264" s="12" t="s">
        <v>578</v>
      </c>
      <c r="AZ264" s="12" t="s">
        <v>578</v>
      </c>
      <c r="BA264" s="12" t="s">
        <v>578</v>
      </c>
      <c r="BB264" s="12" t="s">
        <v>578</v>
      </c>
      <c r="BC264" s="12" t="s">
        <v>578</v>
      </c>
      <c r="BD264" s="12" t="s">
        <v>578</v>
      </c>
      <c r="BE264" s="12" t="s">
        <v>578</v>
      </c>
      <c r="BF264" s="12" t="s">
        <v>578</v>
      </c>
      <c r="BG264" s="12" t="s">
        <v>578</v>
      </c>
      <c r="BH264" s="12" t="s">
        <v>578</v>
      </c>
      <c r="BI264" s="12" t="s">
        <v>578</v>
      </c>
      <c r="BJ264" s="12" t="s">
        <v>578</v>
      </c>
      <c r="BK264" s="12" t="s">
        <v>578</v>
      </c>
      <c r="BL264" s="12" t="s">
        <v>578</v>
      </c>
      <c r="BM264" s="12" t="s">
        <v>578</v>
      </c>
      <c r="BN264" s="12" t="s">
        <v>578</v>
      </c>
      <c r="BO264" s="12" t="s">
        <v>578</v>
      </c>
      <c r="BP264" s="12" t="s">
        <v>578</v>
      </c>
      <c r="BQ264" s="12" t="s">
        <v>578</v>
      </c>
      <c r="BR264" s="12" t="s">
        <v>578</v>
      </c>
      <c r="BS264" s="12" t="s">
        <v>578</v>
      </c>
      <c r="BT264" s="12" t="s">
        <v>578</v>
      </c>
      <c r="BU264" s="12" t="s">
        <v>578</v>
      </c>
      <c r="BV264" s="12" t="s">
        <v>578</v>
      </c>
      <c r="BW264" s="12" t="s">
        <v>578</v>
      </c>
      <c r="BX264" s="12" t="s">
        <v>578</v>
      </c>
      <c r="BY264" s="12" t="s">
        <v>578</v>
      </c>
      <c r="BZ264" s="12" t="s">
        <v>578</v>
      </c>
      <c r="CA264" s="12" t="s">
        <v>580</v>
      </c>
      <c r="CB264" s="12" t="s">
        <v>580</v>
      </c>
      <c r="CC264" s="12" t="s">
        <v>580</v>
      </c>
      <c r="CD264" s="12" t="s">
        <v>580</v>
      </c>
      <c r="CE264" s="12" t="s">
        <v>580</v>
      </c>
      <c r="CF264" s="12" t="s">
        <v>580</v>
      </c>
      <c r="CG264" s="12" t="s">
        <v>580</v>
      </c>
      <c r="CH264" s="12" t="s">
        <v>851</v>
      </c>
      <c r="CI264" s="12" t="s">
        <v>851</v>
      </c>
      <c r="CJ264" s="12" t="s">
        <v>851</v>
      </c>
      <c r="CK264" s="12" t="s">
        <v>851</v>
      </c>
      <c r="CL264" s="12" t="s">
        <v>851</v>
      </c>
      <c r="CM264" s="12" t="s">
        <v>851</v>
      </c>
      <c r="CN264" s="12" t="s">
        <v>851</v>
      </c>
      <c r="CO264" s="12" t="s">
        <v>851</v>
      </c>
      <c r="CP264" s="12" t="s">
        <v>851</v>
      </c>
      <c r="CQ264" s="12" t="s">
        <v>851</v>
      </c>
      <c r="CR264" s="12" t="s">
        <v>851</v>
      </c>
      <c r="CS264" s="12" t="s">
        <v>851</v>
      </c>
      <c r="CT264" s="12" t="s">
        <v>851</v>
      </c>
    </row>
    <row r="265" spans="1:98" hidden="1" x14ac:dyDescent="0.3">
      <c r="A265" s="12" t="s">
        <v>25</v>
      </c>
      <c r="B265" s="12" t="s">
        <v>4308</v>
      </c>
      <c r="C265" s="12" t="s">
        <v>4309</v>
      </c>
      <c r="D265" s="12" t="s">
        <v>4310</v>
      </c>
      <c r="E265" s="12" t="s">
        <v>578</v>
      </c>
      <c r="F265" s="12" t="s">
        <v>578</v>
      </c>
      <c r="G265" s="12" t="s">
        <v>578</v>
      </c>
      <c r="H265" s="12" t="s">
        <v>578</v>
      </c>
      <c r="I265" s="12" t="s">
        <v>578</v>
      </c>
      <c r="J265" s="12" t="s">
        <v>578</v>
      </c>
      <c r="K265" s="12" t="s">
        <v>578</v>
      </c>
      <c r="L265" s="12" t="s">
        <v>578</v>
      </c>
      <c r="M265" s="12" t="s">
        <v>578</v>
      </c>
      <c r="N265" s="12" t="s">
        <v>578</v>
      </c>
      <c r="O265" s="12" t="s">
        <v>578</v>
      </c>
      <c r="P265" s="12" t="s">
        <v>578</v>
      </c>
      <c r="Q265" s="12" t="s">
        <v>578</v>
      </c>
      <c r="R265" s="12" t="s">
        <v>578</v>
      </c>
      <c r="S265" s="12" t="s">
        <v>578</v>
      </c>
      <c r="T265" s="12" t="s">
        <v>578</v>
      </c>
      <c r="U265" s="12" t="s">
        <v>578</v>
      </c>
      <c r="V265" s="12" t="s">
        <v>578</v>
      </c>
      <c r="W265" s="12" t="s">
        <v>578</v>
      </c>
      <c r="X265" s="12" t="s">
        <v>578</v>
      </c>
      <c r="Y265" s="12" t="s">
        <v>578</v>
      </c>
      <c r="Z265" s="12" t="s">
        <v>578</v>
      </c>
      <c r="AA265" s="12" t="s">
        <v>578</v>
      </c>
      <c r="AB265" s="12" t="s">
        <v>578</v>
      </c>
      <c r="AC265" s="12" t="s">
        <v>578</v>
      </c>
      <c r="AD265" s="12" t="s">
        <v>578</v>
      </c>
      <c r="AE265" s="12" t="s">
        <v>578</v>
      </c>
      <c r="AF265" s="12" t="s">
        <v>578</v>
      </c>
      <c r="AG265" s="12" t="s">
        <v>578</v>
      </c>
      <c r="AH265" s="12" t="s">
        <v>578</v>
      </c>
      <c r="AI265" s="12" t="s">
        <v>578</v>
      </c>
      <c r="AJ265" s="12" t="s">
        <v>578</v>
      </c>
      <c r="AK265" s="12" t="s">
        <v>578</v>
      </c>
      <c r="AL265" s="12" t="s">
        <v>578</v>
      </c>
      <c r="AM265" s="12" t="s">
        <v>578</v>
      </c>
      <c r="AN265" s="12" t="s">
        <v>578</v>
      </c>
      <c r="AO265" s="12" t="s">
        <v>578</v>
      </c>
      <c r="AP265" s="12" t="s">
        <v>578</v>
      </c>
      <c r="AQ265" s="12" t="s">
        <v>578</v>
      </c>
      <c r="AR265" s="12" t="s">
        <v>578</v>
      </c>
      <c r="AS265" s="12" t="s">
        <v>578</v>
      </c>
      <c r="AT265" s="12" t="s">
        <v>578</v>
      </c>
      <c r="AU265" s="12" t="s">
        <v>578</v>
      </c>
      <c r="AV265" s="12" t="s">
        <v>578</v>
      </c>
      <c r="AW265" s="12" t="s">
        <v>578</v>
      </c>
      <c r="AX265" s="12" t="s">
        <v>578</v>
      </c>
      <c r="AY265" s="12" t="s">
        <v>578</v>
      </c>
      <c r="AZ265" s="12" t="s">
        <v>578</v>
      </c>
      <c r="BA265" s="12" t="s">
        <v>578</v>
      </c>
      <c r="BB265" s="12" t="s">
        <v>578</v>
      </c>
      <c r="BC265" s="12" t="s">
        <v>578</v>
      </c>
      <c r="BD265" s="12" t="s">
        <v>578</v>
      </c>
      <c r="BE265" s="12" t="s">
        <v>578</v>
      </c>
      <c r="BF265" s="12" t="s">
        <v>578</v>
      </c>
      <c r="BG265" s="12" t="s">
        <v>578</v>
      </c>
      <c r="BH265" s="12" t="s">
        <v>578</v>
      </c>
      <c r="BI265" s="12" t="s">
        <v>578</v>
      </c>
      <c r="BJ265" s="12" t="s">
        <v>578</v>
      </c>
      <c r="BK265" s="12" t="s">
        <v>578</v>
      </c>
      <c r="BL265" s="12" t="s">
        <v>578</v>
      </c>
      <c r="BM265" s="12" t="s">
        <v>578</v>
      </c>
      <c r="BN265" s="12" t="s">
        <v>578</v>
      </c>
      <c r="BO265" s="12" t="s">
        <v>578</v>
      </c>
      <c r="BP265" s="12" t="s">
        <v>578</v>
      </c>
      <c r="BQ265" s="12" t="s">
        <v>578</v>
      </c>
      <c r="BR265" s="12" t="s">
        <v>578</v>
      </c>
      <c r="BS265" s="12" t="s">
        <v>578</v>
      </c>
      <c r="BT265" s="12" t="s">
        <v>578</v>
      </c>
      <c r="BU265" s="12" t="s">
        <v>578</v>
      </c>
      <c r="BV265" s="12" t="s">
        <v>578</v>
      </c>
      <c r="BW265" s="12" t="s">
        <v>578</v>
      </c>
      <c r="BX265" s="12" t="s">
        <v>578</v>
      </c>
      <c r="BY265" s="12" t="s">
        <v>578</v>
      </c>
      <c r="BZ265" s="12" t="s">
        <v>578</v>
      </c>
      <c r="CA265" s="12" t="s">
        <v>578</v>
      </c>
      <c r="CB265" s="12" t="s">
        <v>580</v>
      </c>
      <c r="CC265" s="12" t="s">
        <v>580</v>
      </c>
      <c r="CD265" s="12" t="s">
        <v>580</v>
      </c>
      <c r="CE265" s="12" t="s">
        <v>580</v>
      </c>
      <c r="CF265" s="12" t="s">
        <v>580</v>
      </c>
      <c r="CG265" s="12" t="s">
        <v>580</v>
      </c>
      <c r="CH265" s="12" t="s">
        <v>580</v>
      </c>
      <c r="CI265" s="12" t="s">
        <v>580</v>
      </c>
      <c r="CJ265" s="12" t="s">
        <v>580</v>
      </c>
      <c r="CK265" s="12" t="s">
        <v>580</v>
      </c>
      <c r="CL265" s="12" t="s">
        <v>580</v>
      </c>
      <c r="CM265" s="12" t="s">
        <v>580</v>
      </c>
      <c r="CN265" s="12" t="s">
        <v>580</v>
      </c>
      <c r="CO265" s="12" t="s">
        <v>580</v>
      </c>
      <c r="CP265" s="12" t="s">
        <v>580</v>
      </c>
      <c r="CQ265" s="12" t="s">
        <v>580</v>
      </c>
      <c r="CR265" s="12" t="s">
        <v>580</v>
      </c>
      <c r="CS265" s="12" t="s">
        <v>580</v>
      </c>
      <c r="CT265" s="12" t="s">
        <v>580</v>
      </c>
    </row>
    <row r="266" spans="1:98" hidden="1" x14ac:dyDescent="0.3">
      <c r="A266" s="12" t="s">
        <v>25</v>
      </c>
      <c r="B266" s="12" t="s">
        <v>4311</v>
      </c>
      <c r="C266" s="12" t="s">
        <v>4312</v>
      </c>
      <c r="D266" s="12" t="s">
        <v>4313</v>
      </c>
      <c r="E266" s="12" t="s">
        <v>578</v>
      </c>
      <c r="F266" s="12" t="s">
        <v>578</v>
      </c>
      <c r="G266" s="12" t="s">
        <v>578</v>
      </c>
      <c r="H266" s="12" t="s">
        <v>578</v>
      </c>
      <c r="I266" s="12" t="s">
        <v>578</v>
      </c>
      <c r="J266" s="12" t="s">
        <v>578</v>
      </c>
      <c r="K266" s="12" t="s">
        <v>578</v>
      </c>
      <c r="L266" s="12" t="s">
        <v>578</v>
      </c>
      <c r="M266" s="12" t="s">
        <v>578</v>
      </c>
      <c r="N266" s="12" t="s">
        <v>578</v>
      </c>
      <c r="O266" s="12" t="s">
        <v>578</v>
      </c>
      <c r="P266" s="12" t="s">
        <v>578</v>
      </c>
      <c r="Q266" s="12" t="s">
        <v>578</v>
      </c>
      <c r="R266" s="12" t="s">
        <v>578</v>
      </c>
      <c r="S266" s="12" t="s">
        <v>578</v>
      </c>
      <c r="T266" s="12" t="s">
        <v>578</v>
      </c>
      <c r="U266" s="12" t="s">
        <v>578</v>
      </c>
      <c r="V266" s="12" t="s">
        <v>578</v>
      </c>
      <c r="W266" s="12" t="s">
        <v>578</v>
      </c>
      <c r="X266" s="12" t="s">
        <v>578</v>
      </c>
      <c r="Y266" s="12" t="s">
        <v>578</v>
      </c>
      <c r="Z266" s="12" t="s">
        <v>578</v>
      </c>
      <c r="AA266" s="12" t="s">
        <v>578</v>
      </c>
      <c r="AB266" s="12" t="s">
        <v>578</v>
      </c>
      <c r="AC266" s="12" t="s">
        <v>578</v>
      </c>
      <c r="AD266" s="12" t="s">
        <v>578</v>
      </c>
      <c r="AE266" s="12" t="s">
        <v>578</v>
      </c>
      <c r="AF266" s="12" t="s">
        <v>578</v>
      </c>
      <c r="AG266" s="12" t="s">
        <v>578</v>
      </c>
      <c r="AH266" s="12" t="s">
        <v>578</v>
      </c>
      <c r="AI266" s="12" t="s">
        <v>578</v>
      </c>
      <c r="AJ266" s="12" t="s">
        <v>578</v>
      </c>
      <c r="AK266" s="12" t="s">
        <v>578</v>
      </c>
      <c r="AL266" s="12" t="s">
        <v>578</v>
      </c>
      <c r="AM266" s="12" t="s">
        <v>578</v>
      </c>
      <c r="AN266" s="12" t="s">
        <v>578</v>
      </c>
      <c r="AO266" s="12" t="s">
        <v>578</v>
      </c>
      <c r="AP266" s="12" t="s">
        <v>578</v>
      </c>
      <c r="AQ266" s="12" t="s">
        <v>578</v>
      </c>
      <c r="AR266" s="12" t="s">
        <v>578</v>
      </c>
      <c r="AS266" s="12" t="s">
        <v>578</v>
      </c>
      <c r="AT266" s="12" t="s">
        <v>578</v>
      </c>
      <c r="AU266" s="12" t="s">
        <v>578</v>
      </c>
      <c r="AV266" s="12" t="s">
        <v>578</v>
      </c>
      <c r="AW266" s="12" t="s">
        <v>578</v>
      </c>
      <c r="AX266" s="12" t="s">
        <v>578</v>
      </c>
      <c r="AY266" s="12" t="s">
        <v>578</v>
      </c>
      <c r="AZ266" s="12" t="s">
        <v>578</v>
      </c>
      <c r="BA266" s="12" t="s">
        <v>578</v>
      </c>
      <c r="BB266" s="12" t="s">
        <v>578</v>
      </c>
      <c r="BC266" s="12" t="s">
        <v>578</v>
      </c>
      <c r="BD266" s="12" t="s">
        <v>578</v>
      </c>
      <c r="BE266" s="12" t="s">
        <v>578</v>
      </c>
      <c r="BF266" s="12" t="s">
        <v>578</v>
      </c>
      <c r="BG266" s="12" t="s">
        <v>578</v>
      </c>
      <c r="BH266" s="12" t="s">
        <v>578</v>
      </c>
      <c r="BI266" s="12" t="s">
        <v>578</v>
      </c>
      <c r="BJ266" s="12" t="s">
        <v>578</v>
      </c>
      <c r="BK266" s="12" t="s">
        <v>578</v>
      </c>
      <c r="BL266" s="12" t="s">
        <v>578</v>
      </c>
      <c r="BM266" s="12" t="s">
        <v>578</v>
      </c>
      <c r="BN266" s="12" t="s">
        <v>578</v>
      </c>
      <c r="BO266" s="12" t="s">
        <v>578</v>
      </c>
      <c r="BP266" s="12" t="s">
        <v>578</v>
      </c>
      <c r="BQ266" s="12" t="s">
        <v>578</v>
      </c>
      <c r="BR266" s="12" t="s">
        <v>578</v>
      </c>
      <c r="BS266" s="12" t="s">
        <v>578</v>
      </c>
      <c r="BT266" s="12" t="s">
        <v>578</v>
      </c>
      <c r="BU266" s="12" t="s">
        <v>578</v>
      </c>
      <c r="BV266" s="12" t="s">
        <v>578</v>
      </c>
      <c r="BW266" s="12" t="s">
        <v>578</v>
      </c>
      <c r="BX266" s="12" t="s">
        <v>578</v>
      </c>
      <c r="BY266" s="12" t="s">
        <v>578</v>
      </c>
      <c r="BZ266" s="12" t="s">
        <v>578</v>
      </c>
      <c r="CA266" s="12" t="s">
        <v>578</v>
      </c>
      <c r="CB266" s="12" t="s">
        <v>578</v>
      </c>
      <c r="CC266" s="12" t="s">
        <v>578</v>
      </c>
      <c r="CD266" s="12" t="s">
        <v>578</v>
      </c>
      <c r="CE266" s="12" t="s">
        <v>578</v>
      </c>
      <c r="CF266" s="12" t="s">
        <v>579</v>
      </c>
      <c r="CG266" s="12" t="s">
        <v>579</v>
      </c>
      <c r="CH266" s="12" t="s">
        <v>579</v>
      </c>
      <c r="CI266" s="12" t="s">
        <v>579</v>
      </c>
      <c r="CJ266" s="12" t="s">
        <v>579</v>
      </c>
      <c r="CK266" s="12" t="s">
        <v>579</v>
      </c>
      <c r="CL266" s="12" t="s">
        <v>579</v>
      </c>
      <c r="CM266" s="12" t="s">
        <v>579</v>
      </c>
      <c r="CN266" s="12" t="s">
        <v>579</v>
      </c>
      <c r="CO266" s="12" t="s">
        <v>579</v>
      </c>
      <c r="CP266" s="12" t="s">
        <v>579</v>
      </c>
      <c r="CQ266" s="12" t="s">
        <v>579</v>
      </c>
      <c r="CR266" s="12" t="s">
        <v>579</v>
      </c>
      <c r="CS266" s="12" t="s">
        <v>579</v>
      </c>
      <c r="CT266" s="12" t="s">
        <v>579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03CF35-3B7D-42E1-B4D0-DDB86726833D}">
  <dimension ref="A1:P83"/>
  <sheetViews>
    <sheetView topLeftCell="G1" zoomScale="130" zoomScaleNormal="130" workbookViewId="0">
      <selection activeCell="G1" sqref="A1:XFD1048576"/>
    </sheetView>
  </sheetViews>
  <sheetFormatPr defaultRowHeight="14.4" x14ac:dyDescent="0.3"/>
  <cols>
    <col min="1" max="1" width="15.6640625" bestFit="1" customWidth="1"/>
    <col min="2" max="2" width="7.44140625" bestFit="1" customWidth="1"/>
    <col min="3" max="3" width="22.6640625" bestFit="1" customWidth="1"/>
    <col min="4" max="4" width="17.77734375" bestFit="1" customWidth="1"/>
    <col min="5" max="5" width="20" bestFit="1" customWidth="1"/>
    <col min="6" max="6" width="23" bestFit="1" customWidth="1"/>
    <col min="7" max="7" width="15.109375" bestFit="1" customWidth="1"/>
    <col min="8" max="8" width="25" bestFit="1" customWidth="1"/>
    <col min="9" max="9" width="15" bestFit="1" customWidth="1"/>
    <col min="10" max="10" width="15.88671875" bestFit="1" customWidth="1"/>
    <col min="11" max="11" width="10.5546875" bestFit="1" customWidth="1"/>
    <col min="12" max="12" width="12.21875" bestFit="1" customWidth="1"/>
    <col min="13" max="13" width="10.33203125" bestFit="1" customWidth="1"/>
    <col min="14" max="14" width="12.5546875" bestFit="1" customWidth="1"/>
    <col min="15" max="15" width="19.5546875" bestFit="1" customWidth="1"/>
    <col min="16" max="16" width="21.33203125" bestFit="1" customWidth="1"/>
  </cols>
  <sheetData>
    <row r="1" spans="1:16" x14ac:dyDescent="0.3">
      <c r="A1" t="s">
        <v>12</v>
      </c>
      <c r="B1" t="s">
        <v>13</v>
      </c>
      <c r="C1" t="s">
        <v>14</v>
      </c>
      <c r="D1" t="s">
        <v>15</v>
      </c>
      <c r="E1" t="s">
        <v>16</v>
      </c>
      <c r="F1" t="s">
        <v>17</v>
      </c>
      <c r="G1" t="s">
        <v>90</v>
      </c>
      <c r="H1" t="s">
        <v>91</v>
      </c>
      <c r="I1" t="s">
        <v>92</v>
      </c>
      <c r="J1" t="s">
        <v>18</v>
      </c>
      <c r="K1" t="s">
        <v>19</v>
      </c>
      <c r="L1" t="s">
        <v>20</v>
      </c>
      <c r="M1" t="s">
        <v>21</v>
      </c>
      <c r="N1" t="s">
        <v>194</v>
      </c>
      <c r="O1" t="s">
        <v>23</v>
      </c>
      <c r="P1" t="s">
        <v>24</v>
      </c>
    </row>
    <row r="2" spans="1:16" x14ac:dyDescent="0.3">
      <c r="A2" s="13">
        <v>43885.75</v>
      </c>
      <c r="B2" s="12" t="s">
        <v>22</v>
      </c>
      <c r="C2" s="82">
        <v>101</v>
      </c>
      <c r="D2" s="82">
        <v>26</v>
      </c>
      <c r="E2" s="82">
        <v>127</v>
      </c>
      <c r="F2" s="82">
        <v>94</v>
      </c>
      <c r="G2" s="82">
        <v>221</v>
      </c>
      <c r="H2" s="82">
        <v>0</v>
      </c>
      <c r="I2" s="82">
        <v>221</v>
      </c>
      <c r="J2" s="82">
        <v>1</v>
      </c>
      <c r="K2" s="82">
        <v>7</v>
      </c>
      <c r="L2" s="82">
        <v>229</v>
      </c>
      <c r="M2" s="82">
        <v>4324</v>
      </c>
      <c r="N2" s="82"/>
      <c r="O2" s="12" t="s">
        <v>25</v>
      </c>
      <c r="P2" s="12" t="s">
        <v>25</v>
      </c>
    </row>
    <row r="3" spans="1:16" x14ac:dyDescent="0.3">
      <c r="A3" s="13">
        <v>43886.75</v>
      </c>
      <c r="B3" s="12" t="s">
        <v>22</v>
      </c>
      <c r="C3" s="82">
        <v>114</v>
      </c>
      <c r="D3" s="82">
        <v>35</v>
      </c>
      <c r="E3" s="82">
        <v>150</v>
      </c>
      <c r="F3" s="82">
        <v>162</v>
      </c>
      <c r="G3" s="82">
        <v>311</v>
      </c>
      <c r="H3" s="82">
        <v>90</v>
      </c>
      <c r="I3" s="82">
        <v>93</v>
      </c>
      <c r="J3" s="82">
        <v>1</v>
      </c>
      <c r="K3" s="82">
        <v>10</v>
      </c>
      <c r="L3" s="82">
        <v>322</v>
      </c>
      <c r="M3" s="82">
        <v>8623</v>
      </c>
      <c r="N3" s="82"/>
      <c r="O3" s="12" t="s">
        <v>25</v>
      </c>
      <c r="P3" s="12" t="s">
        <v>25</v>
      </c>
    </row>
    <row r="4" spans="1:16" x14ac:dyDescent="0.3">
      <c r="A4" s="13">
        <v>43887.75</v>
      </c>
      <c r="B4" s="12" t="s">
        <v>22</v>
      </c>
      <c r="C4" s="82">
        <v>128</v>
      </c>
      <c r="D4" s="82">
        <v>36</v>
      </c>
      <c r="E4" s="82">
        <v>164</v>
      </c>
      <c r="F4" s="82">
        <v>221</v>
      </c>
      <c r="G4" s="82">
        <v>385</v>
      </c>
      <c r="H4" s="82">
        <v>74</v>
      </c>
      <c r="I4" s="82">
        <v>78</v>
      </c>
      <c r="J4" s="82">
        <v>3</v>
      </c>
      <c r="K4" s="82">
        <v>12</v>
      </c>
      <c r="L4" s="82">
        <v>400</v>
      </c>
      <c r="M4" s="82">
        <v>9587</v>
      </c>
      <c r="N4" s="82"/>
      <c r="O4" s="12" t="s">
        <v>25</v>
      </c>
      <c r="P4" s="12" t="s">
        <v>25</v>
      </c>
    </row>
    <row r="5" spans="1:16" x14ac:dyDescent="0.3">
      <c r="A5" s="13">
        <v>43888.75</v>
      </c>
      <c r="B5" s="12" t="s">
        <v>22</v>
      </c>
      <c r="C5" s="82">
        <v>248</v>
      </c>
      <c r="D5" s="82">
        <v>56</v>
      </c>
      <c r="E5" s="82">
        <v>304</v>
      </c>
      <c r="F5" s="82">
        <v>284</v>
      </c>
      <c r="G5" s="82">
        <v>588</v>
      </c>
      <c r="H5" s="82">
        <v>203</v>
      </c>
      <c r="I5" s="82">
        <v>250</v>
      </c>
      <c r="J5" s="82">
        <v>45</v>
      </c>
      <c r="K5" s="82">
        <v>17</v>
      </c>
      <c r="L5" s="82">
        <v>650</v>
      </c>
      <c r="M5" s="82">
        <v>12014</v>
      </c>
      <c r="N5" s="82"/>
      <c r="O5" s="12" t="s">
        <v>25</v>
      </c>
      <c r="P5" s="12" t="s">
        <v>25</v>
      </c>
    </row>
    <row r="6" spans="1:16" x14ac:dyDescent="0.3">
      <c r="A6" s="13">
        <v>43889.75</v>
      </c>
      <c r="B6" s="12" t="s">
        <v>22</v>
      </c>
      <c r="C6" s="82">
        <v>345</v>
      </c>
      <c r="D6" s="82">
        <v>64</v>
      </c>
      <c r="E6" s="82">
        <v>409</v>
      </c>
      <c r="F6" s="82">
        <v>412</v>
      </c>
      <c r="G6" s="82">
        <v>821</v>
      </c>
      <c r="H6" s="82">
        <v>233</v>
      </c>
      <c r="I6" s="82">
        <v>238</v>
      </c>
      <c r="J6" s="82">
        <v>46</v>
      </c>
      <c r="K6" s="82">
        <v>21</v>
      </c>
      <c r="L6" s="82">
        <v>888</v>
      </c>
      <c r="M6" s="82">
        <v>15695</v>
      </c>
      <c r="N6" s="82"/>
      <c r="O6" s="12" t="s">
        <v>25</v>
      </c>
      <c r="P6" s="12" t="s">
        <v>25</v>
      </c>
    </row>
    <row r="7" spans="1:16" x14ac:dyDescent="0.3">
      <c r="A7" s="13">
        <v>43890.75</v>
      </c>
      <c r="B7" s="12" t="s">
        <v>22</v>
      </c>
      <c r="C7" s="82">
        <v>401</v>
      </c>
      <c r="D7" s="82">
        <v>105</v>
      </c>
      <c r="E7" s="82">
        <v>506</v>
      </c>
      <c r="F7" s="82">
        <v>543</v>
      </c>
      <c r="G7" s="82">
        <v>1049</v>
      </c>
      <c r="H7" s="82">
        <v>228</v>
      </c>
      <c r="I7" s="82">
        <v>240</v>
      </c>
      <c r="J7" s="82">
        <v>50</v>
      </c>
      <c r="K7" s="82">
        <v>29</v>
      </c>
      <c r="L7" s="82">
        <v>1128</v>
      </c>
      <c r="M7" s="82">
        <v>18661</v>
      </c>
      <c r="N7" s="82"/>
      <c r="O7" s="12" t="s">
        <v>25</v>
      </c>
      <c r="P7" s="12" t="s">
        <v>25</v>
      </c>
    </row>
    <row r="8" spans="1:16" x14ac:dyDescent="0.3">
      <c r="A8" s="13">
        <v>43891.75</v>
      </c>
      <c r="B8" s="12" t="s">
        <v>22</v>
      </c>
      <c r="C8" s="82">
        <v>639</v>
      </c>
      <c r="D8" s="82">
        <v>140</v>
      </c>
      <c r="E8" s="82">
        <v>779</v>
      </c>
      <c r="F8" s="82">
        <v>798</v>
      </c>
      <c r="G8" s="82">
        <v>1577</v>
      </c>
      <c r="H8" s="82">
        <v>528</v>
      </c>
      <c r="I8" s="82">
        <v>566</v>
      </c>
      <c r="J8" s="82">
        <v>83</v>
      </c>
      <c r="K8" s="82">
        <v>34</v>
      </c>
      <c r="L8" s="82">
        <v>1694</v>
      </c>
      <c r="M8" s="82">
        <v>21127</v>
      </c>
      <c r="N8" s="82"/>
      <c r="O8" s="12" t="s">
        <v>25</v>
      </c>
      <c r="P8" s="12" t="s">
        <v>25</v>
      </c>
    </row>
    <row r="9" spans="1:16" x14ac:dyDescent="0.3">
      <c r="A9" s="13">
        <v>43892.75</v>
      </c>
      <c r="B9" s="12" t="s">
        <v>22</v>
      </c>
      <c r="C9" s="82">
        <v>742</v>
      </c>
      <c r="D9" s="82">
        <v>166</v>
      </c>
      <c r="E9" s="82">
        <v>908</v>
      </c>
      <c r="F9" s="82">
        <v>927</v>
      </c>
      <c r="G9" s="82">
        <v>1835</v>
      </c>
      <c r="H9" s="82">
        <v>258</v>
      </c>
      <c r="I9" s="82">
        <v>342</v>
      </c>
      <c r="J9" s="82">
        <v>149</v>
      </c>
      <c r="K9" s="82">
        <v>52</v>
      </c>
      <c r="L9" s="82">
        <v>2036</v>
      </c>
      <c r="M9" s="82">
        <v>23345</v>
      </c>
      <c r="N9" s="82"/>
      <c r="O9" s="12" t="s">
        <v>25</v>
      </c>
      <c r="P9" s="12" t="s">
        <v>25</v>
      </c>
    </row>
    <row r="10" spans="1:16" x14ac:dyDescent="0.3">
      <c r="A10" s="13">
        <v>43893.75</v>
      </c>
      <c r="B10" s="12" t="s">
        <v>22</v>
      </c>
      <c r="C10" s="82">
        <v>1034</v>
      </c>
      <c r="D10" s="82">
        <v>229</v>
      </c>
      <c r="E10" s="82">
        <v>1263</v>
      </c>
      <c r="F10" s="82">
        <v>1000</v>
      </c>
      <c r="G10" s="82">
        <v>2263</v>
      </c>
      <c r="H10" s="82">
        <v>428</v>
      </c>
      <c r="I10" s="82">
        <v>466</v>
      </c>
      <c r="J10" s="82">
        <v>160</v>
      </c>
      <c r="K10" s="82">
        <v>79</v>
      </c>
      <c r="L10" s="82">
        <v>2502</v>
      </c>
      <c r="M10" s="82">
        <v>25856</v>
      </c>
      <c r="N10" s="82"/>
      <c r="O10" s="12" t="s">
        <v>25</v>
      </c>
      <c r="P10" s="12" t="s">
        <v>25</v>
      </c>
    </row>
    <row r="11" spans="1:16" x14ac:dyDescent="0.3">
      <c r="A11" s="13">
        <v>43894.75</v>
      </c>
      <c r="B11" s="12" t="s">
        <v>22</v>
      </c>
      <c r="C11" s="82">
        <v>1346</v>
      </c>
      <c r="D11" s="82">
        <v>295</v>
      </c>
      <c r="E11" s="82">
        <v>1641</v>
      </c>
      <c r="F11" s="82">
        <v>1065</v>
      </c>
      <c r="G11" s="82">
        <v>2706</v>
      </c>
      <c r="H11" s="82">
        <v>443</v>
      </c>
      <c r="I11" s="82">
        <v>587</v>
      </c>
      <c r="J11" s="82">
        <v>276</v>
      </c>
      <c r="K11" s="82">
        <v>107</v>
      </c>
      <c r="L11" s="82">
        <v>3089</v>
      </c>
      <c r="M11" s="82">
        <v>29837</v>
      </c>
      <c r="N11" s="82"/>
      <c r="O11" s="12" t="s">
        <v>25</v>
      </c>
      <c r="P11" s="12" t="s">
        <v>25</v>
      </c>
    </row>
    <row r="12" spans="1:16" x14ac:dyDescent="0.3">
      <c r="A12" s="13">
        <v>43895.75</v>
      </c>
      <c r="B12" s="12" t="s">
        <v>22</v>
      </c>
      <c r="C12" s="82">
        <v>1790</v>
      </c>
      <c r="D12" s="82">
        <v>351</v>
      </c>
      <c r="E12" s="82">
        <v>2141</v>
      </c>
      <c r="F12" s="82">
        <v>1155</v>
      </c>
      <c r="G12" s="82">
        <v>3296</v>
      </c>
      <c r="H12" s="82">
        <v>590</v>
      </c>
      <c r="I12" s="82">
        <v>769</v>
      </c>
      <c r="J12" s="82">
        <v>414</v>
      </c>
      <c r="K12" s="82">
        <v>148</v>
      </c>
      <c r="L12" s="82">
        <v>3858</v>
      </c>
      <c r="M12" s="82">
        <v>32362</v>
      </c>
      <c r="N12" s="82"/>
      <c r="O12" s="12" t="s">
        <v>25</v>
      </c>
      <c r="P12" s="12" t="s">
        <v>25</v>
      </c>
    </row>
    <row r="13" spans="1:16" x14ac:dyDescent="0.3">
      <c r="A13" s="13">
        <v>43896.75</v>
      </c>
      <c r="B13" s="12" t="s">
        <v>22</v>
      </c>
      <c r="C13" s="82">
        <v>2394</v>
      </c>
      <c r="D13" s="82">
        <v>462</v>
      </c>
      <c r="E13" s="82">
        <v>2856</v>
      </c>
      <c r="F13" s="82">
        <v>1060</v>
      </c>
      <c r="G13" s="82">
        <v>3916</v>
      </c>
      <c r="H13" s="82">
        <v>620</v>
      </c>
      <c r="I13" s="82">
        <v>778</v>
      </c>
      <c r="J13" s="82">
        <v>523</v>
      </c>
      <c r="K13" s="82">
        <v>197</v>
      </c>
      <c r="L13" s="82">
        <v>4636</v>
      </c>
      <c r="M13" s="82">
        <v>36359</v>
      </c>
      <c r="N13" s="82"/>
      <c r="O13" s="12" t="s">
        <v>25</v>
      </c>
      <c r="P13" s="12" t="s">
        <v>25</v>
      </c>
    </row>
    <row r="14" spans="1:16" x14ac:dyDescent="0.3">
      <c r="A14" s="13">
        <v>43897.75</v>
      </c>
      <c r="B14" s="12" t="s">
        <v>22</v>
      </c>
      <c r="C14" s="82">
        <v>2651</v>
      </c>
      <c r="D14" s="82">
        <v>567</v>
      </c>
      <c r="E14" s="82">
        <v>3218</v>
      </c>
      <c r="F14" s="82">
        <v>1843</v>
      </c>
      <c r="G14" s="82">
        <v>5061</v>
      </c>
      <c r="H14" s="82">
        <v>1145</v>
      </c>
      <c r="I14" s="82">
        <v>1247</v>
      </c>
      <c r="J14" s="82">
        <v>589</v>
      </c>
      <c r="K14" s="82">
        <v>233</v>
      </c>
      <c r="L14" s="82">
        <v>5883</v>
      </c>
      <c r="M14" s="82">
        <v>42062</v>
      </c>
      <c r="N14" s="82"/>
      <c r="O14" s="12" t="s">
        <v>26</v>
      </c>
      <c r="P14" s="12" t="s">
        <v>27</v>
      </c>
    </row>
    <row r="15" spans="1:16" x14ac:dyDescent="0.3">
      <c r="A15" s="13">
        <v>43898.75</v>
      </c>
      <c r="B15" s="12" t="s">
        <v>22</v>
      </c>
      <c r="C15" s="82">
        <v>3557</v>
      </c>
      <c r="D15" s="82">
        <v>650</v>
      </c>
      <c r="E15" s="82">
        <v>4207</v>
      </c>
      <c r="F15" s="82">
        <v>2180</v>
      </c>
      <c r="G15" s="82">
        <v>6387</v>
      </c>
      <c r="H15" s="82">
        <v>1326</v>
      </c>
      <c r="I15" s="82">
        <v>1492</v>
      </c>
      <c r="J15" s="82">
        <v>622</v>
      </c>
      <c r="K15" s="82">
        <v>366</v>
      </c>
      <c r="L15" s="82">
        <v>7375</v>
      </c>
      <c r="M15" s="82">
        <v>49937</v>
      </c>
      <c r="N15" s="82"/>
      <c r="O15" s="12" t="s">
        <v>25</v>
      </c>
      <c r="P15" s="12" t="s">
        <v>25</v>
      </c>
    </row>
    <row r="16" spans="1:16" x14ac:dyDescent="0.3">
      <c r="A16" s="13">
        <v>43899.75</v>
      </c>
      <c r="B16" s="12" t="s">
        <v>22</v>
      </c>
      <c r="C16" s="82">
        <v>4316</v>
      </c>
      <c r="D16" s="82">
        <v>733</v>
      </c>
      <c r="E16" s="82">
        <v>5049</v>
      </c>
      <c r="F16" s="82">
        <v>2936</v>
      </c>
      <c r="G16" s="82">
        <v>7985</v>
      </c>
      <c r="H16" s="82">
        <v>1598</v>
      </c>
      <c r="I16" s="82">
        <v>1797</v>
      </c>
      <c r="J16" s="82">
        <v>724</v>
      </c>
      <c r="K16" s="82">
        <v>463</v>
      </c>
      <c r="L16" s="82">
        <v>9172</v>
      </c>
      <c r="M16" s="82">
        <v>53826</v>
      </c>
      <c r="N16" s="82"/>
      <c r="O16" s="12" t="s">
        <v>25</v>
      </c>
      <c r="P16" s="12" t="s">
        <v>25</v>
      </c>
    </row>
    <row r="17" spans="1:16" x14ac:dyDescent="0.3">
      <c r="A17" s="13">
        <v>43900.75</v>
      </c>
      <c r="B17" s="12" t="s">
        <v>22</v>
      </c>
      <c r="C17" s="82">
        <v>5038</v>
      </c>
      <c r="D17" s="82">
        <v>877</v>
      </c>
      <c r="E17" s="82">
        <v>5915</v>
      </c>
      <c r="F17" s="82">
        <v>2599</v>
      </c>
      <c r="G17" s="82">
        <v>8514</v>
      </c>
      <c r="H17" s="82">
        <v>529</v>
      </c>
      <c r="I17" s="82">
        <v>977</v>
      </c>
      <c r="J17" s="82">
        <v>1004</v>
      </c>
      <c r="K17" s="82">
        <v>631</v>
      </c>
      <c r="L17" s="82">
        <v>10149</v>
      </c>
      <c r="M17" s="82">
        <v>60761</v>
      </c>
      <c r="N17" s="82"/>
      <c r="O17" s="12" t="s">
        <v>28</v>
      </c>
      <c r="P17" s="12" t="s">
        <v>29</v>
      </c>
    </row>
    <row r="18" spans="1:16" x14ac:dyDescent="0.3">
      <c r="A18" s="13">
        <v>43901.708333333336</v>
      </c>
      <c r="B18" s="12" t="s">
        <v>22</v>
      </c>
      <c r="C18" s="82">
        <v>5838</v>
      </c>
      <c r="D18" s="82">
        <v>1028</v>
      </c>
      <c r="E18" s="82">
        <v>6866</v>
      </c>
      <c r="F18" s="82">
        <v>3724</v>
      </c>
      <c r="G18" s="82">
        <v>10590</v>
      </c>
      <c r="H18" s="82">
        <v>2076</v>
      </c>
      <c r="I18" s="82">
        <v>2313</v>
      </c>
      <c r="J18" s="82">
        <v>1045</v>
      </c>
      <c r="K18" s="82">
        <v>827</v>
      </c>
      <c r="L18" s="82">
        <v>12462</v>
      </c>
      <c r="M18" s="82">
        <v>73154</v>
      </c>
      <c r="N18" s="82"/>
      <c r="O18" s="12" t="s">
        <v>30</v>
      </c>
      <c r="P18" s="12" t="s">
        <v>31</v>
      </c>
    </row>
    <row r="19" spans="1:16" x14ac:dyDescent="0.3">
      <c r="A19" s="13">
        <v>43902.708333333336</v>
      </c>
      <c r="B19" s="12" t="s">
        <v>22</v>
      </c>
      <c r="C19" s="82">
        <v>6650</v>
      </c>
      <c r="D19" s="82">
        <v>1153</v>
      </c>
      <c r="E19" s="82">
        <v>7803</v>
      </c>
      <c r="F19" s="82">
        <v>5036</v>
      </c>
      <c r="G19" s="82">
        <v>12839</v>
      </c>
      <c r="H19" s="82">
        <v>2249</v>
      </c>
      <c r="I19" s="82">
        <v>2651</v>
      </c>
      <c r="J19" s="82">
        <v>1258</v>
      </c>
      <c r="K19" s="82">
        <v>1016</v>
      </c>
      <c r="L19" s="82">
        <v>15113</v>
      </c>
      <c r="M19" s="82">
        <v>86011</v>
      </c>
      <c r="N19" s="82"/>
      <c r="O19" s="12" t="s">
        <v>25</v>
      </c>
      <c r="P19" s="12" t="s">
        <v>25</v>
      </c>
    </row>
    <row r="20" spans="1:16" x14ac:dyDescent="0.3">
      <c r="A20" s="13">
        <v>43903.708333333336</v>
      </c>
      <c r="B20" s="12" t="s">
        <v>22</v>
      </c>
      <c r="C20" s="82">
        <v>7426</v>
      </c>
      <c r="D20" s="82">
        <v>1328</v>
      </c>
      <c r="E20" s="82">
        <v>8754</v>
      </c>
      <c r="F20" s="82">
        <v>6201</v>
      </c>
      <c r="G20" s="82">
        <v>14955</v>
      </c>
      <c r="H20" s="82">
        <v>2116</v>
      </c>
      <c r="I20" s="82">
        <v>2547</v>
      </c>
      <c r="J20" s="82">
        <v>1439</v>
      </c>
      <c r="K20" s="82">
        <v>1266</v>
      </c>
      <c r="L20" s="82">
        <v>17660</v>
      </c>
      <c r="M20" s="82">
        <v>97488</v>
      </c>
      <c r="N20" s="82"/>
      <c r="O20" s="12" t="s">
        <v>25</v>
      </c>
      <c r="P20" s="12" t="s">
        <v>25</v>
      </c>
    </row>
    <row r="21" spans="1:16" x14ac:dyDescent="0.3">
      <c r="A21" s="13">
        <v>43904.708333333336</v>
      </c>
      <c r="B21" s="12" t="s">
        <v>22</v>
      </c>
      <c r="C21" s="82">
        <v>8372</v>
      </c>
      <c r="D21" s="82">
        <v>1518</v>
      </c>
      <c r="E21" s="82">
        <v>9890</v>
      </c>
      <c r="F21" s="82">
        <v>7860</v>
      </c>
      <c r="G21" s="82">
        <v>17750</v>
      </c>
      <c r="H21" s="82">
        <v>2795</v>
      </c>
      <c r="I21" s="82">
        <v>3497</v>
      </c>
      <c r="J21" s="82">
        <v>1966</v>
      </c>
      <c r="K21" s="82">
        <v>1441</v>
      </c>
      <c r="L21" s="82">
        <v>21157</v>
      </c>
      <c r="M21" s="82">
        <v>109170</v>
      </c>
      <c r="N21" s="82"/>
      <c r="O21" s="12" t="s">
        <v>25</v>
      </c>
      <c r="P21" s="12" t="s">
        <v>25</v>
      </c>
    </row>
    <row r="22" spans="1:16" x14ac:dyDescent="0.3">
      <c r="A22" s="13">
        <v>43905.708333333336</v>
      </c>
      <c r="B22" s="12" t="s">
        <v>22</v>
      </c>
      <c r="C22" s="82">
        <v>9663</v>
      </c>
      <c r="D22" s="82">
        <v>1672</v>
      </c>
      <c r="E22" s="82">
        <v>11335</v>
      </c>
      <c r="F22" s="82">
        <v>9268</v>
      </c>
      <c r="G22" s="82">
        <v>20603</v>
      </c>
      <c r="H22" s="82">
        <v>2853</v>
      </c>
      <c r="I22" s="82">
        <v>3590</v>
      </c>
      <c r="J22" s="82">
        <v>2335</v>
      </c>
      <c r="K22" s="82">
        <v>1809</v>
      </c>
      <c r="L22" s="82">
        <v>24747</v>
      </c>
      <c r="M22" s="82">
        <v>124899</v>
      </c>
      <c r="N22" s="82"/>
      <c r="O22" s="12" t="s">
        <v>25</v>
      </c>
      <c r="P22" s="12" t="s">
        <v>25</v>
      </c>
    </row>
    <row r="23" spans="1:16" x14ac:dyDescent="0.3">
      <c r="A23" s="13">
        <v>43906.708333333336</v>
      </c>
      <c r="B23" s="12" t="s">
        <v>22</v>
      </c>
      <c r="C23" s="82">
        <v>11025</v>
      </c>
      <c r="D23" s="82">
        <v>1851</v>
      </c>
      <c r="E23" s="82">
        <v>12876</v>
      </c>
      <c r="F23" s="82">
        <v>10197</v>
      </c>
      <c r="G23" s="82">
        <v>23073</v>
      </c>
      <c r="H23" s="82">
        <v>2470</v>
      </c>
      <c r="I23" s="82">
        <v>3233</v>
      </c>
      <c r="J23" s="82">
        <v>2749</v>
      </c>
      <c r="K23" s="82">
        <v>2158</v>
      </c>
      <c r="L23" s="82">
        <v>27980</v>
      </c>
      <c r="M23" s="82">
        <v>137962</v>
      </c>
      <c r="N23" s="82"/>
      <c r="O23" s="12" t="s">
        <v>32</v>
      </c>
      <c r="P23" s="12" t="s">
        <v>33</v>
      </c>
    </row>
    <row r="24" spans="1:16" x14ac:dyDescent="0.3">
      <c r="A24" s="13">
        <v>43907.708333333336</v>
      </c>
      <c r="B24" s="12" t="s">
        <v>22</v>
      </c>
      <c r="C24" s="82">
        <v>12894</v>
      </c>
      <c r="D24" s="82">
        <v>2060</v>
      </c>
      <c r="E24" s="82">
        <v>14954</v>
      </c>
      <c r="F24" s="82">
        <v>11108</v>
      </c>
      <c r="G24" s="82">
        <v>26062</v>
      </c>
      <c r="H24" s="82">
        <v>2989</v>
      </c>
      <c r="I24" s="82">
        <v>3526</v>
      </c>
      <c r="J24" s="82">
        <v>2941</v>
      </c>
      <c r="K24" s="82">
        <v>2503</v>
      </c>
      <c r="L24" s="82">
        <v>31506</v>
      </c>
      <c r="M24" s="82">
        <v>148657</v>
      </c>
      <c r="N24" s="82"/>
      <c r="O24" s="12" t="s">
        <v>34</v>
      </c>
      <c r="P24" s="12" t="s">
        <v>35</v>
      </c>
    </row>
    <row r="25" spans="1:16" x14ac:dyDescent="0.3">
      <c r="A25" s="13">
        <v>43908.708333333336</v>
      </c>
      <c r="B25" s="12" t="s">
        <v>22</v>
      </c>
      <c r="C25" s="82">
        <v>14363</v>
      </c>
      <c r="D25" s="82">
        <v>2257</v>
      </c>
      <c r="E25" s="82">
        <v>16620</v>
      </c>
      <c r="F25" s="82">
        <v>12090</v>
      </c>
      <c r="G25" s="82">
        <v>28710</v>
      </c>
      <c r="H25" s="82">
        <v>2648</v>
      </c>
      <c r="I25" s="82">
        <v>4207</v>
      </c>
      <c r="J25" s="82">
        <v>4025</v>
      </c>
      <c r="K25" s="82">
        <v>2978</v>
      </c>
      <c r="L25" s="82">
        <v>35713</v>
      </c>
      <c r="M25" s="82">
        <v>165541</v>
      </c>
      <c r="N25" s="82"/>
      <c r="O25" s="12" t="s">
        <v>36</v>
      </c>
      <c r="P25" s="12" t="s">
        <v>37</v>
      </c>
    </row>
    <row r="26" spans="1:16" x14ac:dyDescent="0.3">
      <c r="A26" s="13">
        <v>43909.708333333336</v>
      </c>
      <c r="B26" s="12" t="s">
        <v>22</v>
      </c>
      <c r="C26" s="82">
        <v>15757</v>
      </c>
      <c r="D26" s="82">
        <v>2498</v>
      </c>
      <c r="E26" s="82">
        <v>18255</v>
      </c>
      <c r="F26" s="82">
        <v>14935</v>
      </c>
      <c r="G26" s="82">
        <v>33190</v>
      </c>
      <c r="H26" s="82">
        <v>4480</v>
      </c>
      <c r="I26" s="82">
        <v>5322</v>
      </c>
      <c r="J26" s="82">
        <v>4440</v>
      </c>
      <c r="K26" s="82">
        <v>3405</v>
      </c>
      <c r="L26" s="82">
        <v>41035</v>
      </c>
      <c r="M26" s="82">
        <v>182777</v>
      </c>
      <c r="N26" s="82"/>
      <c r="O26" s="12" t="s">
        <v>25</v>
      </c>
      <c r="P26" s="12" t="s">
        <v>25</v>
      </c>
    </row>
    <row r="27" spans="1:16" x14ac:dyDescent="0.3">
      <c r="A27" s="13">
        <v>43910.708333333336</v>
      </c>
      <c r="B27" s="12" t="s">
        <v>22</v>
      </c>
      <c r="C27" s="82">
        <v>16020</v>
      </c>
      <c r="D27" s="82">
        <v>2655</v>
      </c>
      <c r="E27" s="82">
        <v>18675</v>
      </c>
      <c r="F27" s="82">
        <v>19185</v>
      </c>
      <c r="G27" s="82">
        <v>37860</v>
      </c>
      <c r="H27" s="82">
        <v>4670</v>
      </c>
      <c r="I27" s="82">
        <v>5986</v>
      </c>
      <c r="J27" s="82">
        <v>5129</v>
      </c>
      <c r="K27" s="82">
        <v>4032</v>
      </c>
      <c r="L27" s="82">
        <v>47021</v>
      </c>
      <c r="M27" s="82">
        <v>206886</v>
      </c>
      <c r="N27" s="82"/>
      <c r="O27" s="12" t="s">
        <v>25</v>
      </c>
      <c r="P27" s="12" t="s">
        <v>25</v>
      </c>
    </row>
    <row r="28" spans="1:16" x14ac:dyDescent="0.3">
      <c r="A28" s="13">
        <v>43911.708333333336</v>
      </c>
      <c r="B28" s="12" t="s">
        <v>22</v>
      </c>
      <c r="C28" s="82">
        <v>17708</v>
      </c>
      <c r="D28" s="82">
        <v>2857</v>
      </c>
      <c r="E28" s="82">
        <v>20565</v>
      </c>
      <c r="F28" s="82">
        <v>22116</v>
      </c>
      <c r="G28" s="82">
        <v>42681</v>
      </c>
      <c r="H28" s="82">
        <v>4821</v>
      </c>
      <c r="I28" s="82">
        <v>6557</v>
      </c>
      <c r="J28" s="82">
        <v>6072</v>
      </c>
      <c r="K28" s="82">
        <v>4825</v>
      </c>
      <c r="L28" s="82">
        <v>53578</v>
      </c>
      <c r="M28" s="82">
        <v>233222</v>
      </c>
      <c r="N28" s="82"/>
      <c r="O28" s="12" t="s">
        <v>25</v>
      </c>
      <c r="P28" s="12" t="s">
        <v>25</v>
      </c>
    </row>
    <row r="29" spans="1:16" x14ac:dyDescent="0.3">
      <c r="A29" s="13">
        <v>43912.708333333336</v>
      </c>
      <c r="B29" s="12" t="s">
        <v>22</v>
      </c>
      <c r="C29" s="82">
        <v>19846</v>
      </c>
      <c r="D29" s="82">
        <v>3009</v>
      </c>
      <c r="E29" s="82">
        <v>22855</v>
      </c>
      <c r="F29" s="82">
        <v>23783</v>
      </c>
      <c r="G29" s="82">
        <v>46638</v>
      </c>
      <c r="H29" s="82">
        <v>3957</v>
      </c>
      <c r="I29" s="82">
        <v>5560</v>
      </c>
      <c r="J29" s="82">
        <v>7024</v>
      </c>
      <c r="K29" s="82">
        <v>5476</v>
      </c>
      <c r="L29" s="82">
        <v>59138</v>
      </c>
      <c r="M29" s="82">
        <v>258402</v>
      </c>
      <c r="N29" s="82"/>
      <c r="O29" s="12" t="s">
        <v>25</v>
      </c>
      <c r="P29" s="12" t="s">
        <v>25</v>
      </c>
    </row>
    <row r="30" spans="1:16" x14ac:dyDescent="0.3">
      <c r="A30" s="13">
        <v>43913.708333333336</v>
      </c>
      <c r="B30" s="12" t="s">
        <v>22</v>
      </c>
      <c r="C30" s="82">
        <v>20692</v>
      </c>
      <c r="D30" s="82">
        <v>3204</v>
      </c>
      <c r="E30" s="82">
        <v>23896</v>
      </c>
      <c r="F30" s="82">
        <v>26522</v>
      </c>
      <c r="G30" s="82">
        <v>50418</v>
      </c>
      <c r="H30" s="82">
        <v>3780</v>
      </c>
      <c r="I30" s="82">
        <v>4789</v>
      </c>
      <c r="J30" s="82">
        <v>7432</v>
      </c>
      <c r="K30" s="82">
        <v>6077</v>
      </c>
      <c r="L30" s="82">
        <v>63927</v>
      </c>
      <c r="M30" s="82">
        <v>275468</v>
      </c>
      <c r="N30" s="82"/>
      <c r="O30" s="12" t="s">
        <v>25</v>
      </c>
      <c r="P30" s="12" t="s">
        <v>25</v>
      </c>
    </row>
    <row r="31" spans="1:16" x14ac:dyDescent="0.3">
      <c r="A31" s="13">
        <v>43914.708333333336</v>
      </c>
      <c r="B31" s="12" t="s">
        <v>22</v>
      </c>
      <c r="C31" s="82">
        <v>21937</v>
      </c>
      <c r="D31" s="82">
        <v>3396</v>
      </c>
      <c r="E31" s="82">
        <v>25333</v>
      </c>
      <c r="F31" s="82">
        <v>28697</v>
      </c>
      <c r="G31" s="82">
        <v>54030</v>
      </c>
      <c r="H31" s="82">
        <v>3612</v>
      </c>
      <c r="I31" s="82">
        <v>5249</v>
      </c>
      <c r="J31" s="82">
        <v>8326</v>
      </c>
      <c r="K31" s="82">
        <v>6820</v>
      </c>
      <c r="L31" s="82">
        <v>69176</v>
      </c>
      <c r="M31" s="82">
        <v>296964</v>
      </c>
      <c r="N31" s="82"/>
      <c r="O31" s="12" t="s">
        <v>25</v>
      </c>
      <c r="P31" s="12" t="s">
        <v>25</v>
      </c>
    </row>
    <row r="32" spans="1:16" x14ac:dyDescent="0.3">
      <c r="A32" s="13">
        <v>43915.708333333336</v>
      </c>
      <c r="B32" s="12" t="s">
        <v>22</v>
      </c>
      <c r="C32" s="82">
        <v>23112</v>
      </c>
      <c r="D32" s="82">
        <v>3489</v>
      </c>
      <c r="E32" s="82">
        <v>26601</v>
      </c>
      <c r="F32" s="82">
        <v>30920</v>
      </c>
      <c r="G32" s="82">
        <v>57521</v>
      </c>
      <c r="H32" s="82">
        <v>3491</v>
      </c>
      <c r="I32" s="82">
        <v>5210</v>
      </c>
      <c r="J32" s="82">
        <v>9362</v>
      </c>
      <c r="K32" s="82">
        <v>7503</v>
      </c>
      <c r="L32" s="82">
        <v>74386</v>
      </c>
      <c r="M32" s="82">
        <v>324445</v>
      </c>
      <c r="N32" s="82"/>
      <c r="O32" s="12" t="s">
        <v>25</v>
      </c>
      <c r="P32" s="12" t="s">
        <v>25</v>
      </c>
    </row>
    <row r="33" spans="1:16" x14ac:dyDescent="0.3">
      <c r="A33" s="13">
        <v>43916.708333333336</v>
      </c>
      <c r="B33" s="12" t="s">
        <v>22</v>
      </c>
      <c r="C33" s="82">
        <v>24753</v>
      </c>
      <c r="D33" s="82">
        <v>3612</v>
      </c>
      <c r="E33" s="82">
        <v>28365</v>
      </c>
      <c r="F33" s="82">
        <v>33648</v>
      </c>
      <c r="G33" s="82">
        <v>62013</v>
      </c>
      <c r="H33" s="82">
        <v>4492</v>
      </c>
      <c r="I33" s="82">
        <v>6153</v>
      </c>
      <c r="J33" s="82">
        <v>10361</v>
      </c>
      <c r="K33" s="82">
        <v>8165</v>
      </c>
      <c r="L33" s="82">
        <v>80539</v>
      </c>
      <c r="M33" s="82">
        <v>361060</v>
      </c>
      <c r="N33" s="82"/>
      <c r="O33" s="12" t="s">
        <v>86</v>
      </c>
      <c r="P33" s="12" t="s">
        <v>87</v>
      </c>
    </row>
    <row r="34" spans="1:16" x14ac:dyDescent="0.3">
      <c r="A34" s="13">
        <v>43917.708333333336</v>
      </c>
      <c r="B34" s="12" t="s">
        <v>22</v>
      </c>
      <c r="C34" s="82">
        <v>26029</v>
      </c>
      <c r="D34" s="82">
        <v>3732</v>
      </c>
      <c r="E34" s="82">
        <v>29761</v>
      </c>
      <c r="F34" s="82">
        <v>36653</v>
      </c>
      <c r="G34" s="82">
        <v>66414</v>
      </c>
      <c r="H34" s="82">
        <v>4401</v>
      </c>
      <c r="I34" s="82">
        <v>5959</v>
      </c>
      <c r="J34" s="82">
        <v>10950</v>
      </c>
      <c r="K34" s="82">
        <v>9134</v>
      </c>
      <c r="L34" s="82">
        <v>86498</v>
      </c>
      <c r="M34" s="82">
        <v>394079</v>
      </c>
      <c r="N34" s="82"/>
      <c r="O34" s="12" t="s">
        <v>25</v>
      </c>
      <c r="P34" s="12" t="s">
        <v>25</v>
      </c>
    </row>
    <row r="35" spans="1:16" x14ac:dyDescent="0.3">
      <c r="A35" s="13">
        <v>43918.708333333336</v>
      </c>
      <c r="B35" s="12" t="s">
        <v>22</v>
      </c>
      <c r="C35" s="82">
        <v>26676</v>
      </c>
      <c r="D35" s="82">
        <v>3856</v>
      </c>
      <c r="E35" s="82">
        <v>30532</v>
      </c>
      <c r="F35" s="82">
        <v>39533</v>
      </c>
      <c r="G35" s="82">
        <v>70065</v>
      </c>
      <c r="H35" s="82">
        <v>3651</v>
      </c>
      <c r="I35" s="82">
        <v>5974</v>
      </c>
      <c r="J35" s="82">
        <v>12384</v>
      </c>
      <c r="K35" s="82">
        <v>10023</v>
      </c>
      <c r="L35" s="82">
        <v>92472</v>
      </c>
      <c r="M35" s="82">
        <v>429526</v>
      </c>
      <c r="N35" s="82"/>
      <c r="O35" s="12" t="s">
        <v>25</v>
      </c>
      <c r="P35" s="12" t="s">
        <v>25</v>
      </c>
    </row>
    <row r="36" spans="1:16" x14ac:dyDescent="0.3">
      <c r="A36" s="13">
        <v>43919.708333333336</v>
      </c>
      <c r="B36" s="12" t="s">
        <v>22</v>
      </c>
      <c r="C36" s="82">
        <v>27386</v>
      </c>
      <c r="D36" s="82">
        <v>3906</v>
      </c>
      <c r="E36" s="82">
        <v>31292</v>
      </c>
      <c r="F36" s="82">
        <v>42588</v>
      </c>
      <c r="G36" s="82">
        <v>73880</v>
      </c>
      <c r="H36" s="82">
        <v>3815</v>
      </c>
      <c r="I36" s="82">
        <v>5217</v>
      </c>
      <c r="J36" s="82">
        <v>13030</v>
      </c>
      <c r="K36" s="82">
        <v>10779</v>
      </c>
      <c r="L36" s="82">
        <v>97689</v>
      </c>
      <c r="M36" s="82">
        <v>454030</v>
      </c>
      <c r="N36" s="82"/>
      <c r="O36" s="12" t="s">
        <v>93</v>
      </c>
      <c r="P36" s="12" t="s">
        <v>94</v>
      </c>
    </row>
    <row r="37" spans="1:16" x14ac:dyDescent="0.3">
      <c r="A37" s="13">
        <v>43920.708333333336</v>
      </c>
      <c r="B37" s="12" t="s">
        <v>22</v>
      </c>
      <c r="C37" s="82">
        <v>27795</v>
      </c>
      <c r="D37" s="82">
        <v>3981</v>
      </c>
      <c r="E37" s="82">
        <v>31776</v>
      </c>
      <c r="F37" s="82">
        <v>43752</v>
      </c>
      <c r="G37" s="82">
        <v>75528</v>
      </c>
      <c r="H37" s="82">
        <v>1648</v>
      </c>
      <c r="I37" s="82">
        <v>4050</v>
      </c>
      <c r="J37" s="82">
        <v>14620</v>
      </c>
      <c r="K37" s="82">
        <v>11591</v>
      </c>
      <c r="L37" s="82">
        <v>101739</v>
      </c>
      <c r="M37" s="82">
        <v>477359</v>
      </c>
      <c r="N37" s="82"/>
      <c r="O37" s="12" t="s">
        <v>25</v>
      </c>
      <c r="P37" s="12" t="s">
        <v>25</v>
      </c>
    </row>
    <row r="38" spans="1:16" x14ac:dyDescent="0.3">
      <c r="A38" s="13">
        <v>43921.708333333336</v>
      </c>
      <c r="B38" s="12" t="s">
        <v>22</v>
      </c>
      <c r="C38" s="82">
        <v>28192</v>
      </c>
      <c r="D38" s="82">
        <v>4023</v>
      </c>
      <c r="E38" s="82">
        <v>32215</v>
      </c>
      <c r="F38" s="82">
        <v>45420</v>
      </c>
      <c r="G38" s="82">
        <v>77635</v>
      </c>
      <c r="H38" s="82">
        <v>2107</v>
      </c>
      <c r="I38" s="82">
        <v>4053</v>
      </c>
      <c r="J38" s="82">
        <v>15729</v>
      </c>
      <c r="K38" s="82">
        <v>12428</v>
      </c>
      <c r="L38" s="82">
        <v>105792</v>
      </c>
      <c r="M38" s="82">
        <v>506968</v>
      </c>
      <c r="N38" s="82"/>
      <c r="O38" s="12" t="s">
        <v>25</v>
      </c>
      <c r="P38" s="12" t="s">
        <v>25</v>
      </c>
    </row>
    <row r="39" spans="1:16" x14ac:dyDescent="0.3">
      <c r="A39" s="13">
        <v>43922.708333333336</v>
      </c>
      <c r="B39" s="12" t="s">
        <v>22</v>
      </c>
      <c r="C39" s="82">
        <v>28403</v>
      </c>
      <c r="D39" s="82">
        <v>4035</v>
      </c>
      <c r="E39" s="82">
        <v>32438</v>
      </c>
      <c r="F39" s="82">
        <v>48134</v>
      </c>
      <c r="G39" s="82">
        <v>80572</v>
      </c>
      <c r="H39" s="82">
        <v>2937</v>
      </c>
      <c r="I39" s="82">
        <v>4782</v>
      </c>
      <c r="J39" s="82">
        <v>16847</v>
      </c>
      <c r="K39" s="82">
        <v>13155</v>
      </c>
      <c r="L39" s="82">
        <v>110574</v>
      </c>
      <c r="M39" s="82">
        <v>541423</v>
      </c>
      <c r="N39" s="82"/>
      <c r="O39" s="12" t="s">
        <v>25</v>
      </c>
      <c r="P39" s="12" t="s">
        <v>25</v>
      </c>
    </row>
    <row r="40" spans="1:16" x14ac:dyDescent="0.3">
      <c r="A40" s="13">
        <v>43923.708333333336</v>
      </c>
      <c r="B40" s="12" t="s">
        <v>22</v>
      </c>
      <c r="C40" s="82">
        <v>28540</v>
      </c>
      <c r="D40" s="82">
        <v>4053</v>
      </c>
      <c r="E40" s="82">
        <v>32593</v>
      </c>
      <c r="F40" s="82">
        <v>50456</v>
      </c>
      <c r="G40" s="82">
        <v>83049</v>
      </c>
      <c r="H40" s="82">
        <v>2477</v>
      </c>
      <c r="I40" s="82">
        <v>4668</v>
      </c>
      <c r="J40" s="82">
        <v>18278</v>
      </c>
      <c r="K40" s="82">
        <v>13915</v>
      </c>
      <c r="L40" s="82">
        <v>115242</v>
      </c>
      <c r="M40" s="82">
        <v>581232</v>
      </c>
      <c r="N40" s="82"/>
      <c r="O40" s="12" t="s">
        <v>25</v>
      </c>
      <c r="P40" s="12" t="s">
        <v>25</v>
      </c>
    </row>
    <row r="41" spans="1:16" x14ac:dyDescent="0.3">
      <c r="A41" s="13">
        <v>43924.708333333336</v>
      </c>
      <c r="B41" s="12" t="s">
        <v>22</v>
      </c>
      <c r="C41" s="82">
        <v>28741</v>
      </c>
      <c r="D41" s="82">
        <v>4068</v>
      </c>
      <c r="E41" s="82">
        <v>32809</v>
      </c>
      <c r="F41" s="82">
        <v>52579</v>
      </c>
      <c r="G41" s="82">
        <v>85388</v>
      </c>
      <c r="H41" s="82">
        <v>2339</v>
      </c>
      <c r="I41" s="82">
        <v>4585</v>
      </c>
      <c r="J41" s="82">
        <v>19758</v>
      </c>
      <c r="K41" s="82">
        <v>14681</v>
      </c>
      <c r="L41" s="82">
        <v>119827</v>
      </c>
      <c r="M41" s="82">
        <v>619849</v>
      </c>
      <c r="N41" s="82"/>
      <c r="O41" s="12" t="s">
        <v>25</v>
      </c>
      <c r="P41" s="12" t="s">
        <v>25</v>
      </c>
    </row>
    <row r="42" spans="1:16" x14ac:dyDescent="0.3">
      <c r="A42" s="13">
        <v>43925.708333333336</v>
      </c>
      <c r="B42" s="12" t="s">
        <v>22</v>
      </c>
      <c r="C42" s="82">
        <v>29010</v>
      </c>
      <c r="D42" s="82">
        <v>3994</v>
      </c>
      <c r="E42" s="82">
        <v>33004</v>
      </c>
      <c r="F42" s="82">
        <v>55270</v>
      </c>
      <c r="G42" s="82">
        <v>88274</v>
      </c>
      <c r="H42" s="82">
        <v>2886</v>
      </c>
      <c r="I42" s="82">
        <v>4805</v>
      </c>
      <c r="J42" s="82">
        <v>20996</v>
      </c>
      <c r="K42" s="82">
        <v>15362</v>
      </c>
      <c r="L42" s="82">
        <v>124632</v>
      </c>
      <c r="M42" s="82">
        <v>657224</v>
      </c>
      <c r="N42" s="82"/>
      <c r="O42" s="12" t="s">
        <v>25</v>
      </c>
      <c r="P42" s="12" t="s">
        <v>25</v>
      </c>
    </row>
    <row r="43" spans="1:16" x14ac:dyDescent="0.3">
      <c r="A43" s="13">
        <v>43926.708333333336</v>
      </c>
      <c r="B43" s="12" t="s">
        <v>22</v>
      </c>
      <c r="C43" s="82">
        <v>28949</v>
      </c>
      <c r="D43" s="82">
        <v>3977</v>
      </c>
      <c r="E43" s="82">
        <v>32926</v>
      </c>
      <c r="F43" s="82">
        <v>58320</v>
      </c>
      <c r="G43" s="82">
        <v>91246</v>
      </c>
      <c r="H43" s="82">
        <v>2972</v>
      </c>
      <c r="I43" s="82">
        <v>4316</v>
      </c>
      <c r="J43" s="82">
        <v>21815</v>
      </c>
      <c r="K43" s="82">
        <v>15887</v>
      </c>
      <c r="L43" s="82">
        <v>128948</v>
      </c>
      <c r="M43" s="82">
        <v>691461</v>
      </c>
      <c r="N43" s="82"/>
      <c r="O43" s="12" t="s">
        <v>25</v>
      </c>
      <c r="P43" s="12" t="s">
        <v>25</v>
      </c>
    </row>
    <row r="44" spans="1:16" x14ac:dyDescent="0.3">
      <c r="A44" s="13">
        <v>43927.708333333336</v>
      </c>
      <c r="B44" s="12" t="s">
        <v>22</v>
      </c>
      <c r="C44" s="82">
        <v>28976</v>
      </c>
      <c r="D44" s="82">
        <v>3898</v>
      </c>
      <c r="E44" s="82">
        <v>32874</v>
      </c>
      <c r="F44" s="82">
        <v>60313</v>
      </c>
      <c r="G44" s="82">
        <v>93187</v>
      </c>
      <c r="H44" s="82">
        <v>1941</v>
      </c>
      <c r="I44" s="82">
        <v>3599</v>
      </c>
      <c r="J44" s="82">
        <v>22837</v>
      </c>
      <c r="K44" s="82">
        <v>16523</v>
      </c>
      <c r="L44" s="82">
        <v>132547</v>
      </c>
      <c r="M44" s="82">
        <v>721732</v>
      </c>
      <c r="N44" s="82"/>
      <c r="O44" s="12" t="s">
        <v>25</v>
      </c>
      <c r="P44" s="12" t="s">
        <v>25</v>
      </c>
    </row>
    <row r="45" spans="1:16" x14ac:dyDescent="0.3">
      <c r="A45" s="13">
        <v>43928.708333333336</v>
      </c>
      <c r="B45" s="12" t="s">
        <v>22</v>
      </c>
      <c r="C45" s="82">
        <v>28718</v>
      </c>
      <c r="D45" s="82">
        <v>3792</v>
      </c>
      <c r="E45" s="82">
        <v>32510</v>
      </c>
      <c r="F45" s="82">
        <v>61557</v>
      </c>
      <c r="G45" s="82">
        <v>94067</v>
      </c>
      <c r="H45" s="82">
        <v>880</v>
      </c>
      <c r="I45" s="82">
        <v>3039</v>
      </c>
      <c r="J45" s="82">
        <v>24392</v>
      </c>
      <c r="K45" s="82">
        <v>17127</v>
      </c>
      <c r="L45" s="82">
        <v>135586</v>
      </c>
      <c r="M45" s="82">
        <v>755445</v>
      </c>
      <c r="N45" s="82"/>
      <c r="O45" s="12" t="s">
        <v>25</v>
      </c>
      <c r="P45" s="12" t="s">
        <v>25</v>
      </c>
    </row>
    <row r="46" spans="1:16" x14ac:dyDescent="0.3">
      <c r="A46" s="13">
        <v>43929.708333333336</v>
      </c>
      <c r="B46" s="12" t="s">
        <v>22</v>
      </c>
      <c r="C46" s="82">
        <v>28485</v>
      </c>
      <c r="D46" s="82">
        <v>3693</v>
      </c>
      <c r="E46" s="82">
        <v>32178</v>
      </c>
      <c r="F46" s="82">
        <v>63084</v>
      </c>
      <c r="G46" s="82">
        <v>95262</v>
      </c>
      <c r="H46" s="82">
        <v>1195</v>
      </c>
      <c r="I46" s="82">
        <v>3836</v>
      </c>
      <c r="J46" s="82">
        <v>26491</v>
      </c>
      <c r="K46" s="82">
        <v>17669</v>
      </c>
      <c r="L46" s="82">
        <v>139422</v>
      </c>
      <c r="M46" s="82">
        <v>807125</v>
      </c>
      <c r="N46" s="82"/>
      <c r="O46" s="12" t="s">
        <v>25</v>
      </c>
      <c r="P46" s="12" t="s">
        <v>25</v>
      </c>
    </row>
    <row r="47" spans="1:16" x14ac:dyDescent="0.3">
      <c r="A47" s="13">
        <v>43930.708333333336</v>
      </c>
      <c r="B47" s="12" t="s">
        <v>22</v>
      </c>
      <c r="C47" s="82">
        <v>28399</v>
      </c>
      <c r="D47" s="82">
        <v>3605</v>
      </c>
      <c r="E47" s="82">
        <v>32004</v>
      </c>
      <c r="F47" s="82">
        <v>64873</v>
      </c>
      <c r="G47" s="82">
        <v>96877</v>
      </c>
      <c r="H47" s="82">
        <v>1615</v>
      </c>
      <c r="I47" s="82">
        <v>4204</v>
      </c>
      <c r="J47" s="82">
        <v>28470</v>
      </c>
      <c r="K47" s="82">
        <v>18279</v>
      </c>
      <c r="L47" s="82">
        <v>143626</v>
      </c>
      <c r="M47" s="82">
        <v>853369</v>
      </c>
      <c r="N47" s="82"/>
      <c r="O47" s="12" t="s">
        <v>25</v>
      </c>
      <c r="P47" s="12" t="s">
        <v>25</v>
      </c>
    </row>
    <row r="48" spans="1:16" x14ac:dyDescent="0.3">
      <c r="A48" s="13">
        <v>43931.708333333336</v>
      </c>
      <c r="B48" s="12" t="s">
        <v>22</v>
      </c>
      <c r="C48" s="82">
        <v>28242</v>
      </c>
      <c r="D48" s="82">
        <v>3497</v>
      </c>
      <c r="E48" s="82">
        <v>31739</v>
      </c>
      <c r="F48" s="82">
        <v>66534</v>
      </c>
      <c r="G48" s="82">
        <v>98273</v>
      </c>
      <c r="H48" s="82">
        <v>1396</v>
      </c>
      <c r="I48" s="82">
        <v>3951</v>
      </c>
      <c r="J48" s="82">
        <v>30455</v>
      </c>
      <c r="K48" s="82">
        <v>18849</v>
      </c>
      <c r="L48" s="82">
        <v>147577</v>
      </c>
      <c r="M48" s="82">
        <v>906864</v>
      </c>
      <c r="N48" s="82"/>
      <c r="O48" s="12" t="s">
        <v>107</v>
      </c>
      <c r="P48" s="12" t="s">
        <v>108</v>
      </c>
    </row>
    <row r="49" spans="1:16" x14ac:dyDescent="0.3">
      <c r="A49" s="13">
        <v>43932.708333333336</v>
      </c>
      <c r="B49" s="12" t="s">
        <v>22</v>
      </c>
      <c r="C49" s="82">
        <v>28144</v>
      </c>
      <c r="D49" s="82">
        <v>3381</v>
      </c>
      <c r="E49" s="82">
        <v>31525</v>
      </c>
      <c r="F49" s="82">
        <v>68744</v>
      </c>
      <c r="G49" s="82">
        <v>100269</v>
      </c>
      <c r="H49" s="82">
        <v>1996</v>
      </c>
      <c r="I49" s="82">
        <v>4694</v>
      </c>
      <c r="J49" s="82">
        <v>32534</v>
      </c>
      <c r="K49" s="82">
        <v>19468</v>
      </c>
      <c r="L49" s="82">
        <v>152271</v>
      </c>
      <c r="M49" s="82">
        <v>963473</v>
      </c>
      <c r="N49" s="82"/>
      <c r="O49" s="12" t="s">
        <v>25</v>
      </c>
      <c r="P49" s="12" t="s">
        <v>25</v>
      </c>
    </row>
    <row r="50" spans="1:16" x14ac:dyDescent="0.3">
      <c r="A50" s="13">
        <v>43933.708333333336</v>
      </c>
      <c r="B50" s="12" t="s">
        <v>22</v>
      </c>
      <c r="C50" s="82">
        <v>27847</v>
      </c>
      <c r="D50" s="82">
        <v>3343</v>
      </c>
      <c r="E50" s="82">
        <v>31190</v>
      </c>
      <c r="F50" s="82">
        <v>71063</v>
      </c>
      <c r="G50" s="82">
        <v>102253</v>
      </c>
      <c r="H50" s="82">
        <v>1984</v>
      </c>
      <c r="I50" s="82">
        <v>4092</v>
      </c>
      <c r="J50" s="82">
        <v>34211</v>
      </c>
      <c r="K50" s="82">
        <v>19899</v>
      </c>
      <c r="L50" s="82">
        <v>156363</v>
      </c>
      <c r="M50" s="82">
        <v>1010193</v>
      </c>
      <c r="N50" s="82"/>
      <c r="O50" s="12" t="s">
        <v>109</v>
      </c>
      <c r="P50" s="12" t="s">
        <v>110</v>
      </c>
    </row>
    <row r="51" spans="1:16" x14ac:dyDescent="0.3">
      <c r="A51" s="13">
        <v>43934.708333333336</v>
      </c>
      <c r="B51" s="12" t="s">
        <v>22</v>
      </c>
      <c r="C51" s="82">
        <v>28023</v>
      </c>
      <c r="D51" s="82">
        <v>3260</v>
      </c>
      <c r="E51" s="82">
        <v>31283</v>
      </c>
      <c r="F51" s="82">
        <v>72333</v>
      </c>
      <c r="G51" s="82">
        <v>103616</v>
      </c>
      <c r="H51" s="82">
        <v>1363</v>
      </c>
      <c r="I51" s="82">
        <v>3153</v>
      </c>
      <c r="J51" s="82">
        <v>35435</v>
      </c>
      <c r="K51" s="82">
        <v>20465</v>
      </c>
      <c r="L51" s="82">
        <v>159516</v>
      </c>
      <c r="M51" s="82">
        <v>1046910</v>
      </c>
      <c r="N51" s="82"/>
      <c r="O51" s="12" t="s">
        <v>25</v>
      </c>
      <c r="P51" s="12" t="s">
        <v>25</v>
      </c>
    </row>
    <row r="52" spans="1:16" x14ac:dyDescent="0.3">
      <c r="A52" s="13">
        <v>43935.708333333336</v>
      </c>
      <c r="B52" s="12" t="s">
        <v>22</v>
      </c>
      <c r="C52" s="82">
        <v>28011</v>
      </c>
      <c r="D52" s="82">
        <v>3186</v>
      </c>
      <c r="E52" s="82">
        <v>31197</v>
      </c>
      <c r="F52" s="82">
        <v>73094</v>
      </c>
      <c r="G52" s="82">
        <v>104291</v>
      </c>
      <c r="H52" s="82">
        <v>675</v>
      </c>
      <c r="I52" s="82">
        <v>2972</v>
      </c>
      <c r="J52" s="82">
        <v>37130</v>
      </c>
      <c r="K52" s="82">
        <v>21067</v>
      </c>
      <c r="L52" s="82">
        <v>162488</v>
      </c>
      <c r="M52" s="82">
        <v>1073689</v>
      </c>
      <c r="N52" s="82"/>
      <c r="O52" s="12" t="s">
        <v>25</v>
      </c>
      <c r="P52" s="12" t="s">
        <v>25</v>
      </c>
    </row>
    <row r="53" spans="1:16" x14ac:dyDescent="0.3">
      <c r="A53" s="13">
        <v>43936.708333333336</v>
      </c>
      <c r="B53" s="12" t="s">
        <v>22</v>
      </c>
      <c r="C53" s="82">
        <v>27643</v>
      </c>
      <c r="D53" s="82">
        <v>3079</v>
      </c>
      <c r="E53" s="82">
        <v>30722</v>
      </c>
      <c r="F53" s="82">
        <v>74696</v>
      </c>
      <c r="G53" s="82">
        <v>105418</v>
      </c>
      <c r="H53" s="82">
        <v>1127</v>
      </c>
      <c r="I53" s="82">
        <v>2667</v>
      </c>
      <c r="J53" s="82">
        <v>38092</v>
      </c>
      <c r="K53" s="82">
        <v>21645</v>
      </c>
      <c r="L53" s="82">
        <v>165155</v>
      </c>
      <c r="M53" s="82">
        <v>1117404</v>
      </c>
      <c r="N53" s="82"/>
      <c r="O53" s="12" t="s">
        <v>186</v>
      </c>
      <c r="P53" s="12" t="s">
        <v>187</v>
      </c>
    </row>
    <row r="54" spans="1:16" x14ac:dyDescent="0.3">
      <c r="A54" s="13">
        <v>43937.708333333336</v>
      </c>
      <c r="B54" s="12" t="s">
        <v>22</v>
      </c>
      <c r="C54" s="82">
        <v>26893</v>
      </c>
      <c r="D54" s="82">
        <v>2936</v>
      </c>
      <c r="E54" s="82">
        <v>29829</v>
      </c>
      <c r="F54" s="82">
        <v>76778</v>
      </c>
      <c r="G54" s="82">
        <v>106607</v>
      </c>
      <c r="H54" s="82">
        <v>1189</v>
      </c>
      <c r="I54" s="82">
        <v>3786</v>
      </c>
      <c r="J54" s="82">
        <v>40164</v>
      </c>
      <c r="K54" s="82">
        <v>22170</v>
      </c>
      <c r="L54" s="82">
        <v>168941</v>
      </c>
      <c r="M54" s="82">
        <v>1178403</v>
      </c>
      <c r="N54" s="82"/>
      <c r="O54" s="12" t="s">
        <v>25</v>
      </c>
      <c r="P54" s="12" t="s">
        <v>25</v>
      </c>
    </row>
    <row r="55" spans="1:16" x14ac:dyDescent="0.3">
      <c r="A55" s="13">
        <v>43938.708333333336</v>
      </c>
      <c r="B55" s="12" t="s">
        <v>22</v>
      </c>
      <c r="C55" s="82">
        <v>25786</v>
      </c>
      <c r="D55" s="82">
        <v>2812</v>
      </c>
      <c r="E55" s="82">
        <v>28598</v>
      </c>
      <c r="F55" s="82">
        <v>78364</v>
      </c>
      <c r="G55" s="82">
        <v>106962</v>
      </c>
      <c r="H55" s="82">
        <v>355</v>
      </c>
      <c r="I55" s="82">
        <v>3493</v>
      </c>
      <c r="J55" s="82">
        <v>42727</v>
      </c>
      <c r="K55" s="82">
        <v>22745</v>
      </c>
      <c r="L55" s="82">
        <v>172434</v>
      </c>
      <c r="M55" s="82">
        <v>1244108</v>
      </c>
      <c r="N55" s="82"/>
      <c r="O55" s="12" t="s">
        <v>25</v>
      </c>
      <c r="P55" s="12" t="s">
        <v>25</v>
      </c>
    </row>
    <row r="56" spans="1:16" x14ac:dyDescent="0.3">
      <c r="A56" s="13">
        <v>43939.708333333336</v>
      </c>
      <c r="B56" s="12" t="s">
        <v>22</v>
      </c>
      <c r="C56" s="82">
        <v>25007</v>
      </c>
      <c r="D56" s="82">
        <v>2733</v>
      </c>
      <c r="E56" s="82">
        <v>27740</v>
      </c>
      <c r="F56" s="82">
        <v>80031</v>
      </c>
      <c r="G56" s="82">
        <v>107771</v>
      </c>
      <c r="H56" s="82">
        <v>809</v>
      </c>
      <c r="I56" s="82">
        <v>3491</v>
      </c>
      <c r="J56" s="82">
        <v>44927</v>
      </c>
      <c r="K56" s="82">
        <v>23227</v>
      </c>
      <c r="L56" s="82">
        <v>175925</v>
      </c>
      <c r="M56" s="82">
        <v>1305833</v>
      </c>
      <c r="N56" s="82"/>
      <c r="O56" s="12" t="s">
        <v>25</v>
      </c>
      <c r="P56" s="12" t="s">
        <v>25</v>
      </c>
    </row>
    <row r="57" spans="1:16" x14ac:dyDescent="0.3">
      <c r="A57" s="13">
        <v>43940.708333333336</v>
      </c>
      <c r="B57" s="12" t="s">
        <v>22</v>
      </c>
      <c r="C57" s="82">
        <v>25033</v>
      </c>
      <c r="D57" s="82">
        <v>2635</v>
      </c>
      <c r="E57" s="82">
        <v>27668</v>
      </c>
      <c r="F57" s="82">
        <v>80589</v>
      </c>
      <c r="G57" s="82">
        <v>108257</v>
      </c>
      <c r="H57" s="82">
        <v>486</v>
      </c>
      <c r="I57" s="82">
        <v>3047</v>
      </c>
      <c r="J57" s="82">
        <v>47055</v>
      </c>
      <c r="K57" s="82">
        <v>23660</v>
      </c>
      <c r="L57" s="82">
        <v>178972</v>
      </c>
      <c r="M57" s="82">
        <v>1356541</v>
      </c>
      <c r="N57" s="82">
        <v>935310</v>
      </c>
      <c r="O57" s="12" t="s">
        <v>25</v>
      </c>
      <c r="P57" s="12" t="s">
        <v>25</v>
      </c>
    </row>
    <row r="58" spans="1:16" x14ac:dyDescent="0.3">
      <c r="A58" s="13">
        <v>43941.708333333336</v>
      </c>
      <c r="B58" s="12" t="s">
        <v>22</v>
      </c>
      <c r="C58" s="82">
        <v>24906</v>
      </c>
      <c r="D58" s="82">
        <v>2573</v>
      </c>
      <c r="E58" s="82">
        <v>27479</v>
      </c>
      <c r="F58" s="82">
        <v>80758</v>
      </c>
      <c r="G58" s="82">
        <v>108237</v>
      </c>
      <c r="H58" s="82">
        <v>-20</v>
      </c>
      <c r="I58" s="82">
        <v>2256</v>
      </c>
      <c r="J58" s="82">
        <v>48877</v>
      </c>
      <c r="K58" s="82">
        <v>24114</v>
      </c>
      <c r="L58" s="82">
        <v>181228</v>
      </c>
      <c r="M58" s="82">
        <v>1398024</v>
      </c>
      <c r="N58" s="82">
        <v>943151</v>
      </c>
      <c r="O58" s="12" t="s">
        <v>195</v>
      </c>
      <c r="P58" s="12" t="s">
        <v>196</v>
      </c>
    </row>
    <row r="59" spans="1:16" x14ac:dyDescent="0.3">
      <c r="A59" s="13">
        <v>43942.708333333336</v>
      </c>
      <c r="B59" s="12" t="s">
        <v>22</v>
      </c>
      <c r="C59" s="83">
        <v>24134</v>
      </c>
      <c r="D59" s="83">
        <v>2471</v>
      </c>
      <c r="E59" s="83">
        <v>26605</v>
      </c>
      <c r="F59" s="83">
        <v>81104</v>
      </c>
      <c r="G59" s="83">
        <v>107709</v>
      </c>
      <c r="H59" s="83">
        <v>-528</v>
      </c>
      <c r="I59" s="83">
        <v>2729</v>
      </c>
      <c r="J59" s="83">
        <v>51600</v>
      </c>
      <c r="K59" s="83">
        <v>24648</v>
      </c>
      <c r="L59" s="83">
        <v>183957</v>
      </c>
      <c r="M59" s="83">
        <v>1450150</v>
      </c>
      <c r="N59" s="83">
        <v>971246</v>
      </c>
      <c r="O59" s="12" t="s">
        <v>197</v>
      </c>
      <c r="P59" s="12" t="s">
        <v>198</v>
      </c>
    </row>
    <row r="60" spans="1:16" x14ac:dyDescent="0.3">
      <c r="A60" s="13">
        <v>43943.708333333336</v>
      </c>
      <c r="B60" s="12" t="s">
        <v>22</v>
      </c>
      <c r="C60" s="86">
        <v>23805</v>
      </c>
      <c r="D60" s="86">
        <v>2384</v>
      </c>
      <c r="E60" s="86">
        <v>26189</v>
      </c>
      <c r="F60" s="86">
        <v>81510</v>
      </c>
      <c r="G60" s="86">
        <v>107699</v>
      </c>
      <c r="H60" s="86">
        <v>-10</v>
      </c>
      <c r="I60" s="86">
        <v>3370</v>
      </c>
      <c r="J60" s="86">
        <v>54543</v>
      </c>
      <c r="K60" s="86">
        <v>25085</v>
      </c>
      <c r="L60" s="86">
        <v>187327</v>
      </c>
      <c r="M60" s="86">
        <v>1513251</v>
      </c>
      <c r="N60" s="86">
        <v>1015494</v>
      </c>
      <c r="O60" s="12" t="s">
        <v>25</v>
      </c>
      <c r="P60" s="12" t="s">
        <v>25</v>
      </c>
    </row>
    <row r="61" spans="1:16" x14ac:dyDescent="0.3">
      <c r="A61" s="13">
        <v>43944.708333333336</v>
      </c>
      <c r="B61" s="12" t="s">
        <v>22</v>
      </c>
      <c r="C61" s="104">
        <v>22871</v>
      </c>
      <c r="D61" s="104">
        <v>2267</v>
      </c>
      <c r="E61" s="104">
        <v>25138</v>
      </c>
      <c r="F61" s="104">
        <v>81710</v>
      </c>
      <c r="G61" s="104">
        <v>106848</v>
      </c>
      <c r="H61" s="104">
        <v>-851</v>
      </c>
      <c r="I61" s="104">
        <v>2646</v>
      </c>
      <c r="J61" s="104">
        <v>57576</v>
      </c>
      <c r="K61" s="104">
        <v>25549</v>
      </c>
      <c r="L61" s="104">
        <v>189973</v>
      </c>
      <c r="M61" s="104">
        <v>1579909</v>
      </c>
      <c r="N61" s="104">
        <v>1052577</v>
      </c>
      <c r="O61" s="12" t="s">
        <v>331</v>
      </c>
      <c r="P61" s="12" t="s">
        <v>332</v>
      </c>
    </row>
    <row r="62" spans="1:16" x14ac:dyDescent="0.3">
      <c r="A62" s="13">
        <v>43945.708333333336</v>
      </c>
      <c r="B62" s="12" t="s">
        <v>22</v>
      </c>
      <c r="C62" s="130">
        <v>22068</v>
      </c>
      <c r="D62" s="130">
        <v>2173</v>
      </c>
      <c r="E62" s="130">
        <v>24241</v>
      </c>
      <c r="F62" s="130">
        <v>82286</v>
      </c>
      <c r="G62" s="130">
        <v>106527</v>
      </c>
      <c r="H62" s="130">
        <v>-321</v>
      </c>
      <c r="I62" s="130">
        <v>3021</v>
      </c>
      <c r="J62" s="130">
        <v>60498</v>
      </c>
      <c r="K62" s="130">
        <v>25969</v>
      </c>
      <c r="L62" s="130">
        <v>192994</v>
      </c>
      <c r="M62" s="130">
        <v>1642356</v>
      </c>
      <c r="N62" s="130">
        <v>1147850</v>
      </c>
      <c r="O62" s="12" t="s">
        <v>4314</v>
      </c>
      <c r="P62" s="12" t="s">
        <v>4315</v>
      </c>
    </row>
    <row r="63" spans="1:16" x14ac:dyDescent="0.3">
      <c r="A63" s="13">
        <v>43946.708333333336</v>
      </c>
      <c r="B63" s="12" t="s">
        <v>22</v>
      </c>
      <c r="C63" s="131">
        <v>21533</v>
      </c>
      <c r="D63" s="131">
        <v>2102</v>
      </c>
      <c r="E63" s="131">
        <v>23635</v>
      </c>
      <c r="F63" s="131">
        <v>82212</v>
      </c>
      <c r="G63" s="131">
        <v>105847</v>
      </c>
      <c r="H63" s="131">
        <v>-680</v>
      </c>
      <c r="I63" s="131">
        <v>2357</v>
      </c>
      <c r="J63" s="131">
        <v>63120</v>
      </c>
      <c r="K63" s="131">
        <v>26384</v>
      </c>
      <c r="L63" s="131">
        <v>195351</v>
      </c>
      <c r="M63" s="131">
        <v>1707743</v>
      </c>
      <c r="N63" s="131">
        <v>1186526</v>
      </c>
      <c r="O63" s="12" t="s">
        <v>25</v>
      </c>
      <c r="P63" s="12" t="s">
        <v>25</v>
      </c>
    </row>
    <row r="64" spans="1:16" x14ac:dyDescent="0.3">
      <c r="A64" s="13">
        <v>43947.708333333336</v>
      </c>
      <c r="B64" s="12" t="s">
        <v>22</v>
      </c>
      <c r="C64" s="157">
        <v>21372</v>
      </c>
      <c r="D64" s="157">
        <v>2009</v>
      </c>
      <c r="E64" s="157">
        <v>23381</v>
      </c>
      <c r="F64" s="157">
        <v>82722</v>
      </c>
      <c r="G64" s="157">
        <v>106103</v>
      </c>
      <c r="H64" s="157">
        <v>256</v>
      </c>
      <c r="I64" s="157">
        <v>2324</v>
      </c>
      <c r="J64" s="157">
        <v>64928</v>
      </c>
      <c r="K64" s="157">
        <v>26644</v>
      </c>
      <c r="L64" s="157">
        <v>197675</v>
      </c>
      <c r="M64" s="157">
        <v>1757659</v>
      </c>
      <c r="N64" s="157">
        <v>1210639</v>
      </c>
      <c r="O64" s="12" t="s">
        <v>4316</v>
      </c>
      <c r="P64" s="12" t="s">
        <v>4317</v>
      </c>
    </row>
    <row r="65" spans="1:16" x14ac:dyDescent="0.3">
      <c r="A65" s="13">
        <v>43948.708333333336</v>
      </c>
      <c r="B65" s="12" t="s">
        <v>22</v>
      </c>
      <c r="C65" s="235">
        <v>20353</v>
      </c>
      <c r="D65" s="235">
        <v>1956</v>
      </c>
      <c r="E65" s="235">
        <v>22309</v>
      </c>
      <c r="F65" s="235">
        <v>83504</v>
      </c>
      <c r="G65" s="235">
        <v>105813</v>
      </c>
      <c r="H65" s="235">
        <v>-290</v>
      </c>
      <c r="I65" s="235">
        <v>1739</v>
      </c>
      <c r="J65" s="235">
        <v>66624</v>
      </c>
      <c r="K65" s="235">
        <v>26977</v>
      </c>
      <c r="L65" s="235">
        <v>199414</v>
      </c>
      <c r="M65" s="235">
        <v>1789662</v>
      </c>
      <c r="N65" s="235">
        <v>1237317</v>
      </c>
      <c r="O65" s="12" t="s">
        <v>25</v>
      </c>
      <c r="P65" s="12" t="s">
        <v>25</v>
      </c>
    </row>
    <row r="66" spans="1:16" x14ac:dyDescent="0.3">
      <c r="A66" s="13">
        <v>43949.708333333336</v>
      </c>
      <c r="B66" s="12" t="s">
        <v>22</v>
      </c>
      <c r="C66" s="265">
        <v>19723</v>
      </c>
      <c r="D66" s="265">
        <v>1863</v>
      </c>
      <c r="E66" s="265">
        <v>21586</v>
      </c>
      <c r="F66" s="265">
        <v>83619</v>
      </c>
      <c r="G66" s="265">
        <v>105205</v>
      </c>
      <c r="H66" s="265">
        <v>-608</v>
      </c>
      <c r="I66" s="265">
        <v>2091</v>
      </c>
      <c r="J66" s="265">
        <v>68941</v>
      </c>
      <c r="K66" s="265">
        <v>27359</v>
      </c>
      <c r="L66" s="265">
        <v>201505</v>
      </c>
      <c r="M66" s="265">
        <v>1846934</v>
      </c>
      <c r="N66" s="265">
        <v>1274871</v>
      </c>
      <c r="O66" s="12" t="s">
        <v>25</v>
      </c>
      <c r="P66" s="12" t="s">
        <v>25</v>
      </c>
    </row>
    <row r="67" spans="1:16" x14ac:dyDescent="0.3">
      <c r="A67" s="13">
        <v>43950.708333333336</v>
      </c>
      <c r="B67" s="12" t="s">
        <v>22</v>
      </c>
      <c r="C67" s="265">
        <v>19210</v>
      </c>
      <c r="D67" s="265">
        <v>1795</v>
      </c>
      <c r="E67" s="265">
        <v>21005</v>
      </c>
      <c r="F67" s="265">
        <v>83652</v>
      </c>
      <c r="G67" s="265">
        <v>104657</v>
      </c>
      <c r="H67" s="265">
        <v>-548</v>
      </c>
      <c r="I67" s="265">
        <v>2086</v>
      </c>
      <c r="J67" s="265">
        <v>71252</v>
      </c>
      <c r="K67" s="265">
        <v>27682</v>
      </c>
      <c r="L67" s="265">
        <v>203591</v>
      </c>
      <c r="M67" s="265">
        <v>1910761</v>
      </c>
      <c r="N67" s="265">
        <v>1313460</v>
      </c>
      <c r="O67" s="12" t="s">
        <v>25</v>
      </c>
      <c r="P67" s="12" t="s">
        <v>25</v>
      </c>
    </row>
    <row r="68" spans="1:16" x14ac:dyDescent="0.3">
      <c r="A68" s="13">
        <v>43951.708333333336</v>
      </c>
      <c r="B68" s="12" t="s">
        <v>22</v>
      </c>
      <c r="C68" s="265">
        <v>18149</v>
      </c>
      <c r="D68" s="265">
        <v>1694</v>
      </c>
      <c r="E68" s="265">
        <v>19843</v>
      </c>
      <c r="F68" s="265">
        <v>81708</v>
      </c>
      <c r="G68" s="265">
        <v>101551</v>
      </c>
      <c r="H68" s="265">
        <v>-3106</v>
      </c>
      <c r="I68" s="265">
        <v>1872</v>
      </c>
      <c r="J68" s="265">
        <v>75945</v>
      </c>
      <c r="K68" s="265">
        <v>27967</v>
      </c>
      <c r="L68" s="265">
        <v>205463</v>
      </c>
      <c r="M68" s="265">
        <v>1979217</v>
      </c>
      <c r="N68" s="265">
        <v>1354901</v>
      </c>
      <c r="O68" s="12" t="s">
        <v>25</v>
      </c>
      <c r="P68" s="12" t="s">
        <v>25</v>
      </c>
    </row>
    <row r="69" spans="1:16" x14ac:dyDescent="0.3">
      <c r="A69" s="13">
        <v>43952.708333333336</v>
      </c>
      <c r="B69" s="12" t="s">
        <v>22</v>
      </c>
      <c r="C69" s="265">
        <v>17569</v>
      </c>
      <c r="D69" s="265">
        <v>1578</v>
      </c>
      <c r="E69" s="265">
        <v>19147</v>
      </c>
      <c r="F69" s="265">
        <v>81796</v>
      </c>
      <c r="G69" s="265">
        <v>100943</v>
      </c>
      <c r="H69" s="265">
        <v>-608</v>
      </c>
      <c r="I69" s="265">
        <v>1965</v>
      </c>
      <c r="J69" s="265">
        <v>78249</v>
      </c>
      <c r="K69" s="265">
        <v>28236</v>
      </c>
      <c r="L69" s="265">
        <v>207428</v>
      </c>
      <c r="M69" s="265">
        <v>2053425</v>
      </c>
      <c r="N69" s="265">
        <v>1398633</v>
      </c>
      <c r="O69" s="12" t="s">
        <v>4427</v>
      </c>
      <c r="P69" s="12" t="s">
        <v>4428</v>
      </c>
    </row>
    <row r="70" spans="1:16" x14ac:dyDescent="0.3">
      <c r="A70" s="13">
        <v>43953.708333333336</v>
      </c>
      <c r="B70" s="12" t="s">
        <v>22</v>
      </c>
      <c r="C70" s="265">
        <v>17357</v>
      </c>
      <c r="D70" s="265">
        <v>1539</v>
      </c>
      <c r="E70" s="265">
        <v>18896</v>
      </c>
      <c r="F70" s="265">
        <v>81808</v>
      </c>
      <c r="G70" s="265">
        <v>100704</v>
      </c>
      <c r="H70" s="265">
        <v>-239</v>
      </c>
      <c r="I70" s="265">
        <v>1900</v>
      </c>
      <c r="J70" s="265">
        <v>79914</v>
      </c>
      <c r="K70" s="265">
        <v>28710</v>
      </c>
      <c r="L70" s="265">
        <v>209328</v>
      </c>
      <c r="M70" s="265">
        <v>2108837</v>
      </c>
      <c r="N70" s="265">
        <v>1429864</v>
      </c>
      <c r="O70" s="12" t="s">
        <v>4429</v>
      </c>
      <c r="P70" s="12" t="s">
        <v>4430</v>
      </c>
    </row>
    <row r="71" spans="1:16" x14ac:dyDescent="0.3">
      <c r="A71" s="13">
        <v>43954.708333333336</v>
      </c>
      <c r="B71" s="12" t="s">
        <v>22</v>
      </c>
      <c r="C71" s="265">
        <v>17242</v>
      </c>
      <c r="D71" s="265">
        <v>1501</v>
      </c>
      <c r="E71" s="265">
        <v>18743</v>
      </c>
      <c r="F71" s="265">
        <v>81436</v>
      </c>
      <c r="G71" s="265">
        <v>100179</v>
      </c>
      <c r="H71" s="265">
        <v>-525</v>
      </c>
      <c r="I71" s="265">
        <v>1389</v>
      </c>
      <c r="J71" s="265">
        <v>81654</v>
      </c>
      <c r="K71" s="265">
        <v>28884</v>
      </c>
      <c r="L71" s="265">
        <v>210717</v>
      </c>
      <c r="M71" s="265">
        <v>2153772</v>
      </c>
      <c r="N71" s="265">
        <v>1456911</v>
      </c>
      <c r="O71" s="12" t="s">
        <v>25</v>
      </c>
      <c r="P71" s="12" t="s">
        <v>25</v>
      </c>
    </row>
    <row r="72" spans="1:16" x14ac:dyDescent="0.3">
      <c r="A72" s="13">
        <v>43955.708333333336</v>
      </c>
      <c r="B72" s="12" t="s">
        <v>22</v>
      </c>
      <c r="C72" s="265">
        <v>16823</v>
      </c>
      <c r="D72" s="265">
        <v>1479</v>
      </c>
      <c r="E72" s="265">
        <v>18302</v>
      </c>
      <c r="F72" s="265">
        <v>81678</v>
      </c>
      <c r="G72" s="265">
        <v>99980</v>
      </c>
      <c r="H72" s="265">
        <v>-199</v>
      </c>
      <c r="I72" s="265">
        <v>1221</v>
      </c>
      <c r="J72" s="265">
        <v>82879</v>
      </c>
      <c r="K72" s="265">
        <v>29079</v>
      </c>
      <c r="L72" s="265">
        <v>211938</v>
      </c>
      <c r="M72" s="265">
        <v>2191403</v>
      </c>
      <c r="N72" s="265">
        <v>1479910</v>
      </c>
      <c r="O72" s="12" t="s">
        <v>4431</v>
      </c>
      <c r="P72" s="12" t="s">
        <v>4432</v>
      </c>
    </row>
    <row r="73" spans="1:16" x14ac:dyDescent="0.3">
      <c r="A73" s="13">
        <v>43956.708333333336</v>
      </c>
      <c r="B73" s="12" t="s">
        <v>22</v>
      </c>
      <c r="C73" s="265">
        <v>16270</v>
      </c>
      <c r="D73" s="265">
        <v>1427</v>
      </c>
      <c r="E73" s="265">
        <v>17697</v>
      </c>
      <c r="F73" s="265">
        <v>80770</v>
      </c>
      <c r="G73" s="265">
        <v>98467</v>
      </c>
      <c r="H73" s="265">
        <v>-1513</v>
      </c>
      <c r="I73" s="265">
        <v>1075</v>
      </c>
      <c r="J73" s="265">
        <v>85231</v>
      </c>
      <c r="K73" s="265">
        <v>29315</v>
      </c>
      <c r="L73" s="265">
        <v>213013</v>
      </c>
      <c r="M73" s="265">
        <v>2246666</v>
      </c>
      <c r="N73" s="265">
        <v>1512121</v>
      </c>
      <c r="O73" s="12" t="s">
        <v>25</v>
      </c>
      <c r="P73" s="12" t="s">
        <v>25</v>
      </c>
    </row>
    <row r="74" spans="1:16" x14ac:dyDescent="0.3">
      <c r="A74" s="13">
        <v>43957.708333333336</v>
      </c>
      <c r="B74" s="12" t="s">
        <v>22</v>
      </c>
      <c r="C74" s="265">
        <v>15769</v>
      </c>
      <c r="D74" s="265">
        <v>1333</v>
      </c>
      <c r="E74" s="265">
        <v>17102</v>
      </c>
      <c r="F74" s="265">
        <v>74426</v>
      </c>
      <c r="G74" s="265">
        <v>91528</v>
      </c>
      <c r="H74" s="265">
        <v>-6939</v>
      </c>
      <c r="I74" s="265">
        <v>1444</v>
      </c>
      <c r="J74" s="265">
        <v>93245</v>
      </c>
      <c r="K74" s="265">
        <v>29684</v>
      </c>
      <c r="L74" s="265">
        <v>214457</v>
      </c>
      <c r="M74" s="265">
        <v>2310929</v>
      </c>
      <c r="N74" s="265">
        <v>1549892</v>
      </c>
      <c r="O74" s="12" t="s">
        <v>4433</v>
      </c>
      <c r="P74" s="12" t="s">
        <v>4434</v>
      </c>
    </row>
    <row r="75" spans="1:16" x14ac:dyDescent="0.3">
      <c r="A75" s="13">
        <v>43958.708333333336</v>
      </c>
      <c r="B75" s="12" t="s">
        <v>22</v>
      </c>
      <c r="C75" s="265">
        <v>15174</v>
      </c>
      <c r="D75" s="265">
        <v>1311</v>
      </c>
      <c r="E75" s="265">
        <v>16485</v>
      </c>
      <c r="F75" s="265">
        <v>73139</v>
      </c>
      <c r="G75" s="265">
        <v>89624</v>
      </c>
      <c r="H75" s="265">
        <v>-1904</v>
      </c>
      <c r="I75" s="265">
        <v>1401</v>
      </c>
      <c r="J75" s="265">
        <v>96276</v>
      </c>
      <c r="K75" s="265">
        <v>29958</v>
      </c>
      <c r="L75" s="265">
        <v>215858</v>
      </c>
      <c r="M75" s="265">
        <v>2381288</v>
      </c>
      <c r="N75" s="265">
        <v>1563557</v>
      </c>
      <c r="O75" s="12" t="s">
        <v>4435</v>
      </c>
      <c r="P75" s="12" t="s">
        <v>4436</v>
      </c>
    </row>
    <row r="76" spans="1:16" x14ac:dyDescent="0.3">
      <c r="A76" s="13">
        <v>43959.708333333336</v>
      </c>
      <c r="B76" s="12" t="s">
        <v>22</v>
      </c>
      <c r="C76" s="265">
        <v>14636</v>
      </c>
      <c r="D76" s="265">
        <v>1168</v>
      </c>
      <c r="E76" s="265">
        <v>15804</v>
      </c>
      <c r="F76" s="265">
        <v>72157</v>
      </c>
      <c r="G76" s="265">
        <v>87961</v>
      </c>
      <c r="H76" s="265">
        <v>-1663</v>
      </c>
      <c r="I76" s="265">
        <v>1327</v>
      </c>
      <c r="J76" s="265">
        <v>99023</v>
      </c>
      <c r="K76" s="265">
        <v>30201</v>
      </c>
      <c r="L76" s="265">
        <v>217185</v>
      </c>
      <c r="M76" s="265">
        <v>2445063</v>
      </c>
      <c r="N76" s="265">
        <v>1608985</v>
      </c>
      <c r="O76" s="12" t="s">
        <v>4437</v>
      </c>
      <c r="P76" s="12" t="s">
        <v>4438</v>
      </c>
    </row>
    <row r="77" spans="1:16" x14ac:dyDescent="0.3">
      <c r="A77" s="13">
        <v>43960.708333333336</v>
      </c>
      <c r="B77" s="12" t="s">
        <v>22</v>
      </c>
      <c r="C77" s="267">
        <v>13834</v>
      </c>
      <c r="D77" s="267">
        <v>1034</v>
      </c>
      <c r="E77" s="267">
        <v>14868</v>
      </c>
      <c r="F77" s="267">
        <v>69974</v>
      </c>
      <c r="G77" s="267">
        <v>84842</v>
      </c>
      <c r="H77" s="267">
        <v>-3119</v>
      </c>
      <c r="I77" s="267">
        <v>1083</v>
      </c>
      <c r="J77" s="267">
        <v>103031</v>
      </c>
      <c r="K77" s="267">
        <v>30395</v>
      </c>
      <c r="L77" s="267">
        <v>218268</v>
      </c>
      <c r="M77" s="267">
        <v>2514234</v>
      </c>
      <c r="N77" s="267">
        <v>1645076</v>
      </c>
      <c r="O77" s="12" t="s">
        <v>25</v>
      </c>
      <c r="P77" s="12" t="s">
        <v>25</v>
      </c>
    </row>
    <row r="78" spans="1:16" x14ac:dyDescent="0.3">
      <c r="A78" s="13">
        <v>43961.708333333336</v>
      </c>
      <c r="B78" s="12" t="s">
        <v>22</v>
      </c>
      <c r="C78" s="268">
        <v>13618</v>
      </c>
      <c r="D78" s="268">
        <v>1027</v>
      </c>
      <c r="E78" s="268">
        <v>14645</v>
      </c>
      <c r="F78" s="268">
        <v>68679</v>
      </c>
      <c r="G78" s="268">
        <v>83324</v>
      </c>
      <c r="H78" s="268">
        <v>-1518</v>
      </c>
      <c r="I78" s="268">
        <v>802</v>
      </c>
      <c r="J78" s="268">
        <v>105186</v>
      </c>
      <c r="K78" s="268">
        <v>30560</v>
      </c>
      <c r="L78" s="268">
        <v>219070</v>
      </c>
      <c r="M78" s="268">
        <v>2565912</v>
      </c>
      <c r="N78" s="268">
        <v>1676460</v>
      </c>
      <c r="O78" s="12" t="s">
        <v>25</v>
      </c>
      <c r="P78" s="12" t="s">
        <v>25</v>
      </c>
    </row>
    <row r="79" spans="1:16" x14ac:dyDescent="0.3">
      <c r="A79" s="13">
        <v>43962.708333333336</v>
      </c>
      <c r="B79" s="12" t="s">
        <v>22</v>
      </c>
      <c r="C79" s="284">
        <v>13539</v>
      </c>
      <c r="D79" s="284">
        <v>999</v>
      </c>
      <c r="E79" s="284">
        <v>14538</v>
      </c>
      <c r="F79" s="284">
        <v>67950</v>
      </c>
      <c r="G79" s="284">
        <v>82488</v>
      </c>
      <c r="H79" s="284">
        <v>-836</v>
      </c>
      <c r="I79" s="284">
        <v>744</v>
      </c>
      <c r="J79" s="284">
        <v>106587</v>
      </c>
      <c r="K79" s="284">
        <v>30739</v>
      </c>
      <c r="L79" s="284">
        <v>219814</v>
      </c>
      <c r="M79" s="284">
        <v>2606652</v>
      </c>
      <c r="N79" s="284">
        <v>1702283</v>
      </c>
      <c r="O79" s="12" t="s">
        <v>25</v>
      </c>
      <c r="P79" s="12" t="s">
        <v>25</v>
      </c>
    </row>
    <row r="80" spans="1:16" x14ac:dyDescent="0.3">
      <c r="A80" s="13">
        <v>43963.708333333336</v>
      </c>
      <c r="B80" s="12" t="s">
        <v>22</v>
      </c>
      <c r="C80" s="287">
        <v>12865</v>
      </c>
      <c r="D80" s="287">
        <v>952</v>
      </c>
      <c r="E80" s="287">
        <v>13817</v>
      </c>
      <c r="F80" s="287">
        <v>67449</v>
      </c>
      <c r="G80" s="287">
        <v>81266</v>
      </c>
      <c r="H80" s="287">
        <v>-1222</v>
      </c>
      <c r="I80" s="287">
        <v>1402</v>
      </c>
      <c r="J80" s="287">
        <v>109039</v>
      </c>
      <c r="K80" s="287">
        <v>30911</v>
      </c>
      <c r="L80" s="287">
        <v>221216</v>
      </c>
      <c r="M80" s="287">
        <v>2673655</v>
      </c>
      <c r="N80" s="287">
        <v>1741903</v>
      </c>
      <c r="O80" s="12" t="s">
        <v>4744</v>
      </c>
      <c r="P80" s="12" t="s">
        <v>4745</v>
      </c>
    </row>
    <row r="81" spans="1:16" x14ac:dyDescent="0.3">
      <c r="A81" s="13">
        <v>43964.708333333336</v>
      </c>
      <c r="B81" s="12" t="s">
        <v>22</v>
      </c>
      <c r="C81" s="290">
        <v>12172</v>
      </c>
      <c r="D81" s="290">
        <v>893</v>
      </c>
      <c r="E81" s="290">
        <v>13065</v>
      </c>
      <c r="F81" s="290">
        <v>65392</v>
      </c>
      <c r="G81" s="290">
        <v>78457</v>
      </c>
      <c r="H81" s="290">
        <v>-2809</v>
      </c>
      <c r="I81" s="290">
        <v>888</v>
      </c>
      <c r="J81" s="290">
        <v>112541</v>
      </c>
      <c r="K81" s="290">
        <v>31106</v>
      </c>
      <c r="L81" s="290">
        <v>222104</v>
      </c>
      <c r="M81" s="290">
        <v>2735628</v>
      </c>
      <c r="N81" s="290">
        <v>1778952</v>
      </c>
      <c r="O81" s="12" t="s">
        <v>25</v>
      </c>
      <c r="P81" s="12" t="s">
        <v>25</v>
      </c>
    </row>
    <row r="82" spans="1:16" x14ac:dyDescent="0.3">
      <c r="A82" s="13">
        <v>43965.708333333336</v>
      </c>
      <c r="B82" s="12" t="s">
        <v>22</v>
      </c>
      <c r="C82" s="290">
        <v>11453</v>
      </c>
      <c r="D82" s="290">
        <v>855</v>
      </c>
      <c r="E82" s="290">
        <v>12308</v>
      </c>
      <c r="F82" s="290">
        <v>64132</v>
      </c>
      <c r="G82" s="290">
        <v>76440</v>
      </c>
      <c r="H82" s="290">
        <v>-2017</v>
      </c>
      <c r="I82" s="290">
        <v>992</v>
      </c>
      <c r="J82" s="290">
        <v>115288</v>
      </c>
      <c r="K82" s="290">
        <v>31368</v>
      </c>
      <c r="L82" s="290">
        <v>223096</v>
      </c>
      <c r="M82" s="290">
        <v>2807504</v>
      </c>
      <c r="N82" s="290">
        <v>1820083</v>
      </c>
      <c r="O82" s="12" t="s">
        <v>4835</v>
      </c>
      <c r="P82" s="12" t="s">
        <v>4836</v>
      </c>
    </row>
    <row r="83" spans="1:16" x14ac:dyDescent="0.3">
      <c r="A83" s="13"/>
      <c r="B83" s="12" t="s">
        <v>25</v>
      </c>
      <c r="C83" s="290"/>
      <c r="D83" s="290"/>
      <c r="E83" s="290"/>
      <c r="F83" s="290"/>
      <c r="G83" s="290"/>
      <c r="H83" s="290"/>
      <c r="I83" s="290"/>
      <c r="J83" s="290"/>
      <c r="K83" s="290"/>
      <c r="L83" s="290"/>
      <c r="M83" s="290"/>
      <c r="N83" s="290"/>
      <c r="O83" s="12" t="s">
        <v>25</v>
      </c>
      <c r="P83" s="12" t="s">
        <v>25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3EF6F9-923D-422A-9A53-198F3DB97684}">
  <dimension ref="A1:T1702"/>
  <sheetViews>
    <sheetView workbookViewId="0">
      <selection activeCell="A2" sqref="A2:T1702"/>
    </sheetView>
  </sheetViews>
  <sheetFormatPr defaultRowHeight="14.4" x14ac:dyDescent="0.3"/>
  <cols>
    <col min="1" max="1" width="15.6640625" bestFit="1" customWidth="1"/>
    <col min="2" max="2" width="7.44140625" bestFit="1" customWidth="1"/>
    <col min="3" max="3" width="16.109375" bestFit="1" customWidth="1"/>
    <col min="4" max="4" width="23.88671875" bestFit="1" customWidth="1"/>
    <col min="5" max="6" width="11" bestFit="1" customWidth="1"/>
    <col min="7" max="7" width="22.6640625" bestFit="1" customWidth="1"/>
    <col min="8" max="8" width="17.77734375" bestFit="1" customWidth="1"/>
    <col min="9" max="9" width="20" bestFit="1" customWidth="1"/>
    <col min="10" max="10" width="23" bestFit="1" customWidth="1"/>
    <col min="11" max="11" width="15.109375" bestFit="1" customWidth="1"/>
    <col min="12" max="12" width="25" bestFit="1" customWidth="1"/>
    <col min="13" max="13" width="15" bestFit="1" customWidth="1"/>
    <col min="14" max="14" width="15.88671875" bestFit="1" customWidth="1"/>
    <col min="15" max="15" width="10.5546875" bestFit="1" customWidth="1"/>
    <col min="16" max="16" width="12.21875" bestFit="1" customWidth="1"/>
    <col min="17" max="17" width="10.33203125" bestFit="1" customWidth="1"/>
    <col min="18" max="18" width="12.5546875" bestFit="1" customWidth="1"/>
    <col min="19" max="19" width="9.88671875" bestFit="1" customWidth="1"/>
    <col min="20" max="20" width="10.6640625" bestFit="1" customWidth="1"/>
  </cols>
  <sheetData>
    <row r="1" spans="1:20" x14ac:dyDescent="0.3">
      <c r="A1" t="s">
        <v>12</v>
      </c>
      <c r="B1" t="s">
        <v>13</v>
      </c>
      <c r="C1" t="s">
        <v>38</v>
      </c>
      <c r="D1" t="s">
        <v>39</v>
      </c>
      <c r="E1" t="s">
        <v>40</v>
      </c>
      <c r="F1" t="s">
        <v>41</v>
      </c>
      <c r="G1" t="s">
        <v>14</v>
      </c>
      <c r="H1" t="s">
        <v>15</v>
      </c>
      <c r="I1" t="s">
        <v>16</v>
      </c>
      <c r="J1" t="s">
        <v>17</v>
      </c>
      <c r="K1" t="s">
        <v>90</v>
      </c>
      <c r="L1" t="s">
        <v>91</v>
      </c>
      <c r="M1" t="s">
        <v>92</v>
      </c>
      <c r="N1" t="s">
        <v>18</v>
      </c>
      <c r="O1" t="s">
        <v>19</v>
      </c>
      <c r="P1" t="s">
        <v>20</v>
      </c>
      <c r="Q1" t="s">
        <v>21</v>
      </c>
      <c r="R1" t="s">
        <v>194</v>
      </c>
      <c r="S1" t="s">
        <v>23</v>
      </c>
      <c r="T1" t="s">
        <v>24</v>
      </c>
    </row>
    <row r="2" spans="1:20" x14ac:dyDescent="0.3">
      <c r="A2" s="13">
        <v>43885.75</v>
      </c>
      <c r="B2" s="12" t="s">
        <v>22</v>
      </c>
      <c r="C2" s="82">
        <v>13</v>
      </c>
      <c r="D2" s="12" t="s">
        <v>42</v>
      </c>
      <c r="E2" s="82">
        <v>4235122196</v>
      </c>
      <c r="F2" s="82">
        <v>1339843823</v>
      </c>
      <c r="G2" s="82">
        <v>0</v>
      </c>
      <c r="H2" s="82">
        <v>0</v>
      </c>
      <c r="I2" s="82">
        <v>0</v>
      </c>
      <c r="J2" s="82">
        <v>0</v>
      </c>
      <c r="K2" s="82">
        <v>0</v>
      </c>
      <c r="L2" s="82">
        <v>0</v>
      </c>
      <c r="M2" s="82">
        <v>0</v>
      </c>
      <c r="N2" s="82">
        <v>0</v>
      </c>
      <c r="O2" s="82">
        <v>0</v>
      </c>
      <c r="P2" s="82">
        <v>0</v>
      </c>
      <c r="Q2" s="82">
        <v>5</v>
      </c>
      <c r="R2" s="12" t="s">
        <v>25</v>
      </c>
      <c r="S2" s="12" t="s">
        <v>25</v>
      </c>
      <c r="T2" s="12" t="s">
        <v>25</v>
      </c>
    </row>
    <row r="3" spans="1:20" x14ac:dyDescent="0.3">
      <c r="A3" s="13">
        <v>43885.75</v>
      </c>
      <c r="B3" s="12" t="s">
        <v>22</v>
      </c>
      <c r="C3" s="82">
        <v>17</v>
      </c>
      <c r="D3" s="12" t="s">
        <v>43</v>
      </c>
      <c r="E3" s="82">
        <v>4063947052</v>
      </c>
      <c r="F3" s="82">
        <v>1580514834</v>
      </c>
      <c r="G3" s="82">
        <v>0</v>
      </c>
      <c r="H3" s="82">
        <v>0</v>
      </c>
      <c r="I3" s="82">
        <v>0</v>
      </c>
      <c r="J3" s="82">
        <v>0</v>
      </c>
      <c r="K3" s="82">
        <v>0</v>
      </c>
      <c r="L3" s="82">
        <v>0</v>
      </c>
      <c r="M3" s="82">
        <v>0</v>
      </c>
      <c r="N3" s="82">
        <v>0</v>
      </c>
      <c r="O3" s="82">
        <v>0</v>
      </c>
      <c r="P3" s="82">
        <v>0</v>
      </c>
      <c r="Q3" s="82">
        <v>0</v>
      </c>
      <c r="R3" s="12" t="s">
        <v>25</v>
      </c>
      <c r="S3" s="12" t="s">
        <v>25</v>
      </c>
      <c r="T3" s="12" t="s">
        <v>25</v>
      </c>
    </row>
    <row r="4" spans="1:20" x14ac:dyDescent="0.3">
      <c r="A4" s="13">
        <v>43885.75</v>
      </c>
      <c r="B4" s="12" t="s">
        <v>22</v>
      </c>
      <c r="C4" s="82">
        <v>4</v>
      </c>
      <c r="D4" s="12" t="s">
        <v>44</v>
      </c>
      <c r="E4" s="82">
        <v>4649933453</v>
      </c>
      <c r="F4" s="82">
        <v>1135662422</v>
      </c>
      <c r="G4" s="82">
        <v>0</v>
      </c>
      <c r="H4" s="82">
        <v>0</v>
      </c>
      <c r="I4" s="82">
        <v>0</v>
      </c>
      <c r="J4" s="82">
        <v>0</v>
      </c>
      <c r="K4" s="82">
        <v>0</v>
      </c>
      <c r="L4" s="82">
        <v>0</v>
      </c>
      <c r="M4" s="82">
        <v>0</v>
      </c>
      <c r="N4" s="82">
        <v>0</v>
      </c>
      <c r="O4" s="82">
        <v>0</v>
      </c>
      <c r="P4" s="82">
        <v>0</v>
      </c>
      <c r="Q4" s="82">
        <v>1</v>
      </c>
      <c r="R4" s="12" t="s">
        <v>25</v>
      </c>
      <c r="S4" s="12" t="s">
        <v>25</v>
      </c>
      <c r="T4" s="12" t="s">
        <v>25</v>
      </c>
    </row>
    <row r="5" spans="1:20" x14ac:dyDescent="0.3">
      <c r="A5" s="13">
        <v>43885.75</v>
      </c>
      <c r="B5" s="12" t="s">
        <v>22</v>
      </c>
      <c r="C5" s="82">
        <v>18</v>
      </c>
      <c r="D5" s="12" t="s">
        <v>45</v>
      </c>
      <c r="E5" s="82">
        <v>3890597598</v>
      </c>
      <c r="F5" s="82">
        <v>1659440194</v>
      </c>
      <c r="G5" s="82">
        <v>0</v>
      </c>
      <c r="H5" s="82">
        <v>0</v>
      </c>
      <c r="I5" s="82">
        <v>0</v>
      </c>
      <c r="J5" s="82">
        <v>0</v>
      </c>
      <c r="K5" s="82">
        <v>0</v>
      </c>
      <c r="L5" s="82">
        <v>0</v>
      </c>
      <c r="M5" s="82">
        <v>0</v>
      </c>
      <c r="N5" s="82">
        <v>0</v>
      </c>
      <c r="O5" s="82">
        <v>0</v>
      </c>
      <c r="P5" s="82">
        <v>0</v>
      </c>
      <c r="Q5" s="82">
        <v>1</v>
      </c>
      <c r="R5" s="12" t="s">
        <v>25</v>
      </c>
      <c r="S5" s="12" t="s">
        <v>25</v>
      </c>
      <c r="T5" s="12" t="s">
        <v>25</v>
      </c>
    </row>
    <row r="6" spans="1:20" x14ac:dyDescent="0.3">
      <c r="A6" s="13">
        <v>43885.75</v>
      </c>
      <c r="B6" s="12" t="s">
        <v>22</v>
      </c>
      <c r="C6" s="82">
        <v>15</v>
      </c>
      <c r="D6" s="12" t="s">
        <v>46</v>
      </c>
      <c r="E6" s="82">
        <v>4083956555</v>
      </c>
      <c r="F6" s="82">
        <v>1425084984</v>
      </c>
      <c r="G6" s="82">
        <v>0</v>
      </c>
      <c r="H6" s="82">
        <v>0</v>
      </c>
      <c r="I6" s="82">
        <v>0</v>
      </c>
      <c r="J6" s="82">
        <v>0</v>
      </c>
      <c r="K6" s="82">
        <v>0</v>
      </c>
      <c r="L6" s="82">
        <v>0</v>
      </c>
      <c r="M6" s="82">
        <v>0</v>
      </c>
      <c r="N6" s="82">
        <v>0</v>
      </c>
      <c r="O6" s="82">
        <v>0</v>
      </c>
      <c r="P6" s="82">
        <v>0</v>
      </c>
      <c r="Q6" s="82">
        <v>10</v>
      </c>
      <c r="R6" s="12" t="s">
        <v>25</v>
      </c>
      <c r="S6" s="12" t="s">
        <v>25</v>
      </c>
      <c r="T6" s="12" t="s">
        <v>25</v>
      </c>
    </row>
    <row r="7" spans="1:20" x14ac:dyDescent="0.3">
      <c r="A7" s="13">
        <v>43885.75</v>
      </c>
      <c r="B7" s="12" t="s">
        <v>22</v>
      </c>
      <c r="C7" s="82">
        <v>8</v>
      </c>
      <c r="D7" s="12" t="s">
        <v>95</v>
      </c>
      <c r="E7" s="82">
        <v>4449436681</v>
      </c>
      <c r="F7" s="82">
        <v>113417208</v>
      </c>
      <c r="G7" s="82">
        <v>10</v>
      </c>
      <c r="H7" s="82">
        <v>2</v>
      </c>
      <c r="I7" s="82">
        <v>12</v>
      </c>
      <c r="J7" s="82">
        <v>6</v>
      </c>
      <c r="K7" s="82">
        <v>18</v>
      </c>
      <c r="L7" s="82">
        <v>0</v>
      </c>
      <c r="M7" s="82">
        <v>18</v>
      </c>
      <c r="N7" s="82">
        <v>0</v>
      </c>
      <c r="O7" s="82">
        <v>0</v>
      </c>
      <c r="P7" s="82">
        <v>18</v>
      </c>
      <c r="Q7" s="82">
        <v>148</v>
      </c>
      <c r="R7" s="12" t="s">
        <v>25</v>
      </c>
      <c r="S7" s="12" t="s">
        <v>25</v>
      </c>
      <c r="T7" s="12" t="s">
        <v>25</v>
      </c>
    </row>
    <row r="8" spans="1:20" x14ac:dyDescent="0.3">
      <c r="A8" s="13">
        <v>43885.75</v>
      </c>
      <c r="B8" s="12" t="s">
        <v>22</v>
      </c>
      <c r="C8" s="82">
        <v>6</v>
      </c>
      <c r="D8" s="12" t="s">
        <v>47</v>
      </c>
      <c r="E8" s="82">
        <v>456494354</v>
      </c>
      <c r="F8" s="82">
        <v>1376813649</v>
      </c>
      <c r="G8" s="82">
        <v>0</v>
      </c>
      <c r="H8" s="82">
        <v>0</v>
      </c>
      <c r="I8" s="82">
        <v>0</v>
      </c>
      <c r="J8" s="82">
        <v>0</v>
      </c>
      <c r="K8" s="82">
        <v>0</v>
      </c>
      <c r="L8" s="82">
        <v>0</v>
      </c>
      <c r="M8" s="82">
        <v>0</v>
      </c>
      <c r="N8" s="82">
        <v>0</v>
      </c>
      <c r="O8" s="82">
        <v>0</v>
      </c>
      <c r="P8" s="82">
        <v>0</v>
      </c>
      <c r="Q8" s="82">
        <v>58</v>
      </c>
      <c r="R8" s="12" t="s">
        <v>25</v>
      </c>
      <c r="S8" s="12" t="s">
        <v>25</v>
      </c>
      <c r="T8" s="12" t="s">
        <v>25</v>
      </c>
    </row>
    <row r="9" spans="1:20" x14ac:dyDescent="0.3">
      <c r="A9" s="13">
        <v>43885.75</v>
      </c>
      <c r="B9" s="12" t="s">
        <v>22</v>
      </c>
      <c r="C9" s="82">
        <v>12</v>
      </c>
      <c r="D9" s="12" t="s">
        <v>48</v>
      </c>
      <c r="E9" s="82">
        <v>4189277044</v>
      </c>
      <c r="F9" s="82">
        <v>1248366722</v>
      </c>
      <c r="G9" s="82">
        <v>1</v>
      </c>
      <c r="H9" s="82">
        <v>1</v>
      </c>
      <c r="I9" s="82">
        <v>2</v>
      </c>
      <c r="J9" s="82">
        <v>0</v>
      </c>
      <c r="K9" s="82">
        <v>2</v>
      </c>
      <c r="L9" s="82">
        <v>0</v>
      </c>
      <c r="M9" s="82">
        <v>2</v>
      </c>
      <c r="N9" s="82">
        <v>1</v>
      </c>
      <c r="O9" s="82">
        <v>0</v>
      </c>
      <c r="P9" s="82">
        <v>3</v>
      </c>
      <c r="Q9" s="82">
        <v>124</v>
      </c>
      <c r="R9" s="12" t="s">
        <v>25</v>
      </c>
      <c r="S9" s="12" t="s">
        <v>25</v>
      </c>
      <c r="T9" s="12" t="s">
        <v>25</v>
      </c>
    </row>
    <row r="10" spans="1:20" x14ac:dyDescent="0.3">
      <c r="A10" s="13">
        <v>43885.75</v>
      </c>
      <c r="B10" s="12" t="s">
        <v>22</v>
      </c>
      <c r="C10" s="82">
        <v>7</v>
      </c>
      <c r="D10" s="12" t="s">
        <v>49</v>
      </c>
      <c r="E10" s="82">
        <v>4441149315</v>
      </c>
      <c r="F10" s="82">
        <v>89326992</v>
      </c>
      <c r="G10" s="82">
        <v>0</v>
      </c>
      <c r="H10" s="82">
        <v>0</v>
      </c>
      <c r="I10" s="82">
        <v>0</v>
      </c>
      <c r="J10" s="82">
        <v>0</v>
      </c>
      <c r="K10" s="82">
        <v>0</v>
      </c>
      <c r="L10" s="82">
        <v>0</v>
      </c>
      <c r="M10" s="82">
        <v>0</v>
      </c>
      <c r="N10" s="82">
        <v>0</v>
      </c>
      <c r="O10" s="82">
        <v>0</v>
      </c>
      <c r="P10" s="82">
        <v>0</v>
      </c>
      <c r="Q10" s="82">
        <v>1</v>
      </c>
      <c r="R10" s="12" t="s">
        <v>25</v>
      </c>
      <c r="S10" s="12" t="s">
        <v>25</v>
      </c>
      <c r="T10" s="12" t="s">
        <v>25</v>
      </c>
    </row>
    <row r="11" spans="1:20" x14ac:dyDescent="0.3">
      <c r="A11" s="13">
        <v>43885.75</v>
      </c>
      <c r="B11" s="12" t="s">
        <v>22</v>
      </c>
      <c r="C11" s="82">
        <v>3</v>
      </c>
      <c r="D11" s="12" t="s">
        <v>50</v>
      </c>
      <c r="E11" s="82">
        <v>4546679409</v>
      </c>
      <c r="F11" s="82">
        <v>9190347404</v>
      </c>
      <c r="G11" s="82">
        <v>76</v>
      </c>
      <c r="H11" s="82">
        <v>19</v>
      </c>
      <c r="I11" s="82">
        <v>95</v>
      </c>
      <c r="J11" s="82">
        <v>71</v>
      </c>
      <c r="K11" s="82">
        <v>166</v>
      </c>
      <c r="L11" s="82">
        <v>0</v>
      </c>
      <c r="M11" s="82">
        <v>166</v>
      </c>
      <c r="N11" s="82">
        <v>0</v>
      </c>
      <c r="O11" s="82">
        <v>6</v>
      </c>
      <c r="P11" s="82">
        <v>172</v>
      </c>
      <c r="Q11" s="82">
        <v>1463</v>
      </c>
      <c r="R11" s="12" t="s">
        <v>25</v>
      </c>
      <c r="S11" s="12" t="s">
        <v>25</v>
      </c>
      <c r="T11" s="12" t="s">
        <v>25</v>
      </c>
    </row>
    <row r="12" spans="1:20" x14ac:dyDescent="0.3">
      <c r="A12" s="13">
        <v>43885.75</v>
      </c>
      <c r="B12" s="12" t="s">
        <v>22</v>
      </c>
      <c r="C12" s="82">
        <v>11</v>
      </c>
      <c r="D12" s="12" t="s">
        <v>51</v>
      </c>
      <c r="E12" s="82">
        <v>4361675973</v>
      </c>
      <c r="F12" s="82">
        <v>135188753</v>
      </c>
      <c r="G12" s="82">
        <v>0</v>
      </c>
      <c r="H12" s="82">
        <v>0</v>
      </c>
      <c r="I12" s="82">
        <v>0</v>
      </c>
      <c r="J12" s="82">
        <v>0</v>
      </c>
      <c r="K12" s="82">
        <v>0</v>
      </c>
      <c r="L12" s="82">
        <v>0</v>
      </c>
      <c r="M12" s="82">
        <v>0</v>
      </c>
      <c r="N12" s="82">
        <v>0</v>
      </c>
      <c r="O12" s="82">
        <v>0</v>
      </c>
      <c r="P12" s="82">
        <v>0</v>
      </c>
      <c r="Q12" s="82">
        <v>16</v>
      </c>
      <c r="R12" s="12" t="s">
        <v>25</v>
      </c>
      <c r="S12" s="12" t="s">
        <v>25</v>
      </c>
      <c r="T12" s="12" t="s">
        <v>25</v>
      </c>
    </row>
    <row r="13" spans="1:20" x14ac:dyDescent="0.3">
      <c r="A13" s="13">
        <v>43885.75</v>
      </c>
      <c r="B13" s="12" t="s">
        <v>22</v>
      </c>
      <c r="C13" s="82">
        <v>14</v>
      </c>
      <c r="D13" s="12" t="s">
        <v>52</v>
      </c>
      <c r="E13" s="82">
        <v>4155774754</v>
      </c>
      <c r="F13" s="82">
        <v>1465916051</v>
      </c>
      <c r="G13" s="82">
        <v>0</v>
      </c>
      <c r="H13" s="82">
        <v>0</v>
      </c>
      <c r="I13" s="82">
        <v>0</v>
      </c>
      <c r="J13" s="82">
        <v>0</v>
      </c>
      <c r="K13" s="82">
        <v>0</v>
      </c>
      <c r="L13" s="82">
        <v>0</v>
      </c>
      <c r="M13" s="82">
        <v>0</v>
      </c>
      <c r="N13" s="82">
        <v>0</v>
      </c>
      <c r="O13" s="82">
        <v>0</v>
      </c>
      <c r="P13" s="82">
        <v>0</v>
      </c>
      <c r="Q13" s="82">
        <v>0</v>
      </c>
      <c r="R13" s="12" t="s">
        <v>25</v>
      </c>
      <c r="S13" s="12" t="s">
        <v>25</v>
      </c>
      <c r="T13" s="12" t="s">
        <v>25</v>
      </c>
    </row>
    <row r="14" spans="1:20" x14ac:dyDescent="0.3">
      <c r="A14" s="13">
        <v>43885.75</v>
      </c>
      <c r="B14" s="12" t="s">
        <v>22</v>
      </c>
      <c r="C14" s="82">
        <v>1</v>
      </c>
      <c r="D14" s="12" t="s">
        <v>53</v>
      </c>
      <c r="E14" s="82">
        <v>450732745</v>
      </c>
      <c r="F14" s="82">
        <v>7680687483</v>
      </c>
      <c r="G14" s="82">
        <v>2</v>
      </c>
      <c r="H14" s="82">
        <v>0</v>
      </c>
      <c r="I14" s="82">
        <v>2</v>
      </c>
      <c r="J14" s="82">
        <v>1</v>
      </c>
      <c r="K14" s="82">
        <v>3</v>
      </c>
      <c r="L14" s="82">
        <v>0</v>
      </c>
      <c r="M14" s="82">
        <v>3</v>
      </c>
      <c r="N14" s="82">
        <v>0</v>
      </c>
      <c r="O14" s="82">
        <v>0</v>
      </c>
      <c r="P14" s="82">
        <v>3</v>
      </c>
      <c r="Q14" s="82">
        <v>141</v>
      </c>
      <c r="R14" s="12" t="s">
        <v>25</v>
      </c>
      <c r="S14" s="12" t="s">
        <v>25</v>
      </c>
      <c r="T14" s="12" t="s">
        <v>25</v>
      </c>
    </row>
    <row r="15" spans="1:20" x14ac:dyDescent="0.3">
      <c r="A15" s="13">
        <v>43885.75</v>
      </c>
      <c r="B15" s="12" t="s">
        <v>22</v>
      </c>
      <c r="C15" s="82">
        <v>16</v>
      </c>
      <c r="D15" s="12" t="s">
        <v>54</v>
      </c>
      <c r="E15" s="82">
        <v>4112559576</v>
      </c>
      <c r="F15" s="82">
        <v>1686736689</v>
      </c>
      <c r="G15" s="82">
        <v>0</v>
      </c>
      <c r="H15" s="82">
        <v>0</v>
      </c>
      <c r="I15" s="82">
        <v>0</v>
      </c>
      <c r="J15" s="82">
        <v>0</v>
      </c>
      <c r="K15" s="82">
        <v>0</v>
      </c>
      <c r="L15" s="82">
        <v>0</v>
      </c>
      <c r="M15" s="82">
        <v>0</v>
      </c>
      <c r="N15" s="82">
        <v>0</v>
      </c>
      <c r="O15" s="82">
        <v>0</v>
      </c>
      <c r="P15" s="82">
        <v>0</v>
      </c>
      <c r="Q15" s="82">
        <v>0</v>
      </c>
      <c r="R15" s="12" t="s">
        <v>25</v>
      </c>
      <c r="S15" s="12" t="s">
        <v>25</v>
      </c>
      <c r="T15" s="12" t="s">
        <v>25</v>
      </c>
    </row>
    <row r="16" spans="1:20" x14ac:dyDescent="0.3">
      <c r="A16" s="13">
        <v>43885.75</v>
      </c>
      <c r="B16" s="12" t="s">
        <v>22</v>
      </c>
      <c r="C16" s="82">
        <v>20</v>
      </c>
      <c r="D16" s="12" t="s">
        <v>55</v>
      </c>
      <c r="E16" s="82">
        <v>3921531192</v>
      </c>
      <c r="F16" s="82">
        <v>9110616306</v>
      </c>
      <c r="G16" s="82">
        <v>0</v>
      </c>
      <c r="H16" s="82">
        <v>0</v>
      </c>
      <c r="I16" s="82">
        <v>0</v>
      </c>
      <c r="J16" s="82">
        <v>0</v>
      </c>
      <c r="K16" s="82">
        <v>0</v>
      </c>
      <c r="L16" s="82">
        <v>0</v>
      </c>
      <c r="M16" s="82">
        <v>0</v>
      </c>
      <c r="N16" s="82">
        <v>0</v>
      </c>
      <c r="O16" s="82">
        <v>0</v>
      </c>
      <c r="P16" s="82">
        <v>0</v>
      </c>
      <c r="Q16" s="82">
        <v>1</v>
      </c>
      <c r="R16" s="12" t="s">
        <v>25</v>
      </c>
      <c r="S16" s="12" t="s">
        <v>25</v>
      </c>
      <c r="T16" s="12" t="s">
        <v>25</v>
      </c>
    </row>
    <row r="17" spans="1:20" x14ac:dyDescent="0.3">
      <c r="A17" s="13">
        <v>43885.75</v>
      </c>
      <c r="B17" s="12" t="s">
        <v>22</v>
      </c>
      <c r="C17" s="82">
        <v>19</v>
      </c>
      <c r="D17" s="12" t="s">
        <v>56</v>
      </c>
      <c r="E17" s="82">
        <v>3811569725</v>
      </c>
      <c r="F17" s="82">
        <v>133623567</v>
      </c>
      <c r="G17" s="82">
        <v>0</v>
      </c>
      <c r="H17" s="82">
        <v>0</v>
      </c>
      <c r="I17" s="82">
        <v>0</v>
      </c>
      <c r="J17" s="82">
        <v>0</v>
      </c>
      <c r="K17" s="82">
        <v>0</v>
      </c>
      <c r="L17" s="82">
        <v>0</v>
      </c>
      <c r="M17" s="82">
        <v>0</v>
      </c>
      <c r="N17" s="82">
        <v>0</v>
      </c>
      <c r="O17" s="82">
        <v>0</v>
      </c>
      <c r="P17" s="82">
        <v>0</v>
      </c>
      <c r="Q17" s="82">
        <v>5</v>
      </c>
      <c r="R17" s="12" t="s">
        <v>25</v>
      </c>
      <c r="S17" s="12" t="s">
        <v>25</v>
      </c>
      <c r="T17" s="12" t="s">
        <v>25</v>
      </c>
    </row>
    <row r="18" spans="1:20" x14ac:dyDescent="0.3">
      <c r="A18" s="13">
        <v>43885.75</v>
      </c>
      <c r="B18" s="12" t="s">
        <v>22</v>
      </c>
      <c r="C18" s="82">
        <v>9</v>
      </c>
      <c r="D18" s="12" t="s">
        <v>57</v>
      </c>
      <c r="E18" s="82">
        <v>4376923077</v>
      </c>
      <c r="F18" s="82">
        <v>1125588885</v>
      </c>
      <c r="G18" s="82">
        <v>0</v>
      </c>
      <c r="H18" s="82">
        <v>0</v>
      </c>
      <c r="I18" s="82">
        <v>0</v>
      </c>
      <c r="J18" s="82">
        <v>0</v>
      </c>
      <c r="K18" s="82">
        <v>0</v>
      </c>
      <c r="L18" s="82">
        <v>0</v>
      </c>
      <c r="M18" s="82">
        <v>0</v>
      </c>
      <c r="N18" s="82">
        <v>0</v>
      </c>
      <c r="O18" s="82">
        <v>0</v>
      </c>
      <c r="P18" s="82">
        <v>0</v>
      </c>
      <c r="Q18" s="82">
        <v>140</v>
      </c>
      <c r="R18" s="12" t="s">
        <v>25</v>
      </c>
      <c r="S18" s="12" t="s">
        <v>25</v>
      </c>
      <c r="T18" s="12" t="s">
        <v>25</v>
      </c>
    </row>
    <row r="19" spans="1:20" x14ac:dyDescent="0.3">
      <c r="A19" s="13">
        <v>43885.75</v>
      </c>
      <c r="B19" s="12" t="s">
        <v>22</v>
      </c>
      <c r="C19" s="82">
        <v>4</v>
      </c>
      <c r="D19" s="12" t="s">
        <v>58</v>
      </c>
      <c r="E19" s="82">
        <v>4606893511</v>
      </c>
      <c r="F19" s="82">
        <v>1112123097</v>
      </c>
      <c r="G19" s="82">
        <v>0</v>
      </c>
      <c r="H19" s="82">
        <v>0</v>
      </c>
      <c r="I19" s="82">
        <v>0</v>
      </c>
      <c r="J19" s="82">
        <v>0</v>
      </c>
      <c r="K19" s="82">
        <v>0</v>
      </c>
      <c r="L19" s="82">
        <v>0</v>
      </c>
      <c r="M19" s="82">
        <v>0</v>
      </c>
      <c r="N19" s="82">
        <v>0</v>
      </c>
      <c r="O19" s="82">
        <v>0</v>
      </c>
      <c r="P19" s="82">
        <v>0</v>
      </c>
      <c r="Q19" s="82">
        <v>3</v>
      </c>
      <c r="R19" s="12" t="s">
        <v>25</v>
      </c>
      <c r="S19" s="12" t="s">
        <v>25</v>
      </c>
      <c r="T19" s="12" t="s">
        <v>25</v>
      </c>
    </row>
    <row r="20" spans="1:20" x14ac:dyDescent="0.3">
      <c r="A20" s="13">
        <v>43885.75</v>
      </c>
      <c r="B20" s="12" t="s">
        <v>22</v>
      </c>
      <c r="C20" s="82">
        <v>10</v>
      </c>
      <c r="D20" s="12" t="s">
        <v>59</v>
      </c>
      <c r="E20" s="82">
        <v>4310675841</v>
      </c>
      <c r="F20" s="82">
        <v>1238824698</v>
      </c>
      <c r="G20" s="82">
        <v>0</v>
      </c>
      <c r="H20" s="82">
        <v>0</v>
      </c>
      <c r="I20" s="82">
        <v>0</v>
      </c>
      <c r="J20" s="82">
        <v>0</v>
      </c>
      <c r="K20" s="82">
        <v>0</v>
      </c>
      <c r="L20" s="82">
        <v>0</v>
      </c>
      <c r="M20" s="82">
        <v>0</v>
      </c>
      <c r="N20" s="82">
        <v>0</v>
      </c>
      <c r="O20" s="82">
        <v>0</v>
      </c>
      <c r="P20" s="82">
        <v>0</v>
      </c>
      <c r="Q20" s="82">
        <v>0</v>
      </c>
      <c r="R20" s="12" t="s">
        <v>25</v>
      </c>
      <c r="S20" s="12" t="s">
        <v>25</v>
      </c>
      <c r="T20" s="12" t="s">
        <v>25</v>
      </c>
    </row>
    <row r="21" spans="1:20" x14ac:dyDescent="0.3">
      <c r="A21" s="13">
        <v>43885.75</v>
      </c>
      <c r="B21" s="12" t="s">
        <v>22</v>
      </c>
      <c r="C21" s="82">
        <v>2</v>
      </c>
      <c r="D21" s="12" t="s">
        <v>60</v>
      </c>
      <c r="E21" s="82">
        <v>4573750286</v>
      </c>
      <c r="F21" s="82">
        <v>7320149366</v>
      </c>
      <c r="G21" s="82">
        <v>0</v>
      </c>
      <c r="H21" s="82">
        <v>0</v>
      </c>
      <c r="I21" s="82">
        <v>0</v>
      </c>
      <c r="J21" s="82">
        <v>0</v>
      </c>
      <c r="K21" s="82">
        <v>0</v>
      </c>
      <c r="L21" s="82">
        <v>0</v>
      </c>
      <c r="M21" s="82">
        <v>0</v>
      </c>
      <c r="N21" s="82">
        <v>0</v>
      </c>
      <c r="O21" s="82">
        <v>0</v>
      </c>
      <c r="P21" s="82">
        <v>0</v>
      </c>
      <c r="Q21" s="82">
        <v>7</v>
      </c>
      <c r="R21" s="12" t="s">
        <v>25</v>
      </c>
      <c r="S21" s="12" t="s">
        <v>25</v>
      </c>
      <c r="T21" s="12" t="s">
        <v>25</v>
      </c>
    </row>
    <row r="22" spans="1:20" x14ac:dyDescent="0.3">
      <c r="A22" s="13">
        <v>43885.75</v>
      </c>
      <c r="B22" s="12" t="s">
        <v>22</v>
      </c>
      <c r="C22" s="82">
        <v>5</v>
      </c>
      <c r="D22" s="12" t="s">
        <v>61</v>
      </c>
      <c r="E22" s="82">
        <v>4543490485</v>
      </c>
      <c r="F22" s="82">
        <v>1233845213</v>
      </c>
      <c r="G22" s="82">
        <v>12</v>
      </c>
      <c r="H22" s="82">
        <v>4</v>
      </c>
      <c r="I22" s="82">
        <v>16</v>
      </c>
      <c r="J22" s="82">
        <v>16</v>
      </c>
      <c r="K22" s="82">
        <v>32</v>
      </c>
      <c r="L22" s="82">
        <v>0</v>
      </c>
      <c r="M22" s="82">
        <v>32</v>
      </c>
      <c r="N22" s="82">
        <v>0</v>
      </c>
      <c r="O22" s="82">
        <v>1</v>
      </c>
      <c r="P22" s="82">
        <v>33</v>
      </c>
      <c r="Q22" s="82">
        <v>2200</v>
      </c>
      <c r="R22" s="12" t="s">
        <v>25</v>
      </c>
      <c r="S22" s="12" t="s">
        <v>25</v>
      </c>
      <c r="T22" s="12" t="s">
        <v>25</v>
      </c>
    </row>
    <row r="23" spans="1:20" x14ac:dyDescent="0.3">
      <c r="A23" s="13">
        <v>43886.75</v>
      </c>
      <c r="B23" s="12" t="s">
        <v>22</v>
      </c>
      <c r="C23" s="82">
        <v>13</v>
      </c>
      <c r="D23" s="12" t="s">
        <v>42</v>
      </c>
      <c r="E23" s="82">
        <v>4235122196</v>
      </c>
      <c r="F23" s="82">
        <v>1339843823</v>
      </c>
      <c r="G23" s="82">
        <v>0</v>
      </c>
      <c r="H23" s="82">
        <v>0</v>
      </c>
      <c r="I23" s="82">
        <v>0</v>
      </c>
      <c r="J23" s="82">
        <v>0</v>
      </c>
      <c r="K23" s="82">
        <v>0</v>
      </c>
      <c r="L23" s="82">
        <v>0</v>
      </c>
      <c r="M23" s="82">
        <v>0</v>
      </c>
      <c r="N23" s="82">
        <v>0</v>
      </c>
      <c r="O23" s="82">
        <v>0</v>
      </c>
      <c r="P23" s="82">
        <v>0</v>
      </c>
      <c r="Q23" s="82">
        <v>5</v>
      </c>
      <c r="R23" s="12" t="s">
        <v>25</v>
      </c>
      <c r="S23" s="12" t="s">
        <v>25</v>
      </c>
      <c r="T23" s="12" t="s">
        <v>25</v>
      </c>
    </row>
    <row r="24" spans="1:20" x14ac:dyDescent="0.3">
      <c r="A24" s="13">
        <v>43886.75</v>
      </c>
      <c r="B24" s="12" t="s">
        <v>22</v>
      </c>
      <c r="C24" s="82">
        <v>17</v>
      </c>
      <c r="D24" s="12" t="s">
        <v>43</v>
      </c>
      <c r="E24" s="82">
        <v>4063947052</v>
      </c>
      <c r="F24" s="82">
        <v>1580514834</v>
      </c>
      <c r="G24" s="82">
        <v>0</v>
      </c>
      <c r="H24" s="82">
        <v>0</v>
      </c>
      <c r="I24" s="82">
        <v>0</v>
      </c>
      <c r="J24" s="82">
        <v>0</v>
      </c>
      <c r="K24" s="82">
        <v>0</v>
      </c>
      <c r="L24" s="82">
        <v>0</v>
      </c>
      <c r="M24" s="82">
        <v>0</v>
      </c>
      <c r="N24" s="82">
        <v>0</v>
      </c>
      <c r="O24" s="82">
        <v>0</v>
      </c>
      <c r="P24" s="82">
        <v>0</v>
      </c>
      <c r="Q24" s="82">
        <v>0</v>
      </c>
      <c r="R24" s="12" t="s">
        <v>25</v>
      </c>
      <c r="S24" s="12" t="s">
        <v>25</v>
      </c>
      <c r="T24" s="12" t="s">
        <v>25</v>
      </c>
    </row>
    <row r="25" spans="1:20" x14ac:dyDescent="0.3">
      <c r="A25" s="13">
        <v>43886.75</v>
      </c>
      <c r="B25" s="12" t="s">
        <v>22</v>
      </c>
      <c r="C25" s="82">
        <v>4</v>
      </c>
      <c r="D25" s="12" t="s">
        <v>44</v>
      </c>
      <c r="E25" s="82">
        <v>4649933453</v>
      </c>
      <c r="F25" s="82">
        <v>1135662422</v>
      </c>
      <c r="G25" s="82">
        <v>1</v>
      </c>
      <c r="H25" s="82">
        <v>0</v>
      </c>
      <c r="I25" s="82">
        <v>1</v>
      </c>
      <c r="J25" s="82">
        <v>0</v>
      </c>
      <c r="K25" s="82">
        <v>1</v>
      </c>
      <c r="L25" s="82">
        <v>1</v>
      </c>
      <c r="M25" s="82">
        <v>1</v>
      </c>
      <c r="N25" s="82">
        <v>0</v>
      </c>
      <c r="O25" s="82">
        <v>0</v>
      </c>
      <c r="P25" s="82">
        <v>1</v>
      </c>
      <c r="Q25" s="82">
        <v>1</v>
      </c>
      <c r="R25" s="12" t="s">
        <v>25</v>
      </c>
      <c r="S25" s="12" t="s">
        <v>25</v>
      </c>
      <c r="T25" s="12" t="s">
        <v>25</v>
      </c>
    </row>
    <row r="26" spans="1:20" x14ac:dyDescent="0.3">
      <c r="A26" s="13">
        <v>43886.75</v>
      </c>
      <c r="B26" s="12" t="s">
        <v>22</v>
      </c>
      <c r="C26" s="82">
        <v>18</v>
      </c>
      <c r="D26" s="12" t="s">
        <v>45</v>
      </c>
      <c r="E26" s="82">
        <v>3890597598</v>
      </c>
      <c r="F26" s="82">
        <v>1659440194</v>
      </c>
      <c r="G26" s="82">
        <v>0</v>
      </c>
      <c r="H26" s="82">
        <v>0</v>
      </c>
      <c r="I26" s="82">
        <v>0</v>
      </c>
      <c r="J26" s="82">
        <v>0</v>
      </c>
      <c r="K26" s="82">
        <v>0</v>
      </c>
      <c r="L26" s="82">
        <v>0</v>
      </c>
      <c r="M26" s="82">
        <v>0</v>
      </c>
      <c r="N26" s="82">
        <v>0</v>
      </c>
      <c r="O26" s="82">
        <v>0</v>
      </c>
      <c r="P26" s="82">
        <v>0</v>
      </c>
      <c r="Q26" s="82">
        <v>2</v>
      </c>
      <c r="R26" s="12" t="s">
        <v>25</v>
      </c>
      <c r="S26" s="12" t="s">
        <v>25</v>
      </c>
      <c r="T26" s="12" t="s">
        <v>25</v>
      </c>
    </row>
    <row r="27" spans="1:20" x14ac:dyDescent="0.3">
      <c r="A27" s="13">
        <v>43886.75</v>
      </c>
      <c r="B27" s="12" t="s">
        <v>22</v>
      </c>
      <c r="C27" s="82">
        <v>15</v>
      </c>
      <c r="D27" s="12" t="s">
        <v>46</v>
      </c>
      <c r="E27" s="82">
        <v>4083956555</v>
      </c>
      <c r="F27" s="82">
        <v>1425084984</v>
      </c>
      <c r="G27" s="82">
        <v>0</v>
      </c>
      <c r="H27" s="82">
        <v>0</v>
      </c>
      <c r="I27" s="82">
        <v>0</v>
      </c>
      <c r="J27" s="82">
        <v>0</v>
      </c>
      <c r="K27" s="82">
        <v>0</v>
      </c>
      <c r="L27" s="82">
        <v>0</v>
      </c>
      <c r="M27" s="82">
        <v>0</v>
      </c>
      <c r="N27" s="82">
        <v>0</v>
      </c>
      <c r="O27" s="82">
        <v>0</v>
      </c>
      <c r="P27" s="82">
        <v>0</v>
      </c>
      <c r="Q27" s="82">
        <v>10</v>
      </c>
      <c r="R27" s="12" t="s">
        <v>25</v>
      </c>
      <c r="S27" s="12" t="s">
        <v>25</v>
      </c>
      <c r="T27" s="12" t="s">
        <v>25</v>
      </c>
    </row>
    <row r="28" spans="1:20" x14ac:dyDescent="0.3">
      <c r="A28" s="13">
        <v>43886.75</v>
      </c>
      <c r="B28" s="12" t="s">
        <v>22</v>
      </c>
      <c r="C28" s="82">
        <v>8</v>
      </c>
      <c r="D28" s="12" t="s">
        <v>95</v>
      </c>
      <c r="E28" s="82">
        <v>4449436681</v>
      </c>
      <c r="F28" s="82">
        <v>113417208</v>
      </c>
      <c r="G28" s="82">
        <v>15</v>
      </c>
      <c r="H28" s="82">
        <v>2</v>
      </c>
      <c r="I28" s="82">
        <v>17</v>
      </c>
      <c r="J28" s="82">
        <v>9</v>
      </c>
      <c r="K28" s="82">
        <v>26</v>
      </c>
      <c r="L28" s="82">
        <v>8</v>
      </c>
      <c r="M28" s="82">
        <v>8</v>
      </c>
      <c r="N28" s="82">
        <v>0</v>
      </c>
      <c r="O28" s="82">
        <v>0</v>
      </c>
      <c r="P28" s="82">
        <v>26</v>
      </c>
      <c r="Q28" s="82">
        <v>391</v>
      </c>
      <c r="R28" s="12" t="s">
        <v>25</v>
      </c>
      <c r="S28" s="12" t="s">
        <v>25</v>
      </c>
      <c r="T28" s="12" t="s">
        <v>25</v>
      </c>
    </row>
    <row r="29" spans="1:20" x14ac:dyDescent="0.3">
      <c r="A29" s="13">
        <v>43886.75</v>
      </c>
      <c r="B29" s="12" t="s">
        <v>22</v>
      </c>
      <c r="C29" s="82">
        <v>6</v>
      </c>
      <c r="D29" s="12" t="s">
        <v>47</v>
      </c>
      <c r="E29" s="82">
        <v>456494354</v>
      </c>
      <c r="F29" s="82">
        <v>1376813649</v>
      </c>
      <c r="G29" s="82">
        <v>0</v>
      </c>
      <c r="H29" s="82">
        <v>0</v>
      </c>
      <c r="I29" s="82">
        <v>0</v>
      </c>
      <c r="J29" s="82">
        <v>0</v>
      </c>
      <c r="K29" s="82">
        <v>0</v>
      </c>
      <c r="L29" s="82">
        <v>0</v>
      </c>
      <c r="M29" s="82">
        <v>0</v>
      </c>
      <c r="N29" s="82">
        <v>0</v>
      </c>
      <c r="O29" s="82">
        <v>0</v>
      </c>
      <c r="P29" s="82">
        <v>0</v>
      </c>
      <c r="Q29" s="82">
        <v>89</v>
      </c>
      <c r="R29" s="12" t="s">
        <v>25</v>
      </c>
      <c r="S29" s="12" t="s">
        <v>25</v>
      </c>
      <c r="T29" s="12" t="s">
        <v>25</v>
      </c>
    </row>
    <row r="30" spans="1:20" x14ac:dyDescent="0.3">
      <c r="A30" s="13">
        <v>43886.75</v>
      </c>
      <c r="B30" s="12" t="s">
        <v>22</v>
      </c>
      <c r="C30" s="82">
        <v>12</v>
      </c>
      <c r="D30" s="12" t="s">
        <v>48</v>
      </c>
      <c r="E30" s="82">
        <v>4189277044</v>
      </c>
      <c r="F30" s="82">
        <v>1248366722</v>
      </c>
      <c r="G30" s="82">
        <v>1</v>
      </c>
      <c r="H30" s="82">
        <v>1</v>
      </c>
      <c r="I30" s="82">
        <v>2</v>
      </c>
      <c r="J30" s="82">
        <v>0</v>
      </c>
      <c r="K30" s="82">
        <v>2</v>
      </c>
      <c r="L30" s="82">
        <v>0</v>
      </c>
      <c r="M30" s="82">
        <v>0</v>
      </c>
      <c r="N30" s="82">
        <v>1</v>
      </c>
      <c r="O30" s="82">
        <v>0</v>
      </c>
      <c r="P30" s="82">
        <v>3</v>
      </c>
      <c r="Q30" s="82">
        <v>124</v>
      </c>
      <c r="R30" s="12" t="s">
        <v>25</v>
      </c>
      <c r="S30" s="12" t="s">
        <v>25</v>
      </c>
      <c r="T30" s="12" t="s">
        <v>25</v>
      </c>
    </row>
    <row r="31" spans="1:20" x14ac:dyDescent="0.3">
      <c r="A31" s="13">
        <v>43886.75</v>
      </c>
      <c r="B31" s="12" t="s">
        <v>22</v>
      </c>
      <c r="C31" s="82">
        <v>7</v>
      </c>
      <c r="D31" s="12" t="s">
        <v>49</v>
      </c>
      <c r="E31" s="82">
        <v>4441149315</v>
      </c>
      <c r="F31" s="82">
        <v>89326992</v>
      </c>
      <c r="G31" s="82">
        <v>1</v>
      </c>
      <c r="H31" s="82">
        <v>0</v>
      </c>
      <c r="I31" s="82">
        <v>1</v>
      </c>
      <c r="J31" s="82">
        <v>0</v>
      </c>
      <c r="K31" s="82">
        <v>1</v>
      </c>
      <c r="L31" s="82">
        <v>1</v>
      </c>
      <c r="M31" s="82">
        <v>1</v>
      </c>
      <c r="N31" s="82">
        <v>0</v>
      </c>
      <c r="O31" s="82">
        <v>0</v>
      </c>
      <c r="P31" s="82">
        <v>1</v>
      </c>
      <c r="Q31" s="82">
        <v>39</v>
      </c>
      <c r="R31" s="12" t="s">
        <v>25</v>
      </c>
      <c r="S31" s="12" t="s">
        <v>25</v>
      </c>
      <c r="T31" s="12" t="s">
        <v>25</v>
      </c>
    </row>
    <row r="32" spans="1:20" x14ac:dyDescent="0.3">
      <c r="A32" s="13">
        <v>43886.75</v>
      </c>
      <c r="B32" s="12" t="s">
        <v>22</v>
      </c>
      <c r="C32" s="82">
        <v>3</v>
      </c>
      <c r="D32" s="12" t="s">
        <v>50</v>
      </c>
      <c r="E32" s="82">
        <v>4546679409</v>
      </c>
      <c r="F32" s="82">
        <v>9190347404</v>
      </c>
      <c r="G32" s="82">
        <v>79</v>
      </c>
      <c r="H32" s="82">
        <v>25</v>
      </c>
      <c r="I32" s="82">
        <v>104</v>
      </c>
      <c r="J32" s="82">
        <v>127</v>
      </c>
      <c r="K32" s="82">
        <v>231</v>
      </c>
      <c r="L32" s="82">
        <v>65</v>
      </c>
      <c r="M32" s="82">
        <v>68</v>
      </c>
      <c r="N32" s="82">
        <v>0</v>
      </c>
      <c r="O32" s="82">
        <v>9</v>
      </c>
      <c r="P32" s="82">
        <v>240</v>
      </c>
      <c r="Q32" s="82">
        <v>3700</v>
      </c>
      <c r="R32" s="12" t="s">
        <v>25</v>
      </c>
      <c r="S32" s="12" t="s">
        <v>25</v>
      </c>
      <c r="T32" s="12" t="s">
        <v>25</v>
      </c>
    </row>
    <row r="33" spans="1:20" x14ac:dyDescent="0.3">
      <c r="A33" s="13">
        <v>43886.75</v>
      </c>
      <c r="B33" s="12" t="s">
        <v>22</v>
      </c>
      <c r="C33" s="82">
        <v>11</v>
      </c>
      <c r="D33" s="12" t="s">
        <v>51</v>
      </c>
      <c r="E33" s="82">
        <v>4361675973</v>
      </c>
      <c r="F33" s="82">
        <v>135188753</v>
      </c>
      <c r="G33" s="82">
        <v>0</v>
      </c>
      <c r="H33" s="82">
        <v>0</v>
      </c>
      <c r="I33" s="82">
        <v>0</v>
      </c>
      <c r="J33" s="82">
        <v>0</v>
      </c>
      <c r="K33" s="82">
        <v>0</v>
      </c>
      <c r="L33" s="82">
        <v>0</v>
      </c>
      <c r="M33" s="82">
        <v>0</v>
      </c>
      <c r="N33" s="82">
        <v>0</v>
      </c>
      <c r="O33" s="82">
        <v>0</v>
      </c>
      <c r="P33" s="82">
        <v>0</v>
      </c>
      <c r="Q33" s="82">
        <v>21</v>
      </c>
      <c r="R33" s="12" t="s">
        <v>25</v>
      </c>
      <c r="S33" s="12" t="s">
        <v>25</v>
      </c>
      <c r="T33" s="12" t="s">
        <v>25</v>
      </c>
    </row>
    <row r="34" spans="1:20" x14ac:dyDescent="0.3">
      <c r="A34" s="13">
        <v>43886.75</v>
      </c>
      <c r="B34" s="12" t="s">
        <v>22</v>
      </c>
      <c r="C34" s="82">
        <v>14</v>
      </c>
      <c r="D34" s="12" t="s">
        <v>52</v>
      </c>
      <c r="E34" s="82">
        <v>4155774754</v>
      </c>
      <c r="F34" s="82">
        <v>1465916051</v>
      </c>
      <c r="G34" s="82">
        <v>0</v>
      </c>
      <c r="H34" s="82">
        <v>0</v>
      </c>
      <c r="I34" s="82">
        <v>0</v>
      </c>
      <c r="J34" s="82">
        <v>0</v>
      </c>
      <c r="K34" s="82">
        <v>0</v>
      </c>
      <c r="L34" s="82">
        <v>0</v>
      </c>
      <c r="M34" s="82">
        <v>0</v>
      </c>
      <c r="N34" s="82">
        <v>0</v>
      </c>
      <c r="O34" s="82">
        <v>0</v>
      </c>
      <c r="P34" s="82">
        <v>0</v>
      </c>
      <c r="Q34" s="82">
        <v>0</v>
      </c>
      <c r="R34" s="12" t="s">
        <v>25</v>
      </c>
      <c r="S34" s="12" t="s">
        <v>25</v>
      </c>
      <c r="T34" s="12" t="s">
        <v>25</v>
      </c>
    </row>
    <row r="35" spans="1:20" x14ac:dyDescent="0.3">
      <c r="A35" s="13">
        <v>43886.75</v>
      </c>
      <c r="B35" s="12" t="s">
        <v>22</v>
      </c>
      <c r="C35" s="82">
        <v>1</v>
      </c>
      <c r="D35" s="12" t="s">
        <v>53</v>
      </c>
      <c r="E35" s="82">
        <v>450732745</v>
      </c>
      <c r="F35" s="82">
        <v>7680687483</v>
      </c>
      <c r="G35" s="82">
        <v>2</v>
      </c>
      <c r="H35" s="82">
        <v>0</v>
      </c>
      <c r="I35" s="82">
        <v>2</v>
      </c>
      <c r="J35" s="82">
        <v>1</v>
      </c>
      <c r="K35" s="82">
        <v>3</v>
      </c>
      <c r="L35" s="82">
        <v>0</v>
      </c>
      <c r="M35" s="82">
        <v>0</v>
      </c>
      <c r="N35" s="82">
        <v>0</v>
      </c>
      <c r="O35" s="82">
        <v>0</v>
      </c>
      <c r="P35" s="82">
        <v>3</v>
      </c>
      <c r="Q35" s="82">
        <v>141</v>
      </c>
      <c r="R35" s="12" t="s">
        <v>25</v>
      </c>
      <c r="S35" s="12" t="s">
        <v>25</v>
      </c>
      <c r="T35" s="12" t="s">
        <v>25</v>
      </c>
    </row>
    <row r="36" spans="1:20" x14ac:dyDescent="0.3">
      <c r="A36" s="13">
        <v>43886.75</v>
      </c>
      <c r="B36" s="12" t="s">
        <v>22</v>
      </c>
      <c r="C36" s="82">
        <v>16</v>
      </c>
      <c r="D36" s="12" t="s">
        <v>54</v>
      </c>
      <c r="E36" s="82">
        <v>4112559576</v>
      </c>
      <c r="F36" s="82">
        <v>1686736689</v>
      </c>
      <c r="G36" s="82">
        <v>0</v>
      </c>
      <c r="H36" s="82">
        <v>0</v>
      </c>
      <c r="I36" s="82">
        <v>0</v>
      </c>
      <c r="J36" s="82">
        <v>0</v>
      </c>
      <c r="K36" s="82">
        <v>0</v>
      </c>
      <c r="L36" s="82">
        <v>0</v>
      </c>
      <c r="M36" s="82">
        <v>0</v>
      </c>
      <c r="N36" s="82">
        <v>0</v>
      </c>
      <c r="O36" s="82">
        <v>0</v>
      </c>
      <c r="P36" s="82">
        <v>0</v>
      </c>
      <c r="Q36" s="82">
        <v>0</v>
      </c>
      <c r="R36" s="12" t="s">
        <v>25</v>
      </c>
      <c r="S36" s="12" t="s">
        <v>25</v>
      </c>
      <c r="T36" s="12" t="s">
        <v>25</v>
      </c>
    </row>
    <row r="37" spans="1:20" x14ac:dyDescent="0.3">
      <c r="A37" s="13">
        <v>43886.75</v>
      </c>
      <c r="B37" s="12" t="s">
        <v>22</v>
      </c>
      <c r="C37" s="82">
        <v>20</v>
      </c>
      <c r="D37" s="12" t="s">
        <v>55</v>
      </c>
      <c r="E37" s="82">
        <v>3921531192</v>
      </c>
      <c r="F37" s="82">
        <v>9110616306</v>
      </c>
      <c r="G37" s="82">
        <v>0</v>
      </c>
      <c r="H37" s="82">
        <v>0</v>
      </c>
      <c r="I37" s="82">
        <v>0</v>
      </c>
      <c r="J37" s="82">
        <v>0</v>
      </c>
      <c r="K37" s="82">
        <v>0</v>
      </c>
      <c r="L37" s="82">
        <v>0</v>
      </c>
      <c r="M37" s="82">
        <v>0</v>
      </c>
      <c r="N37" s="82">
        <v>0</v>
      </c>
      <c r="O37" s="82">
        <v>0</v>
      </c>
      <c r="P37" s="82">
        <v>0</v>
      </c>
      <c r="Q37" s="82">
        <v>1</v>
      </c>
      <c r="R37" s="12" t="s">
        <v>25</v>
      </c>
      <c r="S37" s="12" t="s">
        <v>25</v>
      </c>
      <c r="T37" s="12" t="s">
        <v>25</v>
      </c>
    </row>
    <row r="38" spans="1:20" x14ac:dyDescent="0.3">
      <c r="A38" s="13">
        <v>43886.75</v>
      </c>
      <c r="B38" s="12" t="s">
        <v>22</v>
      </c>
      <c r="C38" s="82">
        <v>19</v>
      </c>
      <c r="D38" s="12" t="s">
        <v>56</v>
      </c>
      <c r="E38" s="82">
        <v>3811569725</v>
      </c>
      <c r="F38" s="82">
        <v>133623567</v>
      </c>
      <c r="G38" s="82">
        <v>1</v>
      </c>
      <c r="H38" s="82">
        <v>0</v>
      </c>
      <c r="I38" s="82">
        <v>1</v>
      </c>
      <c r="J38" s="82">
        <v>2</v>
      </c>
      <c r="K38" s="82">
        <v>3</v>
      </c>
      <c r="L38" s="82">
        <v>3</v>
      </c>
      <c r="M38" s="82">
        <v>3</v>
      </c>
      <c r="N38" s="82">
        <v>0</v>
      </c>
      <c r="O38" s="82">
        <v>0</v>
      </c>
      <c r="P38" s="82">
        <v>3</v>
      </c>
      <c r="Q38" s="82">
        <v>5</v>
      </c>
      <c r="R38" s="12" t="s">
        <v>25</v>
      </c>
      <c r="S38" s="12" t="s">
        <v>25</v>
      </c>
      <c r="T38" s="12" t="s">
        <v>25</v>
      </c>
    </row>
    <row r="39" spans="1:20" x14ac:dyDescent="0.3">
      <c r="A39" s="13">
        <v>43886.75</v>
      </c>
      <c r="B39" s="12" t="s">
        <v>22</v>
      </c>
      <c r="C39" s="82">
        <v>9</v>
      </c>
      <c r="D39" s="12" t="s">
        <v>57</v>
      </c>
      <c r="E39" s="82">
        <v>4376923077</v>
      </c>
      <c r="F39" s="82">
        <v>1125588885</v>
      </c>
      <c r="G39" s="82">
        <v>2</v>
      </c>
      <c r="H39" s="82">
        <v>0</v>
      </c>
      <c r="I39" s="82">
        <v>2</v>
      </c>
      <c r="J39" s="82">
        <v>0</v>
      </c>
      <c r="K39" s="82">
        <v>2</v>
      </c>
      <c r="L39" s="82">
        <v>2</v>
      </c>
      <c r="M39" s="82">
        <v>2</v>
      </c>
      <c r="N39" s="82">
        <v>0</v>
      </c>
      <c r="O39" s="82">
        <v>0</v>
      </c>
      <c r="P39" s="82">
        <v>2</v>
      </c>
      <c r="Q39" s="82">
        <v>296</v>
      </c>
      <c r="R39" s="12" t="s">
        <v>25</v>
      </c>
      <c r="S39" s="12" t="s">
        <v>25</v>
      </c>
      <c r="T39" s="12" t="s">
        <v>25</v>
      </c>
    </row>
    <row r="40" spans="1:20" x14ac:dyDescent="0.3">
      <c r="A40" s="13">
        <v>43886.75</v>
      </c>
      <c r="B40" s="12" t="s">
        <v>22</v>
      </c>
      <c r="C40" s="82">
        <v>4</v>
      </c>
      <c r="D40" s="12" t="s">
        <v>58</v>
      </c>
      <c r="E40" s="82">
        <v>4606893511</v>
      </c>
      <c r="F40" s="82">
        <v>1112123097</v>
      </c>
      <c r="G40" s="82">
        <v>0</v>
      </c>
      <c r="H40" s="82">
        <v>0</v>
      </c>
      <c r="I40" s="82">
        <v>0</v>
      </c>
      <c r="J40" s="82">
        <v>0</v>
      </c>
      <c r="K40" s="82">
        <v>0</v>
      </c>
      <c r="L40" s="82">
        <v>0</v>
      </c>
      <c r="M40" s="82">
        <v>0</v>
      </c>
      <c r="N40" s="82">
        <v>0</v>
      </c>
      <c r="O40" s="82">
        <v>0</v>
      </c>
      <c r="P40" s="82">
        <v>0</v>
      </c>
      <c r="Q40" s="82">
        <v>3</v>
      </c>
      <c r="R40" s="12" t="s">
        <v>25</v>
      </c>
      <c r="S40" s="12" t="s">
        <v>25</v>
      </c>
      <c r="T40" s="12" t="s">
        <v>25</v>
      </c>
    </row>
    <row r="41" spans="1:20" x14ac:dyDescent="0.3">
      <c r="A41" s="13">
        <v>43886.75</v>
      </c>
      <c r="B41" s="12" t="s">
        <v>22</v>
      </c>
      <c r="C41" s="82">
        <v>10</v>
      </c>
      <c r="D41" s="12" t="s">
        <v>59</v>
      </c>
      <c r="E41" s="82">
        <v>4310675841</v>
      </c>
      <c r="F41" s="82">
        <v>1238824698</v>
      </c>
      <c r="G41" s="82">
        <v>0</v>
      </c>
      <c r="H41" s="82">
        <v>0</v>
      </c>
      <c r="I41" s="82">
        <v>0</v>
      </c>
      <c r="J41" s="82">
        <v>0</v>
      </c>
      <c r="K41" s="82">
        <v>0</v>
      </c>
      <c r="L41" s="82">
        <v>0</v>
      </c>
      <c r="M41" s="82">
        <v>0</v>
      </c>
      <c r="N41" s="82">
        <v>0</v>
      </c>
      <c r="O41" s="82">
        <v>0</v>
      </c>
      <c r="P41" s="82">
        <v>0</v>
      </c>
      <c r="Q41" s="82">
        <v>8</v>
      </c>
      <c r="R41" s="12" t="s">
        <v>25</v>
      </c>
      <c r="S41" s="12" t="s">
        <v>25</v>
      </c>
      <c r="T41" s="12" t="s">
        <v>25</v>
      </c>
    </row>
    <row r="42" spans="1:20" x14ac:dyDescent="0.3">
      <c r="A42" s="13">
        <v>43886.75</v>
      </c>
      <c r="B42" s="12" t="s">
        <v>22</v>
      </c>
      <c r="C42" s="82">
        <v>2</v>
      </c>
      <c r="D42" s="12" t="s">
        <v>60</v>
      </c>
      <c r="E42" s="82">
        <v>4573750286</v>
      </c>
      <c r="F42" s="82">
        <v>7320149366</v>
      </c>
      <c r="G42" s="82">
        <v>0</v>
      </c>
      <c r="H42" s="82">
        <v>0</v>
      </c>
      <c r="I42" s="82">
        <v>0</v>
      </c>
      <c r="J42" s="82">
        <v>0</v>
      </c>
      <c r="K42" s="82">
        <v>0</v>
      </c>
      <c r="L42" s="82">
        <v>0</v>
      </c>
      <c r="M42" s="82">
        <v>0</v>
      </c>
      <c r="N42" s="82">
        <v>0</v>
      </c>
      <c r="O42" s="82">
        <v>0</v>
      </c>
      <c r="P42" s="82">
        <v>0</v>
      </c>
      <c r="Q42" s="82">
        <v>7</v>
      </c>
      <c r="R42" s="12" t="s">
        <v>25</v>
      </c>
      <c r="S42" s="12" t="s">
        <v>25</v>
      </c>
      <c r="T42" s="12" t="s">
        <v>25</v>
      </c>
    </row>
    <row r="43" spans="1:20" x14ac:dyDescent="0.3">
      <c r="A43" s="13">
        <v>43886.75</v>
      </c>
      <c r="B43" s="12" t="s">
        <v>22</v>
      </c>
      <c r="C43" s="82">
        <v>5</v>
      </c>
      <c r="D43" s="12" t="s">
        <v>61</v>
      </c>
      <c r="E43" s="82">
        <v>4543490485</v>
      </c>
      <c r="F43" s="82">
        <v>1233845213</v>
      </c>
      <c r="G43" s="82">
        <v>12</v>
      </c>
      <c r="H43" s="82">
        <v>7</v>
      </c>
      <c r="I43" s="82">
        <v>19</v>
      </c>
      <c r="J43" s="82">
        <v>23</v>
      </c>
      <c r="K43" s="82">
        <v>42</v>
      </c>
      <c r="L43" s="82">
        <v>10</v>
      </c>
      <c r="M43" s="82">
        <v>10</v>
      </c>
      <c r="N43" s="82">
        <v>0</v>
      </c>
      <c r="O43" s="82">
        <v>1</v>
      </c>
      <c r="P43" s="82">
        <v>43</v>
      </c>
      <c r="Q43" s="82">
        <v>3780</v>
      </c>
      <c r="R43" s="12" t="s">
        <v>25</v>
      </c>
      <c r="S43" s="12" t="s">
        <v>25</v>
      </c>
      <c r="T43" s="12" t="s">
        <v>25</v>
      </c>
    </row>
    <row r="44" spans="1:20" x14ac:dyDescent="0.3">
      <c r="A44" s="13">
        <v>43887.75</v>
      </c>
      <c r="B44" s="12" t="s">
        <v>22</v>
      </c>
      <c r="C44" s="82">
        <v>13</v>
      </c>
      <c r="D44" s="12" t="s">
        <v>42</v>
      </c>
      <c r="E44" s="82">
        <v>4235122196</v>
      </c>
      <c r="F44" s="82">
        <v>1339843823</v>
      </c>
      <c r="G44" s="82">
        <v>0</v>
      </c>
      <c r="H44" s="82">
        <v>0</v>
      </c>
      <c r="I44" s="82">
        <v>0</v>
      </c>
      <c r="J44" s="82">
        <v>0</v>
      </c>
      <c r="K44" s="82">
        <v>0</v>
      </c>
      <c r="L44" s="82">
        <v>0</v>
      </c>
      <c r="M44" s="82">
        <v>0</v>
      </c>
      <c r="N44" s="82">
        <v>0</v>
      </c>
      <c r="O44" s="82">
        <v>0</v>
      </c>
      <c r="P44" s="82">
        <v>0</v>
      </c>
      <c r="Q44" s="82">
        <v>13</v>
      </c>
      <c r="R44" s="12" t="s">
        <v>25</v>
      </c>
      <c r="S44" s="12" t="s">
        <v>25</v>
      </c>
      <c r="T44" s="12" t="s">
        <v>25</v>
      </c>
    </row>
    <row r="45" spans="1:20" x14ac:dyDescent="0.3">
      <c r="A45" s="13">
        <v>43887.75</v>
      </c>
      <c r="B45" s="12" t="s">
        <v>22</v>
      </c>
      <c r="C45" s="82">
        <v>17</v>
      </c>
      <c r="D45" s="12" t="s">
        <v>43</v>
      </c>
      <c r="E45" s="82">
        <v>4063947052</v>
      </c>
      <c r="F45" s="82">
        <v>1580514834</v>
      </c>
      <c r="G45" s="82">
        <v>0</v>
      </c>
      <c r="H45" s="82">
        <v>0</v>
      </c>
      <c r="I45" s="82">
        <v>0</v>
      </c>
      <c r="J45" s="82">
        <v>0</v>
      </c>
      <c r="K45" s="82">
        <v>0</v>
      </c>
      <c r="L45" s="82">
        <v>0</v>
      </c>
      <c r="M45" s="82">
        <v>0</v>
      </c>
      <c r="N45" s="82">
        <v>0</v>
      </c>
      <c r="O45" s="82">
        <v>0</v>
      </c>
      <c r="P45" s="82">
        <v>0</v>
      </c>
      <c r="Q45" s="82">
        <v>0</v>
      </c>
      <c r="R45" s="12" t="s">
        <v>25</v>
      </c>
      <c r="S45" s="12" t="s">
        <v>25</v>
      </c>
      <c r="T45" s="12" t="s">
        <v>25</v>
      </c>
    </row>
    <row r="46" spans="1:20" x14ac:dyDescent="0.3">
      <c r="A46" s="13">
        <v>43887.75</v>
      </c>
      <c r="B46" s="12" t="s">
        <v>22</v>
      </c>
      <c r="C46" s="82">
        <v>4</v>
      </c>
      <c r="D46" s="12" t="s">
        <v>44</v>
      </c>
      <c r="E46" s="82">
        <v>4649933453</v>
      </c>
      <c r="F46" s="82">
        <v>1135662422</v>
      </c>
      <c r="G46" s="82">
        <v>1</v>
      </c>
      <c r="H46" s="82">
        <v>0</v>
      </c>
      <c r="I46" s="82">
        <v>1</v>
      </c>
      <c r="J46" s="82">
        <v>0</v>
      </c>
      <c r="K46" s="82">
        <v>1</v>
      </c>
      <c r="L46" s="82">
        <v>0</v>
      </c>
      <c r="M46" s="82">
        <v>0</v>
      </c>
      <c r="N46" s="82">
        <v>0</v>
      </c>
      <c r="O46" s="82">
        <v>0</v>
      </c>
      <c r="P46" s="82">
        <v>1</v>
      </c>
      <c r="Q46" s="82">
        <v>1</v>
      </c>
      <c r="R46" s="12" t="s">
        <v>25</v>
      </c>
      <c r="S46" s="12" t="s">
        <v>25</v>
      </c>
      <c r="T46" s="12" t="s">
        <v>25</v>
      </c>
    </row>
    <row r="47" spans="1:20" x14ac:dyDescent="0.3">
      <c r="A47" s="13">
        <v>43887.75</v>
      </c>
      <c r="B47" s="12" t="s">
        <v>22</v>
      </c>
      <c r="C47" s="82">
        <v>18</v>
      </c>
      <c r="D47" s="12" t="s">
        <v>45</v>
      </c>
      <c r="E47" s="82">
        <v>3890597598</v>
      </c>
      <c r="F47" s="82">
        <v>1659440194</v>
      </c>
      <c r="G47" s="82">
        <v>0</v>
      </c>
      <c r="H47" s="82">
        <v>0</v>
      </c>
      <c r="I47" s="82">
        <v>0</v>
      </c>
      <c r="J47" s="82">
        <v>0</v>
      </c>
      <c r="K47" s="82">
        <v>0</v>
      </c>
      <c r="L47" s="82">
        <v>0</v>
      </c>
      <c r="M47" s="82">
        <v>0</v>
      </c>
      <c r="N47" s="82">
        <v>0</v>
      </c>
      <c r="O47" s="82">
        <v>0</v>
      </c>
      <c r="P47" s="82">
        <v>0</v>
      </c>
      <c r="Q47" s="82">
        <v>3</v>
      </c>
      <c r="R47" s="12" t="s">
        <v>25</v>
      </c>
      <c r="S47" s="12" t="s">
        <v>25</v>
      </c>
      <c r="T47" s="12" t="s">
        <v>25</v>
      </c>
    </row>
    <row r="48" spans="1:20" x14ac:dyDescent="0.3">
      <c r="A48" s="13">
        <v>43887.75</v>
      </c>
      <c r="B48" s="12" t="s">
        <v>22</v>
      </c>
      <c r="C48" s="82">
        <v>15</v>
      </c>
      <c r="D48" s="12" t="s">
        <v>46</v>
      </c>
      <c r="E48" s="82">
        <v>4083956555</v>
      </c>
      <c r="F48" s="82">
        <v>1425084984</v>
      </c>
      <c r="G48" s="82">
        <v>0</v>
      </c>
      <c r="H48" s="82">
        <v>0</v>
      </c>
      <c r="I48" s="82">
        <v>0</v>
      </c>
      <c r="J48" s="82">
        <v>0</v>
      </c>
      <c r="K48" s="82">
        <v>0</v>
      </c>
      <c r="L48" s="82">
        <v>0</v>
      </c>
      <c r="M48" s="82">
        <v>0</v>
      </c>
      <c r="N48" s="82">
        <v>0</v>
      </c>
      <c r="O48" s="82">
        <v>0</v>
      </c>
      <c r="P48" s="82">
        <v>0</v>
      </c>
      <c r="Q48" s="82">
        <v>10</v>
      </c>
      <c r="R48" s="12" t="s">
        <v>25</v>
      </c>
      <c r="S48" s="12" t="s">
        <v>25</v>
      </c>
      <c r="T48" s="12" t="s">
        <v>25</v>
      </c>
    </row>
    <row r="49" spans="1:20" x14ac:dyDescent="0.3">
      <c r="A49" s="13">
        <v>43887.75</v>
      </c>
      <c r="B49" s="12" t="s">
        <v>22</v>
      </c>
      <c r="C49" s="82">
        <v>8</v>
      </c>
      <c r="D49" s="12" t="s">
        <v>95</v>
      </c>
      <c r="E49" s="82">
        <v>4449436681</v>
      </c>
      <c r="F49" s="82">
        <v>113417208</v>
      </c>
      <c r="G49" s="82">
        <v>20</v>
      </c>
      <c r="H49" s="82">
        <v>3</v>
      </c>
      <c r="I49" s="82">
        <v>23</v>
      </c>
      <c r="J49" s="82">
        <v>23</v>
      </c>
      <c r="K49" s="82">
        <v>46</v>
      </c>
      <c r="L49" s="82">
        <v>20</v>
      </c>
      <c r="M49" s="82">
        <v>21</v>
      </c>
      <c r="N49" s="82">
        <v>0</v>
      </c>
      <c r="O49" s="82">
        <v>1</v>
      </c>
      <c r="P49" s="82">
        <v>47</v>
      </c>
      <c r="Q49" s="82">
        <v>577</v>
      </c>
      <c r="R49" s="12" t="s">
        <v>25</v>
      </c>
      <c r="S49" s="12" t="s">
        <v>25</v>
      </c>
      <c r="T49" s="12" t="s">
        <v>25</v>
      </c>
    </row>
    <row r="50" spans="1:20" x14ac:dyDescent="0.3">
      <c r="A50" s="13">
        <v>43887.75</v>
      </c>
      <c r="B50" s="12" t="s">
        <v>22</v>
      </c>
      <c r="C50" s="82">
        <v>6</v>
      </c>
      <c r="D50" s="12" t="s">
        <v>47</v>
      </c>
      <c r="E50" s="82">
        <v>456494354</v>
      </c>
      <c r="F50" s="82">
        <v>1376813649</v>
      </c>
      <c r="G50" s="82">
        <v>0</v>
      </c>
      <c r="H50" s="82">
        <v>0</v>
      </c>
      <c r="I50" s="82">
        <v>0</v>
      </c>
      <c r="J50" s="82">
        <v>0</v>
      </c>
      <c r="K50" s="82">
        <v>0</v>
      </c>
      <c r="L50" s="82">
        <v>0</v>
      </c>
      <c r="M50" s="82">
        <v>0</v>
      </c>
      <c r="N50" s="82">
        <v>0</v>
      </c>
      <c r="O50" s="82">
        <v>0</v>
      </c>
      <c r="P50" s="82">
        <v>0</v>
      </c>
      <c r="Q50" s="82">
        <v>114</v>
      </c>
      <c r="R50" s="12" t="s">
        <v>25</v>
      </c>
      <c r="S50" s="12" t="s">
        <v>25</v>
      </c>
      <c r="T50" s="12" t="s">
        <v>25</v>
      </c>
    </row>
    <row r="51" spans="1:20" x14ac:dyDescent="0.3">
      <c r="A51" s="13">
        <v>43887.75</v>
      </c>
      <c r="B51" s="12" t="s">
        <v>22</v>
      </c>
      <c r="C51" s="82">
        <v>12</v>
      </c>
      <c r="D51" s="12" t="s">
        <v>48</v>
      </c>
      <c r="E51" s="82">
        <v>4189277044</v>
      </c>
      <c r="F51" s="82">
        <v>1248366722</v>
      </c>
      <c r="G51" s="82">
        <v>0</v>
      </c>
      <c r="H51" s="82">
        <v>0</v>
      </c>
      <c r="I51" s="82">
        <v>0</v>
      </c>
      <c r="J51" s="82">
        <v>0</v>
      </c>
      <c r="K51" s="82">
        <v>0</v>
      </c>
      <c r="L51" s="82">
        <v>-2</v>
      </c>
      <c r="M51" s="82">
        <v>0</v>
      </c>
      <c r="N51" s="82">
        <v>3</v>
      </c>
      <c r="O51" s="82">
        <v>0</v>
      </c>
      <c r="P51" s="82">
        <v>3</v>
      </c>
      <c r="Q51" s="82">
        <v>124</v>
      </c>
      <c r="R51" s="12" t="s">
        <v>25</v>
      </c>
      <c r="S51" s="12" t="s">
        <v>25</v>
      </c>
      <c r="T51" s="12" t="s">
        <v>25</v>
      </c>
    </row>
    <row r="52" spans="1:20" x14ac:dyDescent="0.3">
      <c r="A52" s="13">
        <v>43887.75</v>
      </c>
      <c r="B52" s="12" t="s">
        <v>22</v>
      </c>
      <c r="C52" s="82">
        <v>7</v>
      </c>
      <c r="D52" s="12" t="s">
        <v>49</v>
      </c>
      <c r="E52" s="82">
        <v>4441149315</v>
      </c>
      <c r="F52" s="82">
        <v>89326992</v>
      </c>
      <c r="G52" s="82">
        <v>6</v>
      </c>
      <c r="H52" s="82">
        <v>0</v>
      </c>
      <c r="I52" s="82">
        <v>6</v>
      </c>
      <c r="J52" s="82">
        <v>5</v>
      </c>
      <c r="K52" s="82">
        <v>11</v>
      </c>
      <c r="L52" s="82">
        <v>10</v>
      </c>
      <c r="M52" s="82">
        <v>10</v>
      </c>
      <c r="N52" s="82">
        <v>0</v>
      </c>
      <c r="O52" s="82">
        <v>0</v>
      </c>
      <c r="P52" s="82">
        <v>11</v>
      </c>
      <c r="Q52" s="82">
        <v>66</v>
      </c>
      <c r="R52" s="12" t="s">
        <v>25</v>
      </c>
      <c r="S52" s="12" t="s">
        <v>25</v>
      </c>
      <c r="T52" s="12" t="s">
        <v>25</v>
      </c>
    </row>
    <row r="53" spans="1:20" x14ac:dyDescent="0.3">
      <c r="A53" s="13">
        <v>43887.75</v>
      </c>
      <c r="B53" s="12" t="s">
        <v>22</v>
      </c>
      <c r="C53" s="82">
        <v>3</v>
      </c>
      <c r="D53" s="12" t="s">
        <v>50</v>
      </c>
      <c r="E53" s="82">
        <v>4546679409</v>
      </c>
      <c r="F53" s="82">
        <v>9190347404</v>
      </c>
      <c r="G53" s="82">
        <v>79</v>
      </c>
      <c r="H53" s="82">
        <v>25</v>
      </c>
      <c r="I53" s="82">
        <v>104</v>
      </c>
      <c r="J53" s="82">
        <v>145</v>
      </c>
      <c r="K53" s="82">
        <v>249</v>
      </c>
      <c r="L53" s="82">
        <v>18</v>
      </c>
      <c r="M53" s="82">
        <v>18</v>
      </c>
      <c r="N53" s="82">
        <v>0</v>
      </c>
      <c r="O53" s="82">
        <v>9</v>
      </c>
      <c r="P53" s="82">
        <v>258</v>
      </c>
      <c r="Q53" s="82">
        <v>3208</v>
      </c>
      <c r="R53" s="12" t="s">
        <v>25</v>
      </c>
      <c r="S53" s="12" t="s">
        <v>25</v>
      </c>
      <c r="T53" s="12" t="s">
        <v>25</v>
      </c>
    </row>
    <row r="54" spans="1:20" x14ac:dyDescent="0.3">
      <c r="A54" s="13">
        <v>43887.75</v>
      </c>
      <c r="B54" s="12" t="s">
        <v>22</v>
      </c>
      <c r="C54" s="82">
        <v>11</v>
      </c>
      <c r="D54" s="12" t="s">
        <v>51</v>
      </c>
      <c r="E54" s="82">
        <v>4361675973</v>
      </c>
      <c r="F54" s="82">
        <v>135188753</v>
      </c>
      <c r="G54" s="82">
        <v>1</v>
      </c>
      <c r="H54" s="82">
        <v>0</v>
      </c>
      <c r="I54" s="82">
        <v>1</v>
      </c>
      <c r="J54" s="82">
        <v>0</v>
      </c>
      <c r="K54" s="82">
        <v>1</v>
      </c>
      <c r="L54" s="82">
        <v>1</v>
      </c>
      <c r="M54" s="82">
        <v>1</v>
      </c>
      <c r="N54" s="82">
        <v>0</v>
      </c>
      <c r="O54" s="82">
        <v>0</v>
      </c>
      <c r="P54" s="82">
        <v>1</v>
      </c>
      <c r="Q54" s="82">
        <v>28</v>
      </c>
      <c r="R54" s="12" t="s">
        <v>25</v>
      </c>
      <c r="S54" s="12" t="s">
        <v>25</v>
      </c>
      <c r="T54" s="12" t="s">
        <v>25</v>
      </c>
    </row>
    <row r="55" spans="1:20" x14ac:dyDescent="0.3">
      <c r="A55" s="13">
        <v>43887.75</v>
      </c>
      <c r="B55" s="12" t="s">
        <v>22</v>
      </c>
      <c r="C55" s="82">
        <v>14</v>
      </c>
      <c r="D55" s="12" t="s">
        <v>52</v>
      </c>
      <c r="E55" s="82">
        <v>4155774754</v>
      </c>
      <c r="F55" s="82">
        <v>1465916051</v>
      </c>
      <c r="G55" s="82">
        <v>0</v>
      </c>
      <c r="H55" s="82">
        <v>0</v>
      </c>
      <c r="I55" s="82">
        <v>0</v>
      </c>
      <c r="J55" s="82">
        <v>0</v>
      </c>
      <c r="K55" s="82">
        <v>0</v>
      </c>
      <c r="L55" s="82">
        <v>0</v>
      </c>
      <c r="M55" s="82">
        <v>0</v>
      </c>
      <c r="N55" s="82">
        <v>0</v>
      </c>
      <c r="O55" s="82">
        <v>0</v>
      </c>
      <c r="P55" s="82">
        <v>0</v>
      </c>
      <c r="Q55" s="82">
        <v>0</v>
      </c>
      <c r="R55" s="12" t="s">
        <v>25</v>
      </c>
      <c r="S55" s="12" t="s">
        <v>25</v>
      </c>
      <c r="T55" s="12" t="s">
        <v>25</v>
      </c>
    </row>
    <row r="56" spans="1:20" x14ac:dyDescent="0.3">
      <c r="A56" s="13">
        <v>43887.75</v>
      </c>
      <c r="B56" s="12" t="s">
        <v>22</v>
      </c>
      <c r="C56" s="82">
        <v>1</v>
      </c>
      <c r="D56" s="12" t="s">
        <v>53</v>
      </c>
      <c r="E56" s="82">
        <v>450732745</v>
      </c>
      <c r="F56" s="82">
        <v>7680687483</v>
      </c>
      <c r="G56" s="82">
        <v>2</v>
      </c>
      <c r="H56" s="82">
        <v>0</v>
      </c>
      <c r="I56" s="82">
        <v>2</v>
      </c>
      <c r="J56" s="82">
        <v>1</v>
      </c>
      <c r="K56" s="82">
        <v>3</v>
      </c>
      <c r="L56" s="82">
        <v>0</v>
      </c>
      <c r="M56" s="82">
        <v>0</v>
      </c>
      <c r="N56" s="82">
        <v>0</v>
      </c>
      <c r="O56" s="82">
        <v>0</v>
      </c>
      <c r="P56" s="82">
        <v>3</v>
      </c>
      <c r="Q56" s="82">
        <v>156</v>
      </c>
      <c r="R56" s="12" t="s">
        <v>25</v>
      </c>
      <c r="S56" s="12" t="s">
        <v>25</v>
      </c>
      <c r="T56" s="12" t="s">
        <v>25</v>
      </c>
    </row>
    <row r="57" spans="1:20" x14ac:dyDescent="0.3">
      <c r="A57" s="13">
        <v>43887.75</v>
      </c>
      <c r="B57" s="12" t="s">
        <v>22</v>
      </c>
      <c r="C57" s="82">
        <v>16</v>
      </c>
      <c r="D57" s="12" t="s">
        <v>54</v>
      </c>
      <c r="E57" s="82">
        <v>4112559576</v>
      </c>
      <c r="F57" s="82">
        <v>1686736689</v>
      </c>
      <c r="G57" s="82">
        <v>0</v>
      </c>
      <c r="H57" s="82">
        <v>0</v>
      </c>
      <c r="I57" s="82">
        <v>0</v>
      </c>
      <c r="J57" s="82">
        <v>0</v>
      </c>
      <c r="K57" s="82">
        <v>0</v>
      </c>
      <c r="L57" s="82">
        <v>0</v>
      </c>
      <c r="M57" s="82">
        <v>0</v>
      </c>
      <c r="N57" s="82">
        <v>0</v>
      </c>
      <c r="O57" s="82">
        <v>0</v>
      </c>
      <c r="P57" s="82">
        <v>0</v>
      </c>
      <c r="Q57" s="82">
        <v>0</v>
      </c>
      <c r="R57" s="12" t="s">
        <v>25</v>
      </c>
      <c r="S57" s="12" t="s">
        <v>25</v>
      </c>
      <c r="T57" s="12" t="s">
        <v>25</v>
      </c>
    </row>
    <row r="58" spans="1:20" x14ac:dyDescent="0.3">
      <c r="A58" s="13">
        <v>43887.75</v>
      </c>
      <c r="B58" s="12" t="s">
        <v>22</v>
      </c>
      <c r="C58" s="82">
        <v>20</v>
      </c>
      <c r="D58" s="12" t="s">
        <v>55</v>
      </c>
      <c r="E58" s="82">
        <v>3921531192</v>
      </c>
      <c r="F58" s="82">
        <v>9110616306</v>
      </c>
      <c r="G58" s="82">
        <v>0</v>
      </c>
      <c r="H58" s="82">
        <v>0</v>
      </c>
      <c r="I58" s="82">
        <v>0</v>
      </c>
      <c r="J58" s="82">
        <v>0</v>
      </c>
      <c r="K58" s="82">
        <v>0</v>
      </c>
      <c r="L58" s="82">
        <v>0</v>
      </c>
      <c r="M58" s="82">
        <v>0</v>
      </c>
      <c r="N58" s="82">
        <v>0</v>
      </c>
      <c r="O58" s="82">
        <v>0</v>
      </c>
      <c r="P58" s="82">
        <v>0</v>
      </c>
      <c r="Q58" s="82">
        <v>1</v>
      </c>
      <c r="R58" s="12" t="s">
        <v>25</v>
      </c>
      <c r="S58" s="12" t="s">
        <v>25</v>
      </c>
      <c r="T58" s="12" t="s">
        <v>25</v>
      </c>
    </row>
    <row r="59" spans="1:20" x14ac:dyDescent="0.3">
      <c r="A59" s="13">
        <v>43887.75</v>
      </c>
      <c r="B59" s="12" t="s">
        <v>22</v>
      </c>
      <c r="C59" s="82">
        <v>19</v>
      </c>
      <c r="D59" s="12" t="s">
        <v>56</v>
      </c>
      <c r="E59" s="82">
        <v>3811569725</v>
      </c>
      <c r="F59" s="82">
        <v>133623567</v>
      </c>
      <c r="G59" s="82">
        <v>1</v>
      </c>
      <c r="H59" s="82">
        <v>0</v>
      </c>
      <c r="I59" s="82">
        <v>1</v>
      </c>
      <c r="J59" s="82">
        <v>2</v>
      </c>
      <c r="K59" s="82">
        <v>3</v>
      </c>
      <c r="L59" s="82">
        <v>0</v>
      </c>
      <c r="M59" s="82">
        <v>0</v>
      </c>
      <c r="N59" s="82">
        <v>0</v>
      </c>
      <c r="O59" s="82">
        <v>0</v>
      </c>
      <c r="P59" s="82">
        <v>3</v>
      </c>
      <c r="Q59" s="82">
        <v>5</v>
      </c>
      <c r="R59" s="12" t="s">
        <v>25</v>
      </c>
      <c r="S59" s="12" t="s">
        <v>25</v>
      </c>
      <c r="T59" s="12" t="s">
        <v>25</v>
      </c>
    </row>
    <row r="60" spans="1:20" x14ac:dyDescent="0.3">
      <c r="A60" s="13">
        <v>43887.75</v>
      </c>
      <c r="B60" s="12" t="s">
        <v>22</v>
      </c>
      <c r="C60" s="82">
        <v>9</v>
      </c>
      <c r="D60" s="12" t="s">
        <v>57</v>
      </c>
      <c r="E60" s="82">
        <v>4376923077</v>
      </c>
      <c r="F60" s="82">
        <v>1125588885</v>
      </c>
      <c r="G60" s="82">
        <v>2</v>
      </c>
      <c r="H60" s="82">
        <v>0</v>
      </c>
      <c r="I60" s="82">
        <v>2</v>
      </c>
      <c r="J60" s="82">
        <v>0</v>
      </c>
      <c r="K60" s="82">
        <v>2</v>
      </c>
      <c r="L60" s="82">
        <v>0</v>
      </c>
      <c r="M60" s="82">
        <v>0</v>
      </c>
      <c r="N60" s="82">
        <v>0</v>
      </c>
      <c r="O60" s="82">
        <v>0</v>
      </c>
      <c r="P60" s="82">
        <v>2</v>
      </c>
      <c r="Q60" s="82">
        <v>363</v>
      </c>
      <c r="R60" s="12" t="s">
        <v>25</v>
      </c>
      <c r="S60" s="12" t="s">
        <v>25</v>
      </c>
      <c r="T60" s="12" t="s">
        <v>25</v>
      </c>
    </row>
    <row r="61" spans="1:20" x14ac:dyDescent="0.3">
      <c r="A61" s="13">
        <v>43887.75</v>
      </c>
      <c r="B61" s="12" t="s">
        <v>22</v>
      </c>
      <c r="C61" s="82">
        <v>4</v>
      </c>
      <c r="D61" s="12" t="s">
        <v>58</v>
      </c>
      <c r="E61" s="82">
        <v>4606893511</v>
      </c>
      <c r="F61" s="82">
        <v>1112123097</v>
      </c>
      <c r="G61" s="82">
        <v>0</v>
      </c>
      <c r="H61" s="82">
        <v>0</v>
      </c>
      <c r="I61" s="82">
        <v>0</v>
      </c>
      <c r="J61" s="82">
        <v>0</v>
      </c>
      <c r="K61" s="82">
        <v>0</v>
      </c>
      <c r="L61" s="82">
        <v>0</v>
      </c>
      <c r="M61" s="82">
        <v>0</v>
      </c>
      <c r="N61" s="82">
        <v>0</v>
      </c>
      <c r="O61" s="82">
        <v>0</v>
      </c>
      <c r="P61" s="82">
        <v>0</v>
      </c>
      <c r="Q61" s="82">
        <v>3</v>
      </c>
      <c r="R61" s="12" t="s">
        <v>25</v>
      </c>
      <c r="S61" s="12" t="s">
        <v>25</v>
      </c>
      <c r="T61" s="12" t="s">
        <v>25</v>
      </c>
    </row>
    <row r="62" spans="1:20" x14ac:dyDescent="0.3">
      <c r="A62" s="13">
        <v>43887.75</v>
      </c>
      <c r="B62" s="12" t="s">
        <v>22</v>
      </c>
      <c r="C62" s="82">
        <v>10</v>
      </c>
      <c r="D62" s="12" t="s">
        <v>59</v>
      </c>
      <c r="E62" s="82">
        <v>4310675841</v>
      </c>
      <c r="F62" s="82">
        <v>1238824698</v>
      </c>
      <c r="G62" s="82">
        <v>0</v>
      </c>
      <c r="H62" s="82">
        <v>0</v>
      </c>
      <c r="I62" s="82">
        <v>0</v>
      </c>
      <c r="J62" s="82">
        <v>0</v>
      </c>
      <c r="K62" s="82">
        <v>0</v>
      </c>
      <c r="L62" s="82">
        <v>0</v>
      </c>
      <c r="M62" s="82">
        <v>0</v>
      </c>
      <c r="N62" s="82">
        <v>0</v>
      </c>
      <c r="O62" s="82">
        <v>0</v>
      </c>
      <c r="P62" s="82">
        <v>0</v>
      </c>
      <c r="Q62" s="82">
        <v>8</v>
      </c>
      <c r="R62" s="12" t="s">
        <v>25</v>
      </c>
      <c r="S62" s="12" t="s">
        <v>25</v>
      </c>
      <c r="T62" s="12" t="s">
        <v>25</v>
      </c>
    </row>
    <row r="63" spans="1:20" x14ac:dyDescent="0.3">
      <c r="A63" s="13">
        <v>43887.75</v>
      </c>
      <c r="B63" s="12" t="s">
        <v>22</v>
      </c>
      <c r="C63" s="82">
        <v>2</v>
      </c>
      <c r="D63" s="12" t="s">
        <v>60</v>
      </c>
      <c r="E63" s="82">
        <v>4573750286</v>
      </c>
      <c r="F63" s="82">
        <v>7320149366</v>
      </c>
      <c r="G63" s="82">
        <v>0</v>
      </c>
      <c r="H63" s="82">
        <v>0</v>
      </c>
      <c r="I63" s="82">
        <v>0</v>
      </c>
      <c r="J63" s="82">
        <v>0</v>
      </c>
      <c r="K63" s="82">
        <v>0</v>
      </c>
      <c r="L63" s="82">
        <v>0</v>
      </c>
      <c r="M63" s="82">
        <v>0</v>
      </c>
      <c r="N63" s="82">
        <v>0</v>
      </c>
      <c r="O63" s="82">
        <v>0</v>
      </c>
      <c r="P63" s="82">
        <v>0</v>
      </c>
      <c r="Q63" s="82">
        <v>7</v>
      </c>
      <c r="R63" s="12" t="s">
        <v>25</v>
      </c>
      <c r="S63" s="12" t="s">
        <v>25</v>
      </c>
      <c r="T63" s="12" t="s">
        <v>25</v>
      </c>
    </row>
    <row r="64" spans="1:20" x14ac:dyDescent="0.3">
      <c r="A64" s="13">
        <v>43887.75</v>
      </c>
      <c r="B64" s="12" t="s">
        <v>22</v>
      </c>
      <c r="C64" s="82">
        <v>5</v>
      </c>
      <c r="D64" s="12" t="s">
        <v>61</v>
      </c>
      <c r="E64" s="82">
        <v>4543490485</v>
      </c>
      <c r="F64" s="82">
        <v>1233845213</v>
      </c>
      <c r="G64" s="82">
        <v>16</v>
      </c>
      <c r="H64" s="82">
        <v>8</v>
      </c>
      <c r="I64" s="82">
        <v>24</v>
      </c>
      <c r="J64" s="82">
        <v>45</v>
      </c>
      <c r="K64" s="82">
        <v>69</v>
      </c>
      <c r="L64" s="82">
        <v>27</v>
      </c>
      <c r="M64" s="82">
        <v>28</v>
      </c>
      <c r="N64" s="82">
        <v>0</v>
      </c>
      <c r="O64" s="82">
        <v>2</v>
      </c>
      <c r="P64" s="82">
        <v>71</v>
      </c>
      <c r="Q64" s="82">
        <v>4900</v>
      </c>
      <c r="R64" s="12" t="s">
        <v>25</v>
      </c>
      <c r="S64" s="12" t="s">
        <v>25</v>
      </c>
      <c r="T64" s="12" t="s">
        <v>25</v>
      </c>
    </row>
    <row r="65" spans="1:20" x14ac:dyDescent="0.3">
      <c r="A65" s="13">
        <v>43888.75</v>
      </c>
      <c r="B65" s="12" t="s">
        <v>22</v>
      </c>
      <c r="C65" s="82">
        <v>13</v>
      </c>
      <c r="D65" s="12" t="s">
        <v>42</v>
      </c>
      <c r="E65" s="82">
        <v>4235122196</v>
      </c>
      <c r="F65" s="82">
        <v>1339843823</v>
      </c>
      <c r="G65" s="82">
        <v>1</v>
      </c>
      <c r="H65" s="82">
        <v>0</v>
      </c>
      <c r="I65" s="82">
        <v>1</v>
      </c>
      <c r="J65" s="82">
        <v>0</v>
      </c>
      <c r="K65" s="82">
        <v>1</v>
      </c>
      <c r="L65" s="82">
        <v>1</v>
      </c>
      <c r="M65" s="82">
        <v>1</v>
      </c>
      <c r="N65" s="82">
        <v>0</v>
      </c>
      <c r="O65" s="82">
        <v>0</v>
      </c>
      <c r="P65" s="82">
        <v>1</v>
      </c>
      <c r="Q65" s="82">
        <v>33</v>
      </c>
      <c r="R65" s="12" t="s">
        <v>25</v>
      </c>
      <c r="S65" s="12" t="s">
        <v>25</v>
      </c>
      <c r="T65" s="12" t="s">
        <v>25</v>
      </c>
    </row>
    <row r="66" spans="1:20" x14ac:dyDescent="0.3">
      <c r="A66" s="13">
        <v>43888.75</v>
      </c>
      <c r="B66" s="12" t="s">
        <v>22</v>
      </c>
      <c r="C66" s="82">
        <v>17</v>
      </c>
      <c r="D66" s="12" t="s">
        <v>43</v>
      </c>
      <c r="E66" s="82">
        <v>4063947052</v>
      </c>
      <c r="F66" s="82">
        <v>1580514834</v>
      </c>
      <c r="G66" s="82">
        <v>0</v>
      </c>
      <c r="H66" s="82">
        <v>0</v>
      </c>
      <c r="I66" s="82">
        <v>0</v>
      </c>
      <c r="J66" s="82">
        <v>0</v>
      </c>
      <c r="K66" s="82">
        <v>0</v>
      </c>
      <c r="L66" s="82">
        <v>0</v>
      </c>
      <c r="M66" s="82">
        <v>0</v>
      </c>
      <c r="N66" s="82">
        <v>0</v>
      </c>
      <c r="O66" s="82">
        <v>0</v>
      </c>
      <c r="P66" s="82">
        <v>0</v>
      </c>
      <c r="Q66" s="82">
        <v>0</v>
      </c>
      <c r="R66" s="12" t="s">
        <v>25</v>
      </c>
      <c r="S66" s="12" t="s">
        <v>25</v>
      </c>
      <c r="T66" s="12" t="s">
        <v>25</v>
      </c>
    </row>
    <row r="67" spans="1:20" x14ac:dyDescent="0.3">
      <c r="A67" s="13">
        <v>43888.75</v>
      </c>
      <c r="B67" s="12" t="s">
        <v>22</v>
      </c>
      <c r="C67" s="82">
        <v>4</v>
      </c>
      <c r="D67" s="12" t="s">
        <v>44</v>
      </c>
      <c r="E67" s="82">
        <v>4649933453</v>
      </c>
      <c r="F67" s="82">
        <v>1135662422</v>
      </c>
      <c r="G67" s="82">
        <v>1</v>
      </c>
      <c r="H67" s="82">
        <v>0</v>
      </c>
      <c r="I67" s="82">
        <v>1</v>
      </c>
      <c r="J67" s="82">
        <v>0</v>
      </c>
      <c r="K67" s="82">
        <v>1</v>
      </c>
      <c r="L67" s="82">
        <v>0</v>
      </c>
      <c r="M67" s="82">
        <v>0</v>
      </c>
      <c r="N67" s="82">
        <v>0</v>
      </c>
      <c r="O67" s="82">
        <v>0</v>
      </c>
      <c r="P67" s="82">
        <v>1</v>
      </c>
      <c r="Q67" s="82">
        <v>2</v>
      </c>
      <c r="R67" s="12" t="s">
        <v>25</v>
      </c>
      <c r="S67" s="12" t="s">
        <v>25</v>
      </c>
      <c r="T67" s="12" t="s">
        <v>25</v>
      </c>
    </row>
    <row r="68" spans="1:20" x14ac:dyDescent="0.3">
      <c r="A68" s="13">
        <v>43888.75</v>
      </c>
      <c r="B68" s="12" t="s">
        <v>22</v>
      </c>
      <c r="C68" s="82">
        <v>18</v>
      </c>
      <c r="D68" s="12" t="s">
        <v>45</v>
      </c>
      <c r="E68" s="82">
        <v>3890597598</v>
      </c>
      <c r="F68" s="82">
        <v>1659440194</v>
      </c>
      <c r="G68" s="82">
        <v>0</v>
      </c>
      <c r="H68" s="82">
        <v>0</v>
      </c>
      <c r="I68" s="82">
        <v>0</v>
      </c>
      <c r="J68" s="82">
        <v>0</v>
      </c>
      <c r="K68" s="82">
        <v>0</v>
      </c>
      <c r="L68" s="82">
        <v>0</v>
      </c>
      <c r="M68" s="82">
        <v>0</v>
      </c>
      <c r="N68" s="82">
        <v>0</v>
      </c>
      <c r="O68" s="82">
        <v>0</v>
      </c>
      <c r="P68" s="82">
        <v>0</v>
      </c>
      <c r="Q68" s="82">
        <v>14</v>
      </c>
      <c r="R68" s="12" t="s">
        <v>25</v>
      </c>
      <c r="S68" s="12" t="s">
        <v>25</v>
      </c>
      <c r="T68" s="12" t="s">
        <v>25</v>
      </c>
    </row>
    <row r="69" spans="1:20" x14ac:dyDescent="0.3">
      <c r="A69" s="13">
        <v>43888.75</v>
      </c>
      <c r="B69" s="12" t="s">
        <v>22</v>
      </c>
      <c r="C69" s="82">
        <v>15</v>
      </c>
      <c r="D69" s="12" t="s">
        <v>46</v>
      </c>
      <c r="E69" s="82">
        <v>4083956555</v>
      </c>
      <c r="F69" s="82">
        <v>1425084984</v>
      </c>
      <c r="G69" s="82">
        <v>2</v>
      </c>
      <c r="H69" s="82">
        <v>0</v>
      </c>
      <c r="I69" s="82">
        <v>2</v>
      </c>
      <c r="J69" s="82">
        <v>1</v>
      </c>
      <c r="K69" s="82">
        <v>3</v>
      </c>
      <c r="L69" s="82">
        <v>3</v>
      </c>
      <c r="M69" s="82">
        <v>3</v>
      </c>
      <c r="N69" s="82">
        <v>0</v>
      </c>
      <c r="O69" s="82">
        <v>0</v>
      </c>
      <c r="P69" s="82">
        <v>3</v>
      </c>
      <c r="Q69" s="82">
        <v>10</v>
      </c>
      <c r="R69" s="12" t="s">
        <v>25</v>
      </c>
      <c r="S69" s="12" t="s">
        <v>25</v>
      </c>
      <c r="T69" s="12" t="s">
        <v>25</v>
      </c>
    </row>
    <row r="70" spans="1:20" x14ac:dyDescent="0.3">
      <c r="A70" s="13">
        <v>43888.75</v>
      </c>
      <c r="B70" s="12" t="s">
        <v>22</v>
      </c>
      <c r="C70" s="82">
        <v>8</v>
      </c>
      <c r="D70" s="12" t="s">
        <v>95</v>
      </c>
      <c r="E70" s="82">
        <v>4449436681</v>
      </c>
      <c r="F70" s="82">
        <v>113417208</v>
      </c>
      <c r="G70" s="82">
        <v>36</v>
      </c>
      <c r="H70" s="82">
        <v>6</v>
      </c>
      <c r="I70" s="82">
        <v>42</v>
      </c>
      <c r="J70" s="82">
        <v>54</v>
      </c>
      <c r="K70" s="82">
        <v>96</v>
      </c>
      <c r="L70" s="82">
        <v>50</v>
      </c>
      <c r="M70" s="82">
        <v>50</v>
      </c>
      <c r="N70" s="82">
        <v>0</v>
      </c>
      <c r="O70" s="82">
        <v>1</v>
      </c>
      <c r="P70" s="82">
        <v>97</v>
      </c>
      <c r="Q70" s="82">
        <v>1033</v>
      </c>
      <c r="R70" s="12" t="s">
        <v>25</v>
      </c>
      <c r="S70" s="12" t="s">
        <v>25</v>
      </c>
      <c r="T70" s="12" t="s">
        <v>25</v>
      </c>
    </row>
    <row r="71" spans="1:20" x14ac:dyDescent="0.3">
      <c r="A71" s="13">
        <v>43888.75</v>
      </c>
      <c r="B71" s="12" t="s">
        <v>22</v>
      </c>
      <c r="C71" s="82">
        <v>6</v>
      </c>
      <c r="D71" s="12" t="s">
        <v>47</v>
      </c>
      <c r="E71" s="82">
        <v>456494354</v>
      </c>
      <c r="F71" s="82">
        <v>1376813649</v>
      </c>
      <c r="G71" s="82">
        <v>0</v>
      </c>
      <c r="H71" s="82">
        <v>0</v>
      </c>
      <c r="I71" s="82">
        <v>0</v>
      </c>
      <c r="J71" s="82">
        <v>0</v>
      </c>
      <c r="K71" s="82">
        <v>0</v>
      </c>
      <c r="L71" s="82">
        <v>0</v>
      </c>
      <c r="M71" s="82">
        <v>0</v>
      </c>
      <c r="N71" s="82">
        <v>0</v>
      </c>
      <c r="O71" s="82">
        <v>0</v>
      </c>
      <c r="P71" s="82">
        <v>0</v>
      </c>
      <c r="Q71" s="82">
        <v>141</v>
      </c>
      <c r="R71" s="12" t="s">
        <v>25</v>
      </c>
      <c r="S71" s="12" t="s">
        <v>25</v>
      </c>
      <c r="T71" s="12" t="s">
        <v>25</v>
      </c>
    </row>
    <row r="72" spans="1:20" x14ac:dyDescent="0.3">
      <c r="A72" s="13">
        <v>43888.75</v>
      </c>
      <c r="B72" s="12" t="s">
        <v>22</v>
      </c>
      <c r="C72" s="82">
        <v>12</v>
      </c>
      <c r="D72" s="12" t="s">
        <v>48</v>
      </c>
      <c r="E72" s="82">
        <v>4189277044</v>
      </c>
      <c r="F72" s="82">
        <v>1248366722</v>
      </c>
      <c r="G72" s="82">
        <v>0</v>
      </c>
      <c r="H72" s="82">
        <v>0</v>
      </c>
      <c r="I72" s="82">
        <v>0</v>
      </c>
      <c r="J72" s="82">
        <v>0</v>
      </c>
      <c r="K72" s="82">
        <v>0</v>
      </c>
      <c r="L72" s="82">
        <v>0</v>
      </c>
      <c r="M72" s="82">
        <v>0</v>
      </c>
      <c r="N72" s="82">
        <v>3</v>
      </c>
      <c r="O72" s="82">
        <v>0</v>
      </c>
      <c r="P72" s="82">
        <v>3</v>
      </c>
      <c r="Q72" s="82">
        <v>552</v>
      </c>
      <c r="R72" s="12" t="s">
        <v>25</v>
      </c>
      <c r="S72" s="12" t="s">
        <v>25</v>
      </c>
      <c r="T72" s="12" t="s">
        <v>25</v>
      </c>
    </row>
    <row r="73" spans="1:20" x14ac:dyDescent="0.3">
      <c r="A73" s="13">
        <v>43888.75</v>
      </c>
      <c r="B73" s="12" t="s">
        <v>22</v>
      </c>
      <c r="C73" s="82">
        <v>7</v>
      </c>
      <c r="D73" s="12" t="s">
        <v>49</v>
      </c>
      <c r="E73" s="82">
        <v>4441149315</v>
      </c>
      <c r="F73" s="82">
        <v>89326992</v>
      </c>
      <c r="G73" s="82">
        <v>9</v>
      </c>
      <c r="H73" s="82">
        <v>0</v>
      </c>
      <c r="I73" s="82">
        <v>9</v>
      </c>
      <c r="J73" s="82">
        <v>10</v>
      </c>
      <c r="K73" s="82">
        <v>19</v>
      </c>
      <c r="L73" s="82">
        <v>8</v>
      </c>
      <c r="M73" s="82">
        <v>8</v>
      </c>
      <c r="N73" s="82">
        <v>0</v>
      </c>
      <c r="O73" s="82">
        <v>0</v>
      </c>
      <c r="P73" s="82">
        <v>19</v>
      </c>
      <c r="Q73" s="82">
        <v>78</v>
      </c>
      <c r="R73" s="12" t="s">
        <v>25</v>
      </c>
      <c r="S73" s="12" t="s">
        <v>25</v>
      </c>
      <c r="T73" s="12" t="s">
        <v>25</v>
      </c>
    </row>
    <row r="74" spans="1:20" x14ac:dyDescent="0.3">
      <c r="A74" s="13">
        <v>43888.75</v>
      </c>
      <c r="B74" s="12" t="s">
        <v>22</v>
      </c>
      <c r="C74" s="82">
        <v>3</v>
      </c>
      <c r="D74" s="12" t="s">
        <v>50</v>
      </c>
      <c r="E74" s="82">
        <v>4546679409</v>
      </c>
      <c r="F74" s="82">
        <v>9190347404</v>
      </c>
      <c r="G74" s="82">
        <v>172</v>
      </c>
      <c r="H74" s="82">
        <v>41</v>
      </c>
      <c r="I74" s="82">
        <v>213</v>
      </c>
      <c r="J74" s="82">
        <v>136</v>
      </c>
      <c r="K74" s="82">
        <v>349</v>
      </c>
      <c r="L74" s="82">
        <v>100</v>
      </c>
      <c r="M74" s="82">
        <v>145</v>
      </c>
      <c r="N74" s="82">
        <v>40</v>
      </c>
      <c r="O74" s="82">
        <v>14</v>
      </c>
      <c r="P74" s="82">
        <v>403</v>
      </c>
      <c r="Q74" s="82">
        <v>3320</v>
      </c>
      <c r="R74" s="12" t="s">
        <v>25</v>
      </c>
      <c r="S74" s="12" t="s">
        <v>25</v>
      </c>
      <c r="T74" s="12" t="s">
        <v>25</v>
      </c>
    </row>
    <row r="75" spans="1:20" x14ac:dyDescent="0.3">
      <c r="A75" s="13">
        <v>43888.75</v>
      </c>
      <c r="B75" s="12" t="s">
        <v>22</v>
      </c>
      <c r="C75" s="82">
        <v>11</v>
      </c>
      <c r="D75" s="12" t="s">
        <v>51</v>
      </c>
      <c r="E75" s="82">
        <v>4361675973</v>
      </c>
      <c r="F75" s="82">
        <v>135188753</v>
      </c>
      <c r="G75" s="82">
        <v>2</v>
      </c>
      <c r="H75" s="82">
        <v>1</v>
      </c>
      <c r="I75" s="82">
        <v>3</v>
      </c>
      <c r="J75" s="82">
        <v>0</v>
      </c>
      <c r="K75" s="82">
        <v>3</v>
      </c>
      <c r="L75" s="82">
        <v>2</v>
      </c>
      <c r="M75" s="82">
        <v>2</v>
      </c>
      <c r="N75" s="82">
        <v>0</v>
      </c>
      <c r="O75" s="82">
        <v>0</v>
      </c>
      <c r="P75" s="82">
        <v>3</v>
      </c>
      <c r="Q75" s="82">
        <v>46</v>
      </c>
      <c r="R75" s="12" t="s">
        <v>25</v>
      </c>
      <c r="S75" s="12" t="s">
        <v>25</v>
      </c>
      <c r="T75" s="12" t="s">
        <v>25</v>
      </c>
    </row>
    <row r="76" spans="1:20" x14ac:dyDescent="0.3">
      <c r="A76" s="13">
        <v>43888.75</v>
      </c>
      <c r="B76" s="12" t="s">
        <v>22</v>
      </c>
      <c r="C76" s="82">
        <v>14</v>
      </c>
      <c r="D76" s="12" t="s">
        <v>52</v>
      </c>
      <c r="E76" s="82">
        <v>4155774754</v>
      </c>
      <c r="F76" s="82">
        <v>1465916051</v>
      </c>
      <c r="G76" s="82">
        <v>0</v>
      </c>
      <c r="H76" s="82">
        <v>0</v>
      </c>
      <c r="I76" s="82">
        <v>0</v>
      </c>
      <c r="J76" s="82">
        <v>0</v>
      </c>
      <c r="K76" s="82">
        <v>0</v>
      </c>
      <c r="L76" s="82">
        <v>0</v>
      </c>
      <c r="M76" s="82">
        <v>0</v>
      </c>
      <c r="N76" s="82">
        <v>0</v>
      </c>
      <c r="O76" s="82">
        <v>0</v>
      </c>
      <c r="P76" s="82">
        <v>0</v>
      </c>
      <c r="Q76" s="82">
        <v>0</v>
      </c>
      <c r="R76" s="12" t="s">
        <v>25</v>
      </c>
      <c r="S76" s="12" t="s">
        <v>25</v>
      </c>
      <c r="T76" s="12" t="s">
        <v>25</v>
      </c>
    </row>
    <row r="77" spans="1:20" x14ac:dyDescent="0.3">
      <c r="A77" s="13">
        <v>43888.75</v>
      </c>
      <c r="B77" s="12" t="s">
        <v>22</v>
      </c>
      <c r="C77" s="82">
        <v>1</v>
      </c>
      <c r="D77" s="12" t="s">
        <v>53</v>
      </c>
      <c r="E77" s="82">
        <v>450732745</v>
      </c>
      <c r="F77" s="82">
        <v>7680687483</v>
      </c>
      <c r="G77" s="82">
        <v>2</v>
      </c>
      <c r="H77" s="82">
        <v>0</v>
      </c>
      <c r="I77" s="82">
        <v>2</v>
      </c>
      <c r="J77" s="82">
        <v>0</v>
      </c>
      <c r="K77" s="82">
        <v>2</v>
      </c>
      <c r="L77" s="82">
        <v>-1</v>
      </c>
      <c r="M77" s="82">
        <v>-1</v>
      </c>
      <c r="N77" s="82">
        <v>0</v>
      </c>
      <c r="O77" s="82">
        <v>0</v>
      </c>
      <c r="P77" s="82">
        <v>2</v>
      </c>
      <c r="Q77" s="82">
        <v>156</v>
      </c>
      <c r="R77" s="12" t="s">
        <v>25</v>
      </c>
      <c r="S77" s="12" t="s">
        <v>25</v>
      </c>
      <c r="T77" s="12" t="s">
        <v>25</v>
      </c>
    </row>
    <row r="78" spans="1:20" x14ac:dyDescent="0.3">
      <c r="A78" s="13">
        <v>43888.75</v>
      </c>
      <c r="B78" s="12" t="s">
        <v>22</v>
      </c>
      <c r="C78" s="82">
        <v>16</v>
      </c>
      <c r="D78" s="12" t="s">
        <v>54</v>
      </c>
      <c r="E78" s="82">
        <v>4112559576</v>
      </c>
      <c r="F78" s="82">
        <v>1686736689</v>
      </c>
      <c r="G78" s="82">
        <v>1</v>
      </c>
      <c r="H78" s="82">
        <v>0</v>
      </c>
      <c r="I78" s="82">
        <v>1</v>
      </c>
      <c r="J78" s="82">
        <v>0</v>
      </c>
      <c r="K78" s="82">
        <v>1</v>
      </c>
      <c r="L78" s="82">
        <v>1</v>
      </c>
      <c r="M78" s="82">
        <v>1</v>
      </c>
      <c r="N78" s="82">
        <v>0</v>
      </c>
      <c r="O78" s="82">
        <v>0</v>
      </c>
      <c r="P78" s="82">
        <v>1</v>
      </c>
      <c r="Q78" s="82">
        <v>0</v>
      </c>
      <c r="R78" s="12" t="s">
        <v>25</v>
      </c>
      <c r="S78" s="12" t="s">
        <v>25</v>
      </c>
      <c r="T78" s="12" t="s">
        <v>25</v>
      </c>
    </row>
    <row r="79" spans="1:20" x14ac:dyDescent="0.3">
      <c r="A79" s="13">
        <v>43888.75</v>
      </c>
      <c r="B79" s="12" t="s">
        <v>22</v>
      </c>
      <c r="C79" s="82">
        <v>20</v>
      </c>
      <c r="D79" s="12" t="s">
        <v>55</v>
      </c>
      <c r="E79" s="82">
        <v>3921531192</v>
      </c>
      <c r="F79" s="82">
        <v>9110616306</v>
      </c>
      <c r="G79" s="82">
        <v>0</v>
      </c>
      <c r="H79" s="82">
        <v>0</v>
      </c>
      <c r="I79" s="82">
        <v>0</v>
      </c>
      <c r="J79" s="82">
        <v>0</v>
      </c>
      <c r="K79" s="82">
        <v>0</v>
      </c>
      <c r="L79" s="82">
        <v>0</v>
      </c>
      <c r="M79" s="82">
        <v>0</v>
      </c>
      <c r="N79" s="82">
        <v>0</v>
      </c>
      <c r="O79" s="82">
        <v>0</v>
      </c>
      <c r="P79" s="82">
        <v>0</v>
      </c>
      <c r="Q79" s="82">
        <v>1</v>
      </c>
      <c r="R79" s="12" t="s">
        <v>25</v>
      </c>
      <c r="S79" s="12" t="s">
        <v>25</v>
      </c>
      <c r="T79" s="12" t="s">
        <v>25</v>
      </c>
    </row>
    <row r="80" spans="1:20" x14ac:dyDescent="0.3">
      <c r="A80" s="13">
        <v>43888.75</v>
      </c>
      <c r="B80" s="12" t="s">
        <v>22</v>
      </c>
      <c r="C80" s="82">
        <v>19</v>
      </c>
      <c r="D80" s="12" t="s">
        <v>56</v>
      </c>
      <c r="E80" s="82">
        <v>3811569725</v>
      </c>
      <c r="F80" s="82">
        <v>133623567</v>
      </c>
      <c r="G80" s="82">
        <v>1</v>
      </c>
      <c r="H80" s="82">
        <v>0</v>
      </c>
      <c r="I80" s="82">
        <v>1</v>
      </c>
      <c r="J80" s="82">
        <v>1</v>
      </c>
      <c r="K80" s="82">
        <v>2</v>
      </c>
      <c r="L80" s="82">
        <v>-1</v>
      </c>
      <c r="M80" s="82">
        <v>1</v>
      </c>
      <c r="N80" s="82">
        <v>2</v>
      </c>
      <c r="O80" s="82">
        <v>0</v>
      </c>
      <c r="P80" s="82">
        <v>4</v>
      </c>
      <c r="Q80" s="82">
        <v>5</v>
      </c>
      <c r="R80" s="12" t="s">
        <v>25</v>
      </c>
      <c r="S80" s="12" t="s">
        <v>25</v>
      </c>
      <c r="T80" s="12" t="s">
        <v>25</v>
      </c>
    </row>
    <row r="81" spans="1:20" x14ac:dyDescent="0.3">
      <c r="A81" s="13">
        <v>43888.75</v>
      </c>
      <c r="B81" s="12" t="s">
        <v>22</v>
      </c>
      <c r="C81" s="82">
        <v>9</v>
      </c>
      <c r="D81" s="12" t="s">
        <v>57</v>
      </c>
      <c r="E81" s="82">
        <v>4376923077</v>
      </c>
      <c r="F81" s="82">
        <v>1125588885</v>
      </c>
      <c r="G81" s="82">
        <v>2</v>
      </c>
      <c r="H81" s="82">
        <v>0</v>
      </c>
      <c r="I81" s="82">
        <v>2</v>
      </c>
      <c r="J81" s="82">
        <v>0</v>
      </c>
      <c r="K81" s="82">
        <v>2</v>
      </c>
      <c r="L81" s="82">
        <v>0</v>
      </c>
      <c r="M81" s="82">
        <v>0</v>
      </c>
      <c r="N81" s="82">
        <v>0</v>
      </c>
      <c r="O81" s="82">
        <v>0</v>
      </c>
      <c r="P81" s="82">
        <v>2</v>
      </c>
      <c r="Q81" s="82">
        <v>410</v>
      </c>
      <c r="R81" s="12" t="s">
        <v>25</v>
      </c>
      <c r="S81" s="12" t="s">
        <v>25</v>
      </c>
      <c r="T81" s="12" t="s">
        <v>25</v>
      </c>
    </row>
    <row r="82" spans="1:20" x14ac:dyDescent="0.3">
      <c r="A82" s="13">
        <v>43888.75</v>
      </c>
      <c r="B82" s="12" t="s">
        <v>22</v>
      </c>
      <c r="C82" s="82">
        <v>4</v>
      </c>
      <c r="D82" s="12" t="s">
        <v>58</v>
      </c>
      <c r="E82" s="82">
        <v>4606893511</v>
      </c>
      <c r="F82" s="82">
        <v>1112123097</v>
      </c>
      <c r="G82" s="82">
        <v>0</v>
      </c>
      <c r="H82" s="82">
        <v>0</v>
      </c>
      <c r="I82" s="82">
        <v>0</v>
      </c>
      <c r="J82" s="82">
        <v>0</v>
      </c>
      <c r="K82" s="82">
        <v>0</v>
      </c>
      <c r="L82" s="82">
        <v>0</v>
      </c>
      <c r="M82" s="82">
        <v>0</v>
      </c>
      <c r="N82" s="82">
        <v>0</v>
      </c>
      <c r="O82" s="82">
        <v>0</v>
      </c>
      <c r="P82" s="82">
        <v>0</v>
      </c>
      <c r="Q82" s="82">
        <v>32</v>
      </c>
      <c r="R82" s="12" t="s">
        <v>25</v>
      </c>
      <c r="S82" s="12" t="s">
        <v>25</v>
      </c>
      <c r="T82" s="12" t="s">
        <v>25</v>
      </c>
    </row>
    <row r="83" spans="1:20" x14ac:dyDescent="0.3">
      <c r="A83" s="13">
        <v>43888.75</v>
      </c>
      <c r="B83" s="12" t="s">
        <v>22</v>
      </c>
      <c r="C83" s="82">
        <v>10</v>
      </c>
      <c r="D83" s="12" t="s">
        <v>59</v>
      </c>
      <c r="E83" s="82">
        <v>4310675841</v>
      </c>
      <c r="F83" s="82">
        <v>1238824698</v>
      </c>
      <c r="G83" s="82">
        <v>0</v>
      </c>
      <c r="H83" s="82">
        <v>0</v>
      </c>
      <c r="I83" s="82">
        <v>0</v>
      </c>
      <c r="J83" s="82">
        <v>0</v>
      </c>
      <c r="K83" s="82">
        <v>0</v>
      </c>
      <c r="L83" s="82">
        <v>0</v>
      </c>
      <c r="M83" s="82">
        <v>0</v>
      </c>
      <c r="N83" s="82">
        <v>0</v>
      </c>
      <c r="O83" s="82">
        <v>0</v>
      </c>
      <c r="P83" s="82">
        <v>0</v>
      </c>
      <c r="Q83" s="82">
        <v>8</v>
      </c>
      <c r="R83" s="12" t="s">
        <v>25</v>
      </c>
      <c r="S83" s="12" t="s">
        <v>25</v>
      </c>
      <c r="T83" s="12" t="s">
        <v>25</v>
      </c>
    </row>
    <row r="84" spans="1:20" x14ac:dyDescent="0.3">
      <c r="A84" s="13">
        <v>43888.75</v>
      </c>
      <c r="B84" s="12" t="s">
        <v>22</v>
      </c>
      <c r="C84" s="82">
        <v>2</v>
      </c>
      <c r="D84" s="12" t="s">
        <v>60</v>
      </c>
      <c r="E84" s="82">
        <v>4573750286</v>
      </c>
      <c r="F84" s="82">
        <v>7320149366</v>
      </c>
      <c r="G84" s="82">
        <v>0</v>
      </c>
      <c r="H84" s="82">
        <v>0</v>
      </c>
      <c r="I84" s="82">
        <v>0</v>
      </c>
      <c r="J84" s="82">
        <v>0</v>
      </c>
      <c r="K84" s="82">
        <v>0</v>
      </c>
      <c r="L84" s="82">
        <v>0</v>
      </c>
      <c r="M84" s="82">
        <v>0</v>
      </c>
      <c r="N84" s="82">
        <v>0</v>
      </c>
      <c r="O84" s="82">
        <v>0</v>
      </c>
      <c r="P84" s="82">
        <v>0</v>
      </c>
      <c r="Q84" s="82">
        <v>9</v>
      </c>
      <c r="R84" s="12" t="s">
        <v>25</v>
      </c>
      <c r="S84" s="12" t="s">
        <v>25</v>
      </c>
      <c r="T84" s="12" t="s">
        <v>25</v>
      </c>
    </row>
    <row r="85" spans="1:20" x14ac:dyDescent="0.3">
      <c r="A85" s="13">
        <v>43888.75</v>
      </c>
      <c r="B85" s="12" t="s">
        <v>22</v>
      </c>
      <c r="C85" s="82">
        <v>5</v>
      </c>
      <c r="D85" s="12" t="s">
        <v>61</v>
      </c>
      <c r="E85" s="82">
        <v>4543490485</v>
      </c>
      <c r="F85" s="82">
        <v>1233845213</v>
      </c>
      <c r="G85" s="82">
        <v>19</v>
      </c>
      <c r="H85" s="82">
        <v>8</v>
      </c>
      <c r="I85" s="82">
        <v>27</v>
      </c>
      <c r="J85" s="82">
        <v>82</v>
      </c>
      <c r="K85" s="82">
        <v>109</v>
      </c>
      <c r="L85" s="82">
        <v>40</v>
      </c>
      <c r="M85" s="82">
        <v>40</v>
      </c>
      <c r="N85" s="82">
        <v>0</v>
      </c>
      <c r="O85" s="82">
        <v>2</v>
      </c>
      <c r="P85" s="82">
        <v>111</v>
      </c>
      <c r="Q85" s="82">
        <v>6164</v>
      </c>
      <c r="R85" s="12" t="s">
        <v>25</v>
      </c>
      <c r="S85" s="12" t="s">
        <v>25</v>
      </c>
      <c r="T85" s="12" t="s">
        <v>25</v>
      </c>
    </row>
    <row r="86" spans="1:20" x14ac:dyDescent="0.3">
      <c r="A86" s="13">
        <v>43889.75</v>
      </c>
      <c r="B86" s="12" t="s">
        <v>22</v>
      </c>
      <c r="C86" s="82">
        <v>13</v>
      </c>
      <c r="D86" s="12" t="s">
        <v>42</v>
      </c>
      <c r="E86" s="82">
        <v>4235122196</v>
      </c>
      <c r="F86" s="82">
        <v>1339843823</v>
      </c>
      <c r="G86" s="82">
        <v>1</v>
      </c>
      <c r="H86" s="82">
        <v>0</v>
      </c>
      <c r="I86" s="82">
        <v>1</v>
      </c>
      <c r="J86" s="82">
        <v>0</v>
      </c>
      <c r="K86" s="82">
        <v>1</v>
      </c>
      <c r="L86" s="82">
        <v>0</v>
      </c>
      <c r="M86" s="82">
        <v>0</v>
      </c>
      <c r="N86" s="82">
        <v>0</v>
      </c>
      <c r="O86" s="82">
        <v>0</v>
      </c>
      <c r="P86" s="82">
        <v>1</v>
      </c>
      <c r="Q86" s="82">
        <v>33</v>
      </c>
      <c r="R86" s="12" t="s">
        <v>25</v>
      </c>
      <c r="S86" s="12" t="s">
        <v>25</v>
      </c>
      <c r="T86" s="12" t="s">
        <v>25</v>
      </c>
    </row>
    <row r="87" spans="1:20" x14ac:dyDescent="0.3">
      <c r="A87" s="13">
        <v>43889.75</v>
      </c>
      <c r="B87" s="12" t="s">
        <v>22</v>
      </c>
      <c r="C87" s="82">
        <v>17</v>
      </c>
      <c r="D87" s="12" t="s">
        <v>43</v>
      </c>
      <c r="E87" s="82">
        <v>4063947052</v>
      </c>
      <c r="F87" s="82">
        <v>1580514834</v>
      </c>
      <c r="G87" s="82">
        <v>0</v>
      </c>
      <c r="H87" s="82">
        <v>0</v>
      </c>
      <c r="I87" s="82">
        <v>0</v>
      </c>
      <c r="J87" s="82">
        <v>0</v>
      </c>
      <c r="K87" s="82">
        <v>0</v>
      </c>
      <c r="L87" s="82">
        <v>0</v>
      </c>
      <c r="M87" s="82">
        <v>0</v>
      </c>
      <c r="N87" s="82">
        <v>0</v>
      </c>
      <c r="O87" s="82">
        <v>0</v>
      </c>
      <c r="P87" s="82">
        <v>0</v>
      </c>
      <c r="Q87" s="82">
        <v>0</v>
      </c>
      <c r="R87" s="12" t="s">
        <v>25</v>
      </c>
      <c r="S87" s="12" t="s">
        <v>25</v>
      </c>
      <c r="T87" s="12" t="s">
        <v>25</v>
      </c>
    </row>
    <row r="88" spans="1:20" x14ac:dyDescent="0.3">
      <c r="A88" s="13">
        <v>43889.75</v>
      </c>
      <c r="B88" s="12" t="s">
        <v>22</v>
      </c>
      <c r="C88" s="82">
        <v>4</v>
      </c>
      <c r="D88" s="12" t="s">
        <v>44</v>
      </c>
      <c r="E88" s="82">
        <v>4649933453</v>
      </c>
      <c r="F88" s="82">
        <v>1135662422</v>
      </c>
      <c r="G88" s="82">
        <v>1</v>
      </c>
      <c r="H88" s="82">
        <v>0</v>
      </c>
      <c r="I88" s="82">
        <v>1</v>
      </c>
      <c r="J88" s="82">
        <v>0</v>
      </c>
      <c r="K88" s="82">
        <v>1</v>
      </c>
      <c r="L88" s="82">
        <v>0</v>
      </c>
      <c r="M88" s="82">
        <v>0</v>
      </c>
      <c r="N88" s="82">
        <v>0</v>
      </c>
      <c r="O88" s="82">
        <v>0</v>
      </c>
      <c r="P88" s="82">
        <v>1</v>
      </c>
      <c r="Q88" s="82">
        <v>2</v>
      </c>
      <c r="R88" s="12" t="s">
        <v>25</v>
      </c>
      <c r="S88" s="12" t="s">
        <v>25</v>
      </c>
      <c r="T88" s="12" t="s">
        <v>25</v>
      </c>
    </row>
    <row r="89" spans="1:20" x14ac:dyDescent="0.3">
      <c r="A89" s="13">
        <v>43889.75</v>
      </c>
      <c r="B89" s="12" t="s">
        <v>22</v>
      </c>
      <c r="C89" s="82">
        <v>18</v>
      </c>
      <c r="D89" s="12" t="s">
        <v>45</v>
      </c>
      <c r="E89" s="82">
        <v>3890597598</v>
      </c>
      <c r="F89" s="82">
        <v>1659440194</v>
      </c>
      <c r="G89" s="82">
        <v>0</v>
      </c>
      <c r="H89" s="82">
        <v>0</v>
      </c>
      <c r="I89" s="82">
        <v>0</v>
      </c>
      <c r="J89" s="82">
        <v>1</v>
      </c>
      <c r="K89" s="82">
        <v>1</v>
      </c>
      <c r="L89" s="82">
        <v>1</v>
      </c>
      <c r="M89" s="82">
        <v>1</v>
      </c>
      <c r="N89" s="82">
        <v>0</v>
      </c>
      <c r="O89" s="82">
        <v>0</v>
      </c>
      <c r="P89" s="82">
        <v>1</v>
      </c>
      <c r="Q89" s="82">
        <v>21</v>
      </c>
      <c r="R89" s="12" t="s">
        <v>25</v>
      </c>
      <c r="S89" s="12" t="s">
        <v>25</v>
      </c>
      <c r="T89" s="12" t="s">
        <v>25</v>
      </c>
    </row>
    <row r="90" spans="1:20" x14ac:dyDescent="0.3">
      <c r="A90" s="13">
        <v>43889.75</v>
      </c>
      <c r="B90" s="12" t="s">
        <v>22</v>
      </c>
      <c r="C90" s="82">
        <v>15</v>
      </c>
      <c r="D90" s="12" t="s">
        <v>46</v>
      </c>
      <c r="E90" s="82">
        <v>4083956555</v>
      </c>
      <c r="F90" s="82">
        <v>1425084984</v>
      </c>
      <c r="G90" s="82">
        <v>2</v>
      </c>
      <c r="H90" s="82">
        <v>0</v>
      </c>
      <c r="I90" s="82">
        <v>2</v>
      </c>
      <c r="J90" s="82">
        <v>2</v>
      </c>
      <c r="K90" s="82">
        <v>4</v>
      </c>
      <c r="L90" s="82">
        <v>1</v>
      </c>
      <c r="M90" s="82">
        <v>1</v>
      </c>
      <c r="N90" s="82">
        <v>0</v>
      </c>
      <c r="O90" s="82">
        <v>0</v>
      </c>
      <c r="P90" s="82">
        <v>4</v>
      </c>
      <c r="Q90" s="82">
        <v>213</v>
      </c>
      <c r="R90" s="12" t="s">
        <v>25</v>
      </c>
      <c r="S90" s="12" t="s">
        <v>25</v>
      </c>
      <c r="T90" s="12" t="s">
        <v>25</v>
      </c>
    </row>
    <row r="91" spans="1:20" x14ac:dyDescent="0.3">
      <c r="A91" s="13">
        <v>43889.75</v>
      </c>
      <c r="B91" s="12" t="s">
        <v>22</v>
      </c>
      <c r="C91" s="82">
        <v>8</v>
      </c>
      <c r="D91" s="12" t="s">
        <v>95</v>
      </c>
      <c r="E91" s="82">
        <v>4449436681</v>
      </c>
      <c r="F91" s="82">
        <v>113417208</v>
      </c>
      <c r="G91" s="82">
        <v>56</v>
      </c>
      <c r="H91" s="82">
        <v>6</v>
      </c>
      <c r="I91" s="82">
        <v>62</v>
      </c>
      <c r="J91" s="82">
        <v>81</v>
      </c>
      <c r="K91" s="82">
        <v>143</v>
      </c>
      <c r="L91" s="82">
        <v>47</v>
      </c>
      <c r="M91" s="82">
        <v>48</v>
      </c>
      <c r="N91" s="82">
        <v>0</v>
      </c>
      <c r="O91" s="82">
        <v>2</v>
      </c>
      <c r="P91" s="82">
        <v>145</v>
      </c>
      <c r="Q91" s="82">
        <v>1277</v>
      </c>
      <c r="R91" s="12" t="s">
        <v>25</v>
      </c>
      <c r="S91" s="12" t="s">
        <v>25</v>
      </c>
      <c r="T91" s="12" t="s">
        <v>25</v>
      </c>
    </row>
    <row r="92" spans="1:20" x14ac:dyDescent="0.3">
      <c r="A92" s="13">
        <v>43889.75</v>
      </c>
      <c r="B92" s="12" t="s">
        <v>22</v>
      </c>
      <c r="C92" s="82">
        <v>6</v>
      </c>
      <c r="D92" s="12" t="s">
        <v>47</v>
      </c>
      <c r="E92" s="82">
        <v>456494354</v>
      </c>
      <c r="F92" s="82">
        <v>1376813649</v>
      </c>
      <c r="G92" s="82">
        <v>0</v>
      </c>
      <c r="H92" s="82">
        <v>0</v>
      </c>
      <c r="I92" s="82">
        <v>0</v>
      </c>
      <c r="J92" s="82">
        <v>0</v>
      </c>
      <c r="K92" s="82">
        <v>0</v>
      </c>
      <c r="L92" s="82">
        <v>0</v>
      </c>
      <c r="M92" s="82">
        <v>0</v>
      </c>
      <c r="N92" s="82">
        <v>0</v>
      </c>
      <c r="O92" s="82">
        <v>0</v>
      </c>
      <c r="P92" s="82">
        <v>0</v>
      </c>
      <c r="Q92" s="82">
        <v>169</v>
      </c>
      <c r="R92" s="12" t="s">
        <v>25</v>
      </c>
      <c r="S92" s="12" t="s">
        <v>25</v>
      </c>
      <c r="T92" s="12" t="s">
        <v>25</v>
      </c>
    </row>
    <row r="93" spans="1:20" x14ac:dyDescent="0.3">
      <c r="A93" s="13">
        <v>43889.75</v>
      </c>
      <c r="B93" s="12" t="s">
        <v>22</v>
      </c>
      <c r="C93" s="82">
        <v>12</v>
      </c>
      <c r="D93" s="12" t="s">
        <v>48</v>
      </c>
      <c r="E93" s="82">
        <v>4189277044</v>
      </c>
      <c r="F93" s="82">
        <v>1248366722</v>
      </c>
      <c r="G93" s="82">
        <v>0</v>
      </c>
      <c r="H93" s="82">
        <v>0</v>
      </c>
      <c r="I93" s="82">
        <v>0</v>
      </c>
      <c r="J93" s="82">
        <v>0</v>
      </c>
      <c r="K93" s="82">
        <v>0</v>
      </c>
      <c r="L93" s="82">
        <v>0</v>
      </c>
      <c r="M93" s="82">
        <v>0</v>
      </c>
      <c r="N93" s="82">
        <v>3</v>
      </c>
      <c r="O93" s="82">
        <v>0</v>
      </c>
      <c r="P93" s="82">
        <v>3</v>
      </c>
      <c r="Q93" s="82">
        <v>611</v>
      </c>
      <c r="R93" s="12" t="s">
        <v>25</v>
      </c>
      <c r="S93" s="12" t="s">
        <v>25</v>
      </c>
      <c r="T93" s="12" t="s">
        <v>25</v>
      </c>
    </row>
    <row r="94" spans="1:20" x14ac:dyDescent="0.3">
      <c r="A94" s="13">
        <v>43889.75</v>
      </c>
      <c r="B94" s="12" t="s">
        <v>22</v>
      </c>
      <c r="C94" s="82">
        <v>7</v>
      </c>
      <c r="D94" s="12" t="s">
        <v>49</v>
      </c>
      <c r="E94" s="82">
        <v>4441149315</v>
      </c>
      <c r="F94" s="82">
        <v>89326992</v>
      </c>
      <c r="G94" s="82">
        <v>9</v>
      </c>
      <c r="H94" s="82">
        <v>0</v>
      </c>
      <c r="I94" s="82">
        <v>9</v>
      </c>
      <c r="J94" s="82">
        <v>10</v>
      </c>
      <c r="K94" s="82">
        <v>19</v>
      </c>
      <c r="L94" s="82">
        <v>0</v>
      </c>
      <c r="M94" s="82">
        <v>0</v>
      </c>
      <c r="N94" s="82">
        <v>0</v>
      </c>
      <c r="O94" s="82">
        <v>0</v>
      </c>
      <c r="P94" s="82">
        <v>19</v>
      </c>
      <c r="Q94" s="82">
        <v>112</v>
      </c>
      <c r="R94" s="12" t="s">
        <v>25</v>
      </c>
      <c r="S94" s="12" t="s">
        <v>25</v>
      </c>
      <c r="T94" s="12" t="s">
        <v>25</v>
      </c>
    </row>
    <row r="95" spans="1:20" x14ac:dyDescent="0.3">
      <c r="A95" s="13">
        <v>43889.75</v>
      </c>
      <c r="B95" s="12" t="s">
        <v>22</v>
      </c>
      <c r="C95" s="82">
        <v>3</v>
      </c>
      <c r="D95" s="12" t="s">
        <v>50</v>
      </c>
      <c r="E95" s="82">
        <v>4546679409</v>
      </c>
      <c r="F95" s="82">
        <v>9190347404</v>
      </c>
      <c r="G95" s="82">
        <v>235</v>
      </c>
      <c r="H95" s="82">
        <v>47</v>
      </c>
      <c r="I95" s="82">
        <v>282</v>
      </c>
      <c r="J95" s="82">
        <v>192</v>
      </c>
      <c r="K95" s="82">
        <v>474</v>
      </c>
      <c r="L95" s="82">
        <v>125</v>
      </c>
      <c r="M95" s="82">
        <v>128</v>
      </c>
      <c r="N95" s="82">
        <v>40</v>
      </c>
      <c r="O95" s="82">
        <v>17</v>
      </c>
      <c r="P95" s="82">
        <v>531</v>
      </c>
      <c r="Q95" s="82">
        <v>4835</v>
      </c>
      <c r="R95" s="12" t="s">
        <v>25</v>
      </c>
      <c r="S95" s="12" t="s">
        <v>25</v>
      </c>
      <c r="T95" s="12" t="s">
        <v>25</v>
      </c>
    </row>
    <row r="96" spans="1:20" x14ac:dyDescent="0.3">
      <c r="A96" s="13">
        <v>43889.75</v>
      </c>
      <c r="B96" s="12" t="s">
        <v>22</v>
      </c>
      <c r="C96" s="82">
        <v>11</v>
      </c>
      <c r="D96" s="12" t="s">
        <v>51</v>
      </c>
      <c r="E96" s="82">
        <v>4361675973</v>
      </c>
      <c r="F96" s="82">
        <v>135188753</v>
      </c>
      <c r="G96" s="82">
        <v>3</v>
      </c>
      <c r="H96" s="82">
        <v>2</v>
      </c>
      <c r="I96" s="82">
        <v>5</v>
      </c>
      <c r="J96" s="82">
        <v>1</v>
      </c>
      <c r="K96" s="82">
        <v>6</v>
      </c>
      <c r="L96" s="82">
        <v>3</v>
      </c>
      <c r="M96" s="82">
        <v>3</v>
      </c>
      <c r="N96" s="82">
        <v>0</v>
      </c>
      <c r="O96" s="82">
        <v>0</v>
      </c>
      <c r="P96" s="82">
        <v>6</v>
      </c>
      <c r="Q96" s="82">
        <v>47</v>
      </c>
      <c r="R96" s="12" t="s">
        <v>25</v>
      </c>
      <c r="S96" s="12" t="s">
        <v>25</v>
      </c>
      <c r="T96" s="12" t="s">
        <v>25</v>
      </c>
    </row>
    <row r="97" spans="1:20" x14ac:dyDescent="0.3">
      <c r="A97" s="13">
        <v>43889.75</v>
      </c>
      <c r="B97" s="12" t="s">
        <v>22</v>
      </c>
      <c r="C97" s="82">
        <v>14</v>
      </c>
      <c r="D97" s="12" t="s">
        <v>52</v>
      </c>
      <c r="E97" s="82">
        <v>4155774754</v>
      </c>
      <c r="F97" s="82">
        <v>1465916051</v>
      </c>
      <c r="G97" s="82">
        <v>0</v>
      </c>
      <c r="H97" s="82">
        <v>0</v>
      </c>
      <c r="I97" s="82">
        <v>0</v>
      </c>
      <c r="J97" s="82">
        <v>0</v>
      </c>
      <c r="K97" s="82">
        <v>0</v>
      </c>
      <c r="L97" s="82">
        <v>0</v>
      </c>
      <c r="M97" s="82">
        <v>0</v>
      </c>
      <c r="N97" s="82">
        <v>0</v>
      </c>
      <c r="O97" s="82">
        <v>0</v>
      </c>
      <c r="P97" s="82">
        <v>0</v>
      </c>
      <c r="Q97" s="82">
        <v>0</v>
      </c>
      <c r="R97" s="12" t="s">
        <v>25</v>
      </c>
      <c r="S97" s="12" t="s">
        <v>25</v>
      </c>
      <c r="T97" s="12" t="s">
        <v>25</v>
      </c>
    </row>
    <row r="98" spans="1:20" x14ac:dyDescent="0.3">
      <c r="A98" s="13">
        <v>43889.75</v>
      </c>
      <c r="B98" s="12" t="s">
        <v>22</v>
      </c>
      <c r="C98" s="82">
        <v>1</v>
      </c>
      <c r="D98" s="12" t="s">
        <v>53</v>
      </c>
      <c r="E98" s="82">
        <v>450732745</v>
      </c>
      <c r="F98" s="82">
        <v>7680687483</v>
      </c>
      <c r="G98" s="82">
        <v>7</v>
      </c>
      <c r="H98" s="82">
        <v>0</v>
      </c>
      <c r="I98" s="82">
        <v>7</v>
      </c>
      <c r="J98" s="82">
        <v>4</v>
      </c>
      <c r="K98" s="82">
        <v>11</v>
      </c>
      <c r="L98" s="82">
        <v>9</v>
      </c>
      <c r="M98" s="82">
        <v>9</v>
      </c>
      <c r="N98" s="82">
        <v>0</v>
      </c>
      <c r="O98" s="82">
        <v>0</v>
      </c>
      <c r="P98" s="82">
        <v>11</v>
      </c>
      <c r="Q98" s="82">
        <v>227</v>
      </c>
      <c r="R98" s="12" t="s">
        <v>25</v>
      </c>
      <c r="S98" s="12" t="s">
        <v>25</v>
      </c>
      <c r="T98" s="12" t="s">
        <v>25</v>
      </c>
    </row>
    <row r="99" spans="1:20" x14ac:dyDescent="0.3">
      <c r="A99" s="13">
        <v>43889.75</v>
      </c>
      <c r="B99" s="12" t="s">
        <v>22</v>
      </c>
      <c r="C99" s="82">
        <v>16</v>
      </c>
      <c r="D99" s="12" t="s">
        <v>54</v>
      </c>
      <c r="E99" s="82">
        <v>4112559576</v>
      </c>
      <c r="F99" s="82">
        <v>1686736689</v>
      </c>
      <c r="G99" s="82">
        <v>1</v>
      </c>
      <c r="H99" s="82">
        <v>0</v>
      </c>
      <c r="I99" s="82">
        <v>1</v>
      </c>
      <c r="J99" s="82">
        <v>2</v>
      </c>
      <c r="K99" s="82">
        <v>3</v>
      </c>
      <c r="L99" s="82">
        <v>2</v>
      </c>
      <c r="M99" s="82">
        <v>2</v>
      </c>
      <c r="N99" s="82">
        <v>0</v>
      </c>
      <c r="O99" s="82">
        <v>0</v>
      </c>
      <c r="P99" s="82">
        <v>3</v>
      </c>
      <c r="Q99" s="82">
        <v>242</v>
      </c>
      <c r="R99" s="12" t="s">
        <v>25</v>
      </c>
      <c r="S99" s="12" t="s">
        <v>25</v>
      </c>
      <c r="T99" s="12" t="s">
        <v>25</v>
      </c>
    </row>
    <row r="100" spans="1:20" x14ac:dyDescent="0.3">
      <c r="A100" s="13">
        <v>43889.75</v>
      </c>
      <c r="B100" s="12" t="s">
        <v>22</v>
      </c>
      <c r="C100" s="82">
        <v>20</v>
      </c>
      <c r="D100" s="12" t="s">
        <v>55</v>
      </c>
      <c r="E100" s="82">
        <v>3921531192</v>
      </c>
      <c r="F100" s="82">
        <v>9110616306</v>
      </c>
      <c r="G100" s="82">
        <v>0</v>
      </c>
      <c r="H100" s="82">
        <v>0</v>
      </c>
      <c r="I100" s="82">
        <v>0</v>
      </c>
      <c r="J100" s="82">
        <v>0</v>
      </c>
      <c r="K100" s="82">
        <v>0</v>
      </c>
      <c r="L100" s="82">
        <v>0</v>
      </c>
      <c r="M100" s="82">
        <v>0</v>
      </c>
      <c r="N100" s="82">
        <v>0</v>
      </c>
      <c r="O100" s="82">
        <v>0</v>
      </c>
      <c r="P100" s="82">
        <v>0</v>
      </c>
      <c r="Q100" s="82">
        <v>1</v>
      </c>
      <c r="R100" s="12" t="s">
        <v>25</v>
      </c>
      <c r="S100" s="12" t="s">
        <v>25</v>
      </c>
      <c r="T100" s="12" t="s">
        <v>25</v>
      </c>
    </row>
    <row r="101" spans="1:20" x14ac:dyDescent="0.3">
      <c r="A101" s="13">
        <v>43889.75</v>
      </c>
      <c r="B101" s="12" t="s">
        <v>22</v>
      </c>
      <c r="C101" s="82">
        <v>19</v>
      </c>
      <c r="D101" s="12" t="s">
        <v>56</v>
      </c>
      <c r="E101" s="82">
        <v>3811569725</v>
      </c>
      <c r="F101" s="82">
        <v>133623567</v>
      </c>
      <c r="G101" s="82">
        <v>1</v>
      </c>
      <c r="H101" s="82">
        <v>0</v>
      </c>
      <c r="I101" s="82">
        <v>1</v>
      </c>
      <c r="J101" s="82">
        <v>1</v>
      </c>
      <c r="K101" s="82">
        <v>2</v>
      </c>
      <c r="L101" s="82">
        <v>0</v>
      </c>
      <c r="M101" s="82">
        <v>0</v>
      </c>
      <c r="N101" s="82">
        <v>2</v>
      </c>
      <c r="O101" s="82">
        <v>0</v>
      </c>
      <c r="P101" s="82">
        <v>4</v>
      </c>
      <c r="Q101" s="82">
        <v>5</v>
      </c>
      <c r="R101" s="12" t="s">
        <v>25</v>
      </c>
      <c r="S101" s="12" t="s">
        <v>25</v>
      </c>
      <c r="T101" s="12" t="s">
        <v>25</v>
      </c>
    </row>
    <row r="102" spans="1:20" x14ac:dyDescent="0.3">
      <c r="A102" s="13">
        <v>43889.75</v>
      </c>
      <c r="B102" s="12" t="s">
        <v>22</v>
      </c>
      <c r="C102" s="82">
        <v>9</v>
      </c>
      <c r="D102" s="12" t="s">
        <v>57</v>
      </c>
      <c r="E102" s="82">
        <v>4376923077</v>
      </c>
      <c r="F102" s="82">
        <v>1125588885</v>
      </c>
      <c r="G102" s="82">
        <v>5</v>
      </c>
      <c r="H102" s="82">
        <v>0</v>
      </c>
      <c r="I102" s="82">
        <v>5</v>
      </c>
      <c r="J102" s="82">
        <v>2</v>
      </c>
      <c r="K102" s="82">
        <v>7</v>
      </c>
      <c r="L102" s="82">
        <v>5</v>
      </c>
      <c r="M102" s="82">
        <v>6</v>
      </c>
      <c r="N102" s="82">
        <v>1</v>
      </c>
      <c r="O102" s="82">
        <v>0</v>
      </c>
      <c r="P102" s="82">
        <v>8</v>
      </c>
      <c r="Q102" s="82">
        <v>437</v>
      </c>
      <c r="R102" s="12" t="s">
        <v>25</v>
      </c>
      <c r="S102" s="12" t="s">
        <v>25</v>
      </c>
      <c r="T102" s="12" t="s">
        <v>25</v>
      </c>
    </row>
    <row r="103" spans="1:20" x14ac:dyDescent="0.3">
      <c r="A103" s="13">
        <v>43889.75</v>
      </c>
      <c r="B103" s="12" t="s">
        <v>22</v>
      </c>
      <c r="C103" s="82">
        <v>4</v>
      </c>
      <c r="D103" s="12" t="s">
        <v>58</v>
      </c>
      <c r="E103" s="82">
        <v>4606893511</v>
      </c>
      <c r="F103" s="82">
        <v>1112123097</v>
      </c>
      <c r="G103" s="82">
        <v>0</v>
      </c>
      <c r="H103" s="82">
        <v>0</v>
      </c>
      <c r="I103" s="82">
        <v>0</v>
      </c>
      <c r="J103" s="82">
        <v>0</v>
      </c>
      <c r="K103" s="82">
        <v>0</v>
      </c>
      <c r="L103" s="82">
        <v>0</v>
      </c>
      <c r="M103" s="82">
        <v>0</v>
      </c>
      <c r="N103" s="82">
        <v>0</v>
      </c>
      <c r="O103" s="82">
        <v>0</v>
      </c>
      <c r="P103" s="82">
        <v>0</v>
      </c>
      <c r="Q103" s="82">
        <v>32</v>
      </c>
      <c r="R103" s="12" t="s">
        <v>25</v>
      </c>
      <c r="S103" s="12" t="s">
        <v>25</v>
      </c>
      <c r="T103" s="12" t="s">
        <v>25</v>
      </c>
    </row>
    <row r="104" spans="1:20" x14ac:dyDescent="0.3">
      <c r="A104" s="13">
        <v>43889.75</v>
      </c>
      <c r="B104" s="12" t="s">
        <v>22</v>
      </c>
      <c r="C104" s="82">
        <v>10</v>
      </c>
      <c r="D104" s="12" t="s">
        <v>59</v>
      </c>
      <c r="E104" s="82">
        <v>4310675841</v>
      </c>
      <c r="F104" s="82">
        <v>1238824698</v>
      </c>
      <c r="G104" s="82">
        <v>0</v>
      </c>
      <c r="H104" s="82">
        <v>0</v>
      </c>
      <c r="I104" s="82">
        <v>0</v>
      </c>
      <c r="J104" s="82">
        <v>0</v>
      </c>
      <c r="K104" s="82">
        <v>0</v>
      </c>
      <c r="L104" s="82">
        <v>0</v>
      </c>
      <c r="M104" s="82">
        <v>0</v>
      </c>
      <c r="N104" s="82">
        <v>0</v>
      </c>
      <c r="O104" s="82">
        <v>0</v>
      </c>
      <c r="P104" s="82">
        <v>0</v>
      </c>
      <c r="Q104" s="82">
        <v>8</v>
      </c>
      <c r="R104" s="12" t="s">
        <v>25</v>
      </c>
      <c r="S104" s="12" t="s">
        <v>25</v>
      </c>
      <c r="T104" s="12" t="s">
        <v>25</v>
      </c>
    </row>
    <row r="105" spans="1:20" x14ac:dyDescent="0.3">
      <c r="A105" s="13">
        <v>43889.75</v>
      </c>
      <c r="B105" s="12" t="s">
        <v>22</v>
      </c>
      <c r="C105" s="82">
        <v>2</v>
      </c>
      <c r="D105" s="12" t="s">
        <v>60</v>
      </c>
      <c r="E105" s="82">
        <v>4573750286</v>
      </c>
      <c r="F105" s="82">
        <v>7320149366</v>
      </c>
      <c r="G105" s="82">
        <v>0</v>
      </c>
      <c r="H105" s="82">
        <v>0</v>
      </c>
      <c r="I105" s="82">
        <v>0</v>
      </c>
      <c r="J105" s="82">
        <v>0</v>
      </c>
      <c r="K105" s="82">
        <v>0</v>
      </c>
      <c r="L105" s="82">
        <v>0</v>
      </c>
      <c r="M105" s="82">
        <v>0</v>
      </c>
      <c r="N105" s="82">
        <v>0</v>
      </c>
      <c r="O105" s="82">
        <v>0</v>
      </c>
      <c r="P105" s="82">
        <v>0</v>
      </c>
      <c r="Q105" s="82">
        <v>9</v>
      </c>
      <c r="R105" s="12" t="s">
        <v>25</v>
      </c>
      <c r="S105" s="12" t="s">
        <v>25</v>
      </c>
      <c r="T105" s="12" t="s">
        <v>25</v>
      </c>
    </row>
    <row r="106" spans="1:20" x14ac:dyDescent="0.3">
      <c r="A106" s="13">
        <v>43889.75</v>
      </c>
      <c r="B106" s="12" t="s">
        <v>22</v>
      </c>
      <c r="C106" s="82">
        <v>5</v>
      </c>
      <c r="D106" s="12" t="s">
        <v>61</v>
      </c>
      <c r="E106" s="82">
        <v>4543490485</v>
      </c>
      <c r="F106" s="82">
        <v>1233845213</v>
      </c>
      <c r="G106" s="82">
        <v>24</v>
      </c>
      <c r="H106" s="82">
        <v>9</v>
      </c>
      <c r="I106" s="82">
        <v>33</v>
      </c>
      <c r="J106" s="82">
        <v>116</v>
      </c>
      <c r="K106" s="82">
        <v>149</v>
      </c>
      <c r="L106" s="82">
        <v>40</v>
      </c>
      <c r="M106" s="82">
        <v>40</v>
      </c>
      <c r="N106" s="82">
        <v>0</v>
      </c>
      <c r="O106" s="82">
        <v>2</v>
      </c>
      <c r="P106" s="82">
        <v>151</v>
      </c>
      <c r="Q106" s="82">
        <v>7414</v>
      </c>
      <c r="R106" s="12" t="s">
        <v>25</v>
      </c>
      <c r="S106" s="12" t="s">
        <v>25</v>
      </c>
      <c r="T106" s="12" t="s">
        <v>25</v>
      </c>
    </row>
    <row r="107" spans="1:20" x14ac:dyDescent="0.3">
      <c r="A107" s="13">
        <v>43890.708333333336</v>
      </c>
      <c r="B107" s="12" t="s">
        <v>22</v>
      </c>
      <c r="C107" s="82">
        <v>13</v>
      </c>
      <c r="D107" s="12" t="s">
        <v>42</v>
      </c>
      <c r="E107" s="82">
        <v>4235122196</v>
      </c>
      <c r="F107" s="82">
        <v>1339843823</v>
      </c>
      <c r="G107" s="82">
        <v>2</v>
      </c>
      <c r="H107" s="82">
        <v>0</v>
      </c>
      <c r="I107" s="82">
        <v>2</v>
      </c>
      <c r="J107" s="82">
        <v>0</v>
      </c>
      <c r="K107" s="82">
        <v>2</v>
      </c>
      <c r="L107" s="82">
        <v>1</v>
      </c>
      <c r="M107" s="82">
        <v>1</v>
      </c>
      <c r="N107" s="82">
        <v>0</v>
      </c>
      <c r="O107" s="82">
        <v>0</v>
      </c>
      <c r="P107" s="82">
        <v>2</v>
      </c>
      <c r="Q107" s="82">
        <v>43</v>
      </c>
      <c r="R107" s="12" t="s">
        <v>25</v>
      </c>
      <c r="S107" s="12" t="s">
        <v>25</v>
      </c>
      <c r="T107" s="12" t="s">
        <v>25</v>
      </c>
    </row>
    <row r="108" spans="1:20" x14ac:dyDescent="0.3">
      <c r="A108" s="13">
        <v>43890.708333333336</v>
      </c>
      <c r="B108" s="12" t="s">
        <v>22</v>
      </c>
      <c r="C108" s="82">
        <v>17</v>
      </c>
      <c r="D108" s="12" t="s">
        <v>43</v>
      </c>
      <c r="E108" s="82">
        <v>4063947052</v>
      </c>
      <c r="F108" s="82">
        <v>1580514834</v>
      </c>
      <c r="G108" s="82">
        <v>0</v>
      </c>
      <c r="H108" s="82">
        <v>0</v>
      </c>
      <c r="I108" s="82">
        <v>0</v>
      </c>
      <c r="J108" s="82">
        <v>0</v>
      </c>
      <c r="K108" s="82">
        <v>0</v>
      </c>
      <c r="L108" s="82">
        <v>0</v>
      </c>
      <c r="M108" s="82">
        <v>0</v>
      </c>
      <c r="N108" s="82">
        <v>0</v>
      </c>
      <c r="O108" s="82">
        <v>0</v>
      </c>
      <c r="P108" s="82">
        <v>0</v>
      </c>
      <c r="Q108" s="82">
        <v>32</v>
      </c>
      <c r="R108" s="12" t="s">
        <v>25</v>
      </c>
      <c r="S108" s="12" t="s">
        <v>25</v>
      </c>
      <c r="T108" s="12" t="s">
        <v>25</v>
      </c>
    </row>
    <row r="109" spans="1:20" x14ac:dyDescent="0.3">
      <c r="A109" s="13">
        <v>43890.708333333336</v>
      </c>
      <c r="B109" s="12" t="s">
        <v>22</v>
      </c>
      <c r="C109" s="82">
        <v>4</v>
      </c>
      <c r="D109" s="12" t="s">
        <v>44</v>
      </c>
      <c r="E109" s="82">
        <v>4649933453</v>
      </c>
      <c r="F109" s="82">
        <v>1135662422</v>
      </c>
      <c r="G109" s="82">
        <v>1</v>
      </c>
      <c r="H109" s="82">
        <v>0</v>
      </c>
      <c r="I109" s="82">
        <v>1</v>
      </c>
      <c r="J109" s="82">
        <v>0</v>
      </c>
      <c r="K109" s="82">
        <v>1</v>
      </c>
      <c r="L109" s="82">
        <v>0</v>
      </c>
      <c r="M109" s="82">
        <v>0</v>
      </c>
      <c r="N109" s="82">
        <v>0</v>
      </c>
      <c r="O109" s="82">
        <v>0</v>
      </c>
      <c r="P109" s="82">
        <v>1</v>
      </c>
      <c r="Q109" s="82">
        <v>16</v>
      </c>
      <c r="R109" s="12" t="s">
        <v>25</v>
      </c>
      <c r="S109" s="12" t="s">
        <v>25</v>
      </c>
      <c r="T109" s="12" t="s">
        <v>25</v>
      </c>
    </row>
    <row r="110" spans="1:20" x14ac:dyDescent="0.3">
      <c r="A110" s="13">
        <v>43890.708333333336</v>
      </c>
      <c r="B110" s="12" t="s">
        <v>22</v>
      </c>
      <c r="C110" s="82">
        <v>18</v>
      </c>
      <c r="D110" s="12" t="s">
        <v>45</v>
      </c>
      <c r="E110" s="82">
        <v>3890597598</v>
      </c>
      <c r="F110" s="82">
        <v>1659440194</v>
      </c>
      <c r="G110" s="82">
        <v>0</v>
      </c>
      <c r="H110" s="82">
        <v>0</v>
      </c>
      <c r="I110" s="82">
        <v>0</v>
      </c>
      <c r="J110" s="82">
        <v>1</v>
      </c>
      <c r="K110" s="82">
        <v>1</v>
      </c>
      <c r="L110" s="82">
        <v>0</v>
      </c>
      <c r="M110" s="82">
        <v>0</v>
      </c>
      <c r="N110" s="82">
        <v>0</v>
      </c>
      <c r="O110" s="82">
        <v>0</v>
      </c>
      <c r="P110" s="82">
        <v>1</v>
      </c>
      <c r="Q110" s="82">
        <v>27</v>
      </c>
      <c r="R110" s="12" t="s">
        <v>25</v>
      </c>
      <c r="S110" s="12" t="s">
        <v>25</v>
      </c>
      <c r="T110" s="12" t="s">
        <v>25</v>
      </c>
    </row>
    <row r="111" spans="1:20" x14ac:dyDescent="0.3">
      <c r="A111" s="13">
        <v>43890.708333333336</v>
      </c>
      <c r="B111" s="12" t="s">
        <v>22</v>
      </c>
      <c r="C111" s="82">
        <v>15</v>
      </c>
      <c r="D111" s="12" t="s">
        <v>46</v>
      </c>
      <c r="E111" s="82">
        <v>4083956555</v>
      </c>
      <c r="F111" s="82">
        <v>1425084984</v>
      </c>
      <c r="G111" s="82">
        <v>3</v>
      </c>
      <c r="H111" s="82">
        <v>0</v>
      </c>
      <c r="I111" s="82">
        <v>3</v>
      </c>
      <c r="J111" s="82">
        <v>10</v>
      </c>
      <c r="K111" s="82">
        <v>13</v>
      </c>
      <c r="L111" s="82">
        <v>9</v>
      </c>
      <c r="M111" s="82">
        <v>9</v>
      </c>
      <c r="N111" s="82">
        <v>0</v>
      </c>
      <c r="O111" s="82">
        <v>0</v>
      </c>
      <c r="P111" s="82">
        <v>13</v>
      </c>
      <c r="Q111" s="82">
        <v>373</v>
      </c>
      <c r="R111" s="12" t="s">
        <v>25</v>
      </c>
      <c r="S111" s="12" t="s">
        <v>25</v>
      </c>
      <c r="T111" s="12" t="s">
        <v>25</v>
      </c>
    </row>
    <row r="112" spans="1:20" x14ac:dyDescent="0.3">
      <c r="A112" s="13">
        <v>43890.708333333336</v>
      </c>
      <c r="B112" s="12" t="s">
        <v>22</v>
      </c>
      <c r="C112" s="82">
        <v>8</v>
      </c>
      <c r="D112" s="12" t="s">
        <v>95</v>
      </c>
      <c r="E112" s="82">
        <v>4449436681</v>
      </c>
      <c r="F112" s="82">
        <v>113417208</v>
      </c>
      <c r="G112" s="82">
        <v>86</v>
      </c>
      <c r="H112" s="82">
        <v>11</v>
      </c>
      <c r="I112" s="82">
        <v>97</v>
      </c>
      <c r="J112" s="82">
        <v>116</v>
      </c>
      <c r="K112" s="82">
        <v>213</v>
      </c>
      <c r="L112" s="82">
        <v>70</v>
      </c>
      <c r="M112" s="82">
        <v>72</v>
      </c>
      <c r="N112" s="82">
        <v>0</v>
      </c>
      <c r="O112" s="82">
        <v>4</v>
      </c>
      <c r="P112" s="82">
        <v>217</v>
      </c>
      <c r="Q112" s="82">
        <v>1550</v>
      </c>
      <c r="R112" s="12" t="s">
        <v>25</v>
      </c>
      <c r="S112" s="12" t="s">
        <v>25</v>
      </c>
      <c r="T112" s="12" t="s">
        <v>25</v>
      </c>
    </row>
    <row r="113" spans="1:20" x14ac:dyDescent="0.3">
      <c r="A113" s="13">
        <v>43890.708333333336</v>
      </c>
      <c r="B113" s="12" t="s">
        <v>22</v>
      </c>
      <c r="C113" s="82">
        <v>6</v>
      </c>
      <c r="D113" s="12" t="s">
        <v>47</v>
      </c>
      <c r="E113" s="82">
        <v>456494354</v>
      </c>
      <c r="F113" s="82">
        <v>1376813649</v>
      </c>
      <c r="G113" s="82">
        <v>0</v>
      </c>
      <c r="H113" s="82">
        <v>0</v>
      </c>
      <c r="I113" s="82">
        <v>0</v>
      </c>
      <c r="J113" s="82">
        <v>0</v>
      </c>
      <c r="K113" s="82">
        <v>0</v>
      </c>
      <c r="L113" s="82">
        <v>0</v>
      </c>
      <c r="M113" s="82">
        <v>0</v>
      </c>
      <c r="N113" s="82">
        <v>0</v>
      </c>
      <c r="O113" s="82">
        <v>0</v>
      </c>
      <c r="P113" s="82">
        <v>0</v>
      </c>
      <c r="Q113" s="82">
        <v>189</v>
      </c>
      <c r="R113" s="12" t="s">
        <v>25</v>
      </c>
      <c r="S113" s="12" t="s">
        <v>25</v>
      </c>
      <c r="T113" s="12" t="s">
        <v>25</v>
      </c>
    </row>
    <row r="114" spans="1:20" x14ac:dyDescent="0.3">
      <c r="A114" s="13">
        <v>43890.708333333336</v>
      </c>
      <c r="B114" s="12" t="s">
        <v>22</v>
      </c>
      <c r="C114" s="82">
        <v>12</v>
      </c>
      <c r="D114" s="12" t="s">
        <v>48</v>
      </c>
      <c r="E114" s="82">
        <v>4189277044</v>
      </c>
      <c r="F114" s="82">
        <v>1248366722</v>
      </c>
      <c r="G114" s="82">
        <v>3</v>
      </c>
      <c r="H114" s="82">
        <v>0</v>
      </c>
      <c r="I114" s="82">
        <v>3</v>
      </c>
      <c r="J114" s="82">
        <v>0</v>
      </c>
      <c r="K114" s="82">
        <v>3</v>
      </c>
      <c r="L114" s="82">
        <v>3</v>
      </c>
      <c r="M114" s="82">
        <v>3</v>
      </c>
      <c r="N114" s="82">
        <v>3</v>
      </c>
      <c r="O114" s="82">
        <v>0</v>
      </c>
      <c r="P114" s="82">
        <v>6</v>
      </c>
      <c r="Q114" s="82">
        <v>679</v>
      </c>
      <c r="R114" s="12" t="s">
        <v>25</v>
      </c>
      <c r="S114" s="12" t="s">
        <v>25</v>
      </c>
      <c r="T114" s="12" t="s">
        <v>25</v>
      </c>
    </row>
    <row r="115" spans="1:20" x14ac:dyDescent="0.3">
      <c r="A115" s="13">
        <v>43890.708333333336</v>
      </c>
      <c r="B115" s="12" t="s">
        <v>22</v>
      </c>
      <c r="C115" s="82">
        <v>7</v>
      </c>
      <c r="D115" s="12" t="s">
        <v>49</v>
      </c>
      <c r="E115" s="82">
        <v>4441149315</v>
      </c>
      <c r="F115" s="82">
        <v>89326992</v>
      </c>
      <c r="G115" s="82">
        <v>4</v>
      </c>
      <c r="H115" s="82">
        <v>1</v>
      </c>
      <c r="I115" s="82">
        <v>5</v>
      </c>
      <c r="J115" s="82">
        <v>33</v>
      </c>
      <c r="K115" s="82">
        <v>38</v>
      </c>
      <c r="L115" s="82">
        <v>19</v>
      </c>
      <c r="M115" s="82">
        <v>23</v>
      </c>
      <c r="N115" s="82">
        <v>4</v>
      </c>
      <c r="O115" s="82">
        <v>0</v>
      </c>
      <c r="P115" s="82">
        <v>42</v>
      </c>
      <c r="Q115" s="82">
        <v>121</v>
      </c>
      <c r="R115" s="12" t="s">
        <v>25</v>
      </c>
      <c r="S115" s="12" t="s">
        <v>25</v>
      </c>
      <c r="T115" s="12" t="s">
        <v>25</v>
      </c>
    </row>
    <row r="116" spans="1:20" x14ac:dyDescent="0.3">
      <c r="A116" s="13">
        <v>43890.708333333336</v>
      </c>
      <c r="B116" s="12" t="s">
        <v>22</v>
      </c>
      <c r="C116" s="82">
        <v>3</v>
      </c>
      <c r="D116" s="12" t="s">
        <v>50</v>
      </c>
      <c r="E116" s="82">
        <v>4546679409</v>
      </c>
      <c r="F116" s="82">
        <v>9190347404</v>
      </c>
      <c r="G116" s="82">
        <v>256</v>
      </c>
      <c r="H116" s="82">
        <v>80</v>
      </c>
      <c r="I116" s="82">
        <v>336</v>
      </c>
      <c r="J116" s="82">
        <v>216</v>
      </c>
      <c r="K116" s="82">
        <v>552</v>
      </c>
      <c r="L116" s="82">
        <v>78</v>
      </c>
      <c r="M116" s="82">
        <v>84</v>
      </c>
      <c r="N116" s="82">
        <v>40</v>
      </c>
      <c r="O116" s="82">
        <v>23</v>
      </c>
      <c r="P116" s="82">
        <v>615</v>
      </c>
      <c r="Q116" s="82">
        <v>5723</v>
      </c>
      <c r="R116" s="12" t="s">
        <v>25</v>
      </c>
      <c r="S116" s="12" t="s">
        <v>25</v>
      </c>
      <c r="T116" s="12" t="s">
        <v>25</v>
      </c>
    </row>
    <row r="117" spans="1:20" x14ac:dyDescent="0.3">
      <c r="A117" s="13">
        <v>43890.708333333336</v>
      </c>
      <c r="B117" s="12" t="s">
        <v>22</v>
      </c>
      <c r="C117" s="82">
        <v>11</v>
      </c>
      <c r="D117" s="12" t="s">
        <v>51</v>
      </c>
      <c r="E117" s="82">
        <v>4361675973</v>
      </c>
      <c r="F117" s="82">
        <v>135188753</v>
      </c>
      <c r="G117" s="82">
        <v>6</v>
      </c>
      <c r="H117" s="82">
        <v>2</v>
      </c>
      <c r="I117" s="82">
        <v>8</v>
      </c>
      <c r="J117" s="82">
        <v>3</v>
      </c>
      <c r="K117" s="82">
        <v>11</v>
      </c>
      <c r="L117" s="82">
        <v>5</v>
      </c>
      <c r="M117" s="82">
        <v>5</v>
      </c>
      <c r="N117" s="82">
        <v>0</v>
      </c>
      <c r="O117" s="82">
        <v>0</v>
      </c>
      <c r="P117" s="82">
        <v>11</v>
      </c>
      <c r="Q117" s="82">
        <v>68</v>
      </c>
      <c r="R117" s="12" t="s">
        <v>25</v>
      </c>
      <c r="S117" s="12" t="s">
        <v>25</v>
      </c>
      <c r="T117" s="12" t="s">
        <v>25</v>
      </c>
    </row>
    <row r="118" spans="1:20" x14ac:dyDescent="0.3">
      <c r="A118" s="13">
        <v>43890.708333333336</v>
      </c>
      <c r="B118" s="12" t="s">
        <v>22</v>
      </c>
      <c r="C118" s="82">
        <v>14</v>
      </c>
      <c r="D118" s="12" t="s">
        <v>52</v>
      </c>
      <c r="E118" s="82">
        <v>4155774754</v>
      </c>
      <c r="F118" s="82">
        <v>1465916051</v>
      </c>
      <c r="G118" s="82">
        <v>0</v>
      </c>
      <c r="H118" s="82">
        <v>0</v>
      </c>
      <c r="I118" s="82">
        <v>0</v>
      </c>
      <c r="J118" s="82">
        <v>0</v>
      </c>
      <c r="K118" s="82">
        <v>0</v>
      </c>
      <c r="L118" s="82">
        <v>0</v>
      </c>
      <c r="M118" s="82">
        <v>0</v>
      </c>
      <c r="N118" s="82">
        <v>0</v>
      </c>
      <c r="O118" s="82">
        <v>0</v>
      </c>
      <c r="P118" s="82">
        <v>0</v>
      </c>
      <c r="Q118" s="82">
        <v>0</v>
      </c>
      <c r="R118" s="12" t="s">
        <v>25</v>
      </c>
      <c r="S118" s="12" t="s">
        <v>25</v>
      </c>
      <c r="T118" s="12" t="s">
        <v>25</v>
      </c>
    </row>
    <row r="119" spans="1:20" x14ac:dyDescent="0.3">
      <c r="A119" s="13">
        <v>43890.708333333336</v>
      </c>
      <c r="B119" s="12" t="s">
        <v>22</v>
      </c>
      <c r="C119" s="82">
        <v>1</v>
      </c>
      <c r="D119" s="12" t="s">
        <v>53</v>
      </c>
      <c r="E119" s="82">
        <v>450732745</v>
      </c>
      <c r="F119" s="82">
        <v>7680687483</v>
      </c>
      <c r="G119" s="82">
        <v>7</v>
      </c>
      <c r="H119" s="82">
        <v>0</v>
      </c>
      <c r="I119" s="82">
        <v>7</v>
      </c>
      <c r="J119" s="82">
        <v>4</v>
      </c>
      <c r="K119" s="82">
        <v>11</v>
      </c>
      <c r="L119" s="82">
        <v>0</v>
      </c>
      <c r="M119" s="82">
        <v>0</v>
      </c>
      <c r="N119" s="82">
        <v>0</v>
      </c>
      <c r="O119" s="82">
        <v>0</v>
      </c>
      <c r="P119" s="82">
        <v>11</v>
      </c>
      <c r="Q119" s="82">
        <v>308</v>
      </c>
      <c r="R119" s="12" t="s">
        <v>25</v>
      </c>
      <c r="S119" s="12" t="s">
        <v>25</v>
      </c>
      <c r="T119" s="12" t="s">
        <v>25</v>
      </c>
    </row>
    <row r="120" spans="1:20" x14ac:dyDescent="0.3">
      <c r="A120" s="13">
        <v>43890.708333333336</v>
      </c>
      <c r="B120" s="12" t="s">
        <v>22</v>
      </c>
      <c r="C120" s="82">
        <v>16</v>
      </c>
      <c r="D120" s="12" t="s">
        <v>54</v>
      </c>
      <c r="E120" s="82">
        <v>4112559576</v>
      </c>
      <c r="F120" s="82">
        <v>1686736689</v>
      </c>
      <c r="G120" s="82">
        <v>1</v>
      </c>
      <c r="H120" s="82">
        <v>0</v>
      </c>
      <c r="I120" s="82">
        <v>1</v>
      </c>
      <c r="J120" s="82">
        <v>2</v>
      </c>
      <c r="K120" s="82">
        <v>3</v>
      </c>
      <c r="L120" s="82">
        <v>0</v>
      </c>
      <c r="M120" s="82">
        <v>0</v>
      </c>
      <c r="N120" s="82">
        <v>0</v>
      </c>
      <c r="O120" s="82">
        <v>0</v>
      </c>
      <c r="P120" s="82">
        <v>3</v>
      </c>
      <c r="Q120" s="82">
        <v>252</v>
      </c>
      <c r="R120" s="12" t="s">
        <v>25</v>
      </c>
      <c r="S120" s="12" t="s">
        <v>25</v>
      </c>
      <c r="T120" s="12" t="s">
        <v>25</v>
      </c>
    </row>
    <row r="121" spans="1:20" x14ac:dyDescent="0.3">
      <c r="A121" s="13">
        <v>43890.708333333336</v>
      </c>
      <c r="B121" s="12" t="s">
        <v>22</v>
      </c>
      <c r="C121" s="82">
        <v>20</v>
      </c>
      <c r="D121" s="12" t="s">
        <v>55</v>
      </c>
      <c r="E121" s="82">
        <v>3921531192</v>
      </c>
      <c r="F121" s="82">
        <v>9110616306</v>
      </c>
      <c r="G121" s="82">
        <v>0</v>
      </c>
      <c r="H121" s="82">
        <v>0</v>
      </c>
      <c r="I121" s="82">
        <v>0</v>
      </c>
      <c r="J121" s="82">
        <v>0</v>
      </c>
      <c r="K121" s="82">
        <v>0</v>
      </c>
      <c r="L121" s="82">
        <v>0</v>
      </c>
      <c r="M121" s="82">
        <v>0</v>
      </c>
      <c r="N121" s="82">
        <v>0</v>
      </c>
      <c r="O121" s="82">
        <v>0</v>
      </c>
      <c r="P121" s="82">
        <v>0</v>
      </c>
      <c r="Q121" s="82">
        <v>1</v>
      </c>
      <c r="R121" s="12" t="s">
        <v>25</v>
      </c>
      <c r="S121" s="12" t="s">
        <v>25</v>
      </c>
      <c r="T121" s="12" t="s">
        <v>25</v>
      </c>
    </row>
    <row r="122" spans="1:20" x14ac:dyDescent="0.3">
      <c r="A122" s="13">
        <v>43890.708333333336</v>
      </c>
      <c r="B122" s="12" t="s">
        <v>22</v>
      </c>
      <c r="C122" s="82">
        <v>19</v>
      </c>
      <c r="D122" s="12" t="s">
        <v>56</v>
      </c>
      <c r="E122" s="82">
        <v>3811569725</v>
      </c>
      <c r="F122" s="82">
        <v>133623567</v>
      </c>
      <c r="G122" s="82">
        <v>1</v>
      </c>
      <c r="H122" s="82">
        <v>0</v>
      </c>
      <c r="I122" s="82">
        <v>1</v>
      </c>
      <c r="J122" s="82">
        <v>1</v>
      </c>
      <c r="K122" s="82">
        <v>2</v>
      </c>
      <c r="L122" s="82">
        <v>0</v>
      </c>
      <c r="M122" s="82">
        <v>0</v>
      </c>
      <c r="N122" s="82">
        <v>2</v>
      </c>
      <c r="O122" s="82">
        <v>0</v>
      </c>
      <c r="P122" s="82">
        <v>4</v>
      </c>
      <c r="Q122" s="82">
        <v>6</v>
      </c>
      <c r="R122" s="12" t="s">
        <v>25</v>
      </c>
      <c r="S122" s="12" t="s">
        <v>25</v>
      </c>
      <c r="T122" s="12" t="s">
        <v>25</v>
      </c>
    </row>
    <row r="123" spans="1:20" x14ac:dyDescent="0.3">
      <c r="A123" s="13">
        <v>43890.708333333336</v>
      </c>
      <c r="B123" s="12" t="s">
        <v>22</v>
      </c>
      <c r="C123" s="82">
        <v>9</v>
      </c>
      <c r="D123" s="12" t="s">
        <v>57</v>
      </c>
      <c r="E123" s="82">
        <v>4376923077</v>
      </c>
      <c r="F123" s="82">
        <v>1125588885</v>
      </c>
      <c r="G123" s="82">
        <v>7</v>
      </c>
      <c r="H123" s="82">
        <v>0</v>
      </c>
      <c r="I123" s="82">
        <v>7</v>
      </c>
      <c r="J123" s="82">
        <v>3</v>
      </c>
      <c r="K123" s="82">
        <v>10</v>
      </c>
      <c r="L123" s="82">
        <v>3</v>
      </c>
      <c r="M123" s="82">
        <v>3</v>
      </c>
      <c r="N123" s="82">
        <v>1</v>
      </c>
      <c r="O123" s="82">
        <v>0</v>
      </c>
      <c r="P123" s="82">
        <v>11</v>
      </c>
      <c r="Q123" s="82">
        <v>531</v>
      </c>
      <c r="R123" s="12" t="s">
        <v>25</v>
      </c>
      <c r="S123" s="12" t="s">
        <v>25</v>
      </c>
      <c r="T123" s="12" t="s">
        <v>25</v>
      </c>
    </row>
    <row r="124" spans="1:20" x14ac:dyDescent="0.3">
      <c r="A124" s="13">
        <v>43890.708333333336</v>
      </c>
      <c r="B124" s="12" t="s">
        <v>22</v>
      </c>
      <c r="C124" s="82">
        <v>4</v>
      </c>
      <c r="D124" s="12" t="s">
        <v>58</v>
      </c>
      <c r="E124" s="82">
        <v>4606893511</v>
      </c>
      <c r="F124" s="82">
        <v>1112123097</v>
      </c>
      <c r="G124" s="82">
        <v>0</v>
      </c>
      <c r="H124" s="82">
        <v>0</v>
      </c>
      <c r="I124" s="82">
        <v>0</v>
      </c>
      <c r="J124" s="82">
        <v>0</v>
      </c>
      <c r="K124" s="82">
        <v>0</v>
      </c>
      <c r="L124" s="82">
        <v>0</v>
      </c>
      <c r="M124" s="82">
        <v>0</v>
      </c>
      <c r="N124" s="82">
        <v>0</v>
      </c>
      <c r="O124" s="82">
        <v>0</v>
      </c>
      <c r="P124" s="82">
        <v>0</v>
      </c>
      <c r="Q124" s="82">
        <v>43</v>
      </c>
      <c r="R124" s="12" t="s">
        <v>25</v>
      </c>
      <c r="S124" s="12" t="s">
        <v>25</v>
      </c>
      <c r="T124" s="12" t="s">
        <v>25</v>
      </c>
    </row>
    <row r="125" spans="1:20" x14ac:dyDescent="0.3">
      <c r="A125" s="13">
        <v>43890.708333333336</v>
      </c>
      <c r="B125" s="12" t="s">
        <v>22</v>
      </c>
      <c r="C125" s="82">
        <v>10</v>
      </c>
      <c r="D125" s="12" t="s">
        <v>59</v>
      </c>
      <c r="E125" s="82">
        <v>4310675841</v>
      </c>
      <c r="F125" s="82">
        <v>1238824698</v>
      </c>
      <c r="G125" s="82">
        <v>0</v>
      </c>
      <c r="H125" s="82">
        <v>0</v>
      </c>
      <c r="I125" s="82">
        <v>0</v>
      </c>
      <c r="J125" s="82">
        <v>0</v>
      </c>
      <c r="K125" s="82">
        <v>0</v>
      </c>
      <c r="L125" s="82">
        <v>0</v>
      </c>
      <c r="M125" s="82">
        <v>0</v>
      </c>
      <c r="N125" s="82">
        <v>0</v>
      </c>
      <c r="O125" s="82">
        <v>0</v>
      </c>
      <c r="P125" s="82">
        <v>0</v>
      </c>
      <c r="Q125" s="82">
        <v>31</v>
      </c>
      <c r="R125" s="12" t="s">
        <v>25</v>
      </c>
      <c r="S125" s="12" t="s">
        <v>25</v>
      </c>
      <c r="T125" s="12" t="s">
        <v>25</v>
      </c>
    </row>
    <row r="126" spans="1:20" x14ac:dyDescent="0.3">
      <c r="A126" s="13">
        <v>43890.708333333336</v>
      </c>
      <c r="B126" s="12" t="s">
        <v>22</v>
      </c>
      <c r="C126" s="82">
        <v>2</v>
      </c>
      <c r="D126" s="12" t="s">
        <v>60</v>
      </c>
      <c r="E126" s="82">
        <v>4573750286</v>
      </c>
      <c r="F126" s="82">
        <v>7320149366</v>
      </c>
      <c r="G126" s="82">
        <v>0</v>
      </c>
      <c r="H126" s="82">
        <v>0</v>
      </c>
      <c r="I126" s="82">
        <v>0</v>
      </c>
      <c r="J126" s="82">
        <v>0</v>
      </c>
      <c r="K126" s="82">
        <v>0</v>
      </c>
      <c r="L126" s="82">
        <v>0</v>
      </c>
      <c r="M126" s="82">
        <v>0</v>
      </c>
      <c r="N126" s="82">
        <v>0</v>
      </c>
      <c r="O126" s="82">
        <v>0</v>
      </c>
      <c r="P126" s="82">
        <v>0</v>
      </c>
      <c r="Q126" s="82">
        <v>9</v>
      </c>
      <c r="R126" s="12" t="s">
        <v>25</v>
      </c>
      <c r="S126" s="12" t="s">
        <v>25</v>
      </c>
      <c r="T126" s="12" t="s">
        <v>25</v>
      </c>
    </row>
    <row r="127" spans="1:20" x14ac:dyDescent="0.3">
      <c r="A127" s="13">
        <v>43890.708333333336</v>
      </c>
      <c r="B127" s="12" t="s">
        <v>22</v>
      </c>
      <c r="C127" s="82">
        <v>5</v>
      </c>
      <c r="D127" s="12" t="s">
        <v>61</v>
      </c>
      <c r="E127" s="82">
        <v>4543490485</v>
      </c>
      <c r="F127" s="82">
        <v>1233845213</v>
      </c>
      <c r="G127" s="82">
        <v>24</v>
      </c>
      <c r="H127" s="82">
        <v>11</v>
      </c>
      <c r="I127" s="82">
        <v>35</v>
      </c>
      <c r="J127" s="82">
        <v>154</v>
      </c>
      <c r="K127" s="82">
        <v>189</v>
      </c>
      <c r="L127" s="82">
        <v>40</v>
      </c>
      <c r="M127" s="82">
        <v>40</v>
      </c>
      <c r="N127" s="82">
        <v>0</v>
      </c>
      <c r="O127" s="82">
        <v>2</v>
      </c>
      <c r="P127" s="82">
        <v>191</v>
      </c>
      <c r="Q127" s="82">
        <v>8659</v>
      </c>
      <c r="R127" s="12" t="s">
        <v>25</v>
      </c>
      <c r="S127" s="12" t="s">
        <v>25</v>
      </c>
      <c r="T127" s="12" t="s">
        <v>25</v>
      </c>
    </row>
    <row r="128" spans="1:20" x14ac:dyDescent="0.3">
      <c r="A128" s="13">
        <v>43891.708333333336</v>
      </c>
      <c r="B128" s="12" t="s">
        <v>22</v>
      </c>
      <c r="C128" s="82">
        <v>13</v>
      </c>
      <c r="D128" s="12" t="s">
        <v>42</v>
      </c>
      <c r="E128" s="82">
        <v>4235122196</v>
      </c>
      <c r="F128" s="82">
        <v>1339843823</v>
      </c>
      <c r="G128" s="82">
        <v>3</v>
      </c>
      <c r="H128" s="82">
        <v>0</v>
      </c>
      <c r="I128" s="82">
        <v>3</v>
      </c>
      <c r="J128" s="82">
        <v>2</v>
      </c>
      <c r="K128" s="82">
        <v>5</v>
      </c>
      <c r="L128" s="82">
        <v>3</v>
      </c>
      <c r="M128" s="82">
        <v>3</v>
      </c>
      <c r="N128" s="82">
        <v>0</v>
      </c>
      <c r="O128" s="82">
        <v>0</v>
      </c>
      <c r="P128" s="82">
        <v>5</v>
      </c>
      <c r="Q128" s="82">
        <v>52</v>
      </c>
      <c r="R128" s="12" t="s">
        <v>25</v>
      </c>
      <c r="S128" s="12" t="s">
        <v>25</v>
      </c>
      <c r="T128" s="12" t="s">
        <v>25</v>
      </c>
    </row>
    <row r="129" spans="1:20" x14ac:dyDescent="0.3">
      <c r="A129" s="13">
        <v>43891.708333333336</v>
      </c>
      <c r="B129" s="12" t="s">
        <v>22</v>
      </c>
      <c r="C129" s="82">
        <v>17</v>
      </c>
      <c r="D129" s="12" t="s">
        <v>43</v>
      </c>
      <c r="E129" s="82">
        <v>4063947052</v>
      </c>
      <c r="F129" s="82">
        <v>1580514834</v>
      </c>
      <c r="G129" s="82">
        <v>0</v>
      </c>
      <c r="H129" s="82">
        <v>0</v>
      </c>
      <c r="I129" s="82">
        <v>0</v>
      </c>
      <c r="J129" s="82">
        <v>0</v>
      </c>
      <c r="K129" s="82">
        <v>0</v>
      </c>
      <c r="L129" s="82">
        <v>0</v>
      </c>
      <c r="M129" s="82">
        <v>0</v>
      </c>
      <c r="N129" s="82">
        <v>0</v>
      </c>
      <c r="O129" s="82">
        <v>0</v>
      </c>
      <c r="P129" s="82">
        <v>0</v>
      </c>
      <c r="Q129" s="82">
        <v>39</v>
      </c>
      <c r="R129" s="12" t="s">
        <v>25</v>
      </c>
      <c r="S129" s="12" t="s">
        <v>25</v>
      </c>
      <c r="T129" s="12" t="s">
        <v>25</v>
      </c>
    </row>
    <row r="130" spans="1:20" x14ac:dyDescent="0.3">
      <c r="A130" s="13">
        <v>43891.708333333336</v>
      </c>
      <c r="B130" s="12" t="s">
        <v>22</v>
      </c>
      <c r="C130" s="82">
        <v>4</v>
      </c>
      <c r="D130" s="12" t="s">
        <v>44</v>
      </c>
      <c r="E130" s="82">
        <v>4649933453</v>
      </c>
      <c r="F130" s="82">
        <v>1135662422</v>
      </c>
      <c r="G130" s="82">
        <v>1</v>
      </c>
      <c r="H130" s="82">
        <v>0</v>
      </c>
      <c r="I130" s="82">
        <v>1</v>
      </c>
      <c r="J130" s="82">
        <v>0</v>
      </c>
      <c r="K130" s="82">
        <v>1</v>
      </c>
      <c r="L130" s="82">
        <v>0</v>
      </c>
      <c r="M130" s="82">
        <v>0</v>
      </c>
      <c r="N130" s="82">
        <v>0</v>
      </c>
      <c r="O130" s="82">
        <v>0</v>
      </c>
      <c r="P130" s="82">
        <v>1</v>
      </c>
      <c r="Q130" s="82">
        <v>20</v>
      </c>
      <c r="R130" s="12" t="s">
        <v>25</v>
      </c>
      <c r="S130" s="12" t="s">
        <v>25</v>
      </c>
      <c r="T130" s="12" t="s">
        <v>25</v>
      </c>
    </row>
    <row r="131" spans="1:20" x14ac:dyDescent="0.3">
      <c r="A131" s="13">
        <v>43891.708333333336</v>
      </c>
      <c r="B131" s="12" t="s">
        <v>22</v>
      </c>
      <c r="C131" s="82">
        <v>18</v>
      </c>
      <c r="D131" s="12" t="s">
        <v>45</v>
      </c>
      <c r="E131" s="82">
        <v>3890597598</v>
      </c>
      <c r="F131" s="82">
        <v>1659440194</v>
      </c>
      <c r="G131" s="82">
        <v>0</v>
      </c>
      <c r="H131" s="82">
        <v>0</v>
      </c>
      <c r="I131" s="82">
        <v>0</v>
      </c>
      <c r="J131" s="82">
        <v>1</v>
      </c>
      <c r="K131" s="82">
        <v>1</v>
      </c>
      <c r="L131" s="82">
        <v>0</v>
      </c>
      <c r="M131" s="82">
        <v>0</v>
      </c>
      <c r="N131" s="82">
        <v>0</v>
      </c>
      <c r="O131" s="82">
        <v>0</v>
      </c>
      <c r="P131" s="82">
        <v>1</v>
      </c>
      <c r="Q131" s="82">
        <v>35</v>
      </c>
      <c r="R131" s="12" t="s">
        <v>25</v>
      </c>
      <c r="S131" s="12" t="s">
        <v>25</v>
      </c>
      <c r="T131" s="12" t="s">
        <v>25</v>
      </c>
    </row>
    <row r="132" spans="1:20" x14ac:dyDescent="0.3">
      <c r="A132" s="13">
        <v>43891.708333333336</v>
      </c>
      <c r="B132" s="12" t="s">
        <v>22</v>
      </c>
      <c r="C132" s="82">
        <v>15</v>
      </c>
      <c r="D132" s="12" t="s">
        <v>46</v>
      </c>
      <c r="E132" s="82">
        <v>4083956555</v>
      </c>
      <c r="F132" s="82">
        <v>1425084984</v>
      </c>
      <c r="G132" s="82">
        <v>4</v>
      </c>
      <c r="H132" s="82">
        <v>0</v>
      </c>
      <c r="I132" s="82">
        <v>4</v>
      </c>
      <c r="J132" s="82">
        <v>13</v>
      </c>
      <c r="K132" s="82">
        <v>17</v>
      </c>
      <c r="L132" s="82">
        <v>4</v>
      </c>
      <c r="M132" s="82">
        <v>4</v>
      </c>
      <c r="N132" s="82">
        <v>0</v>
      </c>
      <c r="O132" s="82">
        <v>0</v>
      </c>
      <c r="P132" s="82">
        <v>17</v>
      </c>
      <c r="Q132" s="82">
        <v>373</v>
      </c>
      <c r="R132" s="12" t="s">
        <v>25</v>
      </c>
      <c r="S132" s="12" t="s">
        <v>25</v>
      </c>
      <c r="T132" s="12" t="s">
        <v>25</v>
      </c>
    </row>
    <row r="133" spans="1:20" x14ac:dyDescent="0.3">
      <c r="A133" s="13">
        <v>43891.708333333336</v>
      </c>
      <c r="B133" s="12" t="s">
        <v>22</v>
      </c>
      <c r="C133" s="82">
        <v>8</v>
      </c>
      <c r="D133" s="12" t="s">
        <v>95</v>
      </c>
      <c r="E133" s="82">
        <v>4449436681</v>
      </c>
      <c r="F133" s="82">
        <v>113417208</v>
      </c>
      <c r="G133" s="82">
        <v>127</v>
      </c>
      <c r="H133" s="82">
        <v>13</v>
      </c>
      <c r="I133" s="82">
        <v>140</v>
      </c>
      <c r="J133" s="82">
        <v>137</v>
      </c>
      <c r="K133" s="82">
        <v>277</v>
      </c>
      <c r="L133" s="82">
        <v>64</v>
      </c>
      <c r="M133" s="82">
        <v>68</v>
      </c>
      <c r="N133" s="82">
        <v>0</v>
      </c>
      <c r="O133" s="82">
        <v>8</v>
      </c>
      <c r="P133" s="82">
        <v>285</v>
      </c>
      <c r="Q133" s="82">
        <v>1795</v>
      </c>
      <c r="R133" s="12" t="s">
        <v>25</v>
      </c>
      <c r="S133" s="12" t="s">
        <v>25</v>
      </c>
      <c r="T133" s="12" t="s">
        <v>25</v>
      </c>
    </row>
    <row r="134" spans="1:20" x14ac:dyDescent="0.3">
      <c r="A134" s="13">
        <v>43891.708333333336</v>
      </c>
      <c r="B134" s="12" t="s">
        <v>22</v>
      </c>
      <c r="C134" s="82">
        <v>6</v>
      </c>
      <c r="D134" s="12" t="s">
        <v>47</v>
      </c>
      <c r="E134" s="82">
        <v>456494354</v>
      </c>
      <c r="F134" s="82">
        <v>1376813649</v>
      </c>
      <c r="G134" s="82">
        <v>0</v>
      </c>
      <c r="H134" s="82">
        <v>0</v>
      </c>
      <c r="I134" s="82">
        <v>0</v>
      </c>
      <c r="J134" s="82">
        <v>6</v>
      </c>
      <c r="K134" s="82">
        <v>6</v>
      </c>
      <c r="L134" s="82">
        <v>6</v>
      </c>
      <c r="M134" s="82">
        <v>6</v>
      </c>
      <c r="N134" s="82">
        <v>0</v>
      </c>
      <c r="O134" s="82">
        <v>0</v>
      </c>
      <c r="P134" s="82">
        <v>6</v>
      </c>
      <c r="Q134" s="82">
        <v>243</v>
      </c>
      <c r="R134" s="12" t="s">
        <v>25</v>
      </c>
      <c r="S134" s="12" t="s">
        <v>25</v>
      </c>
      <c r="T134" s="12" t="s">
        <v>25</v>
      </c>
    </row>
    <row r="135" spans="1:20" x14ac:dyDescent="0.3">
      <c r="A135" s="13">
        <v>43891.708333333336</v>
      </c>
      <c r="B135" s="12" t="s">
        <v>22</v>
      </c>
      <c r="C135" s="82">
        <v>12</v>
      </c>
      <c r="D135" s="12" t="s">
        <v>48</v>
      </c>
      <c r="E135" s="82">
        <v>4189277044</v>
      </c>
      <c r="F135" s="82">
        <v>1248366722</v>
      </c>
      <c r="G135" s="82">
        <v>3</v>
      </c>
      <c r="H135" s="82">
        <v>0</v>
      </c>
      <c r="I135" s="82">
        <v>3</v>
      </c>
      <c r="J135" s="82">
        <v>0</v>
      </c>
      <c r="K135" s="82">
        <v>3</v>
      </c>
      <c r="L135" s="82">
        <v>0</v>
      </c>
      <c r="M135" s="82">
        <v>0</v>
      </c>
      <c r="N135" s="82">
        <v>3</v>
      </c>
      <c r="O135" s="82">
        <v>0</v>
      </c>
      <c r="P135" s="82">
        <v>6</v>
      </c>
      <c r="Q135" s="82">
        <v>724</v>
      </c>
      <c r="R135" s="12" t="s">
        <v>25</v>
      </c>
      <c r="S135" s="12" t="s">
        <v>25</v>
      </c>
      <c r="T135" s="12" t="s">
        <v>25</v>
      </c>
    </row>
    <row r="136" spans="1:20" x14ac:dyDescent="0.3">
      <c r="A136" s="13">
        <v>43891.708333333336</v>
      </c>
      <c r="B136" s="12" t="s">
        <v>22</v>
      </c>
      <c r="C136" s="82">
        <v>7</v>
      </c>
      <c r="D136" s="12" t="s">
        <v>49</v>
      </c>
      <c r="E136" s="82">
        <v>4441149315</v>
      </c>
      <c r="F136" s="82">
        <v>89326992</v>
      </c>
      <c r="G136" s="82">
        <v>12</v>
      </c>
      <c r="H136" s="82">
        <v>1</v>
      </c>
      <c r="I136" s="82">
        <v>13</v>
      </c>
      <c r="J136" s="82">
        <v>8</v>
      </c>
      <c r="K136" s="82">
        <v>21</v>
      </c>
      <c r="L136" s="82">
        <v>-17</v>
      </c>
      <c r="M136" s="82">
        <v>-17</v>
      </c>
      <c r="N136" s="82">
        <v>4</v>
      </c>
      <c r="O136" s="82">
        <v>0</v>
      </c>
      <c r="P136" s="82">
        <v>25</v>
      </c>
      <c r="Q136" s="82">
        <v>121</v>
      </c>
      <c r="R136" s="12" t="s">
        <v>25</v>
      </c>
      <c r="S136" s="12" t="s">
        <v>25</v>
      </c>
      <c r="T136" s="12" t="s">
        <v>25</v>
      </c>
    </row>
    <row r="137" spans="1:20" x14ac:dyDescent="0.3">
      <c r="A137" s="13">
        <v>43891.708333333336</v>
      </c>
      <c r="B137" s="12" t="s">
        <v>22</v>
      </c>
      <c r="C137" s="82">
        <v>3</v>
      </c>
      <c r="D137" s="12" t="s">
        <v>50</v>
      </c>
      <c r="E137" s="82">
        <v>4546679409</v>
      </c>
      <c r="F137" s="82">
        <v>9190347404</v>
      </c>
      <c r="G137" s="82">
        <v>406</v>
      </c>
      <c r="H137" s="82">
        <v>106</v>
      </c>
      <c r="I137" s="82">
        <v>512</v>
      </c>
      <c r="J137" s="82">
        <v>375</v>
      </c>
      <c r="K137" s="82">
        <v>887</v>
      </c>
      <c r="L137" s="82">
        <v>335</v>
      </c>
      <c r="M137" s="82">
        <v>369</v>
      </c>
      <c r="N137" s="82">
        <v>73</v>
      </c>
      <c r="O137" s="82">
        <v>24</v>
      </c>
      <c r="P137" s="82">
        <v>984</v>
      </c>
      <c r="Q137" s="82">
        <v>6879</v>
      </c>
      <c r="R137" s="12" t="s">
        <v>25</v>
      </c>
      <c r="S137" s="12" t="s">
        <v>25</v>
      </c>
      <c r="T137" s="12" t="s">
        <v>25</v>
      </c>
    </row>
    <row r="138" spans="1:20" x14ac:dyDescent="0.3">
      <c r="A138" s="13">
        <v>43891.708333333336</v>
      </c>
      <c r="B138" s="12" t="s">
        <v>22</v>
      </c>
      <c r="C138" s="82">
        <v>11</v>
      </c>
      <c r="D138" s="12" t="s">
        <v>51</v>
      </c>
      <c r="E138" s="82">
        <v>4361675973</v>
      </c>
      <c r="F138" s="82">
        <v>135188753</v>
      </c>
      <c r="G138" s="82">
        <v>12</v>
      </c>
      <c r="H138" s="82">
        <v>5</v>
      </c>
      <c r="I138" s="82">
        <v>17</v>
      </c>
      <c r="J138" s="82">
        <v>8</v>
      </c>
      <c r="K138" s="82">
        <v>25</v>
      </c>
      <c r="L138" s="82">
        <v>14</v>
      </c>
      <c r="M138" s="82">
        <v>14</v>
      </c>
      <c r="N138" s="82">
        <v>0</v>
      </c>
      <c r="O138" s="82">
        <v>0</v>
      </c>
      <c r="P138" s="82">
        <v>25</v>
      </c>
      <c r="Q138" s="82">
        <v>101</v>
      </c>
      <c r="R138" s="12" t="s">
        <v>25</v>
      </c>
      <c r="S138" s="12" t="s">
        <v>25</v>
      </c>
      <c r="T138" s="12" t="s">
        <v>25</v>
      </c>
    </row>
    <row r="139" spans="1:20" x14ac:dyDescent="0.3">
      <c r="A139" s="13">
        <v>43891.708333333336</v>
      </c>
      <c r="B139" s="12" t="s">
        <v>22</v>
      </c>
      <c r="C139" s="82">
        <v>14</v>
      </c>
      <c r="D139" s="12" t="s">
        <v>52</v>
      </c>
      <c r="E139" s="82">
        <v>4155774754</v>
      </c>
      <c r="F139" s="82">
        <v>1465916051</v>
      </c>
      <c r="G139" s="82">
        <v>0</v>
      </c>
      <c r="H139" s="82">
        <v>0</v>
      </c>
      <c r="I139" s="82">
        <v>0</v>
      </c>
      <c r="J139" s="82">
        <v>0</v>
      </c>
      <c r="K139" s="82">
        <v>0</v>
      </c>
      <c r="L139" s="82">
        <v>0</v>
      </c>
      <c r="M139" s="82">
        <v>0</v>
      </c>
      <c r="N139" s="82">
        <v>0</v>
      </c>
      <c r="O139" s="82">
        <v>0</v>
      </c>
      <c r="P139" s="82">
        <v>0</v>
      </c>
      <c r="Q139" s="82">
        <v>6</v>
      </c>
      <c r="R139" s="12" t="s">
        <v>25</v>
      </c>
      <c r="S139" s="12" t="s">
        <v>25</v>
      </c>
      <c r="T139" s="12" t="s">
        <v>25</v>
      </c>
    </row>
    <row r="140" spans="1:20" x14ac:dyDescent="0.3">
      <c r="A140" s="13">
        <v>43891.708333333336</v>
      </c>
      <c r="B140" s="12" t="s">
        <v>22</v>
      </c>
      <c r="C140" s="82">
        <v>1</v>
      </c>
      <c r="D140" s="12" t="s">
        <v>53</v>
      </c>
      <c r="E140" s="82">
        <v>450732745</v>
      </c>
      <c r="F140" s="82">
        <v>7680687483</v>
      </c>
      <c r="G140" s="82">
        <v>11</v>
      </c>
      <c r="H140" s="82">
        <v>2</v>
      </c>
      <c r="I140" s="82">
        <v>13</v>
      </c>
      <c r="J140" s="82">
        <v>36</v>
      </c>
      <c r="K140" s="82">
        <v>49</v>
      </c>
      <c r="L140" s="82">
        <v>38</v>
      </c>
      <c r="M140" s="82">
        <v>38</v>
      </c>
      <c r="N140" s="82">
        <v>0</v>
      </c>
      <c r="O140" s="82">
        <v>0</v>
      </c>
      <c r="P140" s="82">
        <v>49</v>
      </c>
      <c r="Q140" s="82">
        <v>362</v>
      </c>
      <c r="R140" s="12" t="s">
        <v>25</v>
      </c>
      <c r="S140" s="12" t="s">
        <v>25</v>
      </c>
      <c r="T140" s="12" t="s">
        <v>25</v>
      </c>
    </row>
    <row r="141" spans="1:20" x14ac:dyDescent="0.3">
      <c r="A141" s="13">
        <v>43891.708333333336</v>
      </c>
      <c r="B141" s="12" t="s">
        <v>22</v>
      </c>
      <c r="C141" s="82">
        <v>16</v>
      </c>
      <c r="D141" s="12" t="s">
        <v>54</v>
      </c>
      <c r="E141" s="82">
        <v>4112559576</v>
      </c>
      <c r="F141" s="82">
        <v>1686736689</v>
      </c>
      <c r="G141" s="82">
        <v>1</v>
      </c>
      <c r="H141" s="82">
        <v>0</v>
      </c>
      <c r="I141" s="82">
        <v>1</v>
      </c>
      <c r="J141" s="82">
        <v>2</v>
      </c>
      <c r="K141" s="82">
        <v>3</v>
      </c>
      <c r="L141" s="82">
        <v>0</v>
      </c>
      <c r="M141" s="82">
        <v>0</v>
      </c>
      <c r="N141" s="82">
        <v>0</v>
      </c>
      <c r="O141" s="82">
        <v>0</v>
      </c>
      <c r="P141" s="82">
        <v>3</v>
      </c>
      <c r="Q141" s="82">
        <v>262</v>
      </c>
      <c r="R141" s="12" t="s">
        <v>25</v>
      </c>
      <c r="S141" s="12" t="s">
        <v>25</v>
      </c>
      <c r="T141" s="12" t="s">
        <v>25</v>
      </c>
    </row>
    <row r="142" spans="1:20" x14ac:dyDescent="0.3">
      <c r="A142" s="13">
        <v>43891.708333333336</v>
      </c>
      <c r="B142" s="12" t="s">
        <v>22</v>
      </c>
      <c r="C142" s="82">
        <v>20</v>
      </c>
      <c r="D142" s="12" t="s">
        <v>55</v>
      </c>
      <c r="E142" s="82">
        <v>3921531192</v>
      </c>
      <c r="F142" s="82">
        <v>9110616306</v>
      </c>
      <c r="G142" s="82">
        <v>0</v>
      </c>
      <c r="H142" s="82">
        <v>0</v>
      </c>
      <c r="I142" s="82">
        <v>0</v>
      </c>
      <c r="J142" s="82">
        <v>0</v>
      </c>
      <c r="K142" s="82">
        <v>0</v>
      </c>
      <c r="L142" s="82">
        <v>0</v>
      </c>
      <c r="M142" s="82">
        <v>0</v>
      </c>
      <c r="N142" s="82">
        <v>0</v>
      </c>
      <c r="O142" s="82">
        <v>0</v>
      </c>
      <c r="P142" s="82">
        <v>0</v>
      </c>
      <c r="Q142" s="82">
        <v>29</v>
      </c>
      <c r="R142" s="12" t="s">
        <v>25</v>
      </c>
      <c r="S142" s="12" t="s">
        <v>25</v>
      </c>
      <c r="T142" s="12" t="s">
        <v>25</v>
      </c>
    </row>
    <row r="143" spans="1:20" x14ac:dyDescent="0.3">
      <c r="A143" s="13">
        <v>43891.708333333336</v>
      </c>
      <c r="B143" s="12" t="s">
        <v>22</v>
      </c>
      <c r="C143" s="82">
        <v>19</v>
      </c>
      <c r="D143" s="12" t="s">
        <v>56</v>
      </c>
      <c r="E143" s="82">
        <v>3811569725</v>
      </c>
      <c r="F143" s="82">
        <v>133623567</v>
      </c>
      <c r="G143" s="82">
        <v>1</v>
      </c>
      <c r="H143" s="82">
        <v>0</v>
      </c>
      <c r="I143" s="82">
        <v>1</v>
      </c>
      <c r="J143" s="82">
        <v>6</v>
      </c>
      <c r="K143" s="82">
        <v>7</v>
      </c>
      <c r="L143" s="82">
        <v>5</v>
      </c>
      <c r="M143" s="82">
        <v>5</v>
      </c>
      <c r="N143" s="82">
        <v>2</v>
      </c>
      <c r="O143" s="82">
        <v>0</v>
      </c>
      <c r="P143" s="82">
        <v>9</v>
      </c>
      <c r="Q143" s="82">
        <v>291</v>
      </c>
      <c r="R143" s="12" t="s">
        <v>25</v>
      </c>
      <c r="S143" s="12" t="s">
        <v>25</v>
      </c>
      <c r="T143" s="12" t="s">
        <v>25</v>
      </c>
    </row>
    <row r="144" spans="1:20" x14ac:dyDescent="0.3">
      <c r="A144" s="13">
        <v>43891.708333333336</v>
      </c>
      <c r="B144" s="12" t="s">
        <v>22</v>
      </c>
      <c r="C144" s="82">
        <v>9</v>
      </c>
      <c r="D144" s="12" t="s">
        <v>57</v>
      </c>
      <c r="E144" s="82">
        <v>4376923077</v>
      </c>
      <c r="F144" s="82">
        <v>1125588885</v>
      </c>
      <c r="G144" s="82">
        <v>7</v>
      </c>
      <c r="H144" s="82">
        <v>0</v>
      </c>
      <c r="I144" s="82">
        <v>7</v>
      </c>
      <c r="J144" s="82">
        <v>5</v>
      </c>
      <c r="K144" s="82">
        <v>12</v>
      </c>
      <c r="L144" s="82">
        <v>2</v>
      </c>
      <c r="M144" s="82">
        <v>2</v>
      </c>
      <c r="N144" s="82">
        <v>1</v>
      </c>
      <c r="O144" s="82">
        <v>0</v>
      </c>
      <c r="P144" s="82">
        <v>13</v>
      </c>
      <c r="Q144" s="82">
        <v>572</v>
      </c>
      <c r="R144" s="12" t="s">
        <v>25</v>
      </c>
      <c r="S144" s="12" t="s">
        <v>25</v>
      </c>
      <c r="T144" s="12" t="s">
        <v>25</v>
      </c>
    </row>
    <row r="145" spans="1:20" x14ac:dyDescent="0.3">
      <c r="A145" s="13">
        <v>43891.708333333336</v>
      </c>
      <c r="B145" s="12" t="s">
        <v>22</v>
      </c>
      <c r="C145" s="82">
        <v>4</v>
      </c>
      <c r="D145" s="12" t="s">
        <v>58</v>
      </c>
      <c r="E145" s="82">
        <v>4606893511</v>
      </c>
      <c r="F145" s="82">
        <v>1112123097</v>
      </c>
      <c r="G145" s="82">
        <v>0</v>
      </c>
      <c r="H145" s="82">
        <v>0</v>
      </c>
      <c r="I145" s="82">
        <v>0</v>
      </c>
      <c r="J145" s="82">
        <v>0</v>
      </c>
      <c r="K145" s="82">
        <v>0</v>
      </c>
      <c r="L145" s="82">
        <v>0</v>
      </c>
      <c r="M145" s="82">
        <v>0</v>
      </c>
      <c r="N145" s="82">
        <v>0</v>
      </c>
      <c r="O145" s="82">
        <v>0</v>
      </c>
      <c r="P145" s="82">
        <v>0</v>
      </c>
      <c r="Q145" s="82">
        <v>122</v>
      </c>
      <c r="R145" s="12" t="s">
        <v>25</v>
      </c>
      <c r="S145" s="12" t="s">
        <v>25</v>
      </c>
      <c r="T145" s="12" t="s">
        <v>25</v>
      </c>
    </row>
    <row r="146" spans="1:20" x14ac:dyDescent="0.3">
      <c r="A146" s="13">
        <v>43891.708333333336</v>
      </c>
      <c r="B146" s="12" t="s">
        <v>22</v>
      </c>
      <c r="C146" s="82">
        <v>10</v>
      </c>
      <c r="D146" s="12" t="s">
        <v>59</v>
      </c>
      <c r="E146" s="82">
        <v>4310675841</v>
      </c>
      <c r="F146" s="82">
        <v>1238824698</v>
      </c>
      <c r="G146" s="82">
        <v>0</v>
      </c>
      <c r="H146" s="82">
        <v>0</v>
      </c>
      <c r="I146" s="82">
        <v>0</v>
      </c>
      <c r="J146" s="82">
        <v>2</v>
      </c>
      <c r="K146" s="82">
        <v>2</v>
      </c>
      <c r="L146" s="82">
        <v>2</v>
      </c>
      <c r="M146" s="82">
        <v>2</v>
      </c>
      <c r="N146" s="82">
        <v>0</v>
      </c>
      <c r="O146" s="82">
        <v>0</v>
      </c>
      <c r="P146" s="82">
        <v>2</v>
      </c>
      <c r="Q146" s="82">
        <v>35</v>
      </c>
      <c r="R146" s="12" t="s">
        <v>25</v>
      </c>
      <c r="S146" s="12" t="s">
        <v>25</v>
      </c>
      <c r="T146" s="12" t="s">
        <v>25</v>
      </c>
    </row>
    <row r="147" spans="1:20" x14ac:dyDescent="0.3">
      <c r="A147" s="13">
        <v>43891.708333333336</v>
      </c>
      <c r="B147" s="12" t="s">
        <v>22</v>
      </c>
      <c r="C147" s="82">
        <v>2</v>
      </c>
      <c r="D147" s="12" t="s">
        <v>60</v>
      </c>
      <c r="E147" s="82">
        <v>4573750286</v>
      </c>
      <c r="F147" s="82">
        <v>7320149366</v>
      </c>
      <c r="G147" s="82">
        <v>0</v>
      </c>
      <c r="H147" s="82">
        <v>0</v>
      </c>
      <c r="I147" s="82">
        <v>0</v>
      </c>
      <c r="J147" s="82">
        <v>0</v>
      </c>
      <c r="K147" s="82">
        <v>0</v>
      </c>
      <c r="L147" s="82">
        <v>0</v>
      </c>
      <c r="M147" s="82">
        <v>0</v>
      </c>
      <c r="N147" s="82">
        <v>0</v>
      </c>
      <c r="O147" s="82">
        <v>0</v>
      </c>
      <c r="P147" s="82">
        <v>0</v>
      </c>
      <c r="Q147" s="82">
        <v>10</v>
      </c>
      <c r="R147" s="12" t="s">
        <v>25</v>
      </c>
      <c r="S147" s="12" t="s">
        <v>25</v>
      </c>
      <c r="T147" s="12" t="s">
        <v>25</v>
      </c>
    </row>
    <row r="148" spans="1:20" x14ac:dyDescent="0.3">
      <c r="A148" s="13">
        <v>43891.708333333336</v>
      </c>
      <c r="B148" s="12" t="s">
        <v>22</v>
      </c>
      <c r="C148" s="82">
        <v>5</v>
      </c>
      <c r="D148" s="12" t="s">
        <v>61</v>
      </c>
      <c r="E148" s="82">
        <v>4543490485</v>
      </c>
      <c r="F148" s="82">
        <v>1233845213</v>
      </c>
      <c r="G148" s="82">
        <v>51</v>
      </c>
      <c r="H148" s="82">
        <v>13</v>
      </c>
      <c r="I148" s="82">
        <v>64</v>
      </c>
      <c r="J148" s="82">
        <v>197</v>
      </c>
      <c r="K148" s="82">
        <v>261</v>
      </c>
      <c r="L148" s="82">
        <v>72</v>
      </c>
      <c r="M148" s="82">
        <v>72</v>
      </c>
      <c r="N148" s="82">
        <v>0</v>
      </c>
      <c r="O148" s="82">
        <v>2</v>
      </c>
      <c r="P148" s="82">
        <v>263</v>
      </c>
      <c r="Q148" s="82">
        <v>9056</v>
      </c>
      <c r="R148" s="12" t="s">
        <v>25</v>
      </c>
      <c r="S148" s="12" t="s">
        <v>25</v>
      </c>
      <c r="T148" s="12" t="s">
        <v>25</v>
      </c>
    </row>
    <row r="149" spans="1:20" x14ac:dyDescent="0.3">
      <c r="A149" s="13">
        <v>43892.75</v>
      </c>
      <c r="B149" s="12" t="s">
        <v>22</v>
      </c>
      <c r="C149" s="82">
        <v>13</v>
      </c>
      <c r="D149" s="12" t="s">
        <v>42</v>
      </c>
      <c r="E149" s="82">
        <v>4235122196</v>
      </c>
      <c r="F149" s="82">
        <v>1339843823</v>
      </c>
      <c r="G149" s="82">
        <v>3</v>
      </c>
      <c r="H149" s="82">
        <v>0</v>
      </c>
      <c r="I149" s="82">
        <v>3</v>
      </c>
      <c r="J149" s="82">
        <v>2</v>
      </c>
      <c r="K149" s="82">
        <v>5</v>
      </c>
      <c r="L149" s="82">
        <v>0</v>
      </c>
      <c r="M149" s="82">
        <v>0</v>
      </c>
      <c r="N149" s="82">
        <v>0</v>
      </c>
      <c r="O149" s="82">
        <v>0</v>
      </c>
      <c r="P149" s="82">
        <v>5</v>
      </c>
      <c r="Q149" s="82">
        <v>52</v>
      </c>
      <c r="R149" s="12" t="s">
        <v>25</v>
      </c>
      <c r="S149" s="12" t="s">
        <v>25</v>
      </c>
      <c r="T149" s="12" t="s">
        <v>25</v>
      </c>
    </row>
    <row r="150" spans="1:20" x14ac:dyDescent="0.3">
      <c r="A150" s="13">
        <v>43892.75</v>
      </c>
      <c r="B150" s="12" t="s">
        <v>22</v>
      </c>
      <c r="C150" s="82">
        <v>17</v>
      </c>
      <c r="D150" s="12" t="s">
        <v>43</v>
      </c>
      <c r="E150" s="82">
        <v>4063947052</v>
      </c>
      <c r="F150" s="82">
        <v>1580514834</v>
      </c>
      <c r="G150" s="82">
        <v>0</v>
      </c>
      <c r="H150" s="82">
        <v>0</v>
      </c>
      <c r="I150" s="82">
        <v>0</v>
      </c>
      <c r="J150" s="82">
        <v>0</v>
      </c>
      <c r="K150" s="82">
        <v>0</v>
      </c>
      <c r="L150" s="82">
        <v>0</v>
      </c>
      <c r="M150" s="82">
        <v>0</v>
      </c>
      <c r="N150" s="82">
        <v>0</v>
      </c>
      <c r="O150" s="82">
        <v>0</v>
      </c>
      <c r="P150" s="82">
        <v>0</v>
      </c>
      <c r="Q150" s="82">
        <v>39</v>
      </c>
      <c r="R150" s="12" t="s">
        <v>25</v>
      </c>
      <c r="S150" s="12" t="s">
        <v>25</v>
      </c>
      <c r="T150" s="12" t="s">
        <v>25</v>
      </c>
    </row>
    <row r="151" spans="1:20" x14ac:dyDescent="0.3">
      <c r="A151" s="13">
        <v>43892.75</v>
      </c>
      <c r="B151" s="12" t="s">
        <v>22</v>
      </c>
      <c r="C151" s="82">
        <v>4</v>
      </c>
      <c r="D151" s="12" t="s">
        <v>44</v>
      </c>
      <c r="E151" s="82">
        <v>4649933453</v>
      </c>
      <c r="F151" s="82">
        <v>1135662422</v>
      </c>
      <c r="G151" s="82">
        <v>1</v>
      </c>
      <c r="H151" s="82">
        <v>0</v>
      </c>
      <c r="I151" s="82">
        <v>1</v>
      </c>
      <c r="J151" s="82">
        <v>0</v>
      </c>
      <c r="K151" s="82">
        <v>1</v>
      </c>
      <c r="L151" s="82">
        <v>0</v>
      </c>
      <c r="M151" s="82">
        <v>0</v>
      </c>
      <c r="N151" s="82">
        <v>0</v>
      </c>
      <c r="O151" s="82">
        <v>0</v>
      </c>
      <c r="P151" s="82">
        <v>1</v>
      </c>
      <c r="Q151" s="82">
        <v>20</v>
      </c>
      <c r="R151" s="12" t="s">
        <v>25</v>
      </c>
      <c r="S151" s="12" t="s">
        <v>25</v>
      </c>
      <c r="T151" s="12" t="s">
        <v>25</v>
      </c>
    </row>
    <row r="152" spans="1:20" x14ac:dyDescent="0.3">
      <c r="A152" s="13">
        <v>43892.75</v>
      </c>
      <c r="B152" s="12" t="s">
        <v>22</v>
      </c>
      <c r="C152" s="82">
        <v>18</v>
      </c>
      <c r="D152" s="12" t="s">
        <v>45</v>
      </c>
      <c r="E152" s="82">
        <v>3890597598</v>
      </c>
      <c r="F152" s="82">
        <v>1659440194</v>
      </c>
      <c r="G152" s="82">
        <v>0</v>
      </c>
      <c r="H152" s="82">
        <v>0</v>
      </c>
      <c r="I152" s="82">
        <v>0</v>
      </c>
      <c r="J152" s="82">
        <v>1</v>
      </c>
      <c r="K152" s="82">
        <v>1</v>
      </c>
      <c r="L152" s="82">
        <v>0</v>
      </c>
      <c r="M152" s="82">
        <v>0</v>
      </c>
      <c r="N152" s="82">
        <v>0</v>
      </c>
      <c r="O152" s="82">
        <v>0</v>
      </c>
      <c r="P152" s="82">
        <v>1</v>
      </c>
      <c r="Q152" s="82">
        <v>39</v>
      </c>
      <c r="R152" s="12" t="s">
        <v>25</v>
      </c>
      <c r="S152" s="12" t="s">
        <v>25</v>
      </c>
      <c r="T152" s="12" t="s">
        <v>25</v>
      </c>
    </row>
    <row r="153" spans="1:20" x14ac:dyDescent="0.3">
      <c r="A153" s="13">
        <v>43892.75</v>
      </c>
      <c r="B153" s="12" t="s">
        <v>22</v>
      </c>
      <c r="C153" s="82">
        <v>15</v>
      </c>
      <c r="D153" s="12" t="s">
        <v>46</v>
      </c>
      <c r="E153" s="82">
        <v>4083956555</v>
      </c>
      <c r="F153" s="82">
        <v>1425084984</v>
      </c>
      <c r="G153" s="82">
        <v>4</v>
      </c>
      <c r="H153" s="82">
        <v>0</v>
      </c>
      <c r="I153" s="82">
        <v>4</v>
      </c>
      <c r="J153" s="82">
        <v>13</v>
      </c>
      <c r="K153" s="82">
        <v>17</v>
      </c>
      <c r="L153" s="82">
        <v>0</v>
      </c>
      <c r="M153" s="82">
        <v>0</v>
      </c>
      <c r="N153" s="82">
        <v>0</v>
      </c>
      <c r="O153" s="82">
        <v>0</v>
      </c>
      <c r="P153" s="82">
        <v>17</v>
      </c>
      <c r="Q153" s="82">
        <v>373</v>
      </c>
      <c r="R153" s="12" t="s">
        <v>25</v>
      </c>
      <c r="S153" s="12" t="s">
        <v>25</v>
      </c>
      <c r="T153" s="12" t="s">
        <v>25</v>
      </c>
    </row>
    <row r="154" spans="1:20" x14ac:dyDescent="0.3">
      <c r="A154" s="13">
        <v>43892.75</v>
      </c>
      <c r="B154" s="12" t="s">
        <v>22</v>
      </c>
      <c r="C154" s="82">
        <v>8</v>
      </c>
      <c r="D154" s="12" t="s">
        <v>95</v>
      </c>
      <c r="E154" s="82">
        <v>4449436681</v>
      </c>
      <c r="F154" s="82">
        <v>113417208</v>
      </c>
      <c r="G154" s="82">
        <v>148</v>
      </c>
      <c r="H154" s="82">
        <v>16</v>
      </c>
      <c r="I154" s="82">
        <v>164</v>
      </c>
      <c r="J154" s="82">
        <v>160</v>
      </c>
      <c r="K154" s="82">
        <v>324</v>
      </c>
      <c r="L154" s="82">
        <v>47</v>
      </c>
      <c r="M154" s="82">
        <v>50</v>
      </c>
      <c r="N154" s="82">
        <v>0</v>
      </c>
      <c r="O154" s="82">
        <v>11</v>
      </c>
      <c r="P154" s="82">
        <v>335</v>
      </c>
      <c r="Q154" s="82">
        <v>1973</v>
      </c>
      <c r="R154" s="12" t="s">
        <v>25</v>
      </c>
      <c r="S154" s="12" t="s">
        <v>25</v>
      </c>
      <c r="T154" s="12" t="s">
        <v>25</v>
      </c>
    </row>
    <row r="155" spans="1:20" x14ac:dyDescent="0.3">
      <c r="A155" s="13">
        <v>43892.75</v>
      </c>
      <c r="B155" s="12" t="s">
        <v>22</v>
      </c>
      <c r="C155" s="82">
        <v>6</v>
      </c>
      <c r="D155" s="12" t="s">
        <v>47</v>
      </c>
      <c r="E155" s="82">
        <v>456494354</v>
      </c>
      <c r="F155" s="82">
        <v>1376813649</v>
      </c>
      <c r="G155" s="82">
        <v>0</v>
      </c>
      <c r="H155" s="82">
        <v>0</v>
      </c>
      <c r="I155" s="82">
        <v>0</v>
      </c>
      <c r="J155" s="82">
        <v>9</v>
      </c>
      <c r="K155" s="82">
        <v>9</v>
      </c>
      <c r="L155" s="82">
        <v>3</v>
      </c>
      <c r="M155" s="82">
        <v>3</v>
      </c>
      <c r="N155" s="82">
        <v>0</v>
      </c>
      <c r="O155" s="82">
        <v>0</v>
      </c>
      <c r="P155" s="82">
        <v>9</v>
      </c>
      <c r="Q155" s="82">
        <v>269</v>
      </c>
      <c r="R155" s="12" t="s">
        <v>25</v>
      </c>
      <c r="S155" s="12" t="s">
        <v>25</v>
      </c>
      <c r="T155" s="12" t="s">
        <v>25</v>
      </c>
    </row>
    <row r="156" spans="1:20" x14ac:dyDescent="0.3">
      <c r="A156" s="13">
        <v>43892.75</v>
      </c>
      <c r="B156" s="12" t="s">
        <v>22</v>
      </c>
      <c r="C156" s="82">
        <v>12</v>
      </c>
      <c r="D156" s="12" t="s">
        <v>48</v>
      </c>
      <c r="E156" s="82">
        <v>4189277044</v>
      </c>
      <c r="F156" s="82">
        <v>1248366722</v>
      </c>
      <c r="G156" s="82">
        <v>3</v>
      </c>
      <c r="H156" s="82">
        <v>0</v>
      </c>
      <c r="I156" s="82">
        <v>3</v>
      </c>
      <c r="J156" s="82">
        <v>1</v>
      </c>
      <c r="K156" s="82">
        <v>4</v>
      </c>
      <c r="L156" s="82">
        <v>1</v>
      </c>
      <c r="M156" s="82">
        <v>1</v>
      </c>
      <c r="N156" s="82">
        <v>3</v>
      </c>
      <c r="O156" s="82">
        <v>0</v>
      </c>
      <c r="P156" s="82">
        <v>7</v>
      </c>
      <c r="Q156" s="82">
        <v>773</v>
      </c>
      <c r="R156" s="12" t="s">
        <v>25</v>
      </c>
      <c r="S156" s="12" t="s">
        <v>25</v>
      </c>
      <c r="T156" s="12" t="s">
        <v>25</v>
      </c>
    </row>
    <row r="157" spans="1:20" x14ac:dyDescent="0.3">
      <c r="A157" s="13">
        <v>43892.75</v>
      </c>
      <c r="B157" s="12" t="s">
        <v>22</v>
      </c>
      <c r="C157" s="82">
        <v>7</v>
      </c>
      <c r="D157" s="12" t="s">
        <v>49</v>
      </c>
      <c r="E157" s="82">
        <v>4441149315</v>
      </c>
      <c r="F157" s="82">
        <v>89326992</v>
      </c>
      <c r="G157" s="82">
        <v>12</v>
      </c>
      <c r="H157" s="82">
        <v>1</v>
      </c>
      <c r="I157" s="82">
        <v>13</v>
      </c>
      <c r="J157" s="82">
        <v>5</v>
      </c>
      <c r="K157" s="82">
        <v>18</v>
      </c>
      <c r="L157" s="82">
        <v>-3</v>
      </c>
      <c r="M157" s="82">
        <v>-3</v>
      </c>
      <c r="N157" s="82">
        <v>4</v>
      </c>
      <c r="O157" s="82">
        <v>0</v>
      </c>
      <c r="P157" s="82">
        <v>22</v>
      </c>
      <c r="Q157" s="82">
        <v>121</v>
      </c>
      <c r="R157" s="12" t="s">
        <v>25</v>
      </c>
      <c r="S157" s="12" t="s">
        <v>25</v>
      </c>
      <c r="T157" s="12" t="s">
        <v>25</v>
      </c>
    </row>
    <row r="158" spans="1:20" x14ac:dyDescent="0.3">
      <c r="A158" s="13">
        <v>43892.75</v>
      </c>
      <c r="B158" s="12" t="s">
        <v>22</v>
      </c>
      <c r="C158" s="82">
        <v>3</v>
      </c>
      <c r="D158" s="12" t="s">
        <v>50</v>
      </c>
      <c r="E158" s="82">
        <v>4546679409</v>
      </c>
      <c r="F158" s="82">
        <v>9190347404</v>
      </c>
      <c r="G158" s="82">
        <v>478</v>
      </c>
      <c r="H158" s="82">
        <v>127</v>
      </c>
      <c r="I158" s="82">
        <v>605</v>
      </c>
      <c r="J158" s="82">
        <v>472</v>
      </c>
      <c r="K158" s="82">
        <v>1077</v>
      </c>
      <c r="L158" s="82">
        <v>190</v>
      </c>
      <c r="M158" s="82">
        <v>270</v>
      </c>
      <c r="N158" s="82">
        <v>139</v>
      </c>
      <c r="O158" s="82">
        <v>38</v>
      </c>
      <c r="P158" s="82">
        <v>1254</v>
      </c>
      <c r="Q158" s="82">
        <v>7925</v>
      </c>
      <c r="R158" s="12" t="s">
        <v>25</v>
      </c>
      <c r="S158" s="12" t="s">
        <v>25</v>
      </c>
      <c r="T158" s="12" t="s">
        <v>25</v>
      </c>
    </row>
    <row r="159" spans="1:20" x14ac:dyDescent="0.3">
      <c r="A159" s="13">
        <v>43892.75</v>
      </c>
      <c r="B159" s="12" t="s">
        <v>22</v>
      </c>
      <c r="C159" s="82">
        <v>11</v>
      </c>
      <c r="D159" s="12" t="s">
        <v>51</v>
      </c>
      <c r="E159" s="82">
        <v>4361675973</v>
      </c>
      <c r="F159" s="82">
        <v>135188753</v>
      </c>
      <c r="G159" s="82">
        <v>17</v>
      </c>
      <c r="H159" s="82">
        <v>6</v>
      </c>
      <c r="I159" s="82">
        <v>23</v>
      </c>
      <c r="J159" s="82">
        <v>11</v>
      </c>
      <c r="K159" s="82">
        <v>34</v>
      </c>
      <c r="L159" s="82">
        <v>9</v>
      </c>
      <c r="M159" s="82">
        <v>10</v>
      </c>
      <c r="N159" s="82">
        <v>0</v>
      </c>
      <c r="O159" s="82">
        <v>1</v>
      </c>
      <c r="P159" s="82">
        <v>35</v>
      </c>
      <c r="Q159" s="82">
        <v>137</v>
      </c>
      <c r="R159" s="12" t="s">
        <v>25</v>
      </c>
      <c r="S159" s="12" t="s">
        <v>25</v>
      </c>
      <c r="T159" s="12" t="s">
        <v>25</v>
      </c>
    </row>
    <row r="160" spans="1:20" x14ac:dyDescent="0.3">
      <c r="A160" s="13">
        <v>43892.75</v>
      </c>
      <c r="B160" s="12" t="s">
        <v>22</v>
      </c>
      <c r="C160" s="82">
        <v>14</v>
      </c>
      <c r="D160" s="12" t="s">
        <v>52</v>
      </c>
      <c r="E160" s="82">
        <v>4155774754</v>
      </c>
      <c r="F160" s="82">
        <v>1465916051</v>
      </c>
      <c r="G160" s="82">
        <v>0</v>
      </c>
      <c r="H160" s="82">
        <v>0</v>
      </c>
      <c r="I160" s="82">
        <v>0</v>
      </c>
      <c r="J160" s="82">
        <v>0</v>
      </c>
      <c r="K160" s="82">
        <v>0</v>
      </c>
      <c r="L160" s="82">
        <v>0</v>
      </c>
      <c r="M160" s="82">
        <v>0</v>
      </c>
      <c r="N160" s="82">
        <v>0</v>
      </c>
      <c r="O160" s="82">
        <v>0</v>
      </c>
      <c r="P160" s="82">
        <v>0</v>
      </c>
      <c r="Q160" s="82">
        <v>13</v>
      </c>
      <c r="R160" s="12" t="s">
        <v>25</v>
      </c>
      <c r="S160" s="12" t="s">
        <v>25</v>
      </c>
      <c r="T160" s="12" t="s">
        <v>25</v>
      </c>
    </row>
    <row r="161" spans="1:20" x14ac:dyDescent="0.3">
      <c r="A161" s="13">
        <v>43892.75</v>
      </c>
      <c r="B161" s="12" t="s">
        <v>22</v>
      </c>
      <c r="C161" s="82">
        <v>1</v>
      </c>
      <c r="D161" s="12" t="s">
        <v>53</v>
      </c>
      <c r="E161" s="82">
        <v>450732745</v>
      </c>
      <c r="F161" s="82">
        <v>7680687483</v>
      </c>
      <c r="G161" s="82">
        <v>12</v>
      </c>
      <c r="H161" s="82">
        <v>2</v>
      </c>
      <c r="I161" s="82">
        <v>14</v>
      </c>
      <c r="J161" s="82">
        <v>37</v>
      </c>
      <c r="K161" s="82">
        <v>51</v>
      </c>
      <c r="L161" s="82">
        <v>2</v>
      </c>
      <c r="M161" s="82">
        <v>2</v>
      </c>
      <c r="N161" s="82">
        <v>0</v>
      </c>
      <c r="O161" s="82">
        <v>0</v>
      </c>
      <c r="P161" s="82">
        <v>51</v>
      </c>
      <c r="Q161" s="82">
        <v>434</v>
      </c>
      <c r="R161" s="12" t="s">
        <v>25</v>
      </c>
      <c r="S161" s="12" t="s">
        <v>25</v>
      </c>
      <c r="T161" s="12" t="s">
        <v>25</v>
      </c>
    </row>
    <row r="162" spans="1:20" x14ac:dyDescent="0.3">
      <c r="A162" s="13">
        <v>43892.75</v>
      </c>
      <c r="B162" s="12" t="s">
        <v>22</v>
      </c>
      <c r="C162" s="82">
        <v>16</v>
      </c>
      <c r="D162" s="12" t="s">
        <v>54</v>
      </c>
      <c r="E162" s="82">
        <v>4112559576</v>
      </c>
      <c r="F162" s="82">
        <v>1686736689</v>
      </c>
      <c r="G162" s="82">
        <v>2</v>
      </c>
      <c r="H162" s="82">
        <v>0</v>
      </c>
      <c r="I162" s="82">
        <v>2</v>
      </c>
      <c r="J162" s="82">
        <v>2</v>
      </c>
      <c r="K162" s="82">
        <v>4</v>
      </c>
      <c r="L162" s="82">
        <v>1</v>
      </c>
      <c r="M162" s="82">
        <v>1</v>
      </c>
      <c r="N162" s="82">
        <v>0</v>
      </c>
      <c r="O162" s="82">
        <v>0</v>
      </c>
      <c r="P162" s="82">
        <v>4</v>
      </c>
      <c r="Q162" s="82">
        <v>278</v>
      </c>
      <c r="R162" s="12" t="s">
        <v>25</v>
      </c>
      <c r="S162" s="12" t="s">
        <v>25</v>
      </c>
      <c r="T162" s="12" t="s">
        <v>25</v>
      </c>
    </row>
    <row r="163" spans="1:20" x14ac:dyDescent="0.3">
      <c r="A163" s="13">
        <v>43892.75</v>
      </c>
      <c r="B163" s="12" t="s">
        <v>22</v>
      </c>
      <c r="C163" s="82">
        <v>20</v>
      </c>
      <c r="D163" s="12" t="s">
        <v>55</v>
      </c>
      <c r="E163" s="82">
        <v>3921531192</v>
      </c>
      <c r="F163" s="82">
        <v>9110616306</v>
      </c>
      <c r="G163" s="82">
        <v>0</v>
      </c>
      <c r="H163" s="82">
        <v>0</v>
      </c>
      <c r="I163" s="82">
        <v>0</v>
      </c>
      <c r="J163" s="82">
        <v>0</v>
      </c>
      <c r="K163" s="82">
        <v>0</v>
      </c>
      <c r="L163" s="82">
        <v>0</v>
      </c>
      <c r="M163" s="82">
        <v>0</v>
      </c>
      <c r="N163" s="82">
        <v>0</v>
      </c>
      <c r="O163" s="82">
        <v>0</v>
      </c>
      <c r="P163" s="82">
        <v>0</v>
      </c>
      <c r="Q163" s="82">
        <v>29</v>
      </c>
      <c r="R163" s="12" t="s">
        <v>25</v>
      </c>
      <c r="S163" s="12" t="s">
        <v>25</v>
      </c>
      <c r="T163" s="12" t="s">
        <v>25</v>
      </c>
    </row>
    <row r="164" spans="1:20" x14ac:dyDescent="0.3">
      <c r="A164" s="13">
        <v>43892.75</v>
      </c>
      <c r="B164" s="12" t="s">
        <v>22</v>
      </c>
      <c r="C164" s="82">
        <v>19</v>
      </c>
      <c r="D164" s="12" t="s">
        <v>56</v>
      </c>
      <c r="E164" s="82">
        <v>3811569725</v>
      </c>
      <c r="F164" s="82">
        <v>133623567</v>
      </c>
      <c r="G164" s="82">
        <v>2</v>
      </c>
      <c r="H164" s="82">
        <v>0</v>
      </c>
      <c r="I164" s="82">
        <v>2</v>
      </c>
      <c r="J164" s="82">
        <v>3</v>
      </c>
      <c r="K164" s="82">
        <v>5</v>
      </c>
      <c r="L164" s="82">
        <v>-2</v>
      </c>
      <c r="M164" s="82">
        <v>-2</v>
      </c>
      <c r="N164" s="82">
        <v>2</v>
      </c>
      <c r="O164" s="82">
        <v>0</v>
      </c>
      <c r="P164" s="82">
        <v>7</v>
      </c>
      <c r="Q164" s="82">
        <v>307</v>
      </c>
      <c r="R164" s="12" t="s">
        <v>25</v>
      </c>
      <c r="S164" s="12" t="s">
        <v>25</v>
      </c>
      <c r="T164" s="12" t="s">
        <v>25</v>
      </c>
    </row>
    <row r="165" spans="1:20" x14ac:dyDescent="0.3">
      <c r="A165" s="13">
        <v>43892.75</v>
      </c>
      <c r="B165" s="12" t="s">
        <v>22</v>
      </c>
      <c r="C165" s="82">
        <v>9</v>
      </c>
      <c r="D165" s="12" t="s">
        <v>57</v>
      </c>
      <c r="E165" s="82">
        <v>4376923077</v>
      </c>
      <c r="F165" s="82">
        <v>1125588885</v>
      </c>
      <c r="G165" s="82">
        <v>7</v>
      </c>
      <c r="H165" s="82">
        <v>0</v>
      </c>
      <c r="I165" s="82">
        <v>7</v>
      </c>
      <c r="J165" s="82">
        <v>5</v>
      </c>
      <c r="K165" s="82">
        <v>12</v>
      </c>
      <c r="L165" s="82">
        <v>0</v>
      </c>
      <c r="M165" s="82">
        <v>0</v>
      </c>
      <c r="N165" s="82">
        <v>1</v>
      </c>
      <c r="O165" s="82">
        <v>0</v>
      </c>
      <c r="P165" s="82">
        <v>13</v>
      </c>
      <c r="Q165" s="82">
        <v>613</v>
      </c>
      <c r="R165" s="12" t="s">
        <v>25</v>
      </c>
      <c r="S165" s="12" t="s">
        <v>25</v>
      </c>
      <c r="T165" s="12" t="s">
        <v>25</v>
      </c>
    </row>
    <row r="166" spans="1:20" x14ac:dyDescent="0.3">
      <c r="A166" s="13">
        <v>43892.75</v>
      </c>
      <c r="B166" s="12" t="s">
        <v>22</v>
      </c>
      <c r="C166" s="82">
        <v>4</v>
      </c>
      <c r="D166" s="12" t="s">
        <v>58</v>
      </c>
      <c r="E166" s="82">
        <v>4606893511</v>
      </c>
      <c r="F166" s="82">
        <v>1112123097</v>
      </c>
      <c r="G166" s="82">
        <v>0</v>
      </c>
      <c r="H166" s="82">
        <v>0</v>
      </c>
      <c r="I166" s="82">
        <v>0</v>
      </c>
      <c r="J166" s="82">
        <v>0</v>
      </c>
      <c r="K166" s="82">
        <v>0</v>
      </c>
      <c r="L166" s="82">
        <v>0</v>
      </c>
      <c r="M166" s="82">
        <v>0</v>
      </c>
      <c r="N166" s="82">
        <v>0</v>
      </c>
      <c r="O166" s="82">
        <v>0</v>
      </c>
      <c r="P166" s="82">
        <v>0</v>
      </c>
      <c r="Q166" s="82">
        <v>122</v>
      </c>
      <c r="R166" s="12" t="s">
        <v>25</v>
      </c>
      <c r="S166" s="12" t="s">
        <v>25</v>
      </c>
      <c r="T166" s="12" t="s">
        <v>25</v>
      </c>
    </row>
    <row r="167" spans="1:20" x14ac:dyDescent="0.3">
      <c r="A167" s="13">
        <v>43892.75</v>
      </c>
      <c r="B167" s="12" t="s">
        <v>22</v>
      </c>
      <c r="C167" s="82">
        <v>10</v>
      </c>
      <c r="D167" s="12" t="s">
        <v>59</v>
      </c>
      <c r="E167" s="82">
        <v>4310675841</v>
      </c>
      <c r="F167" s="82">
        <v>1238824698</v>
      </c>
      <c r="G167" s="82">
        <v>0</v>
      </c>
      <c r="H167" s="82">
        <v>0</v>
      </c>
      <c r="I167" s="82">
        <v>0</v>
      </c>
      <c r="J167" s="82">
        <v>2</v>
      </c>
      <c r="K167" s="82">
        <v>2</v>
      </c>
      <c r="L167" s="82">
        <v>0</v>
      </c>
      <c r="M167" s="82">
        <v>0</v>
      </c>
      <c r="N167" s="82">
        <v>0</v>
      </c>
      <c r="O167" s="82">
        <v>0</v>
      </c>
      <c r="P167" s="82">
        <v>2</v>
      </c>
      <c r="Q167" s="82">
        <v>35</v>
      </c>
      <c r="R167" s="12" t="s">
        <v>25</v>
      </c>
      <c r="S167" s="12" t="s">
        <v>25</v>
      </c>
      <c r="T167" s="12" t="s">
        <v>25</v>
      </c>
    </row>
    <row r="168" spans="1:20" x14ac:dyDescent="0.3">
      <c r="A168" s="13">
        <v>43892.75</v>
      </c>
      <c r="B168" s="12" t="s">
        <v>22</v>
      </c>
      <c r="C168" s="82">
        <v>2</v>
      </c>
      <c r="D168" s="12" t="s">
        <v>60</v>
      </c>
      <c r="E168" s="82">
        <v>4573750286</v>
      </c>
      <c r="F168" s="82">
        <v>7320149366</v>
      </c>
      <c r="G168" s="82">
        <v>0</v>
      </c>
      <c r="H168" s="82">
        <v>0</v>
      </c>
      <c r="I168" s="82">
        <v>0</v>
      </c>
      <c r="J168" s="82">
        <v>0</v>
      </c>
      <c r="K168" s="82">
        <v>0</v>
      </c>
      <c r="L168" s="82">
        <v>0</v>
      </c>
      <c r="M168" s="82">
        <v>0</v>
      </c>
      <c r="N168" s="82">
        <v>0</v>
      </c>
      <c r="O168" s="82">
        <v>0</v>
      </c>
      <c r="P168" s="82">
        <v>0</v>
      </c>
      <c r="Q168" s="82">
        <v>11</v>
      </c>
      <c r="R168" s="12" t="s">
        <v>25</v>
      </c>
      <c r="S168" s="12" t="s">
        <v>25</v>
      </c>
      <c r="T168" s="12" t="s">
        <v>25</v>
      </c>
    </row>
    <row r="169" spans="1:20" x14ac:dyDescent="0.3">
      <c r="A169" s="13">
        <v>43892.75</v>
      </c>
      <c r="B169" s="12" t="s">
        <v>22</v>
      </c>
      <c r="C169" s="82">
        <v>5</v>
      </c>
      <c r="D169" s="12" t="s">
        <v>61</v>
      </c>
      <c r="E169" s="82">
        <v>4543490485</v>
      </c>
      <c r="F169" s="82">
        <v>1233845213</v>
      </c>
      <c r="G169" s="82">
        <v>53</v>
      </c>
      <c r="H169" s="82">
        <v>14</v>
      </c>
      <c r="I169" s="82">
        <v>67</v>
      </c>
      <c r="J169" s="82">
        <v>204</v>
      </c>
      <c r="K169" s="82">
        <v>271</v>
      </c>
      <c r="L169" s="82">
        <v>10</v>
      </c>
      <c r="M169" s="82">
        <v>10</v>
      </c>
      <c r="N169" s="82">
        <v>0</v>
      </c>
      <c r="O169" s="82">
        <v>2</v>
      </c>
      <c r="P169" s="82">
        <v>273</v>
      </c>
      <c r="Q169" s="82">
        <v>9782</v>
      </c>
      <c r="R169" s="12" t="s">
        <v>25</v>
      </c>
      <c r="S169" s="12" t="s">
        <v>25</v>
      </c>
      <c r="T169" s="12" t="s">
        <v>25</v>
      </c>
    </row>
    <row r="170" spans="1:20" x14ac:dyDescent="0.3">
      <c r="A170" s="13">
        <v>43893.75</v>
      </c>
      <c r="B170" s="12" t="s">
        <v>22</v>
      </c>
      <c r="C170" s="82">
        <v>13</v>
      </c>
      <c r="D170" s="12" t="s">
        <v>42</v>
      </c>
      <c r="E170" s="82">
        <v>4235122196</v>
      </c>
      <c r="F170" s="82">
        <v>1339843823</v>
      </c>
      <c r="G170" s="82">
        <v>5</v>
      </c>
      <c r="H170" s="82">
        <v>0</v>
      </c>
      <c r="I170" s="82">
        <v>5</v>
      </c>
      <c r="J170" s="82">
        <v>1</v>
      </c>
      <c r="K170" s="82">
        <v>6</v>
      </c>
      <c r="L170" s="82">
        <v>1</v>
      </c>
      <c r="M170" s="82">
        <v>1</v>
      </c>
      <c r="N170" s="82">
        <v>0</v>
      </c>
      <c r="O170" s="82">
        <v>0</v>
      </c>
      <c r="P170" s="82">
        <v>6</v>
      </c>
      <c r="Q170" s="82">
        <v>52</v>
      </c>
      <c r="R170" s="12" t="s">
        <v>25</v>
      </c>
      <c r="S170" s="12" t="s">
        <v>25</v>
      </c>
      <c r="T170" s="12" t="s">
        <v>25</v>
      </c>
    </row>
    <row r="171" spans="1:20" x14ac:dyDescent="0.3">
      <c r="A171" s="13">
        <v>43893.75</v>
      </c>
      <c r="B171" s="12" t="s">
        <v>22</v>
      </c>
      <c r="C171" s="82">
        <v>17</v>
      </c>
      <c r="D171" s="12" t="s">
        <v>43</v>
      </c>
      <c r="E171" s="82">
        <v>4063947052</v>
      </c>
      <c r="F171" s="82">
        <v>1580514834</v>
      </c>
      <c r="G171" s="82">
        <v>0</v>
      </c>
      <c r="H171" s="82">
        <v>0</v>
      </c>
      <c r="I171" s="82">
        <v>0</v>
      </c>
      <c r="J171" s="82">
        <v>1</v>
      </c>
      <c r="K171" s="82">
        <v>1</v>
      </c>
      <c r="L171" s="82">
        <v>1</v>
      </c>
      <c r="M171" s="82">
        <v>1</v>
      </c>
      <c r="N171" s="82">
        <v>0</v>
      </c>
      <c r="O171" s="82">
        <v>0</v>
      </c>
      <c r="P171" s="82">
        <v>1</v>
      </c>
      <c r="Q171" s="82">
        <v>42</v>
      </c>
      <c r="R171" s="12" t="s">
        <v>25</v>
      </c>
      <c r="S171" s="12" t="s">
        <v>25</v>
      </c>
      <c r="T171" s="12" t="s">
        <v>25</v>
      </c>
    </row>
    <row r="172" spans="1:20" x14ac:dyDescent="0.3">
      <c r="A172" s="13">
        <v>43893.75</v>
      </c>
      <c r="B172" s="12" t="s">
        <v>22</v>
      </c>
      <c r="C172" s="82">
        <v>4</v>
      </c>
      <c r="D172" s="12" t="s">
        <v>44</v>
      </c>
      <c r="E172" s="82">
        <v>4649933453</v>
      </c>
      <c r="F172" s="82">
        <v>1135662422</v>
      </c>
      <c r="G172" s="82">
        <v>1</v>
      </c>
      <c r="H172" s="82">
        <v>0</v>
      </c>
      <c r="I172" s="82">
        <v>1</v>
      </c>
      <c r="J172" s="82">
        <v>0</v>
      </c>
      <c r="K172" s="82">
        <v>1</v>
      </c>
      <c r="L172" s="82">
        <v>0</v>
      </c>
      <c r="M172" s="82">
        <v>0</v>
      </c>
      <c r="N172" s="82">
        <v>0</v>
      </c>
      <c r="O172" s="82">
        <v>0</v>
      </c>
      <c r="P172" s="82">
        <v>1</v>
      </c>
      <c r="Q172" s="82">
        <v>20</v>
      </c>
      <c r="R172" s="12" t="s">
        <v>25</v>
      </c>
      <c r="S172" s="12" t="s">
        <v>25</v>
      </c>
      <c r="T172" s="12" t="s">
        <v>25</v>
      </c>
    </row>
    <row r="173" spans="1:20" x14ac:dyDescent="0.3">
      <c r="A173" s="13">
        <v>43893.75</v>
      </c>
      <c r="B173" s="12" t="s">
        <v>22</v>
      </c>
      <c r="C173" s="82">
        <v>18</v>
      </c>
      <c r="D173" s="12" t="s">
        <v>45</v>
      </c>
      <c r="E173" s="82">
        <v>3890597598</v>
      </c>
      <c r="F173" s="82">
        <v>1659440194</v>
      </c>
      <c r="G173" s="82">
        <v>0</v>
      </c>
      <c r="H173" s="82">
        <v>0</v>
      </c>
      <c r="I173" s="82">
        <v>0</v>
      </c>
      <c r="J173" s="82">
        <v>1</v>
      </c>
      <c r="K173" s="82">
        <v>1</v>
      </c>
      <c r="L173" s="82">
        <v>0</v>
      </c>
      <c r="M173" s="82">
        <v>0</v>
      </c>
      <c r="N173" s="82">
        <v>0</v>
      </c>
      <c r="O173" s="82">
        <v>0</v>
      </c>
      <c r="P173" s="82">
        <v>1</v>
      </c>
      <c r="Q173" s="82">
        <v>39</v>
      </c>
      <c r="R173" s="12" t="s">
        <v>25</v>
      </c>
      <c r="S173" s="12" t="s">
        <v>25</v>
      </c>
      <c r="T173" s="12" t="s">
        <v>25</v>
      </c>
    </row>
    <row r="174" spans="1:20" x14ac:dyDescent="0.3">
      <c r="A174" s="13">
        <v>43893.75</v>
      </c>
      <c r="B174" s="12" t="s">
        <v>22</v>
      </c>
      <c r="C174" s="82">
        <v>15</v>
      </c>
      <c r="D174" s="12" t="s">
        <v>46</v>
      </c>
      <c r="E174" s="82">
        <v>4083956555</v>
      </c>
      <c r="F174" s="82">
        <v>1425084984</v>
      </c>
      <c r="G174" s="82">
        <v>11</v>
      </c>
      <c r="H174" s="82">
        <v>0</v>
      </c>
      <c r="I174" s="82">
        <v>11</v>
      </c>
      <c r="J174" s="82">
        <v>19</v>
      </c>
      <c r="K174" s="82">
        <v>30</v>
      </c>
      <c r="L174" s="82">
        <v>13</v>
      </c>
      <c r="M174" s="82">
        <v>13</v>
      </c>
      <c r="N174" s="82">
        <v>0</v>
      </c>
      <c r="O174" s="82">
        <v>0</v>
      </c>
      <c r="P174" s="82">
        <v>30</v>
      </c>
      <c r="Q174" s="82">
        <v>405</v>
      </c>
      <c r="R174" s="12" t="s">
        <v>25</v>
      </c>
      <c r="S174" s="12" t="s">
        <v>25</v>
      </c>
      <c r="T174" s="12" t="s">
        <v>25</v>
      </c>
    </row>
    <row r="175" spans="1:20" x14ac:dyDescent="0.3">
      <c r="A175" s="13">
        <v>43893.75</v>
      </c>
      <c r="B175" s="12" t="s">
        <v>22</v>
      </c>
      <c r="C175" s="82">
        <v>8</v>
      </c>
      <c r="D175" s="12" t="s">
        <v>95</v>
      </c>
      <c r="E175" s="82">
        <v>4449436681</v>
      </c>
      <c r="F175" s="82">
        <v>113417208</v>
      </c>
      <c r="G175" s="82">
        <v>187</v>
      </c>
      <c r="H175" s="82">
        <v>24</v>
      </c>
      <c r="I175" s="82">
        <v>211</v>
      </c>
      <c r="J175" s="82">
        <v>187</v>
      </c>
      <c r="K175" s="82">
        <v>398</v>
      </c>
      <c r="L175" s="82">
        <v>74</v>
      </c>
      <c r="M175" s="82">
        <v>85</v>
      </c>
      <c r="N175" s="82">
        <v>4</v>
      </c>
      <c r="O175" s="82">
        <v>18</v>
      </c>
      <c r="P175" s="82">
        <v>420</v>
      </c>
      <c r="Q175" s="82">
        <v>2012</v>
      </c>
      <c r="R175" s="12" t="s">
        <v>25</v>
      </c>
      <c r="S175" s="12" t="s">
        <v>25</v>
      </c>
      <c r="T175" s="12" t="s">
        <v>25</v>
      </c>
    </row>
    <row r="176" spans="1:20" x14ac:dyDescent="0.3">
      <c r="A176" s="13">
        <v>43893.75</v>
      </c>
      <c r="B176" s="12" t="s">
        <v>22</v>
      </c>
      <c r="C176" s="82">
        <v>6</v>
      </c>
      <c r="D176" s="12" t="s">
        <v>47</v>
      </c>
      <c r="E176" s="82">
        <v>456494354</v>
      </c>
      <c r="F176" s="82">
        <v>1376813649</v>
      </c>
      <c r="G176" s="82">
        <v>1</v>
      </c>
      <c r="H176" s="82">
        <v>0</v>
      </c>
      <c r="I176" s="82">
        <v>1</v>
      </c>
      <c r="J176" s="82">
        <v>12</v>
      </c>
      <c r="K176" s="82">
        <v>13</v>
      </c>
      <c r="L176" s="82">
        <v>4</v>
      </c>
      <c r="M176" s="82">
        <v>4</v>
      </c>
      <c r="N176" s="82">
        <v>0</v>
      </c>
      <c r="O176" s="82">
        <v>0</v>
      </c>
      <c r="P176" s="82">
        <v>13</v>
      </c>
      <c r="Q176" s="82">
        <v>354</v>
      </c>
      <c r="R176" s="12" t="s">
        <v>25</v>
      </c>
      <c r="S176" s="12" t="s">
        <v>25</v>
      </c>
      <c r="T176" s="12" t="s">
        <v>25</v>
      </c>
    </row>
    <row r="177" spans="1:20" x14ac:dyDescent="0.3">
      <c r="A177" s="13">
        <v>43893.75</v>
      </c>
      <c r="B177" s="12" t="s">
        <v>22</v>
      </c>
      <c r="C177" s="82">
        <v>12</v>
      </c>
      <c r="D177" s="12" t="s">
        <v>48</v>
      </c>
      <c r="E177" s="82">
        <v>4189277044</v>
      </c>
      <c r="F177" s="82">
        <v>1248366722</v>
      </c>
      <c r="G177" s="82">
        <v>10</v>
      </c>
      <c r="H177" s="82">
        <v>0</v>
      </c>
      <c r="I177" s="82">
        <v>10</v>
      </c>
      <c r="J177" s="82">
        <v>1</v>
      </c>
      <c r="K177" s="82">
        <v>11</v>
      </c>
      <c r="L177" s="82">
        <v>7</v>
      </c>
      <c r="M177" s="82">
        <v>7</v>
      </c>
      <c r="N177" s="82">
        <v>3</v>
      </c>
      <c r="O177" s="82">
        <v>0</v>
      </c>
      <c r="P177" s="82">
        <v>14</v>
      </c>
      <c r="Q177" s="82">
        <v>877</v>
      </c>
      <c r="R177" s="12" t="s">
        <v>25</v>
      </c>
      <c r="S177" s="12" t="s">
        <v>25</v>
      </c>
      <c r="T177" s="12" t="s">
        <v>25</v>
      </c>
    </row>
    <row r="178" spans="1:20" x14ac:dyDescent="0.3">
      <c r="A178" s="13">
        <v>43893.75</v>
      </c>
      <c r="B178" s="12" t="s">
        <v>22</v>
      </c>
      <c r="C178" s="82">
        <v>7</v>
      </c>
      <c r="D178" s="12" t="s">
        <v>49</v>
      </c>
      <c r="E178" s="82">
        <v>4441149315</v>
      </c>
      <c r="F178" s="82">
        <v>89326992</v>
      </c>
      <c r="G178" s="82">
        <v>12</v>
      </c>
      <c r="H178" s="82">
        <v>2</v>
      </c>
      <c r="I178" s="82">
        <v>14</v>
      </c>
      <c r="J178" s="82">
        <v>5</v>
      </c>
      <c r="K178" s="82">
        <v>19</v>
      </c>
      <c r="L178" s="82">
        <v>1</v>
      </c>
      <c r="M178" s="82">
        <v>2</v>
      </c>
      <c r="N178" s="82">
        <v>4</v>
      </c>
      <c r="O178" s="82">
        <v>1</v>
      </c>
      <c r="P178" s="82">
        <v>24</v>
      </c>
      <c r="Q178" s="82">
        <v>121</v>
      </c>
      <c r="R178" s="12" t="s">
        <v>25</v>
      </c>
      <c r="S178" s="12" t="s">
        <v>25</v>
      </c>
      <c r="T178" s="12" t="s">
        <v>25</v>
      </c>
    </row>
    <row r="179" spans="1:20" x14ac:dyDescent="0.3">
      <c r="A179" s="13">
        <v>43893.75</v>
      </c>
      <c r="B179" s="12" t="s">
        <v>22</v>
      </c>
      <c r="C179" s="82">
        <v>3</v>
      </c>
      <c r="D179" s="12" t="s">
        <v>50</v>
      </c>
      <c r="E179" s="82">
        <v>4546679409</v>
      </c>
      <c r="F179" s="82">
        <v>9190347404</v>
      </c>
      <c r="G179" s="82">
        <v>698</v>
      </c>
      <c r="H179" s="82">
        <v>167</v>
      </c>
      <c r="I179" s="82">
        <v>865</v>
      </c>
      <c r="J179" s="82">
        <v>461</v>
      </c>
      <c r="K179" s="82">
        <v>1326</v>
      </c>
      <c r="L179" s="82">
        <v>249</v>
      </c>
      <c r="M179" s="82">
        <v>266</v>
      </c>
      <c r="N179" s="82">
        <v>139</v>
      </c>
      <c r="O179" s="82">
        <v>55</v>
      </c>
      <c r="P179" s="82">
        <v>1520</v>
      </c>
      <c r="Q179" s="82">
        <v>9577</v>
      </c>
      <c r="R179" s="12" t="s">
        <v>25</v>
      </c>
      <c r="S179" s="12" t="s">
        <v>25</v>
      </c>
      <c r="T179" s="12" t="s">
        <v>25</v>
      </c>
    </row>
    <row r="180" spans="1:20" x14ac:dyDescent="0.3">
      <c r="A180" s="13">
        <v>43893.75</v>
      </c>
      <c r="B180" s="12" t="s">
        <v>22</v>
      </c>
      <c r="C180" s="82">
        <v>11</v>
      </c>
      <c r="D180" s="12" t="s">
        <v>51</v>
      </c>
      <c r="E180" s="82">
        <v>4361675973</v>
      </c>
      <c r="F180" s="82">
        <v>135188753</v>
      </c>
      <c r="G180" s="82">
        <v>27</v>
      </c>
      <c r="H180" s="82">
        <v>13</v>
      </c>
      <c r="I180" s="82">
        <v>40</v>
      </c>
      <c r="J180" s="82">
        <v>19</v>
      </c>
      <c r="K180" s="82">
        <v>59</v>
      </c>
      <c r="L180" s="82">
        <v>25</v>
      </c>
      <c r="M180" s="82">
        <v>26</v>
      </c>
      <c r="N180" s="82">
        <v>0</v>
      </c>
      <c r="O180" s="82">
        <v>2</v>
      </c>
      <c r="P180" s="82">
        <v>61</v>
      </c>
      <c r="Q180" s="82">
        <v>200</v>
      </c>
      <c r="R180" s="12" t="s">
        <v>25</v>
      </c>
      <c r="S180" s="12" t="s">
        <v>25</v>
      </c>
      <c r="T180" s="12" t="s">
        <v>25</v>
      </c>
    </row>
    <row r="181" spans="1:20" x14ac:dyDescent="0.3">
      <c r="A181" s="13">
        <v>43893.75</v>
      </c>
      <c r="B181" s="12" t="s">
        <v>22</v>
      </c>
      <c r="C181" s="82">
        <v>14</v>
      </c>
      <c r="D181" s="12" t="s">
        <v>52</v>
      </c>
      <c r="E181" s="82">
        <v>4155774754</v>
      </c>
      <c r="F181" s="82">
        <v>1465916051</v>
      </c>
      <c r="G181" s="82">
        <v>3</v>
      </c>
      <c r="H181" s="82">
        <v>0</v>
      </c>
      <c r="I181" s="82">
        <v>3</v>
      </c>
      <c r="J181" s="82">
        <v>0</v>
      </c>
      <c r="K181" s="82">
        <v>3</v>
      </c>
      <c r="L181" s="82">
        <v>3</v>
      </c>
      <c r="M181" s="82">
        <v>3</v>
      </c>
      <c r="N181" s="82">
        <v>0</v>
      </c>
      <c r="O181" s="82">
        <v>0</v>
      </c>
      <c r="P181" s="82">
        <v>3</v>
      </c>
      <c r="Q181" s="82">
        <v>13</v>
      </c>
      <c r="R181" s="12" t="s">
        <v>25</v>
      </c>
      <c r="S181" s="12" t="s">
        <v>25</v>
      </c>
      <c r="T181" s="12" t="s">
        <v>25</v>
      </c>
    </row>
    <row r="182" spans="1:20" x14ac:dyDescent="0.3">
      <c r="A182" s="13">
        <v>43893.75</v>
      </c>
      <c r="B182" s="12" t="s">
        <v>22</v>
      </c>
      <c r="C182" s="82">
        <v>1</v>
      </c>
      <c r="D182" s="12" t="s">
        <v>53</v>
      </c>
      <c r="E182" s="82">
        <v>450732745</v>
      </c>
      <c r="F182" s="82">
        <v>7680687483</v>
      </c>
      <c r="G182" s="82">
        <v>13</v>
      </c>
      <c r="H182" s="82">
        <v>3</v>
      </c>
      <c r="I182" s="82">
        <v>16</v>
      </c>
      <c r="J182" s="82">
        <v>40</v>
      </c>
      <c r="K182" s="82">
        <v>56</v>
      </c>
      <c r="L182" s="82">
        <v>5</v>
      </c>
      <c r="M182" s="82">
        <v>5</v>
      </c>
      <c r="N182" s="82">
        <v>0</v>
      </c>
      <c r="O182" s="82">
        <v>0</v>
      </c>
      <c r="P182" s="82">
        <v>56</v>
      </c>
      <c r="Q182" s="82">
        <v>458</v>
      </c>
      <c r="R182" s="12" t="s">
        <v>25</v>
      </c>
      <c r="S182" s="12" t="s">
        <v>25</v>
      </c>
      <c r="T182" s="12" t="s">
        <v>25</v>
      </c>
    </row>
    <row r="183" spans="1:20" x14ac:dyDescent="0.3">
      <c r="A183" s="13">
        <v>43893.75</v>
      </c>
      <c r="B183" s="12" t="s">
        <v>22</v>
      </c>
      <c r="C183" s="82">
        <v>16</v>
      </c>
      <c r="D183" s="12" t="s">
        <v>54</v>
      </c>
      <c r="E183" s="82">
        <v>4112559576</v>
      </c>
      <c r="F183" s="82">
        <v>1686736689</v>
      </c>
      <c r="G183" s="82">
        <v>2</v>
      </c>
      <c r="H183" s="82">
        <v>0</v>
      </c>
      <c r="I183" s="82">
        <v>2</v>
      </c>
      <c r="J183" s="82">
        <v>4</v>
      </c>
      <c r="K183" s="82">
        <v>6</v>
      </c>
      <c r="L183" s="82">
        <v>2</v>
      </c>
      <c r="M183" s="82">
        <v>2</v>
      </c>
      <c r="N183" s="82">
        <v>0</v>
      </c>
      <c r="O183" s="82">
        <v>0</v>
      </c>
      <c r="P183" s="82">
        <v>6</v>
      </c>
      <c r="Q183" s="82">
        <v>298</v>
      </c>
      <c r="R183" s="12" t="s">
        <v>25</v>
      </c>
      <c r="S183" s="12" t="s">
        <v>25</v>
      </c>
      <c r="T183" s="12" t="s">
        <v>25</v>
      </c>
    </row>
    <row r="184" spans="1:20" x14ac:dyDescent="0.3">
      <c r="A184" s="13">
        <v>43893.75</v>
      </c>
      <c r="B184" s="12" t="s">
        <v>22</v>
      </c>
      <c r="C184" s="82">
        <v>20</v>
      </c>
      <c r="D184" s="12" t="s">
        <v>55</v>
      </c>
      <c r="E184" s="82">
        <v>3921531192</v>
      </c>
      <c r="F184" s="82">
        <v>9110616306</v>
      </c>
      <c r="G184" s="82">
        <v>1</v>
      </c>
      <c r="H184" s="82">
        <v>0</v>
      </c>
      <c r="I184" s="82">
        <v>1</v>
      </c>
      <c r="J184" s="82">
        <v>0</v>
      </c>
      <c r="K184" s="82">
        <v>1</v>
      </c>
      <c r="L184" s="82">
        <v>1</v>
      </c>
      <c r="M184" s="82">
        <v>1</v>
      </c>
      <c r="N184" s="82">
        <v>0</v>
      </c>
      <c r="O184" s="82">
        <v>0</v>
      </c>
      <c r="P184" s="82">
        <v>1</v>
      </c>
      <c r="Q184" s="82">
        <v>29</v>
      </c>
      <c r="R184" s="12" t="s">
        <v>25</v>
      </c>
      <c r="S184" s="12" t="s">
        <v>25</v>
      </c>
      <c r="T184" s="12" t="s">
        <v>25</v>
      </c>
    </row>
    <row r="185" spans="1:20" x14ac:dyDescent="0.3">
      <c r="A185" s="13">
        <v>43893.75</v>
      </c>
      <c r="B185" s="12" t="s">
        <v>22</v>
      </c>
      <c r="C185" s="82">
        <v>19</v>
      </c>
      <c r="D185" s="12" t="s">
        <v>56</v>
      </c>
      <c r="E185" s="82">
        <v>3811569725</v>
      </c>
      <c r="F185" s="82">
        <v>133623567</v>
      </c>
      <c r="G185" s="82">
        <v>2</v>
      </c>
      <c r="H185" s="82">
        <v>0</v>
      </c>
      <c r="I185" s="82">
        <v>2</v>
      </c>
      <c r="J185" s="82">
        <v>3</v>
      </c>
      <c r="K185" s="82">
        <v>5</v>
      </c>
      <c r="L185" s="82">
        <v>0</v>
      </c>
      <c r="M185" s="82">
        <v>0</v>
      </c>
      <c r="N185" s="82">
        <v>2</v>
      </c>
      <c r="O185" s="82">
        <v>0</v>
      </c>
      <c r="P185" s="82">
        <v>7</v>
      </c>
      <c r="Q185" s="82">
        <v>307</v>
      </c>
      <c r="R185" s="12" t="s">
        <v>25</v>
      </c>
      <c r="S185" s="12" t="s">
        <v>25</v>
      </c>
      <c r="T185" s="12" t="s">
        <v>25</v>
      </c>
    </row>
    <row r="186" spans="1:20" x14ac:dyDescent="0.3">
      <c r="A186" s="13">
        <v>43893.75</v>
      </c>
      <c r="B186" s="12" t="s">
        <v>22</v>
      </c>
      <c r="C186" s="82">
        <v>9</v>
      </c>
      <c r="D186" s="12" t="s">
        <v>57</v>
      </c>
      <c r="E186" s="82">
        <v>4376923077</v>
      </c>
      <c r="F186" s="82">
        <v>1125588885</v>
      </c>
      <c r="G186" s="82">
        <v>10</v>
      </c>
      <c r="H186" s="82">
        <v>0</v>
      </c>
      <c r="I186" s="82">
        <v>10</v>
      </c>
      <c r="J186" s="82">
        <v>8</v>
      </c>
      <c r="K186" s="82">
        <v>18</v>
      </c>
      <c r="L186" s="82">
        <v>6</v>
      </c>
      <c r="M186" s="82">
        <v>6</v>
      </c>
      <c r="N186" s="82">
        <v>1</v>
      </c>
      <c r="O186" s="82">
        <v>0</v>
      </c>
      <c r="P186" s="82">
        <v>19</v>
      </c>
      <c r="Q186" s="82">
        <v>697</v>
      </c>
      <c r="R186" s="12" t="s">
        <v>25</v>
      </c>
      <c r="S186" s="12" t="s">
        <v>25</v>
      </c>
      <c r="T186" s="12" t="s">
        <v>25</v>
      </c>
    </row>
    <row r="187" spans="1:20" x14ac:dyDescent="0.3">
      <c r="A187" s="13">
        <v>43893.75</v>
      </c>
      <c r="B187" s="12" t="s">
        <v>22</v>
      </c>
      <c r="C187" s="82">
        <v>4</v>
      </c>
      <c r="D187" s="12" t="s">
        <v>58</v>
      </c>
      <c r="E187" s="82">
        <v>4606893511</v>
      </c>
      <c r="F187" s="82">
        <v>1112123097</v>
      </c>
      <c r="G187" s="82">
        <v>1</v>
      </c>
      <c r="H187" s="82">
        <v>0</v>
      </c>
      <c r="I187" s="82">
        <v>1</v>
      </c>
      <c r="J187" s="82">
        <v>3</v>
      </c>
      <c r="K187" s="82">
        <v>4</v>
      </c>
      <c r="L187" s="82">
        <v>4</v>
      </c>
      <c r="M187" s="82">
        <v>4</v>
      </c>
      <c r="N187" s="82">
        <v>0</v>
      </c>
      <c r="O187" s="82">
        <v>0</v>
      </c>
      <c r="P187" s="82">
        <v>4</v>
      </c>
      <c r="Q187" s="82">
        <v>122</v>
      </c>
      <c r="R187" s="12" t="s">
        <v>25</v>
      </c>
      <c r="S187" s="12" t="s">
        <v>25</v>
      </c>
      <c r="T187" s="12" t="s">
        <v>25</v>
      </c>
    </row>
    <row r="188" spans="1:20" x14ac:dyDescent="0.3">
      <c r="A188" s="13">
        <v>43893.75</v>
      </c>
      <c r="B188" s="12" t="s">
        <v>22</v>
      </c>
      <c r="C188" s="82">
        <v>10</v>
      </c>
      <c r="D188" s="12" t="s">
        <v>59</v>
      </c>
      <c r="E188" s="82">
        <v>4310675841</v>
      </c>
      <c r="F188" s="82">
        <v>1238824698</v>
      </c>
      <c r="G188" s="82">
        <v>1</v>
      </c>
      <c r="H188" s="82">
        <v>1</v>
      </c>
      <c r="I188" s="82">
        <v>2</v>
      </c>
      <c r="J188" s="82">
        <v>6</v>
      </c>
      <c r="K188" s="82">
        <v>8</v>
      </c>
      <c r="L188" s="82">
        <v>6</v>
      </c>
      <c r="M188" s="82">
        <v>6</v>
      </c>
      <c r="N188" s="82">
        <v>0</v>
      </c>
      <c r="O188" s="82">
        <v>0</v>
      </c>
      <c r="P188" s="82">
        <v>8</v>
      </c>
      <c r="Q188" s="82">
        <v>45</v>
      </c>
      <c r="R188" s="12" t="s">
        <v>25</v>
      </c>
      <c r="S188" s="12" t="s">
        <v>25</v>
      </c>
      <c r="T188" s="12" t="s">
        <v>25</v>
      </c>
    </row>
    <row r="189" spans="1:20" x14ac:dyDescent="0.3">
      <c r="A189" s="13">
        <v>43893.75</v>
      </c>
      <c r="B189" s="12" t="s">
        <v>22</v>
      </c>
      <c r="C189" s="82">
        <v>2</v>
      </c>
      <c r="D189" s="12" t="s">
        <v>60</v>
      </c>
      <c r="E189" s="82">
        <v>4573750286</v>
      </c>
      <c r="F189" s="82">
        <v>7320149366</v>
      </c>
      <c r="G189" s="82">
        <v>0</v>
      </c>
      <c r="H189" s="82">
        <v>0</v>
      </c>
      <c r="I189" s="82">
        <v>0</v>
      </c>
      <c r="J189" s="82">
        <v>0</v>
      </c>
      <c r="K189" s="82">
        <v>0</v>
      </c>
      <c r="L189" s="82">
        <v>0</v>
      </c>
      <c r="M189" s="82">
        <v>0</v>
      </c>
      <c r="N189" s="82">
        <v>0</v>
      </c>
      <c r="O189" s="82">
        <v>0</v>
      </c>
      <c r="P189" s="82">
        <v>0</v>
      </c>
      <c r="Q189" s="82">
        <v>12</v>
      </c>
      <c r="R189" s="12" t="s">
        <v>25</v>
      </c>
      <c r="S189" s="12" t="s">
        <v>25</v>
      </c>
      <c r="T189" s="12" t="s">
        <v>25</v>
      </c>
    </row>
    <row r="190" spans="1:20" x14ac:dyDescent="0.3">
      <c r="A190" s="13">
        <v>43893.75</v>
      </c>
      <c r="B190" s="12" t="s">
        <v>22</v>
      </c>
      <c r="C190" s="82">
        <v>5</v>
      </c>
      <c r="D190" s="12" t="s">
        <v>61</v>
      </c>
      <c r="E190" s="82">
        <v>4543490485</v>
      </c>
      <c r="F190" s="82">
        <v>1233845213</v>
      </c>
      <c r="G190" s="82">
        <v>49</v>
      </c>
      <c r="H190" s="82">
        <v>19</v>
      </c>
      <c r="I190" s="82">
        <v>68</v>
      </c>
      <c r="J190" s="82">
        <v>229</v>
      </c>
      <c r="K190" s="82">
        <v>297</v>
      </c>
      <c r="L190" s="82">
        <v>26</v>
      </c>
      <c r="M190" s="82">
        <v>34</v>
      </c>
      <c r="N190" s="82">
        <v>7</v>
      </c>
      <c r="O190" s="82">
        <v>3</v>
      </c>
      <c r="P190" s="82">
        <v>307</v>
      </c>
      <c r="Q190" s="82">
        <v>10176</v>
      </c>
      <c r="R190" s="12" t="s">
        <v>25</v>
      </c>
      <c r="S190" s="12" t="s">
        <v>25</v>
      </c>
      <c r="T190" s="12" t="s">
        <v>25</v>
      </c>
    </row>
    <row r="191" spans="1:20" x14ac:dyDescent="0.3">
      <c r="A191" s="13">
        <v>43894.708333333336</v>
      </c>
      <c r="B191" s="12" t="s">
        <v>22</v>
      </c>
      <c r="C191" s="82">
        <v>13</v>
      </c>
      <c r="D191" s="12" t="s">
        <v>42</v>
      </c>
      <c r="E191" s="82">
        <v>4235122196</v>
      </c>
      <c r="F191" s="82">
        <v>1339843823</v>
      </c>
      <c r="G191" s="82">
        <v>7</v>
      </c>
      <c r="H191" s="82">
        <v>0</v>
      </c>
      <c r="I191" s="82">
        <v>7</v>
      </c>
      <c r="J191" s="82">
        <v>0</v>
      </c>
      <c r="K191" s="82">
        <v>7</v>
      </c>
      <c r="L191" s="82">
        <v>1</v>
      </c>
      <c r="M191" s="82">
        <v>1</v>
      </c>
      <c r="N191" s="82">
        <v>0</v>
      </c>
      <c r="O191" s="82">
        <v>0</v>
      </c>
      <c r="P191" s="82">
        <v>7</v>
      </c>
      <c r="Q191" s="82">
        <v>85</v>
      </c>
      <c r="R191" s="12" t="s">
        <v>25</v>
      </c>
      <c r="S191" s="12" t="s">
        <v>25</v>
      </c>
      <c r="T191" s="12" t="s">
        <v>25</v>
      </c>
    </row>
    <row r="192" spans="1:20" x14ac:dyDescent="0.3">
      <c r="A192" s="13">
        <v>43894.708333333336</v>
      </c>
      <c r="B192" s="12" t="s">
        <v>22</v>
      </c>
      <c r="C192" s="82">
        <v>17</v>
      </c>
      <c r="D192" s="12" t="s">
        <v>43</v>
      </c>
      <c r="E192" s="82">
        <v>4063947052</v>
      </c>
      <c r="F192" s="82">
        <v>1580514834</v>
      </c>
      <c r="G192" s="82">
        <v>0</v>
      </c>
      <c r="H192" s="82">
        <v>0</v>
      </c>
      <c r="I192" s="82">
        <v>0</v>
      </c>
      <c r="J192" s="82">
        <v>1</v>
      </c>
      <c r="K192" s="82">
        <v>1</v>
      </c>
      <c r="L192" s="82">
        <v>0</v>
      </c>
      <c r="M192" s="82">
        <v>0</v>
      </c>
      <c r="N192" s="82">
        <v>0</v>
      </c>
      <c r="O192" s="82">
        <v>0</v>
      </c>
      <c r="P192" s="82">
        <v>1</v>
      </c>
      <c r="Q192" s="82">
        <v>48</v>
      </c>
      <c r="R192" s="12" t="s">
        <v>25</v>
      </c>
      <c r="S192" s="12" t="s">
        <v>25</v>
      </c>
      <c r="T192" s="12" t="s">
        <v>25</v>
      </c>
    </row>
    <row r="193" spans="1:20" x14ac:dyDescent="0.3">
      <c r="A193" s="13">
        <v>43894.708333333336</v>
      </c>
      <c r="B193" s="12" t="s">
        <v>22</v>
      </c>
      <c r="C193" s="82">
        <v>4</v>
      </c>
      <c r="D193" s="12" t="s">
        <v>44</v>
      </c>
      <c r="E193" s="82">
        <v>4649933453</v>
      </c>
      <c r="F193" s="82">
        <v>1135662422</v>
      </c>
      <c r="G193" s="82">
        <v>1</v>
      </c>
      <c r="H193" s="82">
        <v>0</v>
      </c>
      <c r="I193" s="82">
        <v>1</v>
      </c>
      <c r="J193" s="82">
        <v>0</v>
      </c>
      <c r="K193" s="82">
        <v>1</v>
      </c>
      <c r="L193" s="82">
        <v>0</v>
      </c>
      <c r="M193" s="82">
        <v>0</v>
      </c>
      <c r="N193" s="82">
        <v>0</v>
      </c>
      <c r="O193" s="82">
        <v>0</v>
      </c>
      <c r="P193" s="82">
        <v>1</v>
      </c>
      <c r="Q193" s="82">
        <v>20</v>
      </c>
      <c r="R193" s="12" t="s">
        <v>25</v>
      </c>
      <c r="S193" s="12" t="s">
        <v>25</v>
      </c>
      <c r="T193" s="12" t="s">
        <v>25</v>
      </c>
    </row>
    <row r="194" spans="1:20" x14ac:dyDescent="0.3">
      <c r="A194" s="13">
        <v>43894.708333333336</v>
      </c>
      <c r="B194" s="12" t="s">
        <v>22</v>
      </c>
      <c r="C194" s="82">
        <v>18</v>
      </c>
      <c r="D194" s="12" t="s">
        <v>45</v>
      </c>
      <c r="E194" s="82">
        <v>3890597598</v>
      </c>
      <c r="F194" s="82">
        <v>1659440194</v>
      </c>
      <c r="G194" s="82">
        <v>0</v>
      </c>
      <c r="H194" s="82">
        <v>0</v>
      </c>
      <c r="I194" s="82">
        <v>0</v>
      </c>
      <c r="J194" s="82">
        <v>1</v>
      </c>
      <c r="K194" s="82">
        <v>1</v>
      </c>
      <c r="L194" s="82">
        <v>0</v>
      </c>
      <c r="M194" s="82">
        <v>0</v>
      </c>
      <c r="N194" s="82">
        <v>0</v>
      </c>
      <c r="O194" s="82">
        <v>0</v>
      </c>
      <c r="P194" s="82">
        <v>1</v>
      </c>
      <c r="Q194" s="82">
        <v>46</v>
      </c>
      <c r="R194" s="12" t="s">
        <v>25</v>
      </c>
      <c r="S194" s="12" t="s">
        <v>25</v>
      </c>
      <c r="T194" s="12" t="s">
        <v>25</v>
      </c>
    </row>
    <row r="195" spans="1:20" x14ac:dyDescent="0.3">
      <c r="A195" s="13">
        <v>43894.708333333336</v>
      </c>
      <c r="B195" s="12" t="s">
        <v>22</v>
      </c>
      <c r="C195" s="82">
        <v>15</v>
      </c>
      <c r="D195" s="12" t="s">
        <v>46</v>
      </c>
      <c r="E195" s="82">
        <v>4083956555</v>
      </c>
      <c r="F195" s="82">
        <v>1425084984</v>
      </c>
      <c r="G195" s="82">
        <v>11</v>
      </c>
      <c r="H195" s="82">
        <v>0</v>
      </c>
      <c r="I195" s="82">
        <v>11</v>
      </c>
      <c r="J195" s="82">
        <v>20</v>
      </c>
      <c r="K195" s="82">
        <v>31</v>
      </c>
      <c r="L195" s="82">
        <v>1</v>
      </c>
      <c r="M195" s="82">
        <v>1</v>
      </c>
      <c r="N195" s="82">
        <v>0</v>
      </c>
      <c r="O195" s="82">
        <v>0</v>
      </c>
      <c r="P195" s="82">
        <v>31</v>
      </c>
      <c r="Q195" s="82">
        <v>429</v>
      </c>
      <c r="R195" s="12" t="s">
        <v>25</v>
      </c>
      <c r="S195" s="12" t="s">
        <v>25</v>
      </c>
      <c r="T195" s="12" t="s">
        <v>25</v>
      </c>
    </row>
    <row r="196" spans="1:20" x14ac:dyDescent="0.3">
      <c r="A196" s="13">
        <v>43894.708333333336</v>
      </c>
      <c r="B196" s="12" t="s">
        <v>22</v>
      </c>
      <c r="C196" s="82">
        <v>8</v>
      </c>
      <c r="D196" s="12" t="s">
        <v>95</v>
      </c>
      <c r="E196" s="82">
        <v>4449436681</v>
      </c>
      <c r="F196" s="82">
        <v>113417208</v>
      </c>
      <c r="G196" s="82">
        <v>256</v>
      </c>
      <c r="H196" s="82">
        <v>26</v>
      </c>
      <c r="I196" s="82">
        <v>282</v>
      </c>
      <c r="J196" s="82">
        <v>234</v>
      </c>
      <c r="K196" s="82">
        <v>516</v>
      </c>
      <c r="L196" s="82">
        <v>118</v>
      </c>
      <c r="M196" s="82">
        <v>124</v>
      </c>
      <c r="N196" s="82">
        <v>6</v>
      </c>
      <c r="O196" s="82">
        <v>22</v>
      </c>
      <c r="P196" s="82">
        <v>544</v>
      </c>
      <c r="Q196" s="82">
        <v>2500</v>
      </c>
      <c r="R196" s="12" t="s">
        <v>25</v>
      </c>
      <c r="S196" s="12" t="s">
        <v>25</v>
      </c>
      <c r="T196" s="12" t="s">
        <v>25</v>
      </c>
    </row>
    <row r="197" spans="1:20" x14ac:dyDescent="0.3">
      <c r="A197" s="13">
        <v>43894.708333333336</v>
      </c>
      <c r="B197" s="12" t="s">
        <v>22</v>
      </c>
      <c r="C197" s="82">
        <v>6</v>
      </c>
      <c r="D197" s="12" t="s">
        <v>47</v>
      </c>
      <c r="E197" s="82">
        <v>456494354</v>
      </c>
      <c r="F197" s="82">
        <v>1376813649</v>
      </c>
      <c r="G197" s="82">
        <v>3</v>
      </c>
      <c r="H197" s="82">
        <v>0</v>
      </c>
      <c r="I197" s="82">
        <v>3</v>
      </c>
      <c r="J197" s="82">
        <v>15</v>
      </c>
      <c r="K197" s="82">
        <v>18</v>
      </c>
      <c r="L197" s="82">
        <v>5</v>
      </c>
      <c r="M197" s="82">
        <v>5</v>
      </c>
      <c r="N197" s="82">
        <v>0</v>
      </c>
      <c r="O197" s="82">
        <v>0</v>
      </c>
      <c r="P197" s="82">
        <v>18</v>
      </c>
      <c r="Q197" s="82">
        <v>376</v>
      </c>
      <c r="R197" s="12" t="s">
        <v>25</v>
      </c>
      <c r="S197" s="12" t="s">
        <v>25</v>
      </c>
      <c r="T197" s="12" t="s">
        <v>25</v>
      </c>
    </row>
    <row r="198" spans="1:20" x14ac:dyDescent="0.3">
      <c r="A198" s="13">
        <v>43894.708333333336</v>
      </c>
      <c r="B198" s="12" t="s">
        <v>22</v>
      </c>
      <c r="C198" s="82">
        <v>12</v>
      </c>
      <c r="D198" s="12" t="s">
        <v>48</v>
      </c>
      <c r="E198" s="82">
        <v>4189277044</v>
      </c>
      <c r="F198" s="82">
        <v>1248366722</v>
      </c>
      <c r="G198" s="82">
        <v>15</v>
      </c>
      <c r="H198" s="82">
        <v>3</v>
      </c>
      <c r="I198" s="82">
        <v>18</v>
      </c>
      <c r="J198" s="82">
        <v>9</v>
      </c>
      <c r="K198" s="82">
        <v>27</v>
      </c>
      <c r="L198" s="82">
        <v>16</v>
      </c>
      <c r="M198" s="82">
        <v>16</v>
      </c>
      <c r="N198" s="82">
        <v>3</v>
      </c>
      <c r="O198" s="82">
        <v>0</v>
      </c>
      <c r="P198" s="82">
        <v>30</v>
      </c>
      <c r="Q198" s="82">
        <v>995</v>
      </c>
      <c r="R198" s="12" t="s">
        <v>25</v>
      </c>
      <c r="S198" s="12" t="s">
        <v>25</v>
      </c>
      <c r="T198" s="12" t="s">
        <v>25</v>
      </c>
    </row>
    <row r="199" spans="1:20" x14ac:dyDescent="0.3">
      <c r="A199" s="13">
        <v>43894.708333333336</v>
      </c>
      <c r="B199" s="12" t="s">
        <v>22</v>
      </c>
      <c r="C199" s="82">
        <v>7</v>
      </c>
      <c r="D199" s="12" t="s">
        <v>49</v>
      </c>
      <c r="E199" s="82">
        <v>4441149315</v>
      </c>
      <c r="F199" s="82">
        <v>89326992</v>
      </c>
      <c r="G199" s="82">
        <v>10</v>
      </c>
      <c r="H199" s="82">
        <v>3</v>
      </c>
      <c r="I199" s="82">
        <v>13</v>
      </c>
      <c r="J199" s="82">
        <v>8</v>
      </c>
      <c r="K199" s="82">
        <v>21</v>
      </c>
      <c r="L199" s="82">
        <v>2</v>
      </c>
      <c r="M199" s="82">
        <v>2</v>
      </c>
      <c r="N199" s="82">
        <v>4</v>
      </c>
      <c r="O199" s="82">
        <v>1</v>
      </c>
      <c r="P199" s="82">
        <v>26</v>
      </c>
      <c r="Q199" s="82">
        <v>133</v>
      </c>
      <c r="R199" s="12" t="s">
        <v>25</v>
      </c>
      <c r="S199" s="12" t="s">
        <v>25</v>
      </c>
      <c r="T199" s="12" t="s">
        <v>25</v>
      </c>
    </row>
    <row r="200" spans="1:20" x14ac:dyDescent="0.3">
      <c r="A200" s="13">
        <v>43894.708333333336</v>
      </c>
      <c r="B200" s="12" t="s">
        <v>22</v>
      </c>
      <c r="C200" s="82">
        <v>3</v>
      </c>
      <c r="D200" s="12" t="s">
        <v>50</v>
      </c>
      <c r="E200" s="82">
        <v>4546679409</v>
      </c>
      <c r="F200" s="82">
        <v>9190347404</v>
      </c>
      <c r="G200" s="82">
        <v>877</v>
      </c>
      <c r="H200" s="82">
        <v>209</v>
      </c>
      <c r="I200" s="82">
        <v>1086</v>
      </c>
      <c r="J200" s="82">
        <v>411</v>
      </c>
      <c r="K200" s="82">
        <v>1497</v>
      </c>
      <c r="L200" s="82">
        <v>171</v>
      </c>
      <c r="M200" s="82">
        <v>300</v>
      </c>
      <c r="N200" s="82">
        <v>250</v>
      </c>
      <c r="O200" s="82">
        <v>73</v>
      </c>
      <c r="P200" s="82">
        <v>1820</v>
      </c>
      <c r="Q200" s="82">
        <v>12138</v>
      </c>
      <c r="R200" s="12" t="s">
        <v>25</v>
      </c>
      <c r="S200" s="12" t="s">
        <v>25</v>
      </c>
      <c r="T200" s="12" t="s">
        <v>25</v>
      </c>
    </row>
    <row r="201" spans="1:20" x14ac:dyDescent="0.3">
      <c r="A201" s="13">
        <v>43894.708333333336</v>
      </c>
      <c r="B201" s="12" t="s">
        <v>22</v>
      </c>
      <c r="C201" s="82">
        <v>11</v>
      </c>
      <c r="D201" s="12" t="s">
        <v>51</v>
      </c>
      <c r="E201" s="82">
        <v>4361675973</v>
      </c>
      <c r="F201" s="82">
        <v>135188753</v>
      </c>
      <c r="G201" s="82">
        <v>34</v>
      </c>
      <c r="H201" s="82">
        <v>15</v>
      </c>
      <c r="I201" s="82">
        <v>49</v>
      </c>
      <c r="J201" s="82">
        <v>31</v>
      </c>
      <c r="K201" s="82">
        <v>80</v>
      </c>
      <c r="L201" s="82">
        <v>21</v>
      </c>
      <c r="M201" s="82">
        <v>23</v>
      </c>
      <c r="N201" s="82">
        <v>0</v>
      </c>
      <c r="O201" s="82">
        <v>4</v>
      </c>
      <c r="P201" s="82">
        <v>84</v>
      </c>
      <c r="Q201" s="82">
        <v>288</v>
      </c>
      <c r="R201" s="12" t="s">
        <v>25</v>
      </c>
      <c r="S201" s="12" t="s">
        <v>25</v>
      </c>
      <c r="T201" s="12" t="s">
        <v>25</v>
      </c>
    </row>
    <row r="202" spans="1:20" x14ac:dyDescent="0.3">
      <c r="A202" s="13">
        <v>43894.708333333336</v>
      </c>
      <c r="B202" s="12" t="s">
        <v>22</v>
      </c>
      <c r="C202" s="82">
        <v>14</v>
      </c>
      <c r="D202" s="12" t="s">
        <v>52</v>
      </c>
      <c r="E202" s="82">
        <v>4155774754</v>
      </c>
      <c r="F202" s="82">
        <v>1465916051</v>
      </c>
      <c r="G202" s="82">
        <v>3</v>
      </c>
      <c r="H202" s="82">
        <v>0</v>
      </c>
      <c r="I202" s="82">
        <v>3</v>
      </c>
      <c r="J202" s="82">
        <v>0</v>
      </c>
      <c r="K202" s="82">
        <v>3</v>
      </c>
      <c r="L202" s="82">
        <v>0</v>
      </c>
      <c r="M202" s="82">
        <v>0</v>
      </c>
      <c r="N202" s="82">
        <v>0</v>
      </c>
      <c r="O202" s="82">
        <v>0</v>
      </c>
      <c r="P202" s="82">
        <v>3</v>
      </c>
      <c r="Q202" s="82">
        <v>19</v>
      </c>
      <c r="R202" s="12" t="s">
        <v>25</v>
      </c>
      <c r="S202" s="12" t="s">
        <v>25</v>
      </c>
      <c r="T202" s="12" t="s">
        <v>25</v>
      </c>
    </row>
    <row r="203" spans="1:20" x14ac:dyDescent="0.3">
      <c r="A203" s="13">
        <v>43894.708333333336</v>
      </c>
      <c r="B203" s="12" t="s">
        <v>22</v>
      </c>
      <c r="C203" s="82">
        <v>1</v>
      </c>
      <c r="D203" s="12" t="s">
        <v>53</v>
      </c>
      <c r="E203" s="82">
        <v>450732745</v>
      </c>
      <c r="F203" s="82">
        <v>7680687483</v>
      </c>
      <c r="G203" s="82">
        <v>26</v>
      </c>
      <c r="H203" s="82">
        <v>13</v>
      </c>
      <c r="I203" s="82">
        <v>39</v>
      </c>
      <c r="J203" s="82">
        <v>43</v>
      </c>
      <c r="K203" s="82">
        <v>82</v>
      </c>
      <c r="L203" s="82">
        <v>26</v>
      </c>
      <c r="M203" s="82">
        <v>26</v>
      </c>
      <c r="N203" s="82">
        <v>0</v>
      </c>
      <c r="O203" s="82">
        <v>0</v>
      </c>
      <c r="P203" s="82">
        <v>82</v>
      </c>
      <c r="Q203" s="82">
        <v>543</v>
      </c>
      <c r="R203" s="12" t="s">
        <v>25</v>
      </c>
      <c r="S203" s="12" t="s">
        <v>25</v>
      </c>
      <c r="T203" s="12" t="s">
        <v>25</v>
      </c>
    </row>
    <row r="204" spans="1:20" x14ac:dyDescent="0.3">
      <c r="A204" s="13">
        <v>43894.708333333336</v>
      </c>
      <c r="B204" s="12" t="s">
        <v>22</v>
      </c>
      <c r="C204" s="82">
        <v>16</v>
      </c>
      <c r="D204" s="12" t="s">
        <v>54</v>
      </c>
      <c r="E204" s="82">
        <v>4112559576</v>
      </c>
      <c r="F204" s="82">
        <v>1686736689</v>
      </c>
      <c r="G204" s="82">
        <v>4</v>
      </c>
      <c r="H204" s="82">
        <v>0</v>
      </c>
      <c r="I204" s="82">
        <v>4</v>
      </c>
      <c r="J204" s="82">
        <v>3</v>
      </c>
      <c r="K204" s="82">
        <v>7</v>
      </c>
      <c r="L204" s="82">
        <v>1</v>
      </c>
      <c r="M204" s="82">
        <v>3</v>
      </c>
      <c r="N204" s="82">
        <v>1</v>
      </c>
      <c r="O204" s="82">
        <v>1</v>
      </c>
      <c r="P204" s="82">
        <v>9</v>
      </c>
      <c r="Q204" s="82">
        <v>322</v>
      </c>
      <c r="R204" s="12" t="s">
        <v>25</v>
      </c>
      <c r="S204" s="12" t="s">
        <v>25</v>
      </c>
      <c r="T204" s="12" t="s">
        <v>25</v>
      </c>
    </row>
    <row r="205" spans="1:20" x14ac:dyDescent="0.3">
      <c r="A205" s="13">
        <v>43894.708333333336</v>
      </c>
      <c r="B205" s="12" t="s">
        <v>22</v>
      </c>
      <c r="C205" s="82">
        <v>20</v>
      </c>
      <c r="D205" s="12" t="s">
        <v>55</v>
      </c>
      <c r="E205" s="82">
        <v>3921531192</v>
      </c>
      <c r="F205" s="82">
        <v>9110616306</v>
      </c>
      <c r="G205" s="82">
        <v>1</v>
      </c>
      <c r="H205" s="82">
        <v>0</v>
      </c>
      <c r="I205" s="82">
        <v>1</v>
      </c>
      <c r="J205" s="82">
        <v>1</v>
      </c>
      <c r="K205" s="82">
        <v>2</v>
      </c>
      <c r="L205" s="82">
        <v>1</v>
      </c>
      <c r="M205" s="82">
        <v>1</v>
      </c>
      <c r="N205" s="82">
        <v>0</v>
      </c>
      <c r="O205" s="82">
        <v>0</v>
      </c>
      <c r="P205" s="82">
        <v>2</v>
      </c>
      <c r="Q205" s="82">
        <v>42</v>
      </c>
      <c r="R205" s="12" t="s">
        <v>25</v>
      </c>
      <c r="S205" s="12" t="s">
        <v>25</v>
      </c>
      <c r="T205" s="12" t="s">
        <v>25</v>
      </c>
    </row>
    <row r="206" spans="1:20" x14ac:dyDescent="0.3">
      <c r="A206" s="13">
        <v>43894.708333333336</v>
      </c>
      <c r="B206" s="12" t="s">
        <v>22</v>
      </c>
      <c r="C206" s="82">
        <v>19</v>
      </c>
      <c r="D206" s="12" t="s">
        <v>56</v>
      </c>
      <c r="E206" s="82">
        <v>3811569725</v>
      </c>
      <c r="F206" s="82">
        <v>133623567</v>
      </c>
      <c r="G206" s="82">
        <v>5</v>
      </c>
      <c r="H206" s="82">
        <v>0</v>
      </c>
      <c r="I206" s="82">
        <v>5</v>
      </c>
      <c r="J206" s="82">
        <v>11</v>
      </c>
      <c r="K206" s="82">
        <v>16</v>
      </c>
      <c r="L206" s="82">
        <v>11</v>
      </c>
      <c r="M206" s="82">
        <v>11</v>
      </c>
      <c r="N206" s="82">
        <v>2</v>
      </c>
      <c r="O206" s="82">
        <v>0</v>
      </c>
      <c r="P206" s="82">
        <v>18</v>
      </c>
      <c r="Q206" s="82">
        <v>367</v>
      </c>
      <c r="R206" s="12" t="s">
        <v>25</v>
      </c>
      <c r="S206" s="12" t="s">
        <v>25</v>
      </c>
      <c r="T206" s="12" t="s">
        <v>25</v>
      </c>
    </row>
    <row r="207" spans="1:20" x14ac:dyDescent="0.3">
      <c r="A207" s="13">
        <v>43894.708333333336</v>
      </c>
      <c r="B207" s="12" t="s">
        <v>22</v>
      </c>
      <c r="C207" s="82">
        <v>9</v>
      </c>
      <c r="D207" s="12" t="s">
        <v>57</v>
      </c>
      <c r="E207" s="82">
        <v>4376923077</v>
      </c>
      <c r="F207" s="82">
        <v>1125588885</v>
      </c>
      <c r="G207" s="82">
        <v>15</v>
      </c>
      <c r="H207" s="82">
        <v>2</v>
      </c>
      <c r="I207" s="82">
        <v>17</v>
      </c>
      <c r="J207" s="82">
        <v>20</v>
      </c>
      <c r="K207" s="82">
        <v>37</v>
      </c>
      <c r="L207" s="82">
        <v>19</v>
      </c>
      <c r="M207" s="82">
        <v>19</v>
      </c>
      <c r="N207" s="82">
        <v>1</v>
      </c>
      <c r="O207" s="82">
        <v>0</v>
      </c>
      <c r="P207" s="82">
        <v>38</v>
      </c>
      <c r="Q207" s="82">
        <v>776</v>
      </c>
      <c r="R207" s="12" t="s">
        <v>25</v>
      </c>
      <c r="S207" s="12" t="s">
        <v>25</v>
      </c>
      <c r="T207" s="12" t="s">
        <v>25</v>
      </c>
    </row>
    <row r="208" spans="1:20" x14ac:dyDescent="0.3">
      <c r="A208" s="13">
        <v>43894.708333333336</v>
      </c>
      <c r="B208" s="12" t="s">
        <v>22</v>
      </c>
      <c r="C208" s="82">
        <v>4</v>
      </c>
      <c r="D208" s="12" t="s">
        <v>58</v>
      </c>
      <c r="E208" s="82">
        <v>4606893511</v>
      </c>
      <c r="F208" s="82">
        <v>1112123097</v>
      </c>
      <c r="G208" s="82">
        <v>1</v>
      </c>
      <c r="H208" s="82">
        <v>0</v>
      </c>
      <c r="I208" s="82">
        <v>1</v>
      </c>
      <c r="J208" s="82">
        <v>4</v>
      </c>
      <c r="K208" s="82">
        <v>5</v>
      </c>
      <c r="L208" s="82">
        <v>1</v>
      </c>
      <c r="M208" s="82">
        <v>1</v>
      </c>
      <c r="N208" s="82">
        <v>0</v>
      </c>
      <c r="O208" s="82">
        <v>0</v>
      </c>
      <c r="P208" s="82">
        <v>5</v>
      </c>
      <c r="Q208" s="82">
        <v>122</v>
      </c>
      <c r="R208" s="12" t="s">
        <v>25</v>
      </c>
      <c r="S208" s="12" t="s">
        <v>25</v>
      </c>
      <c r="T208" s="12" t="s">
        <v>25</v>
      </c>
    </row>
    <row r="209" spans="1:20" x14ac:dyDescent="0.3">
      <c r="A209" s="13">
        <v>43894.708333333336</v>
      </c>
      <c r="B209" s="12" t="s">
        <v>22</v>
      </c>
      <c r="C209" s="82">
        <v>10</v>
      </c>
      <c r="D209" s="12" t="s">
        <v>59</v>
      </c>
      <c r="E209" s="82">
        <v>4310675841</v>
      </c>
      <c r="F209" s="82">
        <v>1238824698</v>
      </c>
      <c r="G209" s="82">
        <v>1</v>
      </c>
      <c r="H209" s="82">
        <v>1</v>
      </c>
      <c r="I209" s="82">
        <v>2</v>
      </c>
      <c r="J209" s="82">
        <v>7</v>
      </c>
      <c r="K209" s="82">
        <v>9</v>
      </c>
      <c r="L209" s="82">
        <v>1</v>
      </c>
      <c r="M209" s="82">
        <v>1</v>
      </c>
      <c r="N209" s="82">
        <v>0</v>
      </c>
      <c r="O209" s="82">
        <v>0</v>
      </c>
      <c r="P209" s="82">
        <v>9</v>
      </c>
      <c r="Q209" s="82">
        <v>58</v>
      </c>
      <c r="R209" s="12" t="s">
        <v>25</v>
      </c>
      <c r="S209" s="12" t="s">
        <v>25</v>
      </c>
      <c r="T209" s="12" t="s">
        <v>25</v>
      </c>
    </row>
    <row r="210" spans="1:20" x14ac:dyDescent="0.3">
      <c r="A210" s="13">
        <v>43894.708333333336</v>
      </c>
      <c r="B210" s="12" t="s">
        <v>22</v>
      </c>
      <c r="C210" s="82">
        <v>2</v>
      </c>
      <c r="D210" s="12" t="s">
        <v>60</v>
      </c>
      <c r="E210" s="82">
        <v>4573750286</v>
      </c>
      <c r="F210" s="82">
        <v>7320149366</v>
      </c>
      <c r="G210" s="82">
        <v>0</v>
      </c>
      <c r="H210" s="82">
        <v>0</v>
      </c>
      <c r="I210" s="82">
        <v>0</v>
      </c>
      <c r="J210" s="82">
        <v>0</v>
      </c>
      <c r="K210" s="82">
        <v>0</v>
      </c>
      <c r="L210" s="82">
        <v>0</v>
      </c>
      <c r="M210" s="82">
        <v>0</v>
      </c>
      <c r="N210" s="82">
        <v>0</v>
      </c>
      <c r="O210" s="82">
        <v>0</v>
      </c>
      <c r="P210" s="82">
        <v>0</v>
      </c>
      <c r="Q210" s="82">
        <v>15</v>
      </c>
      <c r="R210" s="12" t="s">
        <v>25</v>
      </c>
      <c r="S210" s="12" t="s">
        <v>25</v>
      </c>
      <c r="T210" s="12" t="s">
        <v>25</v>
      </c>
    </row>
    <row r="211" spans="1:20" x14ac:dyDescent="0.3">
      <c r="A211" s="13">
        <v>43894.708333333336</v>
      </c>
      <c r="B211" s="12" t="s">
        <v>22</v>
      </c>
      <c r="C211" s="82">
        <v>5</v>
      </c>
      <c r="D211" s="12" t="s">
        <v>61</v>
      </c>
      <c r="E211" s="82">
        <v>4543490485</v>
      </c>
      <c r="F211" s="82">
        <v>1233845213</v>
      </c>
      <c r="G211" s="82">
        <v>76</v>
      </c>
      <c r="H211" s="82">
        <v>23</v>
      </c>
      <c r="I211" s="82">
        <v>99</v>
      </c>
      <c r="J211" s="82">
        <v>246</v>
      </c>
      <c r="K211" s="82">
        <v>345</v>
      </c>
      <c r="L211" s="82">
        <v>48</v>
      </c>
      <c r="M211" s="82">
        <v>53</v>
      </c>
      <c r="N211" s="82">
        <v>9</v>
      </c>
      <c r="O211" s="82">
        <v>6</v>
      </c>
      <c r="P211" s="82">
        <v>360</v>
      </c>
      <c r="Q211" s="82">
        <v>10515</v>
      </c>
      <c r="R211" s="12" t="s">
        <v>25</v>
      </c>
      <c r="S211" s="12" t="s">
        <v>25</v>
      </c>
      <c r="T211" s="12" t="s">
        <v>25</v>
      </c>
    </row>
    <row r="212" spans="1:20" x14ac:dyDescent="0.3">
      <c r="A212" s="13">
        <v>43895.708333333336</v>
      </c>
      <c r="B212" s="12" t="s">
        <v>22</v>
      </c>
      <c r="C212" s="82">
        <v>13</v>
      </c>
      <c r="D212" s="12" t="s">
        <v>42</v>
      </c>
      <c r="E212" s="82">
        <v>4235122196</v>
      </c>
      <c r="F212" s="82">
        <v>1339843823</v>
      </c>
      <c r="G212" s="82">
        <v>8</v>
      </c>
      <c r="H212" s="82">
        <v>0</v>
      </c>
      <c r="I212" s="82">
        <v>8</v>
      </c>
      <c r="J212" s="82">
        <v>0</v>
      </c>
      <c r="K212" s="82">
        <v>8</v>
      </c>
      <c r="L212" s="82">
        <v>1</v>
      </c>
      <c r="M212" s="82">
        <v>1</v>
      </c>
      <c r="N212" s="82">
        <v>0</v>
      </c>
      <c r="O212" s="82">
        <v>0</v>
      </c>
      <c r="P212" s="82">
        <v>8</v>
      </c>
      <c r="Q212" s="82">
        <v>96</v>
      </c>
      <c r="R212" s="12" t="s">
        <v>25</v>
      </c>
      <c r="S212" s="12" t="s">
        <v>25</v>
      </c>
      <c r="T212" s="12" t="s">
        <v>25</v>
      </c>
    </row>
    <row r="213" spans="1:20" x14ac:dyDescent="0.3">
      <c r="A213" s="13">
        <v>43895.708333333336</v>
      </c>
      <c r="B213" s="12" t="s">
        <v>22</v>
      </c>
      <c r="C213" s="82">
        <v>17</v>
      </c>
      <c r="D213" s="12" t="s">
        <v>43</v>
      </c>
      <c r="E213" s="82">
        <v>4063947052</v>
      </c>
      <c r="F213" s="82">
        <v>1580514834</v>
      </c>
      <c r="G213" s="82">
        <v>0</v>
      </c>
      <c r="H213" s="82">
        <v>0</v>
      </c>
      <c r="I213" s="82">
        <v>0</v>
      </c>
      <c r="J213" s="82">
        <v>1</v>
      </c>
      <c r="K213" s="82">
        <v>1</v>
      </c>
      <c r="L213" s="82">
        <v>0</v>
      </c>
      <c r="M213" s="82">
        <v>0</v>
      </c>
      <c r="N213" s="82">
        <v>0</v>
      </c>
      <c r="O213" s="82">
        <v>0</v>
      </c>
      <c r="P213" s="82">
        <v>1</v>
      </c>
      <c r="Q213" s="82">
        <v>54</v>
      </c>
      <c r="R213" s="12" t="s">
        <v>25</v>
      </c>
      <c r="S213" s="12" t="s">
        <v>25</v>
      </c>
      <c r="T213" s="12" t="s">
        <v>25</v>
      </c>
    </row>
    <row r="214" spans="1:20" x14ac:dyDescent="0.3">
      <c r="A214" s="13">
        <v>43895.708333333336</v>
      </c>
      <c r="B214" s="12" t="s">
        <v>22</v>
      </c>
      <c r="C214" s="82">
        <v>4</v>
      </c>
      <c r="D214" s="12" t="s">
        <v>44</v>
      </c>
      <c r="E214" s="82">
        <v>4649933453</v>
      </c>
      <c r="F214" s="82">
        <v>1135662422</v>
      </c>
      <c r="G214" s="82">
        <v>1</v>
      </c>
      <c r="H214" s="82">
        <v>0</v>
      </c>
      <c r="I214" s="82">
        <v>1</v>
      </c>
      <c r="J214" s="82">
        <v>0</v>
      </c>
      <c r="K214" s="82">
        <v>1</v>
      </c>
      <c r="L214" s="82">
        <v>0</v>
      </c>
      <c r="M214" s="82">
        <v>0</v>
      </c>
      <c r="N214" s="82">
        <v>0</v>
      </c>
      <c r="O214" s="82">
        <v>0</v>
      </c>
      <c r="P214" s="82">
        <v>1</v>
      </c>
      <c r="Q214" s="82">
        <v>20</v>
      </c>
      <c r="R214" s="12" t="s">
        <v>25</v>
      </c>
      <c r="S214" s="12" t="s">
        <v>25</v>
      </c>
      <c r="T214" s="12" t="s">
        <v>25</v>
      </c>
    </row>
    <row r="215" spans="1:20" x14ac:dyDescent="0.3">
      <c r="A215" s="13">
        <v>43895.708333333336</v>
      </c>
      <c r="B215" s="12" t="s">
        <v>22</v>
      </c>
      <c r="C215" s="82">
        <v>18</v>
      </c>
      <c r="D215" s="12" t="s">
        <v>45</v>
      </c>
      <c r="E215" s="82">
        <v>3890597598</v>
      </c>
      <c r="F215" s="82">
        <v>1659440194</v>
      </c>
      <c r="G215" s="82">
        <v>1</v>
      </c>
      <c r="H215" s="82">
        <v>0</v>
      </c>
      <c r="I215" s="82">
        <v>1</v>
      </c>
      <c r="J215" s="82">
        <v>1</v>
      </c>
      <c r="K215" s="82">
        <v>2</v>
      </c>
      <c r="L215" s="82">
        <v>1</v>
      </c>
      <c r="M215" s="82">
        <v>1</v>
      </c>
      <c r="N215" s="82">
        <v>0</v>
      </c>
      <c r="O215" s="82">
        <v>0</v>
      </c>
      <c r="P215" s="82">
        <v>2</v>
      </c>
      <c r="Q215" s="82">
        <v>53</v>
      </c>
      <c r="R215" s="12" t="s">
        <v>25</v>
      </c>
      <c r="S215" s="12" t="s">
        <v>25</v>
      </c>
      <c r="T215" s="12" t="s">
        <v>25</v>
      </c>
    </row>
    <row r="216" spans="1:20" x14ac:dyDescent="0.3">
      <c r="A216" s="13">
        <v>43895.708333333336</v>
      </c>
      <c r="B216" s="12" t="s">
        <v>22</v>
      </c>
      <c r="C216" s="82">
        <v>15</v>
      </c>
      <c r="D216" s="12" t="s">
        <v>46</v>
      </c>
      <c r="E216" s="82">
        <v>4083956555</v>
      </c>
      <c r="F216" s="82">
        <v>1425084984</v>
      </c>
      <c r="G216" s="82">
        <v>12</v>
      </c>
      <c r="H216" s="82">
        <v>0</v>
      </c>
      <c r="I216" s="82">
        <v>12</v>
      </c>
      <c r="J216" s="82">
        <v>33</v>
      </c>
      <c r="K216" s="82">
        <v>45</v>
      </c>
      <c r="L216" s="82">
        <v>14</v>
      </c>
      <c r="M216" s="82">
        <v>14</v>
      </c>
      <c r="N216" s="82">
        <v>0</v>
      </c>
      <c r="O216" s="82">
        <v>0</v>
      </c>
      <c r="P216" s="82">
        <v>45</v>
      </c>
      <c r="Q216" s="82">
        <v>471</v>
      </c>
      <c r="R216" s="12" t="s">
        <v>25</v>
      </c>
      <c r="S216" s="12" t="s">
        <v>25</v>
      </c>
      <c r="T216" s="12" t="s">
        <v>25</v>
      </c>
    </row>
    <row r="217" spans="1:20" x14ac:dyDescent="0.3">
      <c r="A217" s="13">
        <v>43895.708333333336</v>
      </c>
      <c r="B217" s="12" t="s">
        <v>22</v>
      </c>
      <c r="C217" s="82">
        <v>8</v>
      </c>
      <c r="D217" s="12" t="s">
        <v>95</v>
      </c>
      <c r="E217" s="82">
        <v>4449436681</v>
      </c>
      <c r="F217" s="82">
        <v>113417208</v>
      </c>
      <c r="G217" s="82">
        <v>327</v>
      </c>
      <c r="H217" s="82">
        <v>32</v>
      </c>
      <c r="I217" s="82">
        <v>359</v>
      </c>
      <c r="J217" s="82">
        <v>299</v>
      </c>
      <c r="K217" s="82">
        <v>658</v>
      </c>
      <c r="L217" s="82">
        <v>142</v>
      </c>
      <c r="M217" s="82">
        <v>154</v>
      </c>
      <c r="N217" s="82">
        <v>10</v>
      </c>
      <c r="O217" s="82">
        <v>30</v>
      </c>
      <c r="P217" s="82">
        <v>698</v>
      </c>
      <c r="Q217" s="82">
        <v>2884</v>
      </c>
      <c r="R217" s="12" t="s">
        <v>25</v>
      </c>
      <c r="S217" s="12" t="s">
        <v>25</v>
      </c>
      <c r="T217" s="12" t="s">
        <v>25</v>
      </c>
    </row>
    <row r="218" spans="1:20" x14ac:dyDescent="0.3">
      <c r="A218" s="13">
        <v>43895.708333333336</v>
      </c>
      <c r="B218" s="12" t="s">
        <v>22</v>
      </c>
      <c r="C218" s="82">
        <v>6</v>
      </c>
      <c r="D218" s="12" t="s">
        <v>47</v>
      </c>
      <c r="E218" s="82">
        <v>456494354</v>
      </c>
      <c r="F218" s="82">
        <v>1376813649</v>
      </c>
      <c r="G218" s="82">
        <v>4</v>
      </c>
      <c r="H218" s="82">
        <v>0</v>
      </c>
      <c r="I218" s="82">
        <v>4</v>
      </c>
      <c r="J218" s="82">
        <v>17</v>
      </c>
      <c r="K218" s="82">
        <v>21</v>
      </c>
      <c r="L218" s="82">
        <v>3</v>
      </c>
      <c r="M218" s="82">
        <v>3</v>
      </c>
      <c r="N218" s="82">
        <v>0</v>
      </c>
      <c r="O218" s="82">
        <v>0</v>
      </c>
      <c r="P218" s="82">
        <v>21</v>
      </c>
      <c r="Q218" s="82">
        <v>397</v>
      </c>
      <c r="R218" s="12" t="s">
        <v>25</v>
      </c>
      <c r="S218" s="12" t="s">
        <v>25</v>
      </c>
      <c r="T218" s="12" t="s">
        <v>25</v>
      </c>
    </row>
    <row r="219" spans="1:20" x14ac:dyDescent="0.3">
      <c r="A219" s="13">
        <v>43895.708333333336</v>
      </c>
      <c r="B219" s="12" t="s">
        <v>22</v>
      </c>
      <c r="C219" s="82">
        <v>12</v>
      </c>
      <c r="D219" s="12" t="s">
        <v>48</v>
      </c>
      <c r="E219" s="82">
        <v>4189277044</v>
      </c>
      <c r="F219" s="82">
        <v>1248366722</v>
      </c>
      <c r="G219" s="82">
        <v>20</v>
      </c>
      <c r="H219" s="82">
        <v>7</v>
      </c>
      <c r="I219" s="82">
        <v>27</v>
      </c>
      <c r="J219" s="82">
        <v>14</v>
      </c>
      <c r="K219" s="82">
        <v>41</v>
      </c>
      <c r="L219" s="82">
        <v>14</v>
      </c>
      <c r="M219" s="82">
        <v>14</v>
      </c>
      <c r="N219" s="82">
        <v>3</v>
      </c>
      <c r="O219" s="82">
        <v>0</v>
      </c>
      <c r="P219" s="82">
        <v>44</v>
      </c>
      <c r="Q219" s="82">
        <v>1175</v>
      </c>
      <c r="R219" s="12" t="s">
        <v>25</v>
      </c>
      <c r="S219" s="12" t="s">
        <v>25</v>
      </c>
      <c r="T219" s="12" t="s">
        <v>25</v>
      </c>
    </row>
    <row r="220" spans="1:20" x14ac:dyDescent="0.3">
      <c r="A220" s="13">
        <v>43895.708333333336</v>
      </c>
      <c r="B220" s="12" t="s">
        <v>22</v>
      </c>
      <c r="C220" s="82">
        <v>7</v>
      </c>
      <c r="D220" s="12" t="s">
        <v>49</v>
      </c>
      <c r="E220" s="82">
        <v>4441149315</v>
      </c>
      <c r="F220" s="82">
        <v>89326992</v>
      </c>
      <c r="G220" s="82">
        <v>11</v>
      </c>
      <c r="H220" s="82">
        <v>3</v>
      </c>
      <c r="I220" s="82">
        <v>14</v>
      </c>
      <c r="J220" s="82">
        <v>7</v>
      </c>
      <c r="K220" s="82">
        <v>21</v>
      </c>
      <c r="L220" s="82">
        <v>0</v>
      </c>
      <c r="M220" s="82">
        <v>2</v>
      </c>
      <c r="N220" s="82">
        <v>4</v>
      </c>
      <c r="O220" s="82">
        <v>3</v>
      </c>
      <c r="P220" s="82">
        <v>28</v>
      </c>
      <c r="Q220" s="82">
        <v>146</v>
      </c>
      <c r="R220" s="12" t="s">
        <v>25</v>
      </c>
      <c r="S220" s="12" t="s">
        <v>25</v>
      </c>
      <c r="T220" s="12" t="s">
        <v>25</v>
      </c>
    </row>
    <row r="221" spans="1:20" x14ac:dyDescent="0.3">
      <c r="A221" s="13">
        <v>43895.708333333336</v>
      </c>
      <c r="B221" s="12" t="s">
        <v>22</v>
      </c>
      <c r="C221" s="82">
        <v>3</v>
      </c>
      <c r="D221" s="12" t="s">
        <v>50</v>
      </c>
      <c r="E221" s="82">
        <v>4546679409</v>
      </c>
      <c r="F221" s="82">
        <v>9190347404</v>
      </c>
      <c r="G221" s="82">
        <v>1169</v>
      </c>
      <c r="H221" s="82">
        <v>244</v>
      </c>
      <c r="I221" s="82">
        <v>1413</v>
      </c>
      <c r="J221" s="82">
        <v>364</v>
      </c>
      <c r="K221" s="82">
        <v>1777</v>
      </c>
      <c r="L221" s="82">
        <v>280</v>
      </c>
      <c r="M221" s="82">
        <v>431</v>
      </c>
      <c r="N221" s="82">
        <v>376</v>
      </c>
      <c r="O221" s="82">
        <v>98</v>
      </c>
      <c r="P221" s="82">
        <v>2251</v>
      </c>
      <c r="Q221" s="82">
        <v>12354</v>
      </c>
      <c r="R221" s="12" t="s">
        <v>25</v>
      </c>
      <c r="S221" s="12" t="s">
        <v>25</v>
      </c>
      <c r="T221" s="12" t="s">
        <v>25</v>
      </c>
    </row>
    <row r="222" spans="1:20" x14ac:dyDescent="0.3">
      <c r="A222" s="13">
        <v>43895.708333333336</v>
      </c>
      <c r="B222" s="12" t="s">
        <v>22</v>
      </c>
      <c r="C222" s="82">
        <v>11</v>
      </c>
      <c r="D222" s="12" t="s">
        <v>51</v>
      </c>
      <c r="E222" s="82">
        <v>4361675973</v>
      </c>
      <c r="F222" s="82">
        <v>135188753</v>
      </c>
      <c r="G222" s="82">
        <v>57</v>
      </c>
      <c r="H222" s="82">
        <v>19</v>
      </c>
      <c r="I222" s="82">
        <v>76</v>
      </c>
      <c r="J222" s="82">
        <v>44</v>
      </c>
      <c r="K222" s="82">
        <v>120</v>
      </c>
      <c r="L222" s="82">
        <v>40</v>
      </c>
      <c r="M222" s="82">
        <v>40</v>
      </c>
      <c r="N222" s="82">
        <v>0</v>
      </c>
      <c r="O222" s="82">
        <v>4</v>
      </c>
      <c r="P222" s="82">
        <v>124</v>
      </c>
      <c r="Q222" s="82">
        <v>413</v>
      </c>
      <c r="R222" s="12" t="s">
        <v>25</v>
      </c>
      <c r="S222" s="12" t="s">
        <v>25</v>
      </c>
      <c r="T222" s="12" t="s">
        <v>25</v>
      </c>
    </row>
    <row r="223" spans="1:20" x14ac:dyDescent="0.3">
      <c r="A223" s="13">
        <v>43895.708333333336</v>
      </c>
      <c r="B223" s="12" t="s">
        <v>22</v>
      </c>
      <c r="C223" s="82">
        <v>14</v>
      </c>
      <c r="D223" s="12" t="s">
        <v>52</v>
      </c>
      <c r="E223" s="82">
        <v>4155774754</v>
      </c>
      <c r="F223" s="82">
        <v>1465916051</v>
      </c>
      <c r="G223" s="82">
        <v>4</v>
      </c>
      <c r="H223" s="82">
        <v>0</v>
      </c>
      <c r="I223" s="82">
        <v>4</v>
      </c>
      <c r="J223" s="82">
        <v>3</v>
      </c>
      <c r="K223" s="82">
        <v>7</v>
      </c>
      <c r="L223" s="82">
        <v>4</v>
      </c>
      <c r="M223" s="82">
        <v>4</v>
      </c>
      <c r="N223" s="82">
        <v>0</v>
      </c>
      <c r="O223" s="82">
        <v>0</v>
      </c>
      <c r="P223" s="82">
        <v>7</v>
      </c>
      <c r="Q223" s="82">
        <v>24</v>
      </c>
      <c r="R223" s="12" t="s">
        <v>25</v>
      </c>
      <c r="S223" s="12" t="s">
        <v>25</v>
      </c>
      <c r="T223" s="12" t="s">
        <v>25</v>
      </c>
    </row>
    <row r="224" spans="1:20" x14ac:dyDescent="0.3">
      <c r="A224" s="13">
        <v>43895.708333333336</v>
      </c>
      <c r="B224" s="12" t="s">
        <v>22</v>
      </c>
      <c r="C224" s="82">
        <v>1</v>
      </c>
      <c r="D224" s="12" t="s">
        <v>53</v>
      </c>
      <c r="E224" s="82">
        <v>450732745</v>
      </c>
      <c r="F224" s="82">
        <v>7680687483</v>
      </c>
      <c r="G224" s="82">
        <v>43</v>
      </c>
      <c r="H224" s="82">
        <v>17</v>
      </c>
      <c r="I224" s="82">
        <v>60</v>
      </c>
      <c r="J224" s="82">
        <v>46</v>
      </c>
      <c r="K224" s="82">
        <v>106</v>
      </c>
      <c r="L224" s="82">
        <v>24</v>
      </c>
      <c r="M224" s="82">
        <v>26</v>
      </c>
      <c r="N224" s="82">
        <v>0</v>
      </c>
      <c r="O224" s="82">
        <v>2</v>
      </c>
      <c r="P224" s="82">
        <v>108</v>
      </c>
      <c r="Q224" s="82">
        <v>543</v>
      </c>
      <c r="R224" s="12" t="s">
        <v>25</v>
      </c>
      <c r="S224" s="12" t="s">
        <v>25</v>
      </c>
      <c r="T224" s="12" t="s">
        <v>25</v>
      </c>
    </row>
    <row r="225" spans="1:20" x14ac:dyDescent="0.3">
      <c r="A225" s="13">
        <v>43895.708333333336</v>
      </c>
      <c r="B225" s="12" t="s">
        <v>22</v>
      </c>
      <c r="C225" s="82">
        <v>16</v>
      </c>
      <c r="D225" s="12" t="s">
        <v>54</v>
      </c>
      <c r="E225" s="82">
        <v>4112559576</v>
      </c>
      <c r="F225" s="82">
        <v>1686736689</v>
      </c>
      <c r="G225" s="82">
        <v>5</v>
      </c>
      <c r="H225" s="82">
        <v>1</v>
      </c>
      <c r="I225" s="82">
        <v>6</v>
      </c>
      <c r="J225" s="82">
        <v>6</v>
      </c>
      <c r="K225" s="82">
        <v>12</v>
      </c>
      <c r="L225" s="82">
        <v>5</v>
      </c>
      <c r="M225" s="82">
        <v>5</v>
      </c>
      <c r="N225" s="82">
        <v>1</v>
      </c>
      <c r="O225" s="82">
        <v>1</v>
      </c>
      <c r="P225" s="82">
        <v>14</v>
      </c>
      <c r="Q225" s="82">
        <v>359</v>
      </c>
      <c r="R225" s="12" t="s">
        <v>25</v>
      </c>
      <c r="S225" s="12" t="s">
        <v>25</v>
      </c>
      <c r="T225" s="12" t="s">
        <v>25</v>
      </c>
    </row>
    <row r="226" spans="1:20" x14ac:dyDescent="0.3">
      <c r="A226" s="13">
        <v>43895.708333333336</v>
      </c>
      <c r="B226" s="12" t="s">
        <v>22</v>
      </c>
      <c r="C226" s="82">
        <v>20</v>
      </c>
      <c r="D226" s="12" t="s">
        <v>55</v>
      </c>
      <c r="E226" s="82">
        <v>3921531192</v>
      </c>
      <c r="F226" s="82">
        <v>9110616306</v>
      </c>
      <c r="G226" s="82">
        <v>2</v>
      </c>
      <c r="H226" s="82">
        <v>0</v>
      </c>
      <c r="I226" s="82">
        <v>2</v>
      </c>
      <c r="J226" s="82">
        <v>0</v>
      </c>
      <c r="K226" s="82">
        <v>2</v>
      </c>
      <c r="L226" s="82">
        <v>0</v>
      </c>
      <c r="M226" s="82">
        <v>0</v>
      </c>
      <c r="N226" s="82">
        <v>0</v>
      </c>
      <c r="O226" s="82">
        <v>0</v>
      </c>
      <c r="P226" s="82">
        <v>2</v>
      </c>
      <c r="Q226" s="82">
        <v>50</v>
      </c>
      <c r="R226" s="12" t="s">
        <v>25</v>
      </c>
      <c r="S226" s="12" t="s">
        <v>25</v>
      </c>
      <c r="T226" s="12" t="s">
        <v>25</v>
      </c>
    </row>
    <row r="227" spans="1:20" x14ac:dyDescent="0.3">
      <c r="A227" s="13">
        <v>43895.708333333336</v>
      </c>
      <c r="B227" s="12" t="s">
        <v>22</v>
      </c>
      <c r="C227" s="82">
        <v>19</v>
      </c>
      <c r="D227" s="12" t="s">
        <v>56</v>
      </c>
      <c r="E227" s="82">
        <v>3811569725</v>
      </c>
      <c r="F227" s="82">
        <v>133623567</v>
      </c>
      <c r="G227" s="82">
        <v>5</v>
      </c>
      <c r="H227" s="82">
        <v>0</v>
      </c>
      <c r="I227" s="82">
        <v>5</v>
      </c>
      <c r="J227" s="82">
        <v>11</v>
      </c>
      <c r="K227" s="82">
        <v>16</v>
      </c>
      <c r="L227" s="82">
        <v>0</v>
      </c>
      <c r="M227" s="82">
        <v>0</v>
      </c>
      <c r="N227" s="82">
        <v>2</v>
      </c>
      <c r="O227" s="82">
        <v>0</v>
      </c>
      <c r="P227" s="82">
        <v>18</v>
      </c>
      <c r="Q227" s="82">
        <v>367</v>
      </c>
      <c r="R227" s="12" t="s">
        <v>25</v>
      </c>
      <c r="S227" s="12" t="s">
        <v>25</v>
      </c>
      <c r="T227" s="12" t="s">
        <v>25</v>
      </c>
    </row>
    <row r="228" spans="1:20" x14ac:dyDescent="0.3">
      <c r="A228" s="13">
        <v>43895.708333333336</v>
      </c>
      <c r="B228" s="12" t="s">
        <v>22</v>
      </c>
      <c r="C228" s="82">
        <v>9</v>
      </c>
      <c r="D228" s="12" t="s">
        <v>57</v>
      </c>
      <c r="E228" s="82">
        <v>4376923077</v>
      </c>
      <c r="F228" s="82">
        <v>1125588885</v>
      </c>
      <c r="G228" s="82">
        <v>26</v>
      </c>
      <c r="H228" s="82">
        <v>3</v>
      </c>
      <c r="I228" s="82">
        <v>29</v>
      </c>
      <c r="J228" s="82">
        <v>31</v>
      </c>
      <c r="K228" s="82">
        <v>60</v>
      </c>
      <c r="L228" s="82">
        <v>23</v>
      </c>
      <c r="M228" s="82">
        <v>23</v>
      </c>
      <c r="N228" s="82">
        <v>1</v>
      </c>
      <c r="O228" s="82">
        <v>0</v>
      </c>
      <c r="P228" s="82">
        <v>61</v>
      </c>
      <c r="Q228" s="82">
        <v>776</v>
      </c>
      <c r="R228" s="12" t="s">
        <v>25</v>
      </c>
      <c r="S228" s="12" t="s">
        <v>25</v>
      </c>
      <c r="T228" s="12" t="s">
        <v>25</v>
      </c>
    </row>
    <row r="229" spans="1:20" x14ac:dyDescent="0.3">
      <c r="A229" s="13">
        <v>43895.708333333336</v>
      </c>
      <c r="B229" s="12" t="s">
        <v>22</v>
      </c>
      <c r="C229" s="82">
        <v>4</v>
      </c>
      <c r="D229" s="12" t="s">
        <v>58</v>
      </c>
      <c r="E229" s="82">
        <v>4606893511</v>
      </c>
      <c r="F229" s="82">
        <v>1112123097</v>
      </c>
      <c r="G229" s="82">
        <v>2</v>
      </c>
      <c r="H229" s="82">
        <v>0</v>
      </c>
      <c r="I229" s="82">
        <v>2</v>
      </c>
      <c r="J229" s="82">
        <v>5</v>
      </c>
      <c r="K229" s="82">
        <v>7</v>
      </c>
      <c r="L229" s="82">
        <v>2</v>
      </c>
      <c r="M229" s="82">
        <v>2</v>
      </c>
      <c r="N229" s="82">
        <v>0</v>
      </c>
      <c r="O229" s="82">
        <v>0</v>
      </c>
      <c r="P229" s="82">
        <v>7</v>
      </c>
      <c r="Q229" s="82">
        <v>122</v>
      </c>
      <c r="R229" s="12" t="s">
        <v>25</v>
      </c>
      <c r="S229" s="12" t="s">
        <v>25</v>
      </c>
      <c r="T229" s="12" t="s">
        <v>25</v>
      </c>
    </row>
    <row r="230" spans="1:20" x14ac:dyDescent="0.3">
      <c r="A230" s="13">
        <v>43895.708333333336</v>
      </c>
      <c r="B230" s="12" t="s">
        <v>22</v>
      </c>
      <c r="C230" s="82">
        <v>10</v>
      </c>
      <c r="D230" s="12" t="s">
        <v>59</v>
      </c>
      <c r="E230" s="82">
        <v>4310675841</v>
      </c>
      <c r="F230" s="82">
        <v>1238824698</v>
      </c>
      <c r="G230" s="82">
        <v>1</v>
      </c>
      <c r="H230" s="82">
        <v>1</v>
      </c>
      <c r="I230" s="82">
        <v>2</v>
      </c>
      <c r="J230" s="82">
        <v>7</v>
      </c>
      <c r="K230" s="82">
        <v>9</v>
      </c>
      <c r="L230" s="82">
        <v>0</v>
      </c>
      <c r="M230" s="82">
        <v>0</v>
      </c>
      <c r="N230" s="82">
        <v>0</v>
      </c>
      <c r="O230" s="82">
        <v>0</v>
      </c>
      <c r="P230" s="82">
        <v>9</v>
      </c>
      <c r="Q230" s="82">
        <v>88</v>
      </c>
      <c r="R230" s="12" t="s">
        <v>25</v>
      </c>
      <c r="S230" s="12" t="s">
        <v>25</v>
      </c>
      <c r="T230" s="12" t="s">
        <v>25</v>
      </c>
    </row>
    <row r="231" spans="1:20" x14ac:dyDescent="0.3">
      <c r="A231" s="13">
        <v>43895.708333333336</v>
      </c>
      <c r="B231" s="12" t="s">
        <v>22</v>
      </c>
      <c r="C231" s="82">
        <v>2</v>
      </c>
      <c r="D231" s="12" t="s">
        <v>60</v>
      </c>
      <c r="E231" s="82">
        <v>4573750286</v>
      </c>
      <c r="F231" s="82">
        <v>7320149366</v>
      </c>
      <c r="G231" s="82">
        <v>0</v>
      </c>
      <c r="H231" s="82">
        <v>0</v>
      </c>
      <c r="I231" s="82">
        <v>0</v>
      </c>
      <c r="J231" s="82">
        <v>2</v>
      </c>
      <c r="K231" s="82">
        <v>2</v>
      </c>
      <c r="L231" s="82">
        <v>2</v>
      </c>
      <c r="M231" s="82">
        <v>2</v>
      </c>
      <c r="N231" s="82">
        <v>0</v>
      </c>
      <c r="O231" s="82">
        <v>0</v>
      </c>
      <c r="P231" s="82">
        <v>2</v>
      </c>
      <c r="Q231" s="82">
        <v>21</v>
      </c>
      <c r="R231" s="12" t="s">
        <v>25</v>
      </c>
      <c r="S231" s="12" t="s">
        <v>25</v>
      </c>
      <c r="T231" s="12" t="s">
        <v>25</v>
      </c>
    </row>
    <row r="232" spans="1:20" x14ac:dyDescent="0.3">
      <c r="A232" s="13">
        <v>43895.708333333336</v>
      </c>
      <c r="B232" s="12" t="s">
        <v>22</v>
      </c>
      <c r="C232" s="82">
        <v>5</v>
      </c>
      <c r="D232" s="12" t="s">
        <v>61</v>
      </c>
      <c r="E232" s="82">
        <v>4543490485</v>
      </c>
      <c r="F232" s="82">
        <v>1233845213</v>
      </c>
      <c r="G232" s="82">
        <v>92</v>
      </c>
      <c r="H232" s="82">
        <v>24</v>
      </c>
      <c r="I232" s="82">
        <v>116</v>
      </c>
      <c r="J232" s="82">
        <v>264</v>
      </c>
      <c r="K232" s="82">
        <v>380</v>
      </c>
      <c r="L232" s="82">
        <v>35</v>
      </c>
      <c r="M232" s="82">
        <v>47</v>
      </c>
      <c r="N232" s="82">
        <v>17</v>
      </c>
      <c r="O232" s="82">
        <v>10</v>
      </c>
      <c r="P232" s="82">
        <v>407</v>
      </c>
      <c r="Q232" s="82">
        <v>11949</v>
      </c>
      <c r="R232" s="12" t="s">
        <v>25</v>
      </c>
      <c r="S232" s="12" t="s">
        <v>25</v>
      </c>
      <c r="T232" s="12" t="s">
        <v>25</v>
      </c>
    </row>
    <row r="233" spans="1:20" x14ac:dyDescent="0.3">
      <c r="A233" s="13">
        <v>43896.708333333336</v>
      </c>
      <c r="B233" s="12" t="s">
        <v>22</v>
      </c>
      <c r="C233" s="82">
        <v>13</v>
      </c>
      <c r="D233" s="12" t="s">
        <v>42</v>
      </c>
      <c r="E233" s="82">
        <v>4235122196</v>
      </c>
      <c r="F233" s="82">
        <v>1339843823</v>
      </c>
      <c r="G233" s="82">
        <v>9</v>
      </c>
      <c r="H233" s="82">
        <v>0</v>
      </c>
      <c r="I233" s="82">
        <v>9</v>
      </c>
      <c r="J233" s="82">
        <v>0</v>
      </c>
      <c r="K233" s="82">
        <v>9</v>
      </c>
      <c r="L233" s="82">
        <v>1</v>
      </c>
      <c r="M233" s="82">
        <v>1</v>
      </c>
      <c r="N233" s="82">
        <v>0</v>
      </c>
      <c r="O233" s="82">
        <v>0</v>
      </c>
      <c r="P233" s="82">
        <v>9</v>
      </c>
      <c r="Q233" s="82">
        <v>96</v>
      </c>
      <c r="R233" s="12" t="s">
        <v>25</v>
      </c>
      <c r="S233" s="12" t="s">
        <v>25</v>
      </c>
      <c r="T233" s="12" t="s">
        <v>25</v>
      </c>
    </row>
    <row r="234" spans="1:20" x14ac:dyDescent="0.3">
      <c r="A234" s="13">
        <v>43896.708333333336</v>
      </c>
      <c r="B234" s="12" t="s">
        <v>22</v>
      </c>
      <c r="C234" s="82">
        <v>17</v>
      </c>
      <c r="D234" s="12" t="s">
        <v>43</v>
      </c>
      <c r="E234" s="82">
        <v>4063947052</v>
      </c>
      <c r="F234" s="82">
        <v>1580514834</v>
      </c>
      <c r="G234" s="82">
        <v>1</v>
      </c>
      <c r="H234" s="82">
        <v>0</v>
      </c>
      <c r="I234" s="82">
        <v>1</v>
      </c>
      <c r="J234" s="82">
        <v>2</v>
      </c>
      <c r="K234" s="82">
        <v>3</v>
      </c>
      <c r="L234" s="82">
        <v>2</v>
      </c>
      <c r="M234" s="82">
        <v>2</v>
      </c>
      <c r="N234" s="82">
        <v>0</v>
      </c>
      <c r="O234" s="82">
        <v>0</v>
      </c>
      <c r="P234" s="82">
        <v>3</v>
      </c>
      <c r="Q234" s="82">
        <v>63</v>
      </c>
      <c r="R234" s="12" t="s">
        <v>25</v>
      </c>
      <c r="S234" s="12" t="s">
        <v>25</v>
      </c>
      <c r="T234" s="12" t="s">
        <v>25</v>
      </c>
    </row>
    <row r="235" spans="1:20" x14ac:dyDescent="0.3">
      <c r="A235" s="13">
        <v>43896.708333333336</v>
      </c>
      <c r="B235" s="12" t="s">
        <v>22</v>
      </c>
      <c r="C235" s="82">
        <v>4</v>
      </c>
      <c r="D235" s="12" t="s">
        <v>44</v>
      </c>
      <c r="E235" s="82">
        <v>4649933453</v>
      </c>
      <c r="F235" s="82">
        <v>1135662422</v>
      </c>
      <c r="G235" s="82">
        <v>4</v>
      </c>
      <c r="H235" s="82">
        <v>0</v>
      </c>
      <c r="I235" s="82">
        <v>4</v>
      </c>
      <c r="J235" s="82">
        <v>0</v>
      </c>
      <c r="K235" s="82">
        <v>4</v>
      </c>
      <c r="L235" s="82">
        <v>3</v>
      </c>
      <c r="M235" s="82">
        <v>3</v>
      </c>
      <c r="N235" s="82">
        <v>0</v>
      </c>
      <c r="O235" s="82">
        <v>0</v>
      </c>
      <c r="P235" s="82">
        <v>4</v>
      </c>
      <c r="Q235" s="82">
        <v>36</v>
      </c>
      <c r="R235" s="12" t="s">
        <v>25</v>
      </c>
      <c r="S235" s="12" t="s">
        <v>25</v>
      </c>
      <c r="T235" s="12" t="s">
        <v>25</v>
      </c>
    </row>
    <row r="236" spans="1:20" x14ac:dyDescent="0.3">
      <c r="A236" s="13">
        <v>43896.708333333336</v>
      </c>
      <c r="B236" s="12" t="s">
        <v>22</v>
      </c>
      <c r="C236" s="82">
        <v>18</v>
      </c>
      <c r="D236" s="12" t="s">
        <v>45</v>
      </c>
      <c r="E236" s="82">
        <v>3890597598</v>
      </c>
      <c r="F236" s="82">
        <v>1659440194</v>
      </c>
      <c r="G236" s="82">
        <v>2</v>
      </c>
      <c r="H236" s="82">
        <v>0</v>
      </c>
      <c r="I236" s="82">
        <v>2</v>
      </c>
      <c r="J236" s="82">
        <v>2</v>
      </c>
      <c r="K236" s="82">
        <v>4</v>
      </c>
      <c r="L236" s="82">
        <v>2</v>
      </c>
      <c r="M236" s="82">
        <v>2</v>
      </c>
      <c r="N236" s="82">
        <v>0</v>
      </c>
      <c r="O236" s="82">
        <v>0</v>
      </c>
      <c r="P236" s="82">
        <v>4</v>
      </c>
      <c r="Q236" s="82">
        <v>99</v>
      </c>
      <c r="R236" s="12" t="s">
        <v>25</v>
      </c>
      <c r="S236" s="12" t="s">
        <v>25</v>
      </c>
      <c r="T236" s="12" t="s">
        <v>25</v>
      </c>
    </row>
    <row r="237" spans="1:20" x14ac:dyDescent="0.3">
      <c r="A237" s="13">
        <v>43896.708333333336</v>
      </c>
      <c r="B237" s="12" t="s">
        <v>22</v>
      </c>
      <c r="C237" s="82">
        <v>15</v>
      </c>
      <c r="D237" s="12" t="s">
        <v>46</v>
      </c>
      <c r="E237" s="82">
        <v>4083956555</v>
      </c>
      <c r="F237" s="82">
        <v>1425084984</v>
      </c>
      <c r="G237" s="82">
        <v>12</v>
      </c>
      <c r="H237" s="82">
        <v>0</v>
      </c>
      <c r="I237" s="82">
        <v>12</v>
      </c>
      <c r="J237" s="82">
        <v>45</v>
      </c>
      <c r="K237" s="82">
        <v>57</v>
      </c>
      <c r="L237" s="82">
        <v>12</v>
      </c>
      <c r="M237" s="82">
        <v>12</v>
      </c>
      <c r="N237" s="82">
        <v>0</v>
      </c>
      <c r="O237" s="82">
        <v>0</v>
      </c>
      <c r="P237" s="82">
        <v>57</v>
      </c>
      <c r="Q237" s="82">
        <v>471</v>
      </c>
      <c r="R237" s="12" t="s">
        <v>25</v>
      </c>
      <c r="S237" s="12" t="s">
        <v>25</v>
      </c>
      <c r="T237" s="12" t="s">
        <v>25</v>
      </c>
    </row>
    <row r="238" spans="1:20" x14ac:dyDescent="0.3">
      <c r="A238" s="13">
        <v>43896.708333333336</v>
      </c>
      <c r="B238" s="12" t="s">
        <v>22</v>
      </c>
      <c r="C238" s="82">
        <v>8</v>
      </c>
      <c r="D238" s="12" t="s">
        <v>95</v>
      </c>
      <c r="E238" s="82">
        <v>4449436681</v>
      </c>
      <c r="F238" s="82">
        <v>113417208</v>
      </c>
      <c r="G238" s="82">
        <v>397</v>
      </c>
      <c r="H238" s="82">
        <v>53</v>
      </c>
      <c r="I238" s="82">
        <v>450</v>
      </c>
      <c r="J238" s="82">
        <v>366</v>
      </c>
      <c r="K238" s="82">
        <v>816</v>
      </c>
      <c r="L238" s="82">
        <v>158</v>
      </c>
      <c r="M238" s="82">
        <v>172</v>
      </c>
      <c r="N238" s="82">
        <v>17</v>
      </c>
      <c r="O238" s="82">
        <v>37</v>
      </c>
      <c r="P238" s="82">
        <v>870</v>
      </c>
      <c r="Q238" s="82">
        <v>3136</v>
      </c>
      <c r="R238" s="12" t="s">
        <v>25</v>
      </c>
      <c r="S238" s="12" t="s">
        <v>25</v>
      </c>
      <c r="T238" s="12" t="s">
        <v>25</v>
      </c>
    </row>
    <row r="239" spans="1:20" x14ac:dyDescent="0.3">
      <c r="A239" s="13">
        <v>43896.708333333336</v>
      </c>
      <c r="B239" s="12" t="s">
        <v>22</v>
      </c>
      <c r="C239" s="82">
        <v>6</v>
      </c>
      <c r="D239" s="12" t="s">
        <v>47</v>
      </c>
      <c r="E239" s="82">
        <v>456494354</v>
      </c>
      <c r="F239" s="82">
        <v>1376813649</v>
      </c>
      <c r="G239" s="82">
        <v>4</v>
      </c>
      <c r="H239" s="82">
        <v>0</v>
      </c>
      <c r="I239" s="82">
        <v>4</v>
      </c>
      <c r="J239" s="82">
        <v>24</v>
      </c>
      <c r="K239" s="82">
        <v>28</v>
      </c>
      <c r="L239" s="82">
        <v>7</v>
      </c>
      <c r="M239" s="82">
        <v>10</v>
      </c>
      <c r="N239" s="82">
        <v>3</v>
      </c>
      <c r="O239" s="82">
        <v>0</v>
      </c>
      <c r="P239" s="82">
        <v>31</v>
      </c>
      <c r="Q239" s="82">
        <v>577</v>
      </c>
      <c r="R239" s="12" t="s">
        <v>25</v>
      </c>
      <c r="S239" s="12" t="s">
        <v>25</v>
      </c>
      <c r="T239" s="12" t="s">
        <v>25</v>
      </c>
    </row>
    <row r="240" spans="1:20" x14ac:dyDescent="0.3">
      <c r="A240" s="13">
        <v>43896.708333333336</v>
      </c>
      <c r="B240" s="12" t="s">
        <v>22</v>
      </c>
      <c r="C240" s="82">
        <v>12</v>
      </c>
      <c r="D240" s="12" t="s">
        <v>48</v>
      </c>
      <c r="E240" s="82">
        <v>4189277044</v>
      </c>
      <c r="F240" s="82">
        <v>1248366722</v>
      </c>
      <c r="G240" s="82">
        <v>26</v>
      </c>
      <c r="H240" s="82">
        <v>8</v>
      </c>
      <c r="I240" s="82">
        <v>34</v>
      </c>
      <c r="J240" s="82">
        <v>16</v>
      </c>
      <c r="K240" s="82">
        <v>50</v>
      </c>
      <c r="L240" s="82">
        <v>9</v>
      </c>
      <c r="M240" s="82">
        <v>10</v>
      </c>
      <c r="N240" s="82">
        <v>3</v>
      </c>
      <c r="O240" s="82">
        <v>1</v>
      </c>
      <c r="P240" s="82">
        <v>54</v>
      </c>
      <c r="Q240" s="82">
        <v>1373</v>
      </c>
      <c r="R240" s="12" t="s">
        <v>25</v>
      </c>
      <c r="S240" s="12" t="s">
        <v>25</v>
      </c>
      <c r="T240" s="12" t="s">
        <v>25</v>
      </c>
    </row>
    <row r="241" spans="1:20" x14ac:dyDescent="0.3">
      <c r="A241" s="13">
        <v>43896.708333333336</v>
      </c>
      <c r="B241" s="12" t="s">
        <v>22</v>
      </c>
      <c r="C241" s="82">
        <v>7</v>
      </c>
      <c r="D241" s="12" t="s">
        <v>49</v>
      </c>
      <c r="E241" s="82">
        <v>4441149315</v>
      </c>
      <c r="F241" s="82">
        <v>89326992</v>
      </c>
      <c r="G241" s="82">
        <v>12</v>
      </c>
      <c r="H241" s="82">
        <v>5</v>
      </c>
      <c r="I241" s="82">
        <v>17</v>
      </c>
      <c r="J241" s="82">
        <v>7</v>
      </c>
      <c r="K241" s="82">
        <v>24</v>
      </c>
      <c r="L241" s="82">
        <v>3</v>
      </c>
      <c r="M241" s="82">
        <v>4</v>
      </c>
      <c r="N241" s="82">
        <v>5</v>
      </c>
      <c r="O241" s="82">
        <v>3</v>
      </c>
      <c r="P241" s="82">
        <v>32</v>
      </c>
      <c r="Q241" s="82">
        <v>229</v>
      </c>
      <c r="R241" s="12" t="s">
        <v>25</v>
      </c>
      <c r="S241" s="12" t="s">
        <v>25</v>
      </c>
      <c r="T241" s="12" t="s">
        <v>25</v>
      </c>
    </row>
    <row r="242" spans="1:20" x14ac:dyDescent="0.3">
      <c r="A242" s="13">
        <v>43896.708333333336</v>
      </c>
      <c r="B242" s="12" t="s">
        <v>22</v>
      </c>
      <c r="C242" s="82">
        <v>3</v>
      </c>
      <c r="D242" s="12" t="s">
        <v>50</v>
      </c>
      <c r="E242" s="82">
        <v>4546679409</v>
      </c>
      <c r="F242" s="82">
        <v>9190347404</v>
      </c>
      <c r="G242" s="82">
        <v>1622</v>
      </c>
      <c r="H242" s="82">
        <v>309</v>
      </c>
      <c r="I242" s="82">
        <v>1931</v>
      </c>
      <c r="J242" s="82">
        <v>77</v>
      </c>
      <c r="K242" s="82">
        <v>2008</v>
      </c>
      <c r="L242" s="82">
        <v>231</v>
      </c>
      <c r="M242" s="82">
        <v>361</v>
      </c>
      <c r="N242" s="82">
        <v>469</v>
      </c>
      <c r="O242" s="82">
        <v>135</v>
      </c>
      <c r="P242" s="82">
        <v>2612</v>
      </c>
      <c r="Q242" s="82">
        <v>13556</v>
      </c>
      <c r="R242" s="12" t="s">
        <v>25</v>
      </c>
      <c r="S242" s="12" t="s">
        <v>25</v>
      </c>
      <c r="T242" s="12" t="s">
        <v>25</v>
      </c>
    </row>
    <row r="243" spans="1:20" x14ac:dyDescent="0.3">
      <c r="A243" s="13">
        <v>43896.708333333336</v>
      </c>
      <c r="B243" s="12" t="s">
        <v>22</v>
      </c>
      <c r="C243" s="82">
        <v>11</v>
      </c>
      <c r="D243" s="12" t="s">
        <v>51</v>
      </c>
      <c r="E243" s="82">
        <v>4361675973</v>
      </c>
      <c r="F243" s="82">
        <v>135188753</v>
      </c>
      <c r="G243" s="82">
        <v>73</v>
      </c>
      <c r="H243" s="82">
        <v>20</v>
      </c>
      <c r="I243" s="82">
        <v>93</v>
      </c>
      <c r="J243" s="82">
        <v>62</v>
      </c>
      <c r="K243" s="82">
        <v>155</v>
      </c>
      <c r="L243" s="82">
        <v>35</v>
      </c>
      <c r="M243" s="82">
        <v>35</v>
      </c>
      <c r="N243" s="82">
        <v>0</v>
      </c>
      <c r="O243" s="82">
        <v>4</v>
      </c>
      <c r="P243" s="82">
        <v>159</v>
      </c>
      <c r="Q243" s="82">
        <v>585</v>
      </c>
      <c r="R243" s="12" t="s">
        <v>25</v>
      </c>
      <c r="S243" s="12" t="s">
        <v>25</v>
      </c>
      <c r="T243" s="12" t="s">
        <v>25</v>
      </c>
    </row>
    <row r="244" spans="1:20" x14ac:dyDescent="0.3">
      <c r="A244" s="13">
        <v>43896.708333333336</v>
      </c>
      <c r="B244" s="12" t="s">
        <v>22</v>
      </c>
      <c r="C244" s="82">
        <v>14</v>
      </c>
      <c r="D244" s="12" t="s">
        <v>52</v>
      </c>
      <c r="E244" s="82">
        <v>4155774754</v>
      </c>
      <c r="F244" s="82">
        <v>1465916051</v>
      </c>
      <c r="G244" s="82">
        <v>3</v>
      </c>
      <c r="H244" s="82">
        <v>2</v>
      </c>
      <c r="I244" s="82">
        <v>5</v>
      </c>
      <c r="J244" s="82">
        <v>7</v>
      </c>
      <c r="K244" s="82">
        <v>12</v>
      </c>
      <c r="L244" s="82">
        <v>5</v>
      </c>
      <c r="M244" s="82">
        <v>5</v>
      </c>
      <c r="N244" s="82">
        <v>0</v>
      </c>
      <c r="O244" s="82">
        <v>0</v>
      </c>
      <c r="P244" s="82">
        <v>12</v>
      </c>
      <c r="Q244" s="82">
        <v>104</v>
      </c>
      <c r="R244" s="12" t="s">
        <v>25</v>
      </c>
      <c r="S244" s="12" t="s">
        <v>25</v>
      </c>
      <c r="T244" s="12" t="s">
        <v>25</v>
      </c>
    </row>
    <row r="245" spans="1:20" x14ac:dyDescent="0.3">
      <c r="A245" s="13">
        <v>43896.708333333336</v>
      </c>
      <c r="B245" s="12" t="s">
        <v>22</v>
      </c>
      <c r="C245" s="82">
        <v>1</v>
      </c>
      <c r="D245" s="12" t="s">
        <v>53</v>
      </c>
      <c r="E245" s="82">
        <v>450732745</v>
      </c>
      <c r="F245" s="82">
        <v>7680687483</v>
      </c>
      <c r="G245" s="82">
        <v>57</v>
      </c>
      <c r="H245" s="82">
        <v>30</v>
      </c>
      <c r="I245" s="82">
        <v>87</v>
      </c>
      <c r="J245" s="82">
        <v>52</v>
      </c>
      <c r="K245" s="82">
        <v>139</v>
      </c>
      <c r="L245" s="82">
        <v>33</v>
      </c>
      <c r="M245" s="82">
        <v>35</v>
      </c>
      <c r="N245" s="82">
        <v>0</v>
      </c>
      <c r="O245" s="82">
        <v>4</v>
      </c>
      <c r="P245" s="82">
        <v>143</v>
      </c>
      <c r="Q245" s="82">
        <v>793</v>
      </c>
      <c r="R245" s="12" t="s">
        <v>25</v>
      </c>
      <c r="S245" s="12" t="s">
        <v>25</v>
      </c>
      <c r="T245" s="12" t="s">
        <v>25</v>
      </c>
    </row>
    <row r="246" spans="1:20" x14ac:dyDescent="0.3">
      <c r="A246" s="13">
        <v>43896.708333333336</v>
      </c>
      <c r="B246" s="12" t="s">
        <v>22</v>
      </c>
      <c r="C246" s="82">
        <v>16</v>
      </c>
      <c r="D246" s="12" t="s">
        <v>54</v>
      </c>
      <c r="E246" s="82">
        <v>4112559576</v>
      </c>
      <c r="F246" s="82">
        <v>1686736689</v>
      </c>
      <c r="G246" s="82">
        <v>5</v>
      </c>
      <c r="H246" s="82">
        <v>1</v>
      </c>
      <c r="I246" s="82">
        <v>6</v>
      </c>
      <c r="J246" s="82">
        <v>9</v>
      </c>
      <c r="K246" s="82">
        <v>15</v>
      </c>
      <c r="L246" s="82">
        <v>3</v>
      </c>
      <c r="M246" s="82">
        <v>3</v>
      </c>
      <c r="N246" s="82">
        <v>1</v>
      </c>
      <c r="O246" s="82">
        <v>1</v>
      </c>
      <c r="P246" s="82">
        <v>17</v>
      </c>
      <c r="Q246" s="82">
        <v>395</v>
      </c>
      <c r="R246" s="12" t="s">
        <v>25</v>
      </c>
      <c r="S246" s="12" t="s">
        <v>25</v>
      </c>
      <c r="T246" s="12" t="s">
        <v>25</v>
      </c>
    </row>
    <row r="247" spans="1:20" x14ac:dyDescent="0.3">
      <c r="A247" s="13">
        <v>43896.708333333336</v>
      </c>
      <c r="B247" s="12" t="s">
        <v>22</v>
      </c>
      <c r="C247" s="82">
        <v>20</v>
      </c>
      <c r="D247" s="12" t="s">
        <v>55</v>
      </c>
      <c r="E247" s="82">
        <v>3921531192</v>
      </c>
      <c r="F247" s="82">
        <v>9110616306</v>
      </c>
      <c r="G247" s="82">
        <v>2</v>
      </c>
      <c r="H247" s="82">
        <v>0</v>
      </c>
      <c r="I247" s="82">
        <v>2</v>
      </c>
      <c r="J247" s="82">
        <v>3</v>
      </c>
      <c r="K247" s="82">
        <v>5</v>
      </c>
      <c r="L247" s="82">
        <v>3</v>
      </c>
      <c r="M247" s="82">
        <v>3</v>
      </c>
      <c r="N247" s="82">
        <v>0</v>
      </c>
      <c r="O247" s="82">
        <v>0</v>
      </c>
      <c r="P247" s="82">
        <v>5</v>
      </c>
      <c r="Q247" s="82">
        <v>99</v>
      </c>
      <c r="R247" s="12" t="s">
        <v>25</v>
      </c>
      <c r="S247" s="12" t="s">
        <v>25</v>
      </c>
      <c r="T247" s="12" t="s">
        <v>25</v>
      </c>
    </row>
    <row r="248" spans="1:20" x14ac:dyDescent="0.3">
      <c r="A248" s="13">
        <v>43896.708333333336</v>
      </c>
      <c r="B248" s="12" t="s">
        <v>22</v>
      </c>
      <c r="C248" s="82">
        <v>19</v>
      </c>
      <c r="D248" s="12" t="s">
        <v>56</v>
      </c>
      <c r="E248" s="82">
        <v>3811569725</v>
      </c>
      <c r="F248" s="82">
        <v>133623567</v>
      </c>
      <c r="G248" s="82">
        <v>7</v>
      </c>
      <c r="H248" s="82">
        <v>0</v>
      </c>
      <c r="I248" s="82">
        <v>7</v>
      </c>
      <c r="J248" s="82">
        <v>15</v>
      </c>
      <c r="K248" s="82">
        <v>22</v>
      </c>
      <c r="L248" s="82">
        <v>6</v>
      </c>
      <c r="M248" s="82">
        <v>6</v>
      </c>
      <c r="N248" s="82">
        <v>2</v>
      </c>
      <c r="O248" s="82">
        <v>0</v>
      </c>
      <c r="P248" s="82">
        <v>24</v>
      </c>
      <c r="Q248" s="82">
        <v>367</v>
      </c>
      <c r="R248" s="12" t="s">
        <v>25</v>
      </c>
      <c r="S248" s="12" t="s">
        <v>25</v>
      </c>
      <c r="T248" s="12" t="s">
        <v>25</v>
      </c>
    </row>
    <row r="249" spans="1:20" x14ac:dyDescent="0.3">
      <c r="A249" s="13">
        <v>43896.708333333336</v>
      </c>
      <c r="B249" s="12" t="s">
        <v>22</v>
      </c>
      <c r="C249" s="82">
        <v>9</v>
      </c>
      <c r="D249" s="12" t="s">
        <v>57</v>
      </c>
      <c r="E249" s="82">
        <v>4376923077</v>
      </c>
      <c r="F249" s="82">
        <v>1125588885</v>
      </c>
      <c r="G249" s="82">
        <v>35</v>
      </c>
      <c r="H249" s="82">
        <v>5</v>
      </c>
      <c r="I249" s="82">
        <v>40</v>
      </c>
      <c r="J249" s="82">
        <v>38</v>
      </c>
      <c r="K249" s="82">
        <v>78</v>
      </c>
      <c r="L249" s="82">
        <v>18</v>
      </c>
      <c r="M249" s="82">
        <v>18</v>
      </c>
      <c r="N249" s="82">
        <v>1</v>
      </c>
      <c r="O249" s="82">
        <v>0</v>
      </c>
      <c r="P249" s="82">
        <v>79</v>
      </c>
      <c r="Q249" s="82">
        <v>1097</v>
      </c>
      <c r="R249" s="12" t="s">
        <v>25</v>
      </c>
      <c r="S249" s="12" t="s">
        <v>25</v>
      </c>
      <c r="T249" s="12" t="s">
        <v>25</v>
      </c>
    </row>
    <row r="250" spans="1:20" x14ac:dyDescent="0.3">
      <c r="A250" s="13">
        <v>43896.708333333336</v>
      </c>
      <c r="B250" s="12" t="s">
        <v>22</v>
      </c>
      <c r="C250" s="82">
        <v>4</v>
      </c>
      <c r="D250" s="12" t="s">
        <v>58</v>
      </c>
      <c r="E250" s="82">
        <v>4606893511</v>
      </c>
      <c r="F250" s="82">
        <v>1112123097</v>
      </c>
      <c r="G250" s="82">
        <v>4</v>
      </c>
      <c r="H250" s="82">
        <v>0</v>
      </c>
      <c r="I250" s="82">
        <v>4</v>
      </c>
      <c r="J250" s="82">
        <v>6</v>
      </c>
      <c r="K250" s="82">
        <v>10</v>
      </c>
      <c r="L250" s="82">
        <v>3</v>
      </c>
      <c r="M250" s="82">
        <v>3</v>
      </c>
      <c r="N250" s="82">
        <v>0</v>
      </c>
      <c r="O250" s="82">
        <v>0</v>
      </c>
      <c r="P250" s="82">
        <v>10</v>
      </c>
      <c r="Q250" s="82">
        <v>122</v>
      </c>
      <c r="R250" s="12" t="s">
        <v>25</v>
      </c>
      <c r="S250" s="12" t="s">
        <v>25</v>
      </c>
      <c r="T250" s="12" t="s">
        <v>25</v>
      </c>
    </row>
    <row r="251" spans="1:20" x14ac:dyDescent="0.3">
      <c r="A251" s="13">
        <v>43896.708333333336</v>
      </c>
      <c r="B251" s="12" t="s">
        <v>22</v>
      </c>
      <c r="C251" s="82">
        <v>10</v>
      </c>
      <c r="D251" s="12" t="s">
        <v>59</v>
      </c>
      <c r="E251" s="82">
        <v>4310675841</v>
      </c>
      <c r="F251" s="82">
        <v>1238824698</v>
      </c>
      <c r="G251" s="82">
        <v>2</v>
      </c>
      <c r="H251" s="82">
        <v>2</v>
      </c>
      <c r="I251" s="82">
        <v>4</v>
      </c>
      <c r="J251" s="82">
        <v>12</v>
      </c>
      <c r="K251" s="82">
        <v>16</v>
      </c>
      <c r="L251" s="82">
        <v>7</v>
      </c>
      <c r="M251" s="82">
        <v>7</v>
      </c>
      <c r="N251" s="82">
        <v>0</v>
      </c>
      <c r="O251" s="82">
        <v>0</v>
      </c>
      <c r="P251" s="82">
        <v>16</v>
      </c>
      <c r="Q251" s="82">
        <v>110</v>
      </c>
      <c r="R251" s="12" t="s">
        <v>25</v>
      </c>
      <c r="S251" s="12" t="s">
        <v>25</v>
      </c>
      <c r="T251" s="12" t="s">
        <v>25</v>
      </c>
    </row>
    <row r="252" spans="1:20" x14ac:dyDescent="0.3">
      <c r="A252" s="13">
        <v>43896.708333333336</v>
      </c>
      <c r="B252" s="12" t="s">
        <v>22</v>
      </c>
      <c r="C252" s="82">
        <v>2</v>
      </c>
      <c r="D252" s="12" t="s">
        <v>60</v>
      </c>
      <c r="E252" s="82">
        <v>4573750286</v>
      </c>
      <c r="F252" s="82">
        <v>7320149366</v>
      </c>
      <c r="G252" s="82">
        <v>0</v>
      </c>
      <c r="H252" s="82">
        <v>0</v>
      </c>
      <c r="I252" s="82">
        <v>0</v>
      </c>
      <c r="J252" s="82">
        <v>7</v>
      </c>
      <c r="K252" s="82">
        <v>7</v>
      </c>
      <c r="L252" s="82">
        <v>5</v>
      </c>
      <c r="M252" s="82">
        <v>5</v>
      </c>
      <c r="N252" s="82">
        <v>0</v>
      </c>
      <c r="O252" s="82">
        <v>0</v>
      </c>
      <c r="P252" s="82">
        <v>7</v>
      </c>
      <c r="Q252" s="82">
        <v>28</v>
      </c>
      <c r="R252" s="12" t="s">
        <v>25</v>
      </c>
      <c r="S252" s="12" t="s">
        <v>25</v>
      </c>
      <c r="T252" s="12" t="s">
        <v>25</v>
      </c>
    </row>
    <row r="253" spans="1:20" x14ac:dyDescent="0.3">
      <c r="A253" s="13">
        <v>43896.708333333336</v>
      </c>
      <c r="B253" s="12" t="s">
        <v>22</v>
      </c>
      <c r="C253" s="82">
        <v>5</v>
      </c>
      <c r="D253" s="12" t="s">
        <v>61</v>
      </c>
      <c r="E253" s="82">
        <v>4543490485</v>
      </c>
      <c r="F253" s="82">
        <v>1233845213</v>
      </c>
      <c r="G253" s="82">
        <v>117</v>
      </c>
      <c r="H253" s="82">
        <v>27</v>
      </c>
      <c r="I253" s="82">
        <v>144</v>
      </c>
      <c r="J253" s="82">
        <v>310</v>
      </c>
      <c r="K253" s="82">
        <v>454</v>
      </c>
      <c r="L253" s="82">
        <v>74</v>
      </c>
      <c r="M253" s="82">
        <v>81</v>
      </c>
      <c r="N253" s="82">
        <v>22</v>
      </c>
      <c r="O253" s="82">
        <v>12</v>
      </c>
      <c r="P253" s="82">
        <v>488</v>
      </c>
      <c r="Q253" s="82">
        <v>13023</v>
      </c>
      <c r="R253" s="12" t="s">
        <v>25</v>
      </c>
      <c r="S253" s="12" t="s">
        <v>25</v>
      </c>
      <c r="T253" s="12" t="s">
        <v>25</v>
      </c>
    </row>
    <row r="254" spans="1:20" x14ac:dyDescent="0.3">
      <c r="A254" s="13">
        <v>43897.75</v>
      </c>
      <c r="B254" s="12" t="s">
        <v>22</v>
      </c>
      <c r="C254" s="82">
        <v>13</v>
      </c>
      <c r="D254" s="12" t="s">
        <v>42</v>
      </c>
      <c r="E254" s="82">
        <v>4235122196</v>
      </c>
      <c r="F254" s="82">
        <v>1339843823</v>
      </c>
      <c r="G254" s="82">
        <v>11</v>
      </c>
      <c r="H254" s="82">
        <v>0</v>
      </c>
      <c r="I254" s="82">
        <v>11</v>
      </c>
      <c r="J254" s="82">
        <v>0</v>
      </c>
      <c r="K254" s="82">
        <v>11</v>
      </c>
      <c r="L254" s="82">
        <v>2</v>
      </c>
      <c r="M254" s="82">
        <v>2</v>
      </c>
      <c r="N254" s="82">
        <v>0</v>
      </c>
      <c r="O254" s="82">
        <v>0</v>
      </c>
      <c r="P254" s="82">
        <v>11</v>
      </c>
      <c r="Q254" s="82">
        <v>123</v>
      </c>
      <c r="R254" s="12" t="s">
        <v>25</v>
      </c>
      <c r="S254" s="12" t="s">
        <v>25</v>
      </c>
      <c r="T254" s="12" t="s">
        <v>25</v>
      </c>
    </row>
    <row r="255" spans="1:20" x14ac:dyDescent="0.3">
      <c r="A255" s="13">
        <v>43897.75</v>
      </c>
      <c r="B255" s="12" t="s">
        <v>22</v>
      </c>
      <c r="C255" s="82">
        <v>17</v>
      </c>
      <c r="D255" s="12" t="s">
        <v>43</v>
      </c>
      <c r="E255" s="82">
        <v>4063947052</v>
      </c>
      <c r="F255" s="82">
        <v>1580514834</v>
      </c>
      <c r="G255" s="82">
        <v>1</v>
      </c>
      <c r="H255" s="82">
        <v>0</v>
      </c>
      <c r="I255" s="82">
        <v>1</v>
      </c>
      <c r="J255" s="82">
        <v>2</v>
      </c>
      <c r="K255" s="82">
        <v>3</v>
      </c>
      <c r="L255" s="82">
        <v>0</v>
      </c>
      <c r="M255" s="82">
        <v>0</v>
      </c>
      <c r="N255" s="82">
        <v>0</v>
      </c>
      <c r="O255" s="82">
        <v>0</v>
      </c>
      <c r="P255" s="82">
        <v>3</v>
      </c>
      <c r="Q255" s="82">
        <v>75</v>
      </c>
      <c r="R255" s="12" t="s">
        <v>25</v>
      </c>
      <c r="S255" s="12" t="s">
        <v>25</v>
      </c>
      <c r="T255" s="12" t="s">
        <v>25</v>
      </c>
    </row>
    <row r="256" spans="1:20" x14ac:dyDescent="0.3">
      <c r="A256" s="13">
        <v>43897.75</v>
      </c>
      <c r="B256" s="12" t="s">
        <v>22</v>
      </c>
      <c r="C256" s="82">
        <v>4</v>
      </c>
      <c r="D256" s="12" t="s">
        <v>44</v>
      </c>
      <c r="E256" s="82">
        <v>4649933453</v>
      </c>
      <c r="F256" s="82">
        <v>1135662422</v>
      </c>
      <c r="G256" s="82">
        <v>8</v>
      </c>
      <c r="H256" s="82">
        <v>0</v>
      </c>
      <c r="I256" s="82">
        <v>8</v>
      </c>
      <c r="J256" s="82">
        <v>1</v>
      </c>
      <c r="K256" s="82">
        <v>9</v>
      </c>
      <c r="L256" s="82">
        <v>5</v>
      </c>
      <c r="M256" s="82">
        <v>5</v>
      </c>
      <c r="N256" s="82">
        <v>0</v>
      </c>
      <c r="O256" s="82">
        <v>0</v>
      </c>
      <c r="P256" s="82">
        <v>9</v>
      </c>
      <c r="Q256" s="82">
        <v>36</v>
      </c>
      <c r="R256" s="12" t="s">
        <v>25</v>
      </c>
      <c r="S256" s="12" t="s">
        <v>25</v>
      </c>
      <c r="T256" s="12" t="s">
        <v>25</v>
      </c>
    </row>
    <row r="257" spans="1:20" x14ac:dyDescent="0.3">
      <c r="A257" s="13">
        <v>43897.75</v>
      </c>
      <c r="B257" s="12" t="s">
        <v>22</v>
      </c>
      <c r="C257" s="82">
        <v>18</v>
      </c>
      <c r="D257" s="12" t="s">
        <v>45</v>
      </c>
      <c r="E257" s="82">
        <v>3890597598</v>
      </c>
      <c r="F257" s="82">
        <v>1659440194</v>
      </c>
      <c r="G257" s="82">
        <v>2</v>
      </c>
      <c r="H257" s="82">
        <v>0</v>
      </c>
      <c r="I257" s="82">
        <v>2</v>
      </c>
      <c r="J257" s="82">
        <v>2</v>
      </c>
      <c r="K257" s="82">
        <v>4</v>
      </c>
      <c r="L257" s="82">
        <v>0</v>
      </c>
      <c r="M257" s="82">
        <v>0</v>
      </c>
      <c r="N257" s="82">
        <v>0</v>
      </c>
      <c r="O257" s="82">
        <v>0</v>
      </c>
      <c r="P257" s="82">
        <v>4</v>
      </c>
      <c r="Q257" s="82">
        <v>113</v>
      </c>
      <c r="R257" s="12" t="s">
        <v>25</v>
      </c>
      <c r="S257" s="12" t="s">
        <v>25</v>
      </c>
      <c r="T257" s="12" t="s">
        <v>25</v>
      </c>
    </row>
    <row r="258" spans="1:20" x14ac:dyDescent="0.3">
      <c r="A258" s="13">
        <v>43897.75</v>
      </c>
      <c r="B258" s="12" t="s">
        <v>22</v>
      </c>
      <c r="C258" s="82">
        <v>15</v>
      </c>
      <c r="D258" s="12" t="s">
        <v>46</v>
      </c>
      <c r="E258" s="82">
        <v>4083956555</v>
      </c>
      <c r="F258" s="82">
        <v>1425084984</v>
      </c>
      <c r="G258" s="82">
        <v>16</v>
      </c>
      <c r="H258" s="82">
        <v>0</v>
      </c>
      <c r="I258" s="82">
        <v>16</v>
      </c>
      <c r="J258" s="82">
        <v>45</v>
      </c>
      <c r="K258" s="82">
        <v>61</v>
      </c>
      <c r="L258" s="82">
        <v>4</v>
      </c>
      <c r="M258" s="82">
        <v>4</v>
      </c>
      <c r="N258" s="82">
        <v>0</v>
      </c>
      <c r="O258" s="82">
        <v>0</v>
      </c>
      <c r="P258" s="82">
        <v>61</v>
      </c>
      <c r="Q258" s="82">
        <v>612</v>
      </c>
      <c r="R258" s="12" t="s">
        <v>25</v>
      </c>
      <c r="S258" s="12" t="s">
        <v>25</v>
      </c>
      <c r="T258" s="12" t="s">
        <v>25</v>
      </c>
    </row>
    <row r="259" spans="1:20" x14ac:dyDescent="0.3">
      <c r="A259" s="13">
        <v>43897.75</v>
      </c>
      <c r="B259" s="12" t="s">
        <v>22</v>
      </c>
      <c r="C259" s="82">
        <v>8</v>
      </c>
      <c r="D259" s="12" t="s">
        <v>95</v>
      </c>
      <c r="E259" s="82">
        <v>4449436681</v>
      </c>
      <c r="F259" s="82">
        <v>113417208</v>
      </c>
      <c r="G259" s="82">
        <v>464</v>
      </c>
      <c r="H259" s="82">
        <v>64</v>
      </c>
      <c r="I259" s="82">
        <v>528</v>
      </c>
      <c r="J259" s="82">
        <v>409</v>
      </c>
      <c r="K259" s="82">
        <v>937</v>
      </c>
      <c r="L259" s="82">
        <v>121</v>
      </c>
      <c r="M259" s="82">
        <v>140</v>
      </c>
      <c r="N259" s="82">
        <v>25</v>
      </c>
      <c r="O259" s="82">
        <v>48</v>
      </c>
      <c r="P259" s="82">
        <v>1010</v>
      </c>
      <c r="Q259" s="82">
        <v>3604</v>
      </c>
      <c r="R259" s="12" t="s">
        <v>25</v>
      </c>
      <c r="S259" s="12" t="s">
        <v>25</v>
      </c>
      <c r="T259" s="12" t="s">
        <v>25</v>
      </c>
    </row>
    <row r="260" spans="1:20" x14ac:dyDescent="0.3">
      <c r="A260" s="13">
        <v>43897.75</v>
      </c>
      <c r="B260" s="12" t="s">
        <v>22</v>
      </c>
      <c r="C260" s="82">
        <v>6</v>
      </c>
      <c r="D260" s="12" t="s">
        <v>47</v>
      </c>
      <c r="E260" s="82">
        <v>456494354</v>
      </c>
      <c r="F260" s="82">
        <v>1376813649</v>
      </c>
      <c r="G260" s="82">
        <v>7</v>
      </c>
      <c r="H260" s="82">
        <v>1</v>
      </c>
      <c r="I260" s="82">
        <v>8</v>
      </c>
      <c r="J260" s="82">
        <v>31</v>
      </c>
      <c r="K260" s="82">
        <v>39</v>
      </c>
      <c r="L260" s="82">
        <v>11</v>
      </c>
      <c r="M260" s="82">
        <v>11</v>
      </c>
      <c r="N260" s="82">
        <v>3</v>
      </c>
      <c r="O260" s="82">
        <v>0</v>
      </c>
      <c r="P260" s="82">
        <v>42</v>
      </c>
      <c r="Q260" s="82">
        <v>577</v>
      </c>
      <c r="R260" s="12" t="s">
        <v>25</v>
      </c>
      <c r="S260" s="12" t="s">
        <v>25</v>
      </c>
      <c r="T260" s="12" t="s">
        <v>25</v>
      </c>
    </row>
    <row r="261" spans="1:20" x14ac:dyDescent="0.3">
      <c r="A261" s="13">
        <v>43897.75</v>
      </c>
      <c r="B261" s="12" t="s">
        <v>22</v>
      </c>
      <c r="C261" s="82">
        <v>12</v>
      </c>
      <c r="D261" s="12" t="s">
        <v>48</v>
      </c>
      <c r="E261" s="82">
        <v>4189277044</v>
      </c>
      <c r="F261" s="82">
        <v>1248366722</v>
      </c>
      <c r="G261" s="82">
        <v>43</v>
      </c>
      <c r="H261" s="82">
        <v>8</v>
      </c>
      <c r="I261" s="82">
        <v>51</v>
      </c>
      <c r="J261" s="82">
        <v>21</v>
      </c>
      <c r="K261" s="82">
        <v>72</v>
      </c>
      <c r="L261" s="82">
        <v>22</v>
      </c>
      <c r="M261" s="82">
        <v>22</v>
      </c>
      <c r="N261" s="82">
        <v>3</v>
      </c>
      <c r="O261" s="82">
        <v>1</v>
      </c>
      <c r="P261" s="82">
        <v>76</v>
      </c>
      <c r="Q261" s="82">
        <v>1582</v>
      </c>
      <c r="R261" s="12" t="s">
        <v>25</v>
      </c>
      <c r="S261" s="12" t="s">
        <v>25</v>
      </c>
      <c r="T261" s="12" t="s">
        <v>25</v>
      </c>
    </row>
    <row r="262" spans="1:20" x14ac:dyDescent="0.3">
      <c r="A262" s="13">
        <v>43897.75</v>
      </c>
      <c r="B262" s="12" t="s">
        <v>22</v>
      </c>
      <c r="C262" s="82">
        <v>7</v>
      </c>
      <c r="D262" s="12" t="s">
        <v>49</v>
      </c>
      <c r="E262" s="82">
        <v>4441149315</v>
      </c>
      <c r="F262" s="82">
        <v>89326992</v>
      </c>
      <c r="G262" s="82">
        <v>26</v>
      </c>
      <c r="H262" s="82">
        <v>6</v>
      </c>
      <c r="I262" s="82">
        <v>32</v>
      </c>
      <c r="J262" s="82">
        <v>10</v>
      </c>
      <c r="K262" s="82">
        <v>42</v>
      </c>
      <c r="L262" s="82">
        <v>18</v>
      </c>
      <c r="M262" s="82">
        <v>19</v>
      </c>
      <c r="N262" s="82">
        <v>5</v>
      </c>
      <c r="O262" s="82">
        <v>4</v>
      </c>
      <c r="P262" s="82">
        <v>51</v>
      </c>
      <c r="Q262" s="82">
        <v>331</v>
      </c>
      <c r="R262" s="12" t="s">
        <v>25</v>
      </c>
      <c r="S262" s="12" t="s">
        <v>25</v>
      </c>
      <c r="T262" s="12" t="s">
        <v>25</v>
      </c>
    </row>
    <row r="263" spans="1:20" x14ac:dyDescent="0.3">
      <c r="A263" s="13">
        <v>43897.75</v>
      </c>
      <c r="B263" s="12" t="s">
        <v>22</v>
      </c>
      <c r="C263" s="82">
        <v>3</v>
      </c>
      <c r="D263" s="12" t="s">
        <v>50</v>
      </c>
      <c r="E263" s="82">
        <v>4546679409</v>
      </c>
      <c r="F263" s="82">
        <v>9190347404</v>
      </c>
      <c r="G263" s="82">
        <v>1661</v>
      </c>
      <c r="H263" s="82">
        <v>359</v>
      </c>
      <c r="I263" s="82">
        <v>2020</v>
      </c>
      <c r="J263" s="82">
        <v>722</v>
      </c>
      <c r="K263" s="82">
        <v>2742</v>
      </c>
      <c r="L263" s="82">
        <v>734</v>
      </c>
      <c r="M263" s="82">
        <v>808</v>
      </c>
      <c r="N263" s="82">
        <v>524</v>
      </c>
      <c r="O263" s="82">
        <v>154</v>
      </c>
      <c r="P263" s="82">
        <v>3420</v>
      </c>
      <c r="Q263" s="82">
        <v>15778</v>
      </c>
      <c r="R263" s="12" t="s">
        <v>25</v>
      </c>
      <c r="S263" s="12" t="s">
        <v>62</v>
      </c>
      <c r="T263" s="12" t="s">
        <v>63</v>
      </c>
    </row>
    <row r="264" spans="1:20" x14ac:dyDescent="0.3">
      <c r="A264" s="13">
        <v>43897.75</v>
      </c>
      <c r="B264" s="12" t="s">
        <v>22</v>
      </c>
      <c r="C264" s="82">
        <v>11</v>
      </c>
      <c r="D264" s="12" t="s">
        <v>51</v>
      </c>
      <c r="E264" s="82">
        <v>4361675973</v>
      </c>
      <c r="F264" s="82">
        <v>135188753</v>
      </c>
      <c r="G264" s="82">
        <v>94</v>
      </c>
      <c r="H264" s="82">
        <v>36</v>
      </c>
      <c r="I264" s="82">
        <v>130</v>
      </c>
      <c r="J264" s="82">
        <v>71</v>
      </c>
      <c r="K264" s="82">
        <v>201</v>
      </c>
      <c r="L264" s="82">
        <v>46</v>
      </c>
      <c r="M264" s="82">
        <v>48</v>
      </c>
      <c r="N264" s="82">
        <v>0</v>
      </c>
      <c r="O264" s="82">
        <v>6</v>
      </c>
      <c r="P264" s="82">
        <v>207</v>
      </c>
      <c r="Q264" s="82">
        <v>816</v>
      </c>
      <c r="R264" s="12" t="s">
        <v>25</v>
      </c>
      <c r="S264" s="12" t="s">
        <v>25</v>
      </c>
      <c r="T264" s="12" t="s">
        <v>25</v>
      </c>
    </row>
    <row r="265" spans="1:20" x14ac:dyDescent="0.3">
      <c r="A265" s="13">
        <v>43897.75</v>
      </c>
      <c r="B265" s="12" t="s">
        <v>22</v>
      </c>
      <c r="C265" s="82">
        <v>14</v>
      </c>
      <c r="D265" s="12" t="s">
        <v>52</v>
      </c>
      <c r="E265" s="82">
        <v>4155774754</v>
      </c>
      <c r="F265" s="82">
        <v>1465916051</v>
      </c>
      <c r="G265" s="82">
        <v>3</v>
      </c>
      <c r="H265" s="82">
        <v>2</v>
      </c>
      <c r="I265" s="82">
        <v>5</v>
      </c>
      <c r="J265" s="82">
        <v>9</v>
      </c>
      <c r="K265" s="82">
        <v>14</v>
      </c>
      <c r="L265" s="82">
        <v>2</v>
      </c>
      <c r="M265" s="82">
        <v>2</v>
      </c>
      <c r="N265" s="82">
        <v>0</v>
      </c>
      <c r="O265" s="82">
        <v>0</v>
      </c>
      <c r="P265" s="82">
        <v>14</v>
      </c>
      <c r="Q265" s="82">
        <v>112</v>
      </c>
      <c r="R265" s="12" t="s">
        <v>25</v>
      </c>
      <c r="S265" s="12" t="s">
        <v>25</v>
      </c>
      <c r="T265" s="12" t="s">
        <v>25</v>
      </c>
    </row>
    <row r="266" spans="1:20" x14ac:dyDescent="0.3">
      <c r="A266" s="13">
        <v>43897.75</v>
      </c>
      <c r="B266" s="12" t="s">
        <v>22</v>
      </c>
      <c r="C266" s="82">
        <v>1</v>
      </c>
      <c r="D266" s="12" t="s">
        <v>53</v>
      </c>
      <c r="E266" s="82">
        <v>450732745</v>
      </c>
      <c r="F266" s="82">
        <v>7680687483</v>
      </c>
      <c r="G266" s="82">
        <v>110</v>
      </c>
      <c r="H266" s="82">
        <v>38</v>
      </c>
      <c r="I266" s="82">
        <v>148</v>
      </c>
      <c r="J266" s="82">
        <v>54</v>
      </c>
      <c r="K266" s="82">
        <v>202</v>
      </c>
      <c r="L266" s="82">
        <v>63</v>
      </c>
      <c r="M266" s="82">
        <v>64</v>
      </c>
      <c r="N266" s="82">
        <v>0</v>
      </c>
      <c r="O266" s="82">
        <v>5</v>
      </c>
      <c r="P266" s="82">
        <v>207</v>
      </c>
      <c r="Q266" s="82">
        <v>1046</v>
      </c>
      <c r="R266" s="12" t="s">
        <v>25</v>
      </c>
      <c r="S266" s="12" t="s">
        <v>25</v>
      </c>
      <c r="T266" s="12" t="s">
        <v>25</v>
      </c>
    </row>
    <row r="267" spans="1:20" x14ac:dyDescent="0.3">
      <c r="A267" s="13">
        <v>43897.75</v>
      </c>
      <c r="B267" s="12" t="s">
        <v>22</v>
      </c>
      <c r="C267" s="82">
        <v>16</v>
      </c>
      <c r="D267" s="12" t="s">
        <v>54</v>
      </c>
      <c r="E267" s="82">
        <v>4112559576</v>
      </c>
      <c r="F267" s="82">
        <v>1686736689</v>
      </c>
      <c r="G267" s="82">
        <v>9</v>
      </c>
      <c r="H267" s="82">
        <v>2</v>
      </c>
      <c r="I267" s="82">
        <v>11</v>
      </c>
      <c r="J267" s="82">
        <v>12</v>
      </c>
      <c r="K267" s="82">
        <v>23</v>
      </c>
      <c r="L267" s="82">
        <v>8</v>
      </c>
      <c r="M267" s="82">
        <v>9</v>
      </c>
      <c r="N267" s="82">
        <v>1</v>
      </c>
      <c r="O267" s="82">
        <v>2</v>
      </c>
      <c r="P267" s="82">
        <v>26</v>
      </c>
      <c r="Q267" s="82">
        <v>395</v>
      </c>
      <c r="R267" s="12" t="s">
        <v>25</v>
      </c>
      <c r="S267" s="12" t="s">
        <v>25</v>
      </c>
      <c r="T267" s="12" t="s">
        <v>25</v>
      </c>
    </row>
    <row r="268" spans="1:20" x14ac:dyDescent="0.3">
      <c r="A268" s="13">
        <v>43897.75</v>
      </c>
      <c r="B268" s="12" t="s">
        <v>22</v>
      </c>
      <c r="C268" s="82">
        <v>20</v>
      </c>
      <c r="D268" s="12" t="s">
        <v>55</v>
      </c>
      <c r="E268" s="82">
        <v>3921531192</v>
      </c>
      <c r="F268" s="82">
        <v>9110616306</v>
      </c>
      <c r="G268" s="82">
        <v>2</v>
      </c>
      <c r="H268" s="82">
        <v>0</v>
      </c>
      <c r="I268" s="82">
        <v>2</v>
      </c>
      <c r="J268" s="82">
        <v>3</v>
      </c>
      <c r="K268" s="82">
        <v>5</v>
      </c>
      <c r="L268" s="82">
        <v>0</v>
      </c>
      <c r="M268" s="82">
        <v>0</v>
      </c>
      <c r="N268" s="82">
        <v>0</v>
      </c>
      <c r="O268" s="82">
        <v>0</v>
      </c>
      <c r="P268" s="82">
        <v>5</v>
      </c>
      <c r="Q268" s="82">
        <v>99</v>
      </c>
      <c r="R268" s="12" t="s">
        <v>25</v>
      </c>
      <c r="S268" s="12" t="s">
        <v>25</v>
      </c>
      <c r="T268" s="12" t="s">
        <v>25</v>
      </c>
    </row>
    <row r="269" spans="1:20" x14ac:dyDescent="0.3">
      <c r="A269" s="13">
        <v>43897.75</v>
      </c>
      <c r="B269" s="12" t="s">
        <v>22</v>
      </c>
      <c r="C269" s="82">
        <v>19</v>
      </c>
      <c r="D269" s="12" t="s">
        <v>56</v>
      </c>
      <c r="E269" s="82">
        <v>3811569725</v>
      </c>
      <c r="F269" s="82">
        <v>133623567</v>
      </c>
      <c r="G269" s="82">
        <v>8</v>
      </c>
      <c r="H269" s="82">
        <v>0</v>
      </c>
      <c r="I269" s="82">
        <v>8</v>
      </c>
      <c r="J269" s="82">
        <v>25</v>
      </c>
      <c r="K269" s="82">
        <v>33</v>
      </c>
      <c r="L269" s="82">
        <v>11</v>
      </c>
      <c r="M269" s="82">
        <v>11</v>
      </c>
      <c r="N269" s="82">
        <v>2</v>
      </c>
      <c r="O269" s="82">
        <v>0</v>
      </c>
      <c r="P269" s="82">
        <v>35</v>
      </c>
      <c r="Q269" s="82">
        <v>643</v>
      </c>
      <c r="R269" s="12" t="s">
        <v>25</v>
      </c>
      <c r="S269" s="12" t="s">
        <v>25</v>
      </c>
      <c r="T269" s="12" t="s">
        <v>25</v>
      </c>
    </row>
    <row r="270" spans="1:20" x14ac:dyDescent="0.3">
      <c r="A270" s="13">
        <v>43897.75</v>
      </c>
      <c r="B270" s="12" t="s">
        <v>22</v>
      </c>
      <c r="C270" s="82">
        <v>9</v>
      </c>
      <c r="D270" s="12" t="s">
        <v>57</v>
      </c>
      <c r="E270" s="82">
        <v>4376923077</v>
      </c>
      <c r="F270" s="82">
        <v>1125588885</v>
      </c>
      <c r="G270" s="82">
        <v>54</v>
      </c>
      <c r="H270" s="82">
        <v>7</v>
      </c>
      <c r="I270" s="82">
        <v>61</v>
      </c>
      <c r="J270" s="82">
        <v>51</v>
      </c>
      <c r="K270" s="82">
        <v>112</v>
      </c>
      <c r="L270" s="82">
        <v>34</v>
      </c>
      <c r="M270" s="82">
        <v>34</v>
      </c>
      <c r="N270" s="82">
        <v>1</v>
      </c>
      <c r="O270" s="82">
        <v>0</v>
      </c>
      <c r="P270" s="82">
        <v>113</v>
      </c>
      <c r="Q270" s="82">
        <v>1331</v>
      </c>
      <c r="R270" s="12" t="s">
        <v>25</v>
      </c>
      <c r="S270" s="12" t="s">
        <v>25</v>
      </c>
      <c r="T270" s="12" t="s">
        <v>25</v>
      </c>
    </row>
    <row r="271" spans="1:20" x14ac:dyDescent="0.3">
      <c r="A271" s="13">
        <v>43897.75</v>
      </c>
      <c r="B271" s="12" t="s">
        <v>22</v>
      </c>
      <c r="C271" s="82">
        <v>4</v>
      </c>
      <c r="D271" s="12" t="s">
        <v>58</v>
      </c>
      <c r="E271" s="82">
        <v>4606893511</v>
      </c>
      <c r="F271" s="82">
        <v>1112123097</v>
      </c>
      <c r="G271" s="82">
        <v>6</v>
      </c>
      <c r="H271" s="82">
        <v>1</v>
      </c>
      <c r="I271" s="82">
        <v>7</v>
      </c>
      <c r="J271" s="82">
        <v>7</v>
      </c>
      <c r="K271" s="82">
        <v>14</v>
      </c>
      <c r="L271" s="82">
        <v>4</v>
      </c>
      <c r="M271" s="82">
        <v>4</v>
      </c>
      <c r="N271" s="82">
        <v>0</v>
      </c>
      <c r="O271" s="82">
        <v>0</v>
      </c>
      <c r="P271" s="82">
        <v>14</v>
      </c>
      <c r="Q271" s="82">
        <v>194</v>
      </c>
      <c r="R271" s="12" t="s">
        <v>25</v>
      </c>
      <c r="S271" s="12" t="s">
        <v>25</v>
      </c>
      <c r="T271" s="12" t="s">
        <v>25</v>
      </c>
    </row>
    <row r="272" spans="1:20" x14ac:dyDescent="0.3">
      <c r="A272" s="13">
        <v>43897.75</v>
      </c>
      <c r="B272" s="12" t="s">
        <v>22</v>
      </c>
      <c r="C272" s="82">
        <v>10</v>
      </c>
      <c r="D272" s="12" t="s">
        <v>59</v>
      </c>
      <c r="E272" s="82">
        <v>4310675841</v>
      </c>
      <c r="F272" s="82">
        <v>1238824698</v>
      </c>
      <c r="G272" s="82">
        <v>2</v>
      </c>
      <c r="H272" s="82">
        <v>2</v>
      </c>
      <c r="I272" s="82">
        <v>4</v>
      </c>
      <c r="J272" s="82">
        <v>20</v>
      </c>
      <c r="K272" s="82">
        <v>24</v>
      </c>
      <c r="L272" s="82">
        <v>8</v>
      </c>
      <c r="M272" s="82">
        <v>8</v>
      </c>
      <c r="N272" s="82">
        <v>0</v>
      </c>
      <c r="O272" s="82">
        <v>0</v>
      </c>
      <c r="P272" s="82">
        <v>24</v>
      </c>
      <c r="Q272" s="82">
        <v>134</v>
      </c>
      <c r="R272" s="12" t="s">
        <v>25</v>
      </c>
      <c r="S272" s="12" t="s">
        <v>25</v>
      </c>
      <c r="T272" s="12" t="s">
        <v>25</v>
      </c>
    </row>
    <row r="273" spans="1:20" x14ac:dyDescent="0.3">
      <c r="A273" s="13">
        <v>43897.75</v>
      </c>
      <c r="B273" s="12" t="s">
        <v>22</v>
      </c>
      <c r="C273" s="82">
        <v>2</v>
      </c>
      <c r="D273" s="12" t="s">
        <v>60</v>
      </c>
      <c r="E273" s="82">
        <v>4573750286</v>
      </c>
      <c r="F273" s="82">
        <v>7320149366</v>
      </c>
      <c r="G273" s="82">
        <v>1</v>
      </c>
      <c r="H273" s="82">
        <v>0</v>
      </c>
      <c r="I273" s="82">
        <v>1</v>
      </c>
      <c r="J273" s="82">
        <v>7</v>
      </c>
      <c r="K273" s="82">
        <v>8</v>
      </c>
      <c r="L273" s="82">
        <v>1</v>
      </c>
      <c r="M273" s="82">
        <v>1</v>
      </c>
      <c r="N273" s="82">
        <v>0</v>
      </c>
      <c r="O273" s="82">
        <v>0</v>
      </c>
      <c r="P273" s="82">
        <v>8</v>
      </c>
      <c r="Q273" s="82">
        <v>32</v>
      </c>
      <c r="R273" s="12" t="s">
        <v>25</v>
      </c>
      <c r="S273" s="12" t="s">
        <v>25</v>
      </c>
      <c r="T273" s="12" t="s">
        <v>25</v>
      </c>
    </row>
    <row r="274" spans="1:20" x14ac:dyDescent="0.3">
      <c r="A274" s="13">
        <v>43897.75</v>
      </c>
      <c r="B274" s="12" t="s">
        <v>22</v>
      </c>
      <c r="C274" s="82">
        <v>5</v>
      </c>
      <c r="D274" s="12" t="s">
        <v>61</v>
      </c>
      <c r="E274" s="82">
        <v>4543490485</v>
      </c>
      <c r="F274" s="82">
        <v>1233845213</v>
      </c>
      <c r="G274" s="82">
        <v>123</v>
      </c>
      <c r="H274" s="82">
        <v>41</v>
      </c>
      <c r="I274" s="82">
        <v>164</v>
      </c>
      <c r="J274" s="82">
        <v>341</v>
      </c>
      <c r="K274" s="82">
        <v>505</v>
      </c>
      <c r="L274" s="82">
        <v>51</v>
      </c>
      <c r="M274" s="82">
        <v>55</v>
      </c>
      <c r="N274" s="82">
        <v>25</v>
      </c>
      <c r="O274" s="82">
        <v>13</v>
      </c>
      <c r="P274" s="82">
        <v>543</v>
      </c>
      <c r="Q274" s="82">
        <v>14429</v>
      </c>
      <c r="R274" s="12" t="s">
        <v>25</v>
      </c>
      <c r="S274" s="12" t="s">
        <v>25</v>
      </c>
      <c r="T274" s="12" t="s">
        <v>25</v>
      </c>
    </row>
    <row r="275" spans="1:20" x14ac:dyDescent="0.3">
      <c r="A275" s="13">
        <v>43898.75</v>
      </c>
      <c r="B275" s="12" t="s">
        <v>22</v>
      </c>
      <c r="C275" s="82">
        <v>13</v>
      </c>
      <c r="D275" s="12" t="s">
        <v>42</v>
      </c>
      <c r="E275" s="82">
        <v>4235122196</v>
      </c>
      <c r="F275" s="82">
        <v>1339843823</v>
      </c>
      <c r="G275" s="82">
        <v>14</v>
      </c>
      <c r="H275" s="82">
        <v>0</v>
      </c>
      <c r="I275" s="82">
        <v>14</v>
      </c>
      <c r="J275" s="82">
        <v>3</v>
      </c>
      <c r="K275" s="82">
        <v>17</v>
      </c>
      <c r="L275" s="82">
        <v>6</v>
      </c>
      <c r="M275" s="82">
        <v>6</v>
      </c>
      <c r="N275" s="82">
        <v>0</v>
      </c>
      <c r="O275" s="82">
        <v>0</v>
      </c>
      <c r="P275" s="82">
        <v>17</v>
      </c>
      <c r="Q275" s="82">
        <v>163</v>
      </c>
      <c r="R275" s="12" t="s">
        <v>25</v>
      </c>
      <c r="S275" s="12" t="s">
        <v>25</v>
      </c>
      <c r="T275" s="12" t="s">
        <v>25</v>
      </c>
    </row>
    <row r="276" spans="1:20" x14ac:dyDescent="0.3">
      <c r="A276" s="13">
        <v>43898.75</v>
      </c>
      <c r="B276" s="12" t="s">
        <v>22</v>
      </c>
      <c r="C276" s="82">
        <v>17</v>
      </c>
      <c r="D276" s="12" t="s">
        <v>43</v>
      </c>
      <c r="E276" s="82">
        <v>4063947052</v>
      </c>
      <c r="F276" s="82">
        <v>1580514834</v>
      </c>
      <c r="G276" s="82">
        <v>2</v>
      </c>
      <c r="H276" s="82">
        <v>0</v>
      </c>
      <c r="I276" s="82">
        <v>2</v>
      </c>
      <c r="J276" s="82">
        <v>2</v>
      </c>
      <c r="K276" s="82">
        <v>4</v>
      </c>
      <c r="L276" s="82">
        <v>1</v>
      </c>
      <c r="M276" s="82">
        <v>1</v>
      </c>
      <c r="N276" s="82">
        <v>0</v>
      </c>
      <c r="O276" s="82">
        <v>0</v>
      </c>
      <c r="P276" s="82">
        <v>4</v>
      </c>
      <c r="Q276" s="82">
        <v>123</v>
      </c>
      <c r="R276" s="12" t="s">
        <v>25</v>
      </c>
      <c r="S276" s="12" t="s">
        <v>25</v>
      </c>
      <c r="T276" s="12" t="s">
        <v>25</v>
      </c>
    </row>
    <row r="277" spans="1:20" x14ac:dyDescent="0.3">
      <c r="A277" s="13">
        <v>43898.75</v>
      </c>
      <c r="B277" s="12" t="s">
        <v>22</v>
      </c>
      <c r="C277" s="82">
        <v>4</v>
      </c>
      <c r="D277" s="12" t="s">
        <v>44</v>
      </c>
      <c r="E277" s="82">
        <v>4649933453</v>
      </c>
      <c r="F277" s="82">
        <v>1135662422</v>
      </c>
      <c r="G277" s="82">
        <v>8</v>
      </c>
      <c r="H277" s="82">
        <v>0</v>
      </c>
      <c r="I277" s="82">
        <v>8</v>
      </c>
      <c r="J277" s="82">
        <v>1</v>
      </c>
      <c r="K277" s="82">
        <v>9</v>
      </c>
      <c r="L277" s="82">
        <v>0</v>
      </c>
      <c r="M277" s="82">
        <v>0</v>
      </c>
      <c r="N277" s="82">
        <v>0</v>
      </c>
      <c r="O277" s="82">
        <v>0</v>
      </c>
      <c r="P277" s="82">
        <v>9</v>
      </c>
      <c r="Q277" s="82">
        <v>36</v>
      </c>
      <c r="R277" s="12" t="s">
        <v>25</v>
      </c>
      <c r="S277" s="12" t="s">
        <v>25</v>
      </c>
      <c r="T277" s="12" t="s">
        <v>25</v>
      </c>
    </row>
    <row r="278" spans="1:20" x14ac:dyDescent="0.3">
      <c r="A278" s="13">
        <v>43898.75</v>
      </c>
      <c r="B278" s="12" t="s">
        <v>22</v>
      </c>
      <c r="C278" s="82">
        <v>18</v>
      </c>
      <c r="D278" s="12" t="s">
        <v>45</v>
      </c>
      <c r="E278" s="82">
        <v>3890597598</v>
      </c>
      <c r="F278" s="82">
        <v>1659440194</v>
      </c>
      <c r="G278" s="82">
        <v>5</v>
      </c>
      <c r="H278" s="82">
        <v>0</v>
      </c>
      <c r="I278" s="82">
        <v>5</v>
      </c>
      <c r="J278" s="82">
        <v>4</v>
      </c>
      <c r="K278" s="82">
        <v>9</v>
      </c>
      <c r="L278" s="82">
        <v>5</v>
      </c>
      <c r="M278" s="82">
        <v>5</v>
      </c>
      <c r="N278" s="82">
        <v>0</v>
      </c>
      <c r="O278" s="82">
        <v>0</v>
      </c>
      <c r="P278" s="82">
        <v>9</v>
      </c>
      <c r="Q278" s="82">
        <v>113</v>
      </c>
      <c r="R278" s="12" t="s">
        <v>25</v>
      </c>
      <c r="S278" s="12" t="s">
        <v>25</v>
      </c>
      <c r="T278" s="12" t="s">
        <v>25</v>
      </c>
    </row>
    <row r="279" spans="1:20" x14ac:dyDescent="0.3">
      <c r="A279" s="13">
        <v>43898.75</v>
      </c>
      <c r="B279" s="12" t="s">
        <v>22</v>
      </c>
      <c r="C279" s="82">
        <v>15</v>
      </c>
      <c r="D279" s="12" t="s">
        <v>46</v>
      </c>
      <c r="E279" s="82">
        <v>4083956555</v>
      </c>
      <c r="F279" s="82">
        <v>1425084984</v>
      </c>
      <c r="G279" s="82">
        <v>30</v>
      </c>
      <c r="H279" s="82">
        <v>7</v>
      </c>
      <c r="I279" s="82">
        <v>37</v>
      </c>
      <c r="J279" s="82">
        <v>63</v>
      </c>
      <c r="K279" s="82">
        <v>100</v>
      </c>
      <c r="L279" s="82">
        <v>39</v>
      </c>
      <c r="M279" s="82">
        <v>40</v>
      </c>
      <c r="N279" s="82">
        <v>1</v>
      </c>
      <c r="O279" s="82">
        <v>0</v>
      </c>
      <c r="P279" s="82">
        <v>101</v>
      </c>
      <c r="Q279" s="82">
        <v>980</v>
      </c>
      <c r="R279" s="12" t="s">
        <v>25</v>
      </c>
      <c r="S279" s="12" t="s">
        <v>25</v>
      </c>
      <c r="T279" s="12" t="s">
        <v>25</v>
      </c>
    </row>
    <row r="280" spans="1:20" x14ac:dyDescent="0.3">
      <c r="A280" s="13">
        <v>43898.75</v>
      </c>
      <c r="B280" s="12" t="s">
        <v>22</v>
      </c>
      <c r="C280" s="82">
        <v>8</v>
      </c>
      <c r="D280" s="12" t="s">
        <v>95</v>
      </c>
      <c r="E280" s="82">
        <v>4449436681</v>
      </c>
      <c r="F280" s="82">
        <v>113417208</v>
      </c>
      <c r="G280" s="82">
        <v>542</v>
      </c>
      <c r="H280" s="82">
        <v>75</v>
      </c>
      <c r="I280" s="82">
        <v>617</v>
      </c>
      <c r="J280" s="82">
        <v>480</v>
      </c>
      <c r="K280" s="82">
        <v>1097</v>
      </c>
      <c r="L280" s="82">
        <v>160</v>
      </c>
      <c r="M280" s="82">
        <v>170</v>
      </c>
      <c r="N280" s="82">
        <v>27</v>
      </c>
      <c r="O280" s="82">
        <v>56</v>
      </c>
      <c r="P280" s="82">
        <v>1180</v>
      </c>
      <c r="Q280" s="82">
        <v>4344</v>
      </c>
      <c r="R280" s="12" t="s">
        <v>25</v>
      </c>
      <c r="S280" s="12" t="s">
        <v>25</v>
      </c>
      <c r="T280" s="12" t="s">
        <v>25</v>
      </c>
    </row>
    <row r="281" spans="1:20" x14ac:dyDescent="0.3">
      <c r="A281" s="13">
        <v>43898.75</v>
      </c>
      <c r="B281" s="12" t="s">
        <v>22</v>
      </c>
      <c r="C281" s="82">
        <v>6</v>
      </c>
      <c r="D281" s="12" t="s">
        <v>47</v>
      </c>
      <c r="E281" s="82">
        <v>456494354</v>
      </c>
      <c r="F281" s="82">
        <v>1376813649</v>
      </c>
      <c r="G281" s="82">
        <v>7</v>
      </c>
      <c r="H281" s="82">
        <v>1</v>
      </c>
      <c r="I281" s="82">
        <v>8</v>
      </c>
      <c r="J281" s="82">
        <v>45</v>
      </c>
      <c r="K281" s="82">
        <v>53</v>
      </c>
      <c r="L281" s="82">
        <v>14</v>
      </c>
      <c r="M281" s="82">
        <v>15</v>
      </c>
      <c r="N281" s="82">
        <v>3</v>
      </c>
      <c r="O281" s="82">
        <v>1</v>
      </c>
      <c r="P281" s="82">
        <v>57</v>
      </c>
      <c r="Q281" s="82">
        <v>997</v>
      </c>
      <c r="R281" s="12" t="s">
        <v>25</v>
      </c>
      <c r="S281" s="12" t="s">
        <v>25</v>
      </c>
      <c r="T281" s="12" t="s">
        <v>25</v>
      </c>
    </row>
    <row r="282" spans="1:20" x14ac:dyDescent="0.3">
      <c r="A282" s="13">
        <v>43898.75</v>
      </c>
      <c r="B282" s="12" t="s">
        <v>22</v>
      </c>
      <c r="C282" s="82">
        <v>12</v>
      </c>
      <c r="D282" s="12" t="s">
        <v>48</v>
      </c>
      <c r="E282" s="82">
        <v>4189277044</v>
      </c>
      <c r="F282" s="82">
        <v>1248366722</v>
      </c>
      <c r="G282" s="82">
        <v>47</v>
      </c>
      <c r="H282" s="82">
        <v>8</v>
      </c>
      <c r="I282" s="82">
        <v>55</v>
      </c>
      <c r="J282" s="82">
        <v>26</v>
      </c>
      <c r="K282" s="82">
        <v>81</v>
      </c>
      <c r="L282" s="82">
        <v>9</v>
      </c>
      <c r="M282" s="82">
        <v>11</v>
      </c>
      <c r="N282" s="82">
        <v>3</v>
      </c>
      <c r="O282" s="82">
        <v>3</v>
      </c>
      <c r="P282" s="82">
        <v>87</v>
      </c>
      <c r="Q282" s="82">
        <v>1929</v>
      </c>
      <c r="R282" s="12" t="s">
        <v>25</v>
      </c>
      <c r="S282" s="12" t="s">
        <v>25</v>
      </c>
      <c r="T282" s="12" t="s">
        <v>25</v>
      </c>
    </row>
    <row r="283" spans="1:20" x14ac:dyDescent="0.3">
      <c r="A283" s="13">
        <v>43898.75</v>
      </c>
      <c r="B283" s="12" t="s">
        <v>22</v>
      </c>
      <c r="C283" s="82">
        <v>7</v>
      </c>
      <c r="D283" s="12" t="s">
        <v>49</v>
      </c>
      <c r="E283" s="82">
        <v>4441149315</v>
      </c>
      <c r="F283" s="82">
        <v>89326992</v>
      </c>
      <c r="G283" s="82">
        <v>39</v>
      </c>
      <c r="H283" s="82">
        <v>11</v>
      </c>
      <c r="I283" s="82">
        <v>50</v>
      </c>
      <c r="J283" s="82">
        <v>17</v>
      </c>
      <c r="K283" s="82">
        <v>67</v>
      </c>
      <c r="L283" s="82">
        <v>25</v>
      </c>
      <c r="M283" s="82">
        <v>27</v>
      </c>
      <c r="N283" s="82">
        <v>5</v>
      </c>
      <c r="O283" s="82">
        <v>6</v>
      </c>
      <c r="P283" s="82">
        <v>78</v>
      </c>
      <c r="Q283" s="82">
        <v>401</v>
      </c>
      <c r="R283" s="12" t="s">
        <v>25</v>
      </c>
      <c r="S283" s="12" t="s">
        <v>25</v>
      </c>
      <c r="T283" s="12" t="s">
        <v>25</v>
      </c>
    </row>
    <row r="284" spans="1:20" x14ac:dyDescent="0.3">
      <c r="A284" s="13">
        <v>43898.75</v>
      </c>
      <c r="B284" s="12" t="s">
        <v>22</v>
      </c>
      <c r="C284" s="82">
        <v>3</v>
      </c>
      <c r="D284" s="12" t="s">
        <v>50</v>
      </c>
      <c r="E284" s="82">
        <v>4546679409</v>
      </c>
      <c r="F284" s="82">
        <v>9190347404</v>
      </c>
      <c r="G284" s="82">
        <v>2217</v>
      </c>
      <c r="H284" s="82">
        <v>399</v>
      </c>
      <c r="I284" s="82">
        <v>2616</v>
      </c>
      <c r="J284" s="82">
        <v>756</v>
      </c>
      <c r="K284" s="82">
        <v>3372</v>
      </c>
      <c r="L284" s="82">
        <v>630</v>
      </c>
      <c r="M284" s="82">
        <v>769</v>
      </c>
      <c r="N284" s="82">
        <v>550</v>
      </c>
      <c r="O284" s="82">
        <v>267</v>
      </c>
      <c r="P284" s="82">
        <v>4189</v>
      </c>
      <c r="Q284" s="82">
        <v>18534</v>
      </c>
      <c r="R284" s="12" t="s">
        <v>25</v>
      </c>
      <c r="S284" s="12" t="s">
        <v>25</v>
      </c>
      <c r="T284" s="12" t="s">
        <v>25</v>
      </c>
    </row>
    <row r="285" spans="1:20" x14ac:dyDescent="0.3">
      <c r="A285" s="13">
        <v>43898.75</v>
      </c>
      <c r="B285" s="12" t="s">
        <v>22</v>
      </c>
      <c r="C285" s="82">
        <v>11</v>
      </c>
      <c r="D285" s="12" t="s">
        <v>51</v>
      </c>
      <c r="E285" s="82">
        <v>4361675973</v>
      </c>
      <c r="F285" s="82">
        <v>135188753</v>
      </c>
      <c r="G285" s="82">
        <v>110</v>
      </c>
      <c r="H285" s="82">
        <v>41</v>
      </c>
      <c r="I285" s="82">
        <v>151</v>
      </c>
      <c r="J285" s="82">
        <v>114</v>
      </c>
      <c r="K285" s="82">
        <v>265</v>
      </c>
      <c r="L285" s="82">
        <v>64</v>
      </c>
      <c r="M285" s="82">
        <v>65</v>
      </c>
      <c r="N285" s="82">
        <v>0</v>
      </c>
      <c r="O285" s="82">
        <v>7</v>
      </c>
      <c r="P285" s="82">
        <v>272</v>
      </c>
      <c r="Q285" s="82">
        <v>1025</v>
      </c>
      <c r="R285" s="12" t="s">
        <v>25</v>
      </c>
      <c r="S285" s="12" t="s">
        <v>25</v>
      </c>
      <c r="T285" s="12" t="s">
        <v>25</v>
      </c>
    </row>
    <row r="286" spans="1:20" x14ac:dyDescent="0.3">
      <c r="A286" s="13">
        <v>43898.75</v>
      </c>
      <c r="B286" s="12" t="s">
        <v>22</v>
      </c>
      <c r="C286" s="82">
        <v>14</v>
      </c>
      <c r="D286" s="12" t="s">
        <v>52</v>
      </c>
      <c r="E286" s="82">
        <v>4155774754</v>
      </c>
      <c r="F286" s="82">
        <v>1465916051</v>
      </c>
      <c r="G286" s="82">
        <v>4</v>
      </c>
      <c r="H286" s="82">
        <v>2</v>
      </c>
      <c r="I286" s="82">
        <v>6</v>
      </c>
      <c r="J286" s="82">
        <v>8</v>
      </c>
      <c r="K286" s="82">
        <v>14</v>
      </c>
      <c r="L286" s="82">
        <v>0</v>
      </c>
      <c r="M286" s="82">
        <v>0</v>
      </c>
      <c r="N286" s="82">
        <v>0</v>
      </c>
      <c r="O286" s="82">
        <v>0</v>
      </c>
      <c r="P286" s="82">
        <v>14</v>
      </c>
      <c r="Q286" s="82">
        <v>116</v>
      </c>
      <c r="R286" s="12" t="s">
        <v>25</v>
      </c>
      <c r="S286" s="12" t="s">
        <v>25</v>
      </c>
      <c r="T286" s="12" t="s">
        <v>25</v>
      </c>
    </row>
    <row r="287" spans="1:20" x14ac:dyDescent="0.3">
      <c r="A287" s="13">
        <v>43898.75</v>
      </c>
      <c r="B287" s="12" t="s">
        <v>22</v>
      </c>
      <c r="C287" s="82">
        <v>1</v>
      </c>
      <c r="D287" s="12" t="s">
        <v>53</v>
      </c>
      <c r="E287" s="82">
        <v>450732745</v>
      </c>
      <c r="F287" s="82">
        <v>7680687483</v>
      </c>
      <c r="G287" s="82">
        <v>245</v>
      </c>
      <c r="H287" s="82">
        <v>45</v>
      </c>
      <c r="I287" s="82">
        <v>290</v>
      </c>
      <c r="J287" s="82">
        <v>65</v>
      </c>
      <c r="K287" s="82">
        <v>355</v>
      </c>
      <c r="L287" s="82">
        <v>153</v>
      </c>
      <c r="M287" s="82">
        <v>153</v>
      </c>
      <c r="N287" s="82">
        <v>0</v>
      </c>
      <c r="O287" s="82">
        <v>5</v>
      </c>
      <c r="P287" s="82">
        <v>360</v>
      </c>
      <c r="Q287" s="82">
        <v>1636</v>
      </c>
      <c r="R287" s="12" t="s">
        <v>25</v>
      </c>
      <c r="S287" s="12" t="s">
        <v>25</v>
      </c>
      <c r="T287" s="12" t="s">
        <v>25</v>
      </c>
    </row>
    <row r="288" spans="1:20" x14ac:dyDescent="0.3">
      <c r="A288" s="13">
        <v>43898.75</v>
      </c>
      <c r="B288" s="12" t="s">
        <v>22</v>
      </c>
      <c r="C288" s="82">
        <v>16</v>
      </c>
      <c r="D288" s="12" t="s">
        <v>54</v>
      </c>
      <c r="E288" s="82">
        <v>4112559576</v>
      </c>
      <c r="F288" s="82">
        <v>1686736689</v>
      </c>
      <c r="G288" s="82">
        <v>17</v>
      </c>
      <c r="H288" s="82">
        <v>3</v>
      </c>
      <c r="I288" s="82">
        <v>20</v>
      </c>
      <c r="J288" s="82">
        <v>16</v>
      </c>
      <c r="K288" s="82">
        <v>36</v>
      </c>
      <c r="L288" s="82">
        <v>13</v>
      </c>
      <c r="M288" s="82">
        <v>14</v>
      </c>
      <c r="N288" s="82">
        <v>1</v>
      </c>
      <c r="O288" s="82">
        <v>3</v>
      </c>
      <c r="P288" s="82">
        <v>40</v>
      </c>
      <c r="Q288" s="82">
        <v>627</v>
      </c>
      <c r="R288" s="12" t="s">
        <v>25</v>
      </c>
      <c r="S288" s="12" t="s">
        <v>25</v>
      </c>
      <c r="T288" s="12" t="s">
        <v>25</v>
      </c>
    </row>
    <row r="289" spans="1:20" x14ac:dyDescent="0.3">
      <c r="A289" s="13">
        <v>43898.75</v>
      </c>
      <c r="B289" s="12" t="s">
        <v>22</v>
      </c>
      <c r="C289" s="82">
        <v>20</v>
      </c>
      <c r="D289" s="12" t="s">
        <v>55</v>
      </c>
      <c r="E289" s="82">
        <v>3921531192</v>
      </c>
      <c r="F289" s="82">
        <v>9110616306</v>
      </c>
      <c r="G289" s="82">
        <v>5</v>
      </c>
      <c r="H289" s="82">
        <v>0</v>
      </c>
      <c r="I289" s="82">
        <v>5</v>
      </c>
      <c r="J289" s="82">
        <v>6</v>
      </c>
      <c r="K289" s="82">
        <v>11</v>
      </c>
      <c r="L289" s="82">
        <v>6</v>
      </c>
      <c r="M289" s="82">
        <v>6</v>
      </c>
      <c r="N289" s="82">
        <v>0</v>
      </c>
      <c r="O289" s="82">
        <v>0</v>
      </c>
      <c r="P289" s="82">
        <v>11</v>
      </c>
      <c r="Q289" s="82">
        <v>149</v>
      </c>
      <c r="R289" s="12" t="s">
        <v>25</v>
      </c>
      <c r="S289" s="12" t="s">
        <v>25</v>
      </c>
      <c r="T289" s="12" t="s">
        <v>25</v>
      </c>
    </row>
    <row r="290" spans="1:20" x14ac:dyDescent="0.3">
      <c r="A290" s="13">
        <v>43898.75</v>
      </c>
      <c r="B290" s="12" t="s">
        <v>22</v>
      </c>
      <c r="C290" s="82">
        <v>19</v>
      </c>
      <c r="D290" s="12" t="s">
        <v>56</v>
      </c>
      <c r="E290" s="82">
        <v>3811569725</v>
      </c>
      <c r="F290" s="82">
        <v>133623567</v>
      </c>
      <c r="G290" s="82">
        <v>18</v>
      </c>
      <c r="H290" s="82">
        <v>0</v>
      </c>
      <c r="I290" s="82">
        <v>18</v>
      </c>
      <c r="J290" s="82">
        <v>33</v>
      </c>
      <c r="K290" s="82">
        <v>51</v>
      </c>
      <c r="L290" s="82">
        <v>18</v>
      </c>
      <c r="M290" s="82">
        <v>18</v>
      </c>
      <c r="N290" s="82">
        <v>2</v>
      </c>
      <c r="O290" s="82">
        <v>0</v>
      </c>
      <c r="P290" s="82">
        <v>53</v>
      </c>
      <c r="Q290" s="82">
        <v>791</v>
      </c>
      <c r="R290" s="12" t="s">
        <v>25</v>
      </c>
      <c r="S290" s="12" t="s">
        <v>25</v>
      </c>
      <c r="T290" s="12" t="s">
        <v>25</v>
      </c>
    </row>
    <row r="291" spans="1:20" x14ac:dyDescent="0.3">
      <c r="A291" s="13">
        <v>43898.75</v>
      </c>
      <c r="B291" s="12" t="s">
        <v>22</v>
      </c>
      <c r="C291" s="82">
        <v>9</v>
      </c>
      <c r="D291" s="12" t="s">
        <v>57</v>
      </c>
      <c r="E291" s="82">
        <v>4376923077</v>
      </c>
      <c r="F291" s="82">
        <v>1125588885</v>
      </c>
      <c r="G291" s="82">
        <v>91</v>
      </c>
      <c r="H291" s="82">
        <v>7</v>
      </c>
      <c r="I291" s="82">
        <v>98</v>
      </c>
      <c r="J291" s="82">
        <v>67</v>
      </c>
      <c r="K291" s="82">
        <v>165</v>
      </c>
      <c r="L291" s="82">
        <v>53</v>
      </c>
      <c r="M291" s="82">
        <v>53</v>
      </c>
      <c r="N291" s="82">
        <v>1</v>
      </c>
      <c r="O291" s="82">
        <v>0</v>
      </c>
      <c r="P291" s="82">
        <v>166</v>
      </c>
      <c r="Q291" s="82">
        <v>1618</v>
      </c>
      <c r="R291" s="12" t="s">
        <v>25</v>
      </c>
      <c r="S291" s="12" t="s">
        <v>25</v>
      </c>
      <c r="T291" s="12" t="s">
        <v>25</v>
      </c>
    </row>
    <row r="292" spans="1:20" x14ac:dyDescent="0.3">
      <c r="A292" s="13">
        <v>43898.75</v>
      </c>
      <c r="B292" s="12" t="s">
        <v>22</v>
      </c>
      <c r="C292" s="82">
        <v>4</v>
      </c>
      <c r="D292" s="12" t="s">
        <v>58</v>
      </c>
      <c r="E292" s="82">
        <v>4606893511</v>
      </c>
      <c r="F292" s="82">
        <v>1112123097</v>
      </c>
      <c r="G292" s="82">
        <v>7</v>
      </c>
      <c r="H292" s="82">
        <v>2</v>
      </c>
      <c r="I292" s="82">
        <v>9</v>
      </c>
      <c r="J292" s="82">
        <v>14</v>
      </c>
      <c r="K292" s="82">
        <v>23</v>
      </c>
      <c r="L292" s="82">
        <v>9</v>
      </c>
      <c r="M292" s="82">
        <v>9</v>
      </c>
      <c r="N292" s="82">
        <v>0</v>
      </c>
      <c r="O292" s="82">
        <v>0</v>
      </c>
      <c r="P292" s="82">
        <v>23</v>
      </c>
      <c r="Q292" s="82">
        <v>228</v>
      </c>
      <c r="R292" s="12" t="s">
        <v>25</v>
      </c>
      <c r="S292" s="12" t="s">
        <v>25</v>
      </c>
      <c r="T292" s="12" t="s">
        <v>25</v>
      </c>
    </row>
    <row r="293" spans="1:20" x14ac:dyDescent="0.3">
      <c r="A293" s="13">
        <v>43898.75</v>
      </c>
      <c r="B293" s="12" t="s">
        <v>22</v>
      </c>
      <c r="C293" s="82">
        <v>10</v>
      </c>
      <c r="D293" s="12" t="s">
        <v>59</v>
      </c>
      <c r="E293" s="82">
        <v>4310675841</v>
      </c>
      <c r="F293" s="82">
        <v>1238824698</v>
      </c>
      <c r="G293" s="82">
        <v>2</v>
      </c>
      <c r="H293" s="82">
        <v>2</v>
      </c>
      <c r="I293" s="82">
        <v>4</v>
      </c>
      <c r="J293" s="82">
        <v>22</v>
      </c>
      <c r="K293" s="82">
        <v>26</v>
      </c>
      <c r="L293" s="82">
        <v>2</v>
      </c>
      <c r="M293" s="82">
        <v>2</v>
      </c>
      <c r="N293" s="82">
        <v>0</v>
      </c>
      <c r="O293" s="82">
        <v>0</v>
      </c>
      <c r="P293" s="82">
        <v>26</v>
      </c>
      <c r="Q293" s="82">
        <v>168</v>
      </c>
      <c r="R293" s="12" t="s">
        <v>25</v>
      </c>
      <c r="S293" s="12" t="s">
        <v>25</v>
      </c>
      <c r="T293" s="12" t="s">
        <v>25</v>
      </c>
    </row>
    <row r="294" spans="1:20" x14ac:dyDescent="0.3">
      <c r="A294" s="13">
        <v>43898.75</v>
      </c>
      <c r="B294" s="12" t="s">
        <v>22</v>
      </c>
      <c r="C294" s="82">
        <v>2</v>
      </c>
      <c r="D294" s="12" t="s">
        <v>60</v>
      </c>
      <c r="E294" s="82">
        <v>4573750286</v>
      </c>
      <c r="F294" s="82">
        <v>7320149366</v>
      </c>
      <c r="G294" s="82">
        <v>1</v>
      </c>
      <c r="H294" s="82">
        <v>0</v>
      </c>
      <c r="I294" s="82">
        <v>1</v>
      </c>
      <c r="J294" s="82">
        <v>8</v>
      </c>
      <c r="K294" s="82">
        <v>9</v>
      </c>
      <c r="L294" s="82">
        <v>1</v>
      </c>
      <c r="M294" s="82">
        <v>1</v>
      </c>
      <c r="N294" s="82">
        <v>0</v>
      </c>
      <c r="O294" s="82">
        <v>0</v>
      </c>
      <c r="P294" s="82">
        <v>9</v>
      </c>
      <c r="Q294" s="82">
        <v>41</v>
      </c>
      <c r="R294" s="12" t="s">
        <v>25</v>
      </c>
      <c r="S294" s="12" t="s">
        <v>25</v>
      </c>
      <c r="T294" s="12" t="s">
        <v>25</v>
      </c>
    </row>
    <row r="295" spans="1:20" x14ac:dyDescent="0.3">
      <c r="A295" s="13">
        <v>43898.75</v>
      </c>
      <c r="B295" s="12" t="s">
        <v>22</v>
      </c>
      <c r="C295" s="82">
        <v>5</v>
      </c>
      <c r="D295" s="12" t="s">
        <v>61</v>
      </c>
      <c r="E295" s="82">
        <v>4543490485</v>
      </c>
      <c r="F295" s="82">
        <v>1233845213</v>
      </c>
      <c r="G295" s="82">
        <v>146</v>
      </c>
      <c r="H295" s="82">
        <v>47</v>
      </c>
      <c r="I295" s="82">
        <v>193</v>
      </c>
      <c r="J295" s="82">
        <v>430</v>
      </c>
      <c r="K295" s="82">
        <v>623</v>
      </c>
      <c r="L295" s="82">
        <v>118</v>
      </c>
      <c r="M295" s="82">
        <v>127</v>
      </c>
      <c r="N295" s="82">
        <v>29</v>
      </c>
      <c r="O295" s="82">
        <v>18</v>
      </c>
      <c r="P295" s="82">
        <v>670</v>
      </c>
      <c r="Q295" s="82">
        <v>15918</v>
      </c>
      <c r="R295" s="12" t="s">
        <v>25</v>
      </c>
      <c r="S295" s="12" t="s">
        <v>25</v>
      </c>
      <c r="T295" s="12" t="s">
        <v>25</v>
      </c>
    </row>
    <row r="296" spans="1:20" x14ac:dyDescent="0.3">
      <c r="A296" s="13">
        <v>43899.75</v>
      </c>
      <c r="B296" s="12" t="s">
        <v>22</v>
      </c>
      <c r="C296" s="82">
        <v>13</v>
      </c>
      <c r="D296" s="12" t="s">
        <v>42</v>
      </c>
      <c r="E296" s="82">
        <v>4235122196</v>
      </c>
      <c r="F296" s="82">
        <v>1339843823</v>
      </c>
      <c r="G296" s="82">
        <v>25</v>
      </c>
      <c r="H296" s="82">
        <v>0</v>
      </c>
      <c r="I296" s="82">
        <v>25</v>
      </c>
      <c r="J296" s="82">
        <v>5</v>
      </c>
      <c r="K296" s="82">
        <v>30</v>
      </c>
      <c r="L296" s="82">
        <v>13</v>
      </c>
      <c r="M296" s="82">
        <v>13</v>
      </c>
      <c r="N296" s="82">
        <v>0</v>
      </c>
      <c r="O296" s="82">
        <v>0</v>
      </c>
      <c r="P296" s="82">
        <v>30</v>
      </c>
      <c r="Q296" s="82">
        <v>237</v>
      </c>
      <c r="R296" s="12" t="s">
        <v>25</v>
      </c>
      <c r="S296" s="12" t="s">
        <v>25</v>
      </c>
      <c r="T296" s="12" t="s">
        <v>25</v>
      </c>
    </row>
    <row r="297" spans="1:20" x14ac:dyDescent="0.3">
      <c r="A297" s="13">
        <v>43899.75</v>
      </c>
      <c r="B297" s="12" t="s">
        <v>22</v>
      </c>
      <c r="C297" s="82">
        <v>17</v>
      </c>
      <c r="D297" s="12" t="s">
        <v>43</v>
      </c>
      <c r="E297" s="82">
        <v>4063947052</v>
      </c>
      <c r="F297" s="82">
        <v>1580514834</v>
      </c>
      <c r="G297" s="82">
        <v>2</v>
      </c>
      <c r="H297" s="82">
        <v>0</v>
      </c>
      <c r="I297" s="82">
        <v>2</v>
      </c>
      <c r="J297" s="82">
        <v>3</v>
      </c>
      <c r="K297" s="82">
        <v>5</v>
      </c>
      <c r="L297" s="82">
        <v>1</v>
      </c>
      <c r="M297" s="82">
        <v>1</v>
      </c>
      <c r="N297" s="82">
        <v>0</v>
      </c>
      <c r="O297" s="82">
        <v>0</v>
      </c>
      <c r="P297" s="82">
        <v>5</v>
      </c>
      <c r="Q297" s="82">
        <v>135</v>
      </c>
      <c r="R297" s="12" t="s">
        <v>25</v>
      </c>
      <c r="S297" s="12" t="s">
        <v>25</v>
      </c>
      <c r="T297" s="12" t="s">
        <v>25</v>
      </c>
    </row>
    <row r="298" spans="1:20" x14ac:dyDescent="0.3">
      <c r="A298" s="13">
        <v>43899.75</v>
      </c>
      <c r="B298" s="12" t="s">
        <v>22</v>
      </c>
      <c r="C298" s="82">
        <v>4</v>
      </c>
      <c r="D298" s="12" t="s">
        <v>44</v>
      </c>
      <c r="E298" s="82">
        <v>4649933453</v>
      </c>
      <c r="F298" s="82">
        <v>1135662422</v>
      </c>
      <c r="G298" s="82">
        <v>8</v>
      </c>
      <c r="H298" s="82">
        <v>0</v>
      </c>
      <c r="I298" s="82">
        <v>8</v>
      </c>
      <c r="J298" s="82">
        <v>1</v>
      </c>
      <c r="K298" s="82">
        <v>9</v>
      </c>
      <c r="L298" s="82">
        <v>0</v>
      </c>
      <c r="M298" s="82">
        <v>0</v>
      </c>
      <c r="N298" s="82">
        <v>0</v>
      </c>
      <c r="O298" s="82">
        <v>0</v>
      </c>
      <c r="P298" s="82">
        <v>9</v>
      </c>
      <c r="Q298" s="82">
        <v>36</v>
      </c>
      <c r="R298" s="12" t="s">
        <v>25</v>
      </c>
      <c r="S298" s="12" t="s">
        <v>25</v>
      </c>
      <c r="T298" s="12" t="s">
        <v>25</v>
      </c>
    </row>
    <row r="299" spans="1:20" x14ac:dyDescent="0.3">
      <c r="A299" s="13">
        <v>43899.75</v>
      </c>
      <c r="B299" s="12" t="s">
        <v>22</v>
      </c>
      <c r="C299" s="82">
        <v>18</v>
      </c>
      <c r="D299" s="12" t="s">
        <v>45</v>
      </c>
      <c r="E299" s="82">
        <v>3890597598</v>
      </c>
      <c r="F299" s="82">
        <v>1659440194</v>
      </c>
      <c r="G299" s="82">
        <v>8</v>
      </c>
      <c r="H299" s="82">
        <v>0</v>
      </c>
      <c r="I299" s="82">
        <v>8</v>
      </c>
      <c r="J299" s="82">
        <v>1</v>
      </c>
      <c r="K299" s="82">
        <v>9</v>
      </c>
      <c r="L299" s="82">
        <v>0</v>
      </c>
      <c r="M299" s="82">
        <v>2</v>
      </c>
      <c r="N299" s="82">
        <v>2</v>
      </c>
      <c r="O299" s="82">
        <v>0</v>
      </c>
      <c r="P299" s="82">
        <v>11</v>
      </c>
      <c r="Q299" s="82">
        <v>173</v>
      </c>
      <c r="R299" s="12" t="s">
        <v>25</v>
      </c>
      <c r="S299" s="12" t="s">
        <v>25</v>
      </c>
      <c r="T299" s="12" t="s">
        <v>25</v>
      </c>
    </row>
    <row r="300" spans="1:20" x14ac:dyDescent="0.3">
      <c r="A300" s="13">
        <v>43899.75</v>
      </c>
      <c r="B300" s="12" t="s">
        <v>22</v>
      </c>
      <c r="C300" s="82">
        <v>15</v>
      </c>
      <c r="D300" s="12" t="s">
        <v>46</v>
      </c>
      <c r="E300" s="82">
        <v>4083956555</v>
      </c>
      <c r="F300" s="82">
        <v>1425084984</v>
      </c>
      <c r="G300" s="82">
        <v>42</v>
      </c>
      <c r="H300" s="82">
        <v>8</v>
      </c>
      <c r="I300" s="82">
        <v>50</v>
      </c>
      <c r="J300" s="82">
        <v>69</v>
      </c>
      <c r="K300" s="82">
        <v>119</v>
      </c>
      <c r="L300" s="82">
        <v>19</v>
      </c>
      <c r="M300" s="82">
        <v>19</v>
      </c>
      <c r="N300" s="82">
        <v>1</v>
      </c>
      <c r="O300" s="82">
        <v>0</v>
      </c>
      <c r="P300" s="82">
        <v>120</v>
      </c>
      <c r="Q300" s="82">
        <v>980</v>
      </c>
      <c r="R300" s="12" t="s">
        <v>25</v>
      </c>
      <c r="S300" s="12" t="s">
        <v>25</v>
      </c>
      <c r="T300" s="12" t="s">
        <v>25</v>
      </c>
    </row>
    <row r="301" spans="1:20" x14ac:dyDescent="0.3">
      <c r="A301" s="13">
        <v>43899.75</v>
      </c>
      <c r="B301" s="12" t="s">
        <v>22</v>
      </c>
      <c r="C301" s="82">
        <v>8</v>
      </c>
      <c r="D301" s="12" t="s">
        <v>95</v>
      </c>
      <c r="E301" s="82">
        <v>4449436681</v>
      </c>
      <c r="F301" s="82">
        <v>113417208</v>
      </c>
      <c r="G301" s="82">
        <v>576</v>
      </c>
      <c r="H301" s="82">
        <v>90</v>
      </c>
      <c r="I301" s="82">
        <v>666</v>
      </c>
      <c r="J301" s="82">
        <v>620</v>
      </c>
      <c r="K301" s="82">
        <v>1286</v>
      </c>
      <c r="L301" s="82">
        <v>189</v>
      </c>
      <c r="M301" s="82">
        <v>206</v>
      </c>
      <c r="N301" s="82">
        <v>30</v>
      </c>
      <c r="O301" s="82">
        <v>70</v>
      </c>
      <c r="P301" s="82">
        <v>1386</v>
      </c>
      <c r="Q301" s="82">
        <v>4906</v>
      </c>
      <c r="R301" s="12" t="s">
        <v>25</v>
      </c>
      <c r="S301" s="12" t="s">
        <v>25</v>
      </c>
      <c r="T301" s="12" t="s">
        <v>25</v>
      </c>
    </row>
    <row r="302" spans="1:20" x14ac:dyDescent="0.3">
      <c r="A302" s="13">
        <v>43899.75</v>
      </c>
      <c r="B302" s="12" t="s">
        <v>22</v>
      </c>
      <c r="C302" s="82">
        <v>6</v>
      </c>
      <c r="D302" s="12" t="s">
        <v>47</v>
      </c>
      <c r="E302" s="82">
        <v>456494354</v>
      </c>
      <c r="F302" s="82">
        <v>1376813649</v>
      </c>
      <c r="G302" s="82">
        <v>18</v>
      </c>
      <c r="H302" s="82">
        <v>1</v>
      </c>
      <c r="I302" s="82">
        <v>19</v>
      </c>
      <c r="J302" s="82">
        <v>70</v>
      </c>
      <c r="K302" s="82">
        <v>89</v>
      </c>
      <c r="L302" s="82">
        <v>36</v>
      </c>
      <c r="M302" s="82">
        <v>36</v>
      </c>
      <c r="N302" s="82">
        <v>3</v>
      </c>
      <c r="O302" s="82">
        <v>1</v>
      </c>
      <c r="P302" s="82">
        <v>93</v>
      </c>
      <c r="Q302" s="82">
        <v>1344</v>
      </c>
      <c r="R302" s="12" t="s">
        <v>25</v>
      </c>
      <c r="S302" s="12" t="s">
        <v>25</v>
      </c>
      <c r="T302" s="12" t="s">
        <v>25</v>
      </c>
    </row>
    <row r="303" spans="1:20" x14ac:dyDescent="0.3">
      <c r="A303" s="13">
        <v>43899.75</v>
      </c>
      <c r="B303" s="12" t="s">
        <v>22</v>
      </c>
      <c r="C303" s="82">
        <v>12</v>
      </c>
      <c r="D303" s="12" t="s">
        <v>48</v>
      </c>
      <c r="E303" s="82">
        <v>4189277044</v>
      </c>
      <c r="F303" s="82">
        <v>1248366722</v>
      </c>
      <c r="G303" s="82">
        <v>55</v>
      </c>
      <c r="H303" s="82">
        <v>8</v>
      </c>
      <c r="I303" s="82">
        <v>63</v>
      </c>
      <c r="J303" s="82">
        <v>31</v>
      </c>
      <c r="K303" s="82">
        <v>94</v>
      </c>
      <c r="L303" s="82">
        <v>13</v>
      </c>
      <c r="M303" s="82">
        <v>15</v>
      </c>
      <c r="N303" s="82">
        <v>3</v>
      </c>
      <c r="O303" s="82">
        <v>5</v>
      </c>
      <c r="P303" s="82">
        <v>102</v>
      </c>
      <c r="Q303" s="82">
        <v>1929</v>
      </c>
      <c r="R303" s="12" t="s">
        <v>25</v>
      </c>
      <c r="S303" s="12" t="s">
        <v>25</v>
      </c>
      <c r="T303" s="12" t="s">
        <v>25</v>
      </c>
    </row>
    <row r="304" spans="1:20" x14ac:dyDescent="0.3">
      <c r="A304" s="13">
        <v>43899.75</v>
      </c>
      <c r="B304" s="12" t="s">
        <v>22</v>
      </c>
      <c r="C304" s="82">
        <v>7</v>
      </c>
      <c r="D304" s="12" t="s">
        <v>49</v>
      </c>
      <c r="E304" s="82">
        <v>4441149315</v>
      </c>
      <c r="F304" s="82">
        <v>89326992</v>
      </c>
      <c r="G304" s="82">
        <v>60</v>
      </c>
      <c r="H304" s="82">
        <v>17</v>
      </c>
      <c r="I304" s="82">
        <v>77</v>
      </c>
      <c r="J304" s="82">
        <v>20</v>
      </c>
      <c r="K304" s="82">
        <v>97</v>
      </c>
      <c r="L304" s="82">
        <v>30</v>
      </c>
      <c r="M304" s="82">
        <v>31</v>
      </c>
      <c r="N304" s="82">
        <v>5</v>
      </c>
      <c r="O304" s="82">
        <v>7</v>
      </c>
      <c r="P304" s="82">
        <v>109</v>
      </c>
      <c r="Q304" s="82">
        <v>611</v>
      </c>
      <c r="R304" s="12" t="s">
        <v>25</v>
      </c>
      <c r="S304" s="12" t="s">
        <v>25</v>
      </c>
      <c r="T304" s="12" t="s">
        <v>25</v>
      </c>
    </row>
    <row r="305" spans="1:20" x14ac:dyDescent="0.3">
      <c r="A305" s="13">
        <v>43899.75</v>
      </c>
      <c r="B305" s="12" t="s">
        <v>22</v>
      </c>
      <c r="C305" s="82">
        <v>3</v>
      </c>
      <c r="D305" s="12" t="s">
        <v>50</v>
      </c>
      <c r="E305" s="82">
        <v>4546679409</v>
      </c>
      <c r="F305" s="82">
        <v>9190347404</v>
      </c>
      <c r="G305" s="82">
        <v>2802</v>
      </c>
      <c r="H305" s="82">
        <v>440</v>
      </c>
      <c r="I305" s="82">
        <v>3242</v>
      </c>
      <c r="J305" s="82">
        <v>1248</v>
      </c>
      <c r="K305" s="82">
        <v>4490</v>
      </c>
      <c r="L305" s="82">
        <v>1118</v>
      </c>
      <c r="M305" s="82">
        <v>1280</v>
      </c>
      <c r="N305" s="82">
        <v>646</v>
      </c>
      <c r="O305" s="82">
        <v>333</v>
      </c>
      <c r="P305" s="82">
        <v>5469</v>
      </c>
      <c r="Q305" s="82">
        <v>20135</v>
      </c>
      <c r="R305" s="12" t="s">
        <v>25</v>
      </c>
      <c r="S305" s="12" t="s">
        <v>25</v>
      </c>
      <c r="T305" s="12" t="s">
        <v>25</v>
      </c>
    </row>
    <row r="306" spans="1:20" x14ac:dyDescent="0.3">
      <c r="A306" s="13">
        <v>43899.75</v>
      </c>
      <c r="B306" s="12" t="s">
        <v>22</v>
      </c>
      <c r="C306" s="82">
        <v>11</v>
      </c>
      <c r="D306" s="12" t="s">
        <v>51</v>
      </c>
      <c r="E306" s="82">
        <v>4361675973</v>
      </c>
      <c r="F306" s="82">
        <v>135188753</v>
      </c>
      <c r="G306" s="82">
        <v>136</v>
      </c>
      <c r="H306" s="82">
        <v>47</v>
      </c>
      <c r="I306" s="82">
        <v>183</v>
      </c>
      <c r="J306" s="82">
        <v>130</v>
      </c>
      <c r="K306" s="82">
        <v>313</v>
      </c>
      <c r="L306" s="82">
        <v>48</v>
      </c>
      <c r="M306" s="82">
        <v>51</v>
      </c>
      <c r="N306" s="82">
        <v>0</v>
      </c>
      <c r="O306" s="82">
        <v>10</v>
      </c>
      <c r="P306" s="82">
        <v>323</v>
      </c>
      <c r="Q306" s="82">
        <v>1250</v>
      </c>
      <c r="R306" s="12" t="s">
        <v>25</v>
      </c>
      <c r="S306" s="12" t="s">
        <v>25</v>
      </c>
      <c r="T306" s="12" t="s">
        <v>25</v>
      </c>
    </row>
    <row r="307" spans="1:20" x14ac:dyDescent="0.3">
      <c r="A307" s="13">
        <v>43899.75</v>
      </c>
      <c r="B307" s="12" t="s">
        <v>22</v>
      </c>
      <c r="C307" s="82">
        <v>14</v>
      </c>
      <c r="D307" s="12" t="s">
        <v>52</v>
      </c>
      <c r="E307" s="82">
        <v>4155774754</v>
      </c>
      <c r="F307" s="82">
        <v>1465916051</v>
      </c>
      <c r="G307" s="82">
        <v>4</v>
      </c>
      <c r="H307" s="82">
        <v>2</v>
      </c>
      <c r="I307" s="82">
        <v>6</v>
      </c>
      <c r="J307" s="82">
        <v>8</v>
      </c>
      <c r="K307" s="82">
        <v>14</v>
      </c>
      <c r="L307" s="82">
        <v>0</v>
      </c>
      <c r="M307" s="82">
        <v>0</v>
      </c>
      <c r="N307" s="82">
        <v>0</v>
      </c>
      <c r="O307" s="82">
        <v>0</v>
      </c>
      <c r="P307" s="82">
        <v>14</v>
      </c>
      <c r="Q307" s="82">
        <v>212</v>
      </c>
      <c r="R307" s="12" t="s">
        <v>25</v>
      </c>
      <c r="S307" s="12" t="s">
        <v>25</v>
      </c>
      <c r="T307" s="12" t="s">
        <v>25</v>
      </c>
    </row>
    <row r="308" spans="1:20" x14ac:dyDescent="0.3">
      <c r="A308" s="13">
        <v>43899.75</v>
      </c>
      <c r="B308" s="12" t="s">
        <v>22</v>
      </c>
      <c r="C308" s="82">
        <v>1</v>
      </c>
      <c r="D308" s="12" t="s">
        <v>53</v>
      </c>
      <c r="E308" s="82">
        <v>450732745</v>
      </c>
      <c r="F308" s="82">
        <v>7680687483</v>
      </c>
      <c r="G308" s="82">
        <v>222</v>
      </c>
      <c r="H308" s="82">
        <v>50</v>
      </c>
      <c r="I308" s="82">
        <v>272</v>
      </c>
      <c r="J308" s="82">
        <v>65</v>
      </c>
      <c r="K308" s="82">
        <v>337</v>
      </c>
      <c r="L308" s="82">
        <v>-18</v>
      </c>
      <c r="M308" s="82">
        <v>-10</v>
      </c>
      <c r="N308" s="82">
        <v>0</v>
      </c>
      <c r="O308" s="82">
        <v>13</v>
      </c>
      <c r="P308" s="82">
        <v>350</v>
      </c>
      <c r="Q308" s="82">
        <v>1681</v>
      </c>
      <c r="R308" s="12" t="s">
        <v>25</v>
      </c>
      <c r="S308" s="12" t="s">
        <v>25</v>
      </c>
      <c r="T308" s="12" t="s">
        <v>25</v>
      </c>
    </row>
    <row r="309" spans="1:20" x14ac:dyDescent="0.3">
      <c r="A309" s="13">
        <v>43899.75</v>
      </c>
      <c r="B309" s="12" t="s">
        <v>22</v>
      </c>
      <c r="C309" s="82">
        <v>16</v>
      </c>
      <c r="D309" s="12" t="s">
        <v>54</v>
      </c>
      <c r="E309" s="82">
        <v>4112559576</v>
      </c>
      <c r="F309" s="82">
        <v>1686736689</v>
      </c>
      <c r="G309" s="82">
        <v>20</v>
      </c>
      <c r="H309" s="82">
        <v>6</v>
      </c>
      <c r="I309" s="82">
        <v>26</v>
      </c>
      <c r="J309" s="82">
        <v>20</v>
      </c>
      <c r="K309" s="82">
        <v>46</v>
      </c>
      <c r="L309" s="82">
        <v>10</v>
      </c>
      <c r="M309" s="82">
        <v>10</v>
      </c>
      <c r="N309" s="82">
        <v>1</v>
      </c>
      <c r="O309" s="82">
        <v>3</v>
      </c>
      <c r="P309" s="82">
        <v>50</v>
      </c>
      <c r="Q309" s="82">
        <v>685</v>
      </c>
      <c r="R309" s="12" t="s">
        <v>25</v>
      </c>
      <c r="S309" s="12" t="s">
        <v>25</v>
      </c>
      <c r="T309" s="12" t="s">
        <v>25</v>
      </c>
    </row>
    <row r="310" spans="1:20" x14ac:dyDescent="0.3">
      <c r="A310" s="13">
        <v>43899.75</v>
      </c>
      <c r="B310" s="12" t="s">
        <v>22</v>
      </c>
      <c r="C310" s="82">
        <v>20</v>
      </c>
      <c r="D310" s="12" t="s">
        <v>55</v>
      </c>
      <c r="E310" s="82">
        <v>3921531192</v>
      </c>
      <c r="F310" s="82">
        <v>9110616306</v>
      </c>
      <c r="G310" s="82">
        <v>8</v>
      </c>
      <c r="H310" s="82">
        <v>0</v>
      </c>
      <c r="I310" s="82">
        <v>8</v>
      </c>
      <c r="J310" s="82">
        <v>11</v>
      </c>
      <c r="K310" s="82">
        <v>19</v>
      </c>
      <c r="L310" s="82">
        <v>8</v>
      </c>
      <c r="M310" s="82">
        <v>8</v>
      </c>
      <c r="N310" s="82">
        <v>0</v>
      </c>
      <c r="O310" s="82">
        <v>0</v>
      </c>
      <c r="P310" s="82">
        <v>19</v>
      </c>
      <c r="Q310" s="82">
        <v>185</v>
      </c>
      <c r="R310" s="12" t="s">
        <v>25</v>
      </c>
      <c r="S310" s="12" t="s">
        <v>25</v>
      </c>
      <c r="T310" s="12" t="s">
        <v>25</v>
      </c>
    </row>
    <row r="311" spans="1:20" x14ac:dyDescent="0.3">
      <c r="A311" s="13">
        <v>43899.75</v>
      </c>
      <c r="B311" s="12" t="s">
        <v>22</v>
      </c>
      <c r="C311" s="82">
        <v>19</v>
      </c>
      <c r="D311" s="12" t="s">
        <v>56</v>
      </c>
      <c r="E311" s="82">
        <v>3811569725</v>
      </c>
      <c r="F311" s="82">
        <v>133623567</v>
      </c>
      <c r="G311" s="82">
        <v>19</v>
      </c>
      <c r="H311" s="82">
        <v>0</v>
      </c>
      <c r="I311" s="82">
        <v>19</v>
      </c>
      <c r="J311" s="82">
        <v>33</v>
      </c>
      <c r="K311" s="82">
        <v>52</v>
      </c>
      <c r="L311" s="82">
        <v>1</v>
      </c>
      <c r="M311" s="82">
        <v>1</v>
      </c>
      <c r="N311" s="82">
        <v>2</v>
      </c>
      <c r="O311" s="82">
        <v>0</v>
      </c>
      <c r="P311" s="82">
        <v>54</v>
      </c>
      <c r="Q311" s="82">
        <v>836</v>
      </c>
      <c r="R311" s="12" t="s">
        <v>25</v>
      </c>
      <c r="S311" s="12" t="s">
        <v>25</v>
      </c>
      <c r="T311" s="12" t="s">
        <v>25</v>
      </c>
    </row>
    <row r="312" spans="1:20" x14ac:dyDescent="0.3">
      <c r="A312" s="13">
        <v>43899.75</v>
      </c>
      <c r="B312" s="12" t="s">
        <v>22</v>
      </c>
      <c r="C312" s="82">
        <v>9</v>
      </c>
      <c r="D312" s="12" t="s">
        <v>57</v>
      </c>
      <c r="E312" s="82">
        <v>4376923077</v>
      </c>
      <c r="F312" s="82">
        <v>1125588885</v>
      </c>
      <c r="G312" s="82">
        <v>107</v>
      </c>
      <c r="H312" s="82">
        <v>9</v>
      </c>
      <c r="I312" s="82">
        <v>116</v>
      </c>
      <c r="J312" s="82">
        <v>90</v>
      </c>
      <c r="K312" s="82">
        <v>206</v>
      </c>
      <c r="L312" s="82">
        <v>41</v>
      </c>
      <c r="M312" s="82">
        <v>42</v>
      </c>
      <c r="N312" s="82">
        <v>1</v>
      </c>
      <c r="O312" s="82">
        <v>1</v>
      </c>
      <c r="P312" s="82">
        <v>208</v>
      </c>
      <c r="Q312" s="82">
        <v>2018</v>
      </c>
      <c r="R312" s="12" t="s">
        <v>25</v>
      </c>
      <c r="S312" s="12" t="s">
        <v>25</v>
      </c>
      <c r="T312" s="12" t="s">
        <v>25</v>
      </c>
    </row>
    <row r="313" spans="1:20" x14ac:dyDescent="0.3">
      <c r="A313" s="13">
        <v>43899.75</v>
      </c>
      <c r="B313" s="12" t="s">
        <v>22</v>
      </c>
      <c r="C313" s="82">
        <v>4</v>
      </c>
      <c r="D313" s="12" t="s">
        <v>58</v>
      </c>
      <c r="E313" s="82">
        <v>4606893511</v>
      </c>
      <c r="F313" s="82">
        <v>1112123097</v>
      </c>
      <c r="G313" s="82">
        <v>10</v>
      </c>
      <c r="H313" s="82">
        <v>2</v>
      </c>
      <c r="I313" s="82">
        <v>12</v>
      </c>
      <c r="J313" s="82">
        <v>21</v>
      </c>
      <c r="K313" s="82">
        <v>33</v>
      </c>
      <c r="L313" s="82">
        <v>10</v>
      </c>
      <c r="M313" s="82">
        <v>10</v>
      </c>
      <c r="N313" s="82">
        <v>0</v>
      </c>
      <c r="O313" s="82">
        <v>0</v>
      </c>
      <c r="P313" s="82">
        <v>33</v>
      </c>
      <c r="Q313" s="82">
        <v>267</v>
      </c>
      <c r="R313" s="12" t="s">
        <v>25</v>
      </c>
      <c r="S313" s="12" t="s">
        <v>25</v>
      </c>
      <c r="T313" s="12" t="s">
        <v>25</v>
      </c>
    </row>
    <row r="314" spans="1:20" x14ac:dyDescent="0.3">
      <c r="A314" s="13">
        <v>43899.75</v>
      </c>
      <c r="B314" s="12" t="s">
        <v>22</v>
      </c>
      <c r="C314" s="82">
        <v>10</v>
      </c>
      <c r="D314" s="12" t="s">
        <v>59</v>
      </c>
      <c r="E314" s="82">
        <v>4310675841</v>
      </c>
      <c r="F314" s="82">
        <v>1238824698</v>
      </c>
      <c r="G314" s="82">
        <v>4</v>
      </c>
      <c r="H314" s="82">
        <v>2</v>
      </c>
      <c r="I314" s="82">
        <v>6</v>
      </c>
      <c r="J314" s="82">
        <v>22</v>
      </c>
      <c r="K314" s="82">
        <v>28</v>
      </c>
      <c r="L314" s="82">
        <v>2</v>
      </c>
      <c r="M314" s="82">
        <v>2</v>
      </c>
      <c r="N314" s="82">
        <v>0</v>
      </c>
      <c r="O314" s="82">
        <v>0</v>
      </c>
      <c r="P314" s="82">
        <v>28</v>
      </c>
      <c r="Q314" s="82">
        <v>183</v>
      </c>
      <c r="R314" s="12" t="s">
        <v>25</v>
      </c>
      <c r="S314" s="12" t="s">
        <v>25</v>
      </c>
      <c r="T314" s="12" t="s">
        <v>25</v>
      </c>
    </row>
    <row r="315" spans="1:20" x14ac:dyDescent="0.3">
      <c r="A315" s="13">
        <v>43899.75</v>
      </c>
      <c r="B315" s="12" t="s">
        <v>22</v>
      </c>
      <c r="C315" s="82">
        <v>2</v>
      </c>
      <c r="D315" s="12" t="s">
        <v>60</v>
      </c>
      <c r="E315" s="82">
        <v>4573750286</v>
      </c>
      <c r="F315" s="82">
        <v>7320149366</v>
      </c>
      <c r="G315" s="82">
        <v>4</v>
      </c>
      <c r="H315" s="82">
        <v>0</v>
      </c>
      <c r="I315" s="82">
        <v>4</v>
      </c>
      <c r="J315" s="82">
        <v>11</v>
      </c>
      <c r="K315" s="82">
        <v>15</v>
      </c>
      <c r="L315" s="82">
        <v>6</v>
      </c>
      <c r="M315" s="82">
        <v>6</v>
      </c>
      <c r="N315" s="82">
        <v>0</v>
      </c>
      <c r="O315" s="82">
        <v>0</v>
      </c>
      <c r="P315" s="82">
        <v>15</v>
      </c>
      <c r="Q315" s="82">
        <v>67</v>
      </c>
      <c r="R315" s="12" t="s">
        <v>25</v>
      </c>
      <c r="S315" s="12" t="s">
        <v>25</v>
      </c>
      <c r="T315" s="12" t="s">
        <v>25</v>
      </c>
    </row>
    <row r="316" spans="1:20" x14ac:dyDescent="0.3">
      <c r="A316" s="13">
        <v>43899.75</v>
      </c>
      <c r="B316" s="12" t="s">
        <v>22</v>
      </c>
      <c r="C316" s="82">
        <v>5</v>
      </c>
      <c r="D316" s="12" t="s">
        <v>61</v>
      </c>
      <c r="E316" s="82">
        <v>4543490485</v>
      </c>
      <c r="F316" s="82">
        <v>1233845213</v>
      </c>
      <c r="G316" s="82">
        <v>186</v>
      </c>
      <c r="H316" s="82">
        <v>51</v>
      </c>
      <c r="I316" s="82">
        <v>237</v>
      </c>
      <c r="J316" s="82">
        <v>457</v>
      </c>
      <c r="K316" s="82">
        <v>694</v>
      </c>
      <c r="L316" s="82">
        <v>71</v>
      </c>
      <c r="M316" s="82">
        <v>74</v>
      </c>
      <c r="N316" s="82">
        <v>30</v>
      </c>
      <c r="O316" s="82">
        <v>20</v>
      </c>
      <c r="P316" s="82">
        <v>744</v>
      </c>
      <c r="Q316" s="82">
        <v>15956</v>
      </c>
      <c r="R316" s="12" t="s">
        <v>25</v>
      </c>
      <c r="S316" s="12" t="s">
        <v>25</v>
      </c>
      <c r="T316" s="12" t="s">
        <v>25</v>
      </c>
    </row>
    <row r="317" spans="1:20" x14ac:dyDescent="0.3">
      <c r="A317" s="13">
        <v>43900.75</v>
      </c>
      <c r="B317" s="12" t="s">
        <v>22</v>
      </c>
      <c r="C317" s="82">
        <v>13</v>
      </c>
      <c r="D317" s="12" t="s">
        <v>42</v>
      </c>
      <c r="E317" s="82">
        <v>4235122196</v>
      </c>
      <c r="F317" s="82">
        <v>1339843823</v>
      </c>
      <c r="G317" s="82">
        <v>17</v>
      </c>
      <c r="H317" s="82">
        <v>9</v>
      </c>
      <c r="I317" s="82">
        <v>26</v>
      </c>
      <c r="J317" s="82">
        <v>11</v>
      </c>
      <c r="K317" s="82">
        <v>37</v>
      </c>
      <c r="L317" s="82">
        <v>7</v>
      </c>
      <c r="M317" s="82">
        <v>8</v>
      </c>
      <c r="N317" s="82">
        <v>0</v>
      </c>
      <c r="O317" s="82">
        <v>1</v>
      </c>
      <c r="P317" s="82">
        <v>38</v>
      </c>
      <c r="Q317" s="82">
        <v>310</v>
      </c>
      <c r="R317" s="12" t="s">
        <v>25</v>
      </c>
      <c r="S317" s="12" t="s">
        <v>25</v>
      </c>
      <c r="T317" s="12" t="s">
        <v>25</v>
      </c>
    </row>
    <row r="318" spans="1:20" x14ac:dyDescent="0.3">
      <c r="A318" s="13">
        <v>43900.75</v>
      </c>
      <c r="B318" s="12" t="s">
        <v>22</v>
      </c>
      <c r="C318" s="82">
        <v>17</v>
      </c>
      <c r="D318" s="12" t="s">
        <v>43</v>
      </c>
      <c r="E318" s="82">
        <v>4063947052</v>
      </c>
      <c r="F318" s="82">
        <v>1580514834</v>
      </c>
      <c r="G318" s="82">
        <v>2</v>
      </c>
      <c r="H318" s="82">
        <v>0</v>
      </c>
      <c r="I318" s="82">
        <v>2</v>
      </c>
      <c r="J318" s="82">
        <v>5</v>
      </c>
      <c r="K318" s="82">
        <v>7</v>
      </c>
      <c r="L318" s="82">
        <v>2</v>
      </c>
      <c r="M318" s="82">
        <v>2</v>
      </c>
      <c r="N318" s="82">
        <v>0</v>
      </c>
      <c r="O318" s="82">
        <v>0</v>
      </c>
      <c r="P318" s="82">
        <v>7</v>
      </c>
      <c r="Q318" s="82">
        <v>148</v>
      </c>
      <c r="R318" s="12" t="s">
        <v>25</v>
      </c>
      <c r="S318" s="12" t="s">
        <v>25</v>
      </c>
      <c r="T318" s="12" t="s">
        <v>25</v>
      </c>
    </row>
    <row r="319" spans="1:20" x14ac:dyDescent="0.3">
      <c r="A319" s="13">
        <v>43900.75</v>
      </c>
      <c r="B319" s="12" t="s">
        <v>22</v>
      </c>
      <c r="C319" s="82">
        <v>4</v>
      </c>
      <c r="D319" s="12" t="s">
        <v>44</v>
      </c>
      <c r="E319" s="82">
        <v>4649933453</v>
      </c>
      <c r="F319" s="82">
        <v>1135662422</v>
      </c>
      <c r="G319" s="82">
        <v>17</v>
      </c>
      <c r="H319" s="82">
        <v>1</v>
      </c>
      <c r="I319" s="82">
        <v>18</v>
      </c>
      <c r="J319" s="82">
        <v>20</v>
      </c>
      <c r="K319" s="82">
        <v>38</v>
      </c>
      <c r="L319" s="82">
        <v>29</v>
      </c>
      <c r="M319" s="82">
        <v>29</v>
      </c>
      <c r="N319" s="82">
        <v>0</v>
      </c>
      <c r="O319" s="82">
        <v>0</v>
      </c>
      <c r="P319" s="82">
        <v>38</v>
      </c>
      <c r="Q319" s="82">
        <v>36</v>
      </c>
      <c r="R319" s="12" t="s">
        <v>25</v>
      </c>
      <c r="S319" s="12" t="s">
        <v>25</v>
      </c>
      <c r="T319" s="12" t="s">
        <v>25</v>
      </c>
    </row>
    <row r="320" spans="1:20" x14ac:dyDescent="0.3">
      <c r="A320" s="13">
        <v>43900.75</v>
      </c>
      <c r="B320" s="12" t="s">
        <v>22</v>
      </c>
      <c r="C320" s="82">
        <v>18</v>
      </c>
      <c r="D320" s="12" t="s">
        <v>45</v>
      </c>
      <c r="E320" s="82">
        <v>3890597598</v>
      </c>
      <c r="F320" s="82">
        <v>1659440194</v>
      </c>
      <c r="G320" s="82">
        <v>8</v>
      </c>
      <c r="H320" s="82">
        <v>2</v>
      </c>
      <c r="I320" s="82">
        <v>10</v>
      </c>
      <c r="J320" s="82">
        <v>1</v>
      </c>
      <c r="K320" s="82">
        <v>11</v>
      </c>
      <c r="L320" s="82">
        <v>2</v>
      </c>
      <c r="M320" s="82">
        <v>2</v>
      </c>
      <c r="N320" s="82">
        <v>2</v>
      </c>
      <c r="O320" s="82">
        <v>0</v>
      </c>
      <c r="P320" s="82">
        <v>13</v>
      </c>
      <c r="Q320" s="82">
        <v>360</v>
      </c>
      <c r="R320" s="12" t="s">
        <v>25</v>
      </c>
      <c r="S320" s="12" t="s">
        <v>25</v>
      </c>
      <c r="T320" s="12" t="s">
        <v>25</v>
      </c>
    </row>
    <row r="321" spans="1:20" x14ac:dyDescent="0.3">
      <c r="A321" s="13">
        <v>43900.75</v>
      </c>
      <c r="B321" s="12" t="s">
        <v>22</v>
      </c>
      <c r="C321" s="82">
        <v>15</v>
      </c>
      <c r="D321" s="12" t="s">
        <v>46</v>
      </c>
      <c r="E321" s="82">
        <v>4083956555</v>
      </c>
      <c r="F321" s="82">
        <v>1425084984</v>
      </c>
      <c r="G321" s="82">
        <v>33</v>
      </c>
      <c r="H321" s="82">
        <v>8</v>
      </c>
      <c r="I321" s="82">
        <v>41</v>
      </c>
      <c r="J321" s="82">
        <v>85</v>
      </c>
      <c r="K321" s="82">
        <v>126</v>
      </c>
      <c r="L321" s="82">
        <v>7</v>
      </c>
      <c r="M321" s="82">
        <v>7</v>
      </c>
      <c r="N321" s="82">
        <v>1</v>
      </c>
      <c r="O321" s="82">
        <v>0</v>
      </c>
      <c r="P321" s="82">
        <v>127</v>
      </c>
      <c r="Q321" s="82">
        <v>1141</v>
      </c>
      <c r="R321" s="12" t="s">
        <v>25</v>
      </c>
      <c r="S321" s="12" t="s">
        <v>25</v>
      </c>
      <c r="T321" s="12" t="s">
        <v>25</v>
      </c>
    </row>
    <row r="322" spans="1:20" x14ac:dyDescent="0.3">
      <c r="A322" s="13">
        <v>43900.75</v>
      </c>
      <c r="B322" s="12" t="s">
        <v>22</v>
      </c>
      <c r="C322" s="82">
        <v>8</v>
      </c>
      <c r="D322" s="12" t="s">
        <v>95</v>
      </c>
      <c r="E322" s="82">
        <v>4449436681</v>
      </c>
      <c r="F322" s="82">
        <v>113417208</v>
      </c>
      <c r="G322" s="82">
        <v>669</v>
      </c>
      <c r="H322" s="82">
        <v>98</v>
      </c>
      <c r="I322" s="82">
        <v>767</v>
      </c>
      <c r="J322" s="82">
        <v>650</v>
      </c>
      <c r="K322" s="82">
        <v>1417</v>
      </c>
      <c r="L322" s="82">
        <v>131</v>
      </c>
      <c r="M322" s="82">
        <v>147</v>
      </c>
      <c r="N322" s="82">
        <v>31</v>
      </c>
      <c r="O322" s="82">
        <v>85</v>
      </c>
      <c r="P322" s="82">
        <v>1533</v>
      </c>
      <c r="Q322" s="82">
        <v>5494</v>
      </c>
      <c r="R322" s="12" t="s">
        <v>25</v>
      </c>
      <c r="S322" s="12" t="s">
        <v>25</v>
      </c>
      <c r="T322" s="12" t="s">
        <v>25</v>
      </c>
    </row>
    <row r="323" spans="1:20" x14ac:dyDescent="0.3">
      <c r="A323" s="13">
        <v>43900.75</v>
      </c>
      <c r="B323" s="12" t="s">
        <v>22</v>
      </c>
      <c r="C323" s="82">
        <v>6</v>
      </c>
      <c r="D323" s="12" t="s">
        <v>47</v>
      </c>
      <c r="E323" s="82">
        <v>456494354</v>
      </c>
      <c r="F323" s="82">
        <v>1376813649</v>
      </c>
      <c r="G323" s="82">
        <v>27</v>
      </c>
      <c r="H323" s="82">
        <v>6</v>
      </c>
      <c r="I323" s="82">
        <v>33</v>
      </c>
      <c r="J323" s="82">
        <v>77</v>
      </c>
      <c r="K323" s="82">
        <v>110</v>
      </c>
      <c r="L323" s="82">
        <v>21</v>
      </c>
      <c r="M323" s="82">
        <v>23</v>
      </c>
      <c r="N323" s="82">
        <v>3</v>
      </c>
      <c r="O323" s="82">
        <v>3</v>
      </c>
      <c r="P323" s="82">
        <v>116</v>
      </c>
      <c r="Q323" s="82">
        <v>1602</v>
      </c>
      <c r="R323" s="12" t="s">
        <v>25</v>
      </c>
      <c r="S323" s="12" t="s">
        <v>25</v>
      </c>
      <c r="T323" s="12" t="s">
        <v>25</v>
      </c>
    </row>
    <row r="324" spans="1:20" x14ac:dyDescent="0.3">
      <c r="A324" s="13">
        <v>43900.75</v>
      </c>
      <c r="B324" s="12" t="s">
        <v>22</v>
      </c>
      <c r="C324" s="82">
        <v>12</v>
      </c>
      <c r="D324" s="12" t="s">
        <v>48</v>
      </c>
      <c r="E324" s="82">
        <v>4189277044</v>
      </c>
      <c r="F324" s="82">
        <v>1248366722</v>
      </c>
      <c r="G324" s="82">
        <v>50</v>
      </c>
      <c r="H324" s="82">
        <v>15</v>
      </c>
      <c r="I324" s="82">
        <v>65</v>
      </c>
      <c r="J324" s="82">
        <v>34</v>
      </c>
      <c r="K324" s="82">
        <v>99</v>
      </c>
      <c r="L324" s="82">
        <v>5</v>
      </c>
      <c r="M324" s="82">
        <v>14</v>
      </c>
      <c r="N324" s="82">
        <v>11</v>
      </c>
      <c r="O324" s="82">
        <v>6</v>
      </c>
      <c r="P324" s="82">
        <v>116</v>
      </c>
      <c r="Q324" s="82">
        <v>3591</v>
      </c>
      <c r="R324" s="12" t="s">
        <v>25</v>
      </c>
      <c r="S324" s="12" t="s">
        <v>25</v>
      </c>
      <c r="T324" s="12" t="s">
        <v>25</v>
      </c>
    </row>
    <row r="325" spans="1:20" x14ac:dyDescent="0.3">
      <c r="A325" s="13">
        <v>43900.75</v>
      </c>
      <c r="B325" s="12" t="s">
        <v>22</v>
      </c>
      <c r="C325" s="82">
        <v>7</v>
      </c>
      <c r="D325" s="12" t="s">
        <v>49</v>
      </c>
      <c r="E325" s="82">
        <v>4441149315</v>
      </c>
      <c r="F325" s="82">
        <v>89326992</v>
      </c>
      <c r="G325" s="82">
        <v>57</v>
      </c>
      <c r="H325" s="82">
        <v>29</v>
      </c>
      <c r="I325" s="82">
        <v>86</v>
      </c>
      <c r="J325" s="82">
        <v>42</v>
      </c>
      <c r="K325" s="82">
        <v>128</v>
      </c>
      <c r="L325" s="82">
        <v>31</v>
      </c>
      <c r="M325" s="82">
        <v>32</v>
      </c>
      <c r="N325" s="82">
        <v>5</v>
      </c>
      <c r="O325" s="82">
        <v>8</v>
      </c>
      <c r="P325" s="82">
        <v>141</v>
      </c>
      <c r="Q325" s="82">
        <v>694</v>
      </c>
      <c r="R325" s="12" t="s">
        <v>25</v>
      </c>
      <c r="S325" s="12" t="s">
        <v>25</v>
      </c>
      <c r="T325" s="12" t="s">
        <v>25</v>
      </c>
    </row>
    <row r="326" spans="1:20" x14ac:dyDescent="0.3">
      <c r="A326" s="13">
        <v>43900.75</v>
      </c>
      <c r="B326" s="12" t="s">
        <v>22</v>
      </c>
      <c r="C326" s="82">
        <v>3</v>
      </c>
      <c r="D326" s="12" t="s">
        <v>50</v>
      </c>
      <c r="E326" s="82">
        <v>4546679409</v>
      </c>
      <c r="F326" s="82">
        <v>9190347404</v>
      </c>
      <c r="G326" s="82">
        <v>3319</v>
      </c>
      <c r="H326" s="82">
        <v>466</v>
      </c>
      <c r="I326" s="82">
        <v>3785</v>
      </c>
      <c r="J326" s="82">
        <v>642</v>
      </c>
      <c r="K326" s="82">
        <v>4427</v>
      </c>
      <c r="L326" s="82">
        <v>-63</v>
      </c>
      <c r="M326" s="82">
        <v>322</v>
      </c>
      <c r="N326" s="82">
        <v>896</v>
      </c>
      <c r="O326" s="82">
        <v>468</v>
      </c>
      <c r="P326" s="82">
        <v>5791</v>
      </c>
      <c r="Q326" s="82">
        <v>21479</v>
      </c>
      <c r="R326" s="12" t="s">
        <v>25</v>
      </c>
      <c r="S326" s="12" t="s">
        <v>64</v>
      </c>
      <c r="T326" s="12" t="s">
        <v>65</v>
      </c>
    </row>
    <row r="327" spans="1:20" x14ac:dyDescent="0.3">
      <c r="A327" s="13">
        <v>43900.75</v>
      </c>
      <c r="B327" s="12" t="s">
        <v>22</v>
      </c>
      <c r="C327" s="82">
        <v>11</v>
      </c>
      <c r="D327" s="12" t="s">
        <v>51</v>
      </c>
      <c r="E327" s="82">
        <v>4361675973</v>
      </c>
      <c r="F327" s="82">
        <v>135188753</v>
      </c>
      <c r="G327" s="82">
        <v>152</v>
      </c>
      <c r="H327" s="82">
        <v>54</v>
      </c>
      <c r="I327" s="82">
        <v>206</v>
      </c>
      <c r="J327" s="82">
        <v>175</v>
      </c>
      <c r="K327" s="82">
        <v>381</v>
      </c>
      <c r="L327" s="82">
        <v>68</v>
      </c>
      <c r="M327" s="82">
        <v>71</v>
      </c>
      <c r="N327" s="82">
        <v>0</v>
      </c>
      <c r="O327" s="82">
        <v>13</v>
      </c>
      <c r="P327" s="82">
        <v>394</v>
      </c>
      <c r="Q327" s="82">
        <v>1437</v>
      </c>
      <c r="R327" s="12" t="s">
        <v>25</v>
      </c>
      <c r="S327" s="12" t="s">
        <v>25</v>
      </c>
      <c r="T327" s="12" t="s">
        <v>25</v>
      </c>
    </row>
    <row r="328" spans="1:20" x14ac:dyDescent="0.3">
      <c r="A328" s="13">
        <v>43900.75</v>
      </c>
      <c r="B328" s="12" t="s">
        <v>22</v>
      </c>
      <c r="C328" s="82">
        <v>14</v>
      </c>
      <c r="D328" s="12" t="s">
        <v>52</v>
      </c>
      <c r="E328" s="82">
        <v>4155774754</v>
      </c>
      <c r="F328" s="82">
        <v>1465916051</v>
      </c>
      <c r="G328" s="82">
        <v>3</v>
      </c>
      <c r="H328" s="82">
        <v>3</v>
      </c>
      <c r="I328" s="82">
        <v>6</v>
      </c>
      <c r="J328" s="82">
        <v>9</v>
      </c>
      <c r="K328" s="82">
        <v>15</v>
      </c>
      <c r="L328" s="82">
        <v>1</v>
      </c>
      <c r="M328" s="82">
        <v>1</v>
      </c>
      <c r="N328" s="82">
        <v>0</v>
      </c>
      <c r="O328" s="82">
        <v>0</v>
      </c>
      <c r="P328" s="82">
        <v>15</v>
      </c>
      <c r="Q328" s="82">
        <v>225</v>
      </c>
      <c r="R328" s="12" t="s">
        <v>25</v>
      </c>
      <c r="S328" s="12" t="s">
        <v>25</v>
      </c>
      <c r="T328" s="12" t="s">
        <v>25</v>
      </c>
    </row>
    <row r="329" spans="1:20" x14ac:dyDescent="0.3">
      <c r="A329" s="13">
        <v>43900.75</v>
      </c>
      <c r="B329" s="12" t="s">
        <v>22</v>
      </c>
      <c r="C329" s="82">
        <v>1</v>
      </c>
      <c r="D329" s="12" t="s">
        <v>53</v>
      </c>
      <c r="E329" s="82">
        <v>450732745</v>
      </c>
      <c r="F329" s="82">
        <v>7680687483</v>
      </c>
      <c r="G329" s="82">
        <v>306</v>
      </c>
      <c r="H329" s="82">
        <v>66</v>
      </c>
      <c r="I329" s="82">
        <v>372</v>
      </c>
      <c r="J329" s="82">
        <v>64</v>
      </c>
      <c r="K329" s="82">
        <v>436</v>
      </c>
      <c r="L329" s="82">
        <v>99</v>
      </c>
      <c r="M329" s="82">
        <v>103</v>
      </c>
      <c r="N329" s="82">
        <v>0</v>
      </c>
      <c r="O329" s="82">
        <v>17</v>
      </c>
      <c r="P329" s="82">
        <v>453</v>
      </c>
      <c r="Q329" s="82">
        <v>2374</v>
      </c>
      <c r="R329" s="12" t="s">
        <v>25</v>
      </c>
      <c r="S329" s="12" t="s">
        <v>25</v>
      </c>
      <c r="T329" s="12" t="s">
        <v>25</v>
      </c>
    </row>
    <row r="330" spans="1:20" x14ac:dyDescent="0.3">
      <c r="A330" s="13">
        <v>43900.75</v>
      </c>
      <c r="B330" s="12" t="s">
        <v>22</v>
      </c>
      <c r="C330" s="82">
        <v>16</v>
      </c>
      <c r="D330" s="12" t="s">
        <v>54</v>
      </c>
      <c r="E330" s="82">
        <v>4112559576</v>
      </c>
      <c r="F330" s="82">
        <v>1686736689</v>
      </c>
      <c r="G330" s="82">
        <v>28</v>
      </c>
      <c r="H330" s="82">
        <v>6</v>
      </c>
      <c r="I330" s="82">
        <v>34</v>
      </c>
      <c r="J330" s="82">
        <v>21</v>
      </c>
      <c r="K330" s="82">
        <v>55</v>
      </c>
      <c r="L330" s="82">
        <v>9</v>
      </c>
      <c r="M330" s="82">
        <v>9</v>
      </c>
      <c r="N330" s="82">
        <v>1</v>
      </c>
      <c r="O330" s="82">
        <v>3</v>
      </c>
      <c r="P330" s="82">
        <v>59</v>
      </c>
      <c r="Q330" s="82">
        <v>747</v>
      </c>
      <c r="R330" s="12" t="s">
        <v>25</v>
      </c>
      <c r="S330" s="12" t="s">
        <v>25</v>
      </c>
      <c r="T330" s="12" t="s">
        <v>25</v>
      </c>
    </row>
    <row r="331" spans="1:20" x14ac:dyDescent="0.3">
      <c r="A331" s="13">
        <v>43900.75</v>
      </c>
      <c r="B331" s="12" t="s">
        <v>22</v>
      </c>
      <c r="C331" s="82">
        <v>20</v>
      </c>
      <c r="D331" s="12" t="s">
        <v>55</v>
      </c>
      <c r="E331" s="82">
        <v>3921531192</v>
      </c>
      <c r="F331" s="82">
        <v>9110616306</v>
      </c>
      <c r="G331" s="82">
        <v>9</v>
      </c>
      <c r="H331" s="82">
        <v>0</v>
      </c>
      <c r="I331" s="82">
        <v>9</v>
      </c>
      <c r="J331" s="82">
        <v>11</v>
      </c>
      <c r="K331" s="82">
        <v>20</v>
      </c>
      <c r="L331" s="82">
        <v>1</v>
      </c>
      <c r="M331" s="82">
        <v>1</v>
      </c>
      <c r="N331" s="82">
        <v>0</v>
      </c>
      <c r="O331" s="82">
        <v>0</v>
      </c>
      <c r="P331" s="82">
        <v>20</v>
      </c>
      <c r="Q331" s="82">
        <v>204</v>
      </c>
      <c r="R331" s="12" t="s">
        <v>25</v>
      </c>
      <c r="S331" s="12" t="s">
        <v>25</v>
      </c>
      <c r="T331" s="12" t="s">
        <v>25</v>
      </c>
    </row>
    <row r="332" spans="1:20" x14ac:dyDescent="0.3">
      <c r="A332" s="13">
        <v>43900.75</v>
      </c>
      <c r="B332" s="12" t="s">
        <v>22</v>
      </c>
      <c r="C332" s="82">
        <v>19</v>
      </c>
      <c r="D332" s="12" t="s">
        <v>56</v>
      </c>
      <c r="E332" s="82">
        <v>3811569725</v>
      </c>
      <c r="F332" s="82">
        <v>133623567</v>
      </c>
      <c r="G332" s="82">
        <v>17</v>
      </c>
      <c r="H332" s="82">
        <v>2</v>
      </c>
      <c r="I332" s="82">
        <v>19</v>
      </c>
      <c r="J332" s="82">
        <v>41</v>
      </c>
      <c r="K332" s="82">
        <v>60</v>
      </c>
      <c r="L332" s="82">
        <v>8</v>
      </c>
      <c r="M332" s="82">
        <v>8</v>
      </c>
      <c r="N332" s="82">
        <v>2</v>
      </c>
      <c r="O332" s="82">
        <v>0</v>
      </c>
      <c r="P332" s="82">
        <v>62</v>
      </c>
      <c r="Q332" s="82">
        <v>955</v>
      </c>
      <c r="R332" s="12" t="s">
        <v>25</v>
      </c>
      <c r="S332" s="12" t="s">
        <v>25</v>
      </c>
      <c r="T332" s="12" t="s">
        <v>25</v>
      </c>
    </row>
    <row r="333" spans="1:20" x14ac:dyDescent="0.3">
      <c r="A333" s="13">
        <v>43900.75</v>
      </c>
      <c r="B333" s="12" t="s">
        <v>22</v>
      </c>
      <c r="C333" s="82">
        <v>9</v>
      </c>
      <c r="D333" s="12" t="s">
        <v>57</v>
      </c>
      <c r="E333" s="82">
        <v>4376923077</v>
      </c>
      <c r="F333" s="82">
        <v>1125588885</v>
      </c>
      <c r="G333" s="82">
        <v>91</v>
      </c>
      <c r="H333" s="82">
        <v>40</v>
      </c>
      <c r="I333" s="82">
        <v>131</v>
      </c>
      <c r="J333" s="82">
        <v>129</v>
      </c>
      <c r="K333" s="82">
        <v>260</v>
      </c>
      <c r="L333" s="82">
        <v>54</v>
      </c>
      <c r="M333" s="82">
        <v>56</v>
      </c>
      <c r="N333" s="82">
        <v>3</v>
      </c>
      <c r="O333" s="82">
        <v>1</v>
      </c>
      <c r="P333" s="82">
        <v>264</v>
      </c>
      <c r="Q333" s="82">
        <v>2573</v>
      </c>
      <c r="R333" s="12" t="s">
        <v>25</v>
      </c>
      <c r="S333" s="12" t="s">
        <v>25</v>
      </c>
      <c r="T333" s="12" t="s">
        <v>25</v>
      </c>
    </row>
    <row r="334" spans="1:20" x14ac:dyDescent="0.3">
      <c r="A334" s="13">
        <v>43900.75</v>
      </c>
      <c r="B334" s="12" t="s">
        <v>22</v>
      </c>
      <c r="C334" s="82">
        <v>4</v>
      </c>
      <c r="D334" s="12" t="s">
        <v>58</v>
      </c>
      <c r="E334" s="82">
        <v>4606893511</v>
      </c>
      <c r="F334" s="82">
        <v>1112123097</v>
      </c>
      <c r="G334" s="82">
        <v>19</v>
      </c>
      <c r="H334" s="82">
        <v>3</v>
      </c>
      <c r="I334" s="82">
        <v>22</v>
      </c>
      <c r="J334" s="82">
        <v>28</v>
      </c>
      <c r="K334" s="82">
        <v>50</v>
      </c>
      <c r="L334" s="82">
        <v>17</v>
      </c>
      <c r="M334" s="82">
        <v>19</v>
      </c>
      <c r="N334" s="82">
        <v>2</v>
      </c>
      <c r="O334" s="82">
        <v>0</v>
      </c>
      <c r="P334" s="82">
        <v>52</v>
      </c>
      <c r="Q334" s="82">
        <v>399</v>
      </c>
      <c r="R334" s="12" t="s">
        <v>25</v>
      </c>
      <c r="S334" s="12" t="s">
        <v>25</v>
      </c>
      <c r="T334" s="12" t="s">
        <v>25</v>
      </c>
    </row>
    <row r="335" spans="1:20" x14ac:dyDescent="0.3">
      <c r="A335" s="13">
        <v>43900.75</v>
      </c>
      <c r="B335" s="12" t="s">
        <v>22</v>
      </c>
      <c r="C335" s="82">
        <v>10</v>
      </c>
      <c r="D335" s="12" t="s">
        <v>59</v>
      </c>
      <c r="E335" s="82">
        <v>4310675841</v>
      </c>
      <c r="F335" s="82">
        <v>1238824698</v>
      </c>
      <c r="G335" s="82">
        <v>8</v>
      </c>
      <c r="H335" s="82">
        <v>2</v>
      </c>
      <c r="I335" s="82">
        <v>10</v>
      </c>
      <c r="J335" s="82">
        <v>27</v>
      </c>
      <c r="K335" s="82">
        <v>37</v>
      </c>
      <c r="L335" s="82">
        <v>9</v>
      </c>
      <c r="M335" s="82">
        <v>9</v>
      </c>
      <c r="N335" s="82">
        <v>0</v>
      </c>
      <c r="O335" s="82">
        <v>0</v>
      </c>
      <c r="P335" s="82">
        <v>37</v>
      </c>
      <c r="Q335" s="82">
        <v>260</v>
      </c>
      <c r="R335" s="12" t="s">
        <v>25</v>
      </c>
      <c r="S335" s="12" t="s">
        <v>25</v>
      </c>
      <c r="T335" s="12" t="s">
        <v>25</v>
      </c>
    </row>
    <row r="336" spans="1:20" x14ac:dyDescent="0.3">
      <c r="A336" s="13">
        <v>43900.75</v>
      </c>
      <c r="B336" s="12" t="s">
        <v>22</v>
      </c>
      <c r="C336" s="82">
        <v>2</v>
      </c>
      <c r="D336" s="12" t="s">
        <v>60</v>
      </c>
      <c r="E336" s="82">
        <v>4573750286</v>
      </c>
      <c r="F336" s="82">
        <v>7320149366</v>
      </c>
      <c r="G336" s="82">
        <v>2</v>
      </c>
      <c r="H336" s="82">
        <v>0</v>
      </c>
      <c r="I336" s="82">
        <v>2</v>
      </c>
      <c r="J336" s="82">
        <v>15</v>
      </c>
      <c r="K336" s="82">
        <v>17</v>
      </c>
      <c r="L336" s="82">
        <v>2</v>
      </c>
      <c r="M336" s="82">
        <v>2</v>
      </c>
      <c r="N336" s="82">
        <v>0</v>
      </c>
      <c r="O336" s="82">
        <v>0</v>
      </c>
      <c r="P336" s="82">
        <v>17</v>
      </c>
      <c r="Q336" s="82">
        <v>89</v>
      </c>
      <c r="R336" s="12" t="s">
        <v>25</v>
      </c>
      <c r="S336" s="12" t="s">
        <v>25</v>
      </c>
      <c r="T336" s="12" t="s">
        <v>25</v>
      </c>
    </row>
    <row r="337" spans="1:20" x14ac:dyDescent="0.3">
      <c r="A337" s="13">
        <v>43900.75</v>
      </c>
      <c r="B337" s="12" t="s">
        <v>22</v>
      </c>
      <c r="C337" s="82">
        <v>5</v>
      </c>
      <c r="D337" s="12" t="s">
        <v>61</v>
      </c>
      <c r="E337" s="82">
        <v>4543490485</v>
      </c>
      <c r="F337" s="82">
        <v>1233845213</v>
      </c>
      <c r="G337" s="82">
        <v>204</v>
      </c>
      <c r="H337" s="82">
        <v>67</v>
      </c>
      <c r="I337" s="82">
        <v>271</v>
      </c>
      <c r="J337" s="82">
        <v>512</v>
      </c>
      <c r="K337" s="82">
        <v>783</v>
      </c>
      <c r="L337" s="82">
        <v>89</v>
      </c>
      <c r="M337" s="82">
        <v>112</v>
      </c>
      <c r="N337" s="82">
        <v>47</v>
      </c>
      <c r="O337" s="82">
        <v>26</v>
      </c>
      <c r="P337" s="82">
        <v>856</v>
      </c>
      <c r="Q337" s="82">
        <v>16643</v>
      </c>
      <c r="R337" s="12" t="s">
        <v>25</v>
      </c>
      <c r="S337" s="12" t="s">
        <v>25</v>
      </c>
      <c r="T337" s="12" t="s">
        <v>25</v>
      </c>
    </row>
    <row r="338" spans="1:20" x14ac:dyDescent="0.3">
      <c r="A338" s="13">
        <v>43901.708333333336</v>
      </c>
      <c r="B338" s="12" t="s">
        <v>22</v>
      </c>
      <c r="C338" s="82">
        <v>13</v>
      </c>
      <c r="D338" s="12" t="s">
        <v>42</v>
      </c>
      <c r="E338" s="82">
        <v>4235122196</v>
      </c>
      <c r="F338" s="82">
        <v>1339843823</v>
      </c>
      <c r="G338" s="82">
        <v>17</v>
      </c>
      <c r="H338" s="82">
        <v>9</v>
      </c>
      <c r="I338" s="82">
        <v>26</v>
      </c>
      <c r="J338" s="82">
        <v>11</v>
      </c>
      <c r="K338" s="82">
        <v>37</v>
      </c>
      <c r="L338" s="82">
        <v>0</v>
      </c>
      <c r="M338" s="82">
        <v>0</v>
      </c>
      <c r="N338" s="82">
        <v>0</v>
      </c>
      <c r="O338" s="82">
        <v>1</v>
      </c>
      <c r="P338" s="82">
        <v>38</v>
      </c>
      <c r="Q338" s="82">
        <v>310</v>
      </c>
      <c r="R338" s="12" t="s">
        <v>25</v>
      </c>
      <c r="S338" s="12" t="s">
        <v>66</v>
      </c>
      <c r="T338" s="12" t="s">
        <v>67</v>
      </c>
    </row>
    <row r="339" spans="1:20" x14ac:dyDescent="0.3">
      <c r="A339" s="13">
        <v>43901.708333333336</v>
      </c>
      <c r="B339" s="12" t="s">
        <v>22</v>
      </c>
      <c r="C339" s="82">
        <v>17</v>
      </c>
      <c r="D339" s="12" t="s">
        <v>43</v>
      </c>
      <c r="E339" s="82">
        <v>4063947052</v>
      </c>
      <c r="F339" s="82">
        <v>1580514834</v>
      </c>
      <c r="G339" s="82">
        <v>1</v>
      </c>
      <c r="H339" s="82">
        <v>1</v>
      </c>
      <c r="I339" s="82">
        <v>2</v>
      </c>
      <c r="J339" s="82">
        <v>6</v>
      </c>
      <c r="K339" s="82">
        <v>8</v>
      </c>
      <c r="L339" s="82">
        <v>1</v>
      </c>
      <c r="M339" s="82">
        <v>1</v>
      </c>
      <c r="N339" s="82">
        <v>0</v>
      </c>
      <c r="O339" s="82">
        <v>0</v>
      </c>
      <c r="P339" s="82">
        <v>8</v>
      </c>
      <c r="Q339" s="82">
        <v>155</v>
      </c>
      <c r="R339" s="12" t="s">
        <v>25</v>
      </c>
      <c r="S339" s="12" t="s">
        <v>25</v>
      </c>
      <c r="T339" s="12" t="s">
        <v>25</v>
      </c>
    </row>
    <row r="340" spans="1:20" x14ac:dyDescent="0.3">
      <c r="A340" s="13">
        <v>43901.708333333336</v>
      </c>
      <c r="B340" s="12" t="s">
        <v>22</v>
      </c>
      <c r="C340" s="82">
        <v>4</v>
      </c>
      <c r="D340" s="12" t="s">
        <v>44</v>
      </c>
      <c r="E340" s="82">
        <v>4649933453</v>
      </c>
      <c r="F340" s="82">
        <v>1135662422</v>
      </c>
      <c r="G340" s="82">
        <v>8</v>
      </c>
      <c r="H340" s="82">
        <v>4</v>
      </c>
      <c r="I340" s="82">
        <v>12</v>
      </c>
      <c r="J340" s="82">
        <v>63</v>
      </c>
      <c r="K340" s="82">
        <v>75</v>
      </c>
      <c r="L340" s="82">
        <v>37</v>
      </c>
      <c r="M340" s="82">
        <v>37</v>
      </c>
      <c r="N340" s="82">
        <v>0</v>
      </c>
      <c r="O340" s="82">
        <v>0</v>
      </c>
      <c r="P340" s="82">
        <v>75</v>
      </c>
      <c r="Q340" s="82">
        <v>75</v>
      </c>
      <c r="R340" s="12" t="s">
        <v>25</v>
      </c>
      <c r="S340" s="12" t="s">
        <v>25</v>
      </c>
      <c r="T340" s="12" t="s">
        <v>25</v>
      </c>
    </row>
    <row r="341" spans="1:20" x14ac:dyDescent="0.3">
      <c r="A341" s="13">
        <v>43901.708333333336</v>
      </c>
      <c r="B341" s="12" t="s">
        <v>22</v>
      </c>
      <c r="C341" s="82">
        <v>18</v>
      </c>
      <c r="D341" s="12" t="s">
        <v>45</v>
      </c>
      <c r="E341" s="82">
        <v>3890597598</v>
      </c>
      <c r="F341" s="82">
        <v>1659440194</v>
      </c>
      <c r="G341" s="82">
        <v>10</v>
      </c>
      <c r="H341" s="82">
        <v>2</v>
      </c>
      <c r="I341" s="82">
        <v>12</v>
      </c>
      <c r="J341" s="82">
        <v>5</v>
      </c>
      <c r="K341" s="82">
        <v>17</v>
      </c>
      <c r="L341" s="82">
        <v>6</v>
      </c>
      <c r="M341" s="82">
        <v>6</v>
      </c>
      <c r="N341" s="82">
        <v>2</v>
      </c>
      <c r="O341" s="82">
        <v>0</v>
      </c>
      <c r="P341" s="82">
        <v>19</v>
      </c>
      <c r="Q341" s="82">
        <v>405</v>
      </c>
      <c r="R341" s="12" t="s">
        <v>25</v>
      </c>
      <c r="S341" s="12" t="s">
        <v>25</v>
      </c>
      <c r="T341" s="12" t="s">
        <v>25</v>
      </c>
    </row>
    <row r="342" spans="1:20" x14ac:dyDescent="0.3">
      <c r="A342" s="13">
        <v>43901.708333333336</v>
      </c>
      <c r="B342" s="12" t="s">
        <v>22</v>
      </c>
      <c r="C342" s="82">
        <v>15</v>
      </c>
      <c r="D342" s="12" t="s">
        <v>46</v>
      </c>
      <c r="E342" s="82">
        <v>4083956555</v>
      </c>
      <c r="F342" s="82">
        <v>1425084984</v>
      </c>
      <c r="G342" s="82">
        <v>56</v>
      </c>
      <c r="H342" s="82">
        <v>11</v>
      </c>
      <c r="I342" s="82">
        <v>67</v>
      </c>
      <c r="J342" s="82">
        <v>82</v>
      </c>
      <c r="K342" s="82">
        <v>149</v>
      </c>
      <c r="L342" s="82">
        <v>23</v>
      </c>
      <c r="M342" s="82">
        <v>27</v>
      </c>
      <c r="N342" s="82">
        <v>4</v>
      </c>
      <c r="O342" s="82">
        <v>1</v>
      </c>
      <c r="P342" s="82">
        <v>154</v>
      </c>
      <c r="Q342" s="82">
        <v>1375</v>
      </c>
      <c r="R342" s="12" t="s">
        <v>25</v>
      </c>
      <c r="S342" s="12" t="s">
        <v>25</v>
      </c>
      <c r="T342" s="12" t="s">
        <v>25</v>
      </c>
    </row>
    <row r="343" spans="1:20" x14ac:dyDescent="0.3">
      <c r="A343" s="13">
        <v>43901.708333333336</v>
      </c>
      <c r="B343" s="12" t="s">
        <v>22</v>
      </c>
      <c r="C343" s="82">
        <v>8</v>
      </c>
      <c r="D343" s="12" t="s">
        <v>95</v>
      </c>
      <c r="E343" s="82">
        <v>4449436681</v>
      </c>
      <c r="F343" s="82">
        <v>113417208</v>
      </c>
      <c r="G343" s="82">
        <v>745</v>
      </c>
      <c r="H343" s="82">
        <v>104</v>
      </c>
      <c r="I343" s="82">
        <v>849</v>
      </c>
      <c r="J343" s="82">
        <v>739</v>
      </c>
      <c r="K343" s="82">
        <v>1588</v>
      </c>
      <c r="L343" s="82">
        <v>171</v>
      </c>
      <c r="M343" s="82">
        <v>206</v>
      </c>
      <c r="N343" s="82">
        <v>38</v>
      </c>
      <c r="O343" s="82">
        <v>113</v>
      </c>
      <c r="P343" s="82">
        <v>1739</v>
      </c>
      <c r="Q343" s="82">
        <v>6640</v>
      </c>
      <c r="R343" s="12" t="s">
        <v>25</v>
      </c>
      <c r="S343" s="12" t="s">
        <v>25</v>
      </c>
      <c r="T343" s="12" t="s">
        <v>25</v>
      </c>
    </row>
    <row r="344" spans="1:20" x14ac:dyDescent="0.3">
      <c r="A344" s="13">
        <v>43901.708333333336</v>
      </c>
      <c r="B344" s="12" t="s">
        <v>22</v>
      </c>
      <c r="C344" s="82">
        <v>6</v>
      </c>
      <c r="D344" s="12" t="s">
        <v>47</v>
      </c>
      <c r="E344" s="82">
        <v>456494354</v>
      </c>
      <c r="F344" s="82">
        <v>1376813649</v>
      </c>
      <c r="G344" s="82">
        <v>16</v>
      </c>
      <c r="H344" s="82">
        <v>5</v>
      </c>
      <c r="I344" s="82">
        <v>21</v>
      </c>
      <c r="J344" s="82">
        <v>89</v>
      </c>
      <c r="K344" s="82">
        <v>110</v>
      </c>
      <c r="L344" s="82">
        <v>0</v>
      </c>
      <c r="M344" s="82">
        <v>10</v>
      </c>
      <c r="N344" s="82">
        <v>10</v>
      </c>
      <c r="O344" s="82">
        <v>6</v>
      </c>
      <c r="P344" s="82">
        <v>126</v>
      </c>
      <c r="Q344" s="82">
        <v>2073</v>
      </c>
      <c r="R344" s="12" t="s">
        <v>25</v>
      </c>
      <c r="S344" s="12" t="s">
        <v>25</v>
      </c>
      <c r="T344" s="12" t="s">
        <v>25</v>
      </c>
    </row>
    <row r="345" spans="1:20" x14ac:dyDescent="0.3">
      <c r="A345" s="13">
        <v>43901.708333333336</v>
      </c>
      <c r="B345" s="12" t="s">
        <v>22</v>
      </c>
      <c r="C345" s="82">
        <v>12</v>
      </c>
      <c r="D345" s="12" t="s">
        <v>48</v>
      </c>
      <c r="E345" s="82">
        <v>4189277044</v>
      </c>
      <c r="F345" s="82">
        <v>1248366722</v>
      </c>
      <c r="G345" s="82">
        <v>67</v>
      </c>
      <c r="H345" s="82">
        <v>18</v>
      </c>
      <c r="I345" s="82">
        <v>85</v>
      </c>
      <c r="J345" s="82">
        <v>40</v>
      </c>
      <c r="K345" s="82">
        <v>125</v>
      </c>
      <c r="L345" s="82">
        <v>26</v>
      </c>
      <c r="M345" s="82">
        <v>34</v>
      </c>
      <c r="N345" s="82">
        <v>19</v>
      </c>
      <c r="O345" s="82">
        <v>6</v>
      </c>
      <c r="P345" s="82">
        <v>150</v>
      </c>
      <c r="Q345" s="82">
        <v>3591</v>
      </c>
      <c r="R345" s="12" t="s">
        <v>25</v>
      </c>
      <c r="S345" s="12" t="s">
        <v>25</v>
      </c>
      <c r="T345" s="12" t="s">
        <v>25</v>
      </c>
    </row>
    <row r="346" spans="1:20" x14ac:dyDescent="0.3">
      <c r="A346" s="13">
        <v>43901.708333333336</v>
      </c>
      <c r="B346" s="12" t="s">
        <v>22</v>
      </c>
      <c r="C346" s="82">
        <v>7</v>
      </c>
      <c r="D346" s="12" t="s">
        <v>49</v>
      </c>
      <c r="E346" s="82">
        <v>4441149315</v>
      </c>
      <c r="F346" s="82">
        <v>89326992</v>
      </c>
      <c r="G346" s="82">
        <v>74</v>
      </c>
      <c r="H346" s="82">
        <v>34</v>
      </c>
      <c r="I346" s="82">
        <v>108</v>
      </c>
      <c r="J346" s="82">
        <v>73</v>
      </c>
      <c r="K346" s="82">
        <v>181</v>
      </c>
      <c r="L346" s="82">
        <v>53</v>
      </c>
      <c r="M346" s="82">
        <v>53</v>
      </c>
      <c r="N346" s="82">
        <v>5</v>
      </c>
      <c r="O346" s="82">
        <v>8</v>
      </c>
      <c r="P346" s="82">
        <v>194</v>
      </c>
      <c r="Q346" s="82">
        <v>1025</v>
      </c>
      <c r="R346" s="12" t="s">
        <v>25</v>
      </c>
      <c r="S346" s="12" t="s">
        <v>25</v>
      </c>
      <c r="T346" s="12" t="s">
        <v>25</v>
      </c>
    </row>
    <row r="347" spans="1:20" x14ac:dyDescent="0.3">
      <c r="A347" s="13">
        <v>43901.708333333336</v>
      </c>
      <c r="B347" s="12" t="s">
        <v>22</v>
      </c>
      <c r="C347" s="82">
        <v>3</v>
      </c>
      <c r="D347" s="12" t="s">
        <v>50</v>
      </c>
      <c r="E347" s="82">
        <v>4546679409</v>
      </c>
      <c r="F347" s="82">
        <v>9190347404</v>
      </c>
      <c r="G347" s="82">
        <v>3852</v>
      </c>
      <c r="H347" s="82">
        <v>560</v>
      </c>
      <c r="I347" s="82">
        <v>4412</v>
      </c>
      <c r="J347" s="82">
        <v>1351</v>
      </c>
      <c r="K347" s="82">
        <v>5763</v>
      </c>
      <c r="L347" s="82">
        <v>1336</v>
      </c>
      <c r="M347" s="82">
        <v>1489</v>
      </c>
      <c r="N347" s="82">
        <v>900</v>
      </c>
      <c r="O347" s="82">
        <v>617</v>
      </c>
      <c r="P347" s="82">
        <v>7280</v>
      </c>
      <c r="Q347" s="82">
        <v>25629</v>
      </c>
      <c r="R347" s="12" t="s">
        <v>25</v>
      </c>
      <c r="S347" s="12" t="s">
        <v>25</v>
      </c>
      <c r="T347" s="12" t="s">
        <v>25</v>
      </c>
    </row>
    <row r="348" spans="1:20" x14ac:dyDescent="0.3">
      <c r="A348" s="13">
        <v>43901.708333333336</v>
      </c>
      <c r="B348" s="12" t="s">
        <v>22</v>
      </c>
      <c r="C348" s="82">
        <v>11</v>
      </c>
      <c r="D348" s="12" t="s">
        <v>51</v>
      </c>
      <c r="E348" s="82">
        <v>4361675973</v>
      </c>
      <c r="F348" s="82">
        <v>135188753</v>
      </c>
      <c r="G348" s="82">
        <v>212</v>
      </c>
      <c r="H348" s="82">
        <v>66</v>
      </c>
      <c r="I348" s="82">
        <v>278</v>
      </c>
      <c r="J348" s="82">
        <v>183</v>
      </c>
      <c r="K348" s="82">
        <v>461</v>
      </c>
      <c r="L348" s="82">
        <v>80</v>
      </c>
      <c r="M348" s="82">
        <v>85</v>
      </c>
      <c r="N348" s="82">
        <v>0</v>
      </c>
      <c r="O348" s="82">
        <v>18</v>
      </c>
      <c r="P348" s="82">
        <v>479</v>
      </c>
      <c r="Q348" s="82">
        <v>1656</v>
      </c>
      <c r="R348" s="12" t="s">
        <v>25</v>
      </c>
      <c r="S348" s="12" t="s">
        <v>25</v>
      </c>
      <c r="T348" s="12" t="s">
        <v>25</v>
      </c>
    </row>
    <row r="349" spans="1:20" x14ac:dyDescent="0.3">
      <c r="A349" s="13">
        <v>43901.708333333336</v>
      </c>
      <c r="B349" s="12" t="s">
        <v>22</v>
      </c>
      <c r="C349" s="82">
        <v>14</v>
      </c>
      <c r="D349" s="12" t="s">
        <v>52</v>
      </c>
      <c r="E349" s="82">
        <v>4155774754</v>
      </c>
      <c r="F349" s="82">
        <v>1465916051</v>
      </c>
      <c r="G349" s="82">
        <v>4</v>
      </c>
      <c r="H349" s="82">
        <v>3</v>
      </c>
      <c r="I349" s="82">
        <v>7</v>
      </c>
      <c r="J349" s="82">
        <v>9</v>
      </c>
      <c r="K349" s="82">
        <v>16</v>
      </c>
      <c r="L349" s="82">
        <v>1</v>
      </c>
      <c r="M349" s="82">
        <v>1</v>
      </c>
      <c r="N349" s="82">
        <v>0</v>
      </c>
      <c r="O349" s="82">
        <v>0</v>
      </c>
      <c r="P349" s="82">
        <v>16</v>
      </c>
      <c r="Q349" s="82">
        <v>233</v>
      </c>
      <c r="R349" s="12" t="s">
        <v>25</v>
      </c>
      <c r="S349" s="12" t="s">
        <v>25</v>
      </c>
      <c r="T349" s="12" t="s">
        <v>25</v>
      </c>
    </row>
    <row r="350" spans="1:20" x14ac:dyDescent="0.3">
      <c r="A350" s="13">
        <v>43901.708333333336</v>
      </c>
      <c r="B350" s="12" t="s">
        <v>22</v>
      </c>
      <c r="C350" s="82">
        <v>1</v>
      </c>
      <c r="D350" s="12" t="s">
        <v>53</v>
      </c>
      <c r="E350" s="82">
        <v>450732745</v>
      </c>
      <c r="F350" s="82">
        <v>7680687483</v>
      </c>
      <c r="G350" s="82">
        <v>319</v>
      </c>
      <c r="H350" s="82">
        <v>75</v>
      </c>
      <c r="I350" s="82">
        <v>394</v>
      </c>
      <c r="J350" s="82">
        <v>86</v>
      </c>
      <c r="K350" s="82">
        <v>480</v>
      </c>
      <c r="L350" s="82">
        <v>44</v>
      </c>
      <c r="M350" s="82">
        <v>48</v>
      </c>
      <c r="N350" s="82">
        <v>0</v>
      </c>
      <c r="O350" s="82">
        <v>21</v>
      </c>
      <c r="P350" s="82">
        <v>501</v>
      </c>
      <c r="Q350" s="82">
        <v>2431</v>
      </c>
      <c r="R350" s="12" t="s">
        <v>25</v>
      </c>
      <c r="S350" s="12" t="s">
        <v>25</v>
      </c>
      <c r="T350" s="12" t="s">
        <v>25</v>
      </c>
    </row>
    <row r="351" spans="1:20" x14ac:dyDescent="0.3">
      <c r="A351" s="13">
        <v>43901.708333333336</v>
      </c>
      <c r="B351" s="12" t="s">
        <v>22</v>
      </c>
      <c r="C351" s="82">
        <v>16</v>
      </c>
      <c r="D351" s="12" t="s">
        <v>54</v>
      </c>
      <c r="E351" s="82">
        <v>4112559576</v>
      </c>
      <c r="F351" s="82">
        <v>1686736689</v>
      </c>
      <c r="G351" s="82">
        <v>38</v>
      </c>
      <c r="H351" s="82">
        <v>4</v>
      </c>
      <c r="I351" s="82">
        <v>42</v>
      </c>
      <c r="J351" s="82">
        <v>29</v>
      </c>
      <c r="K351" s="82">
        <v>71</v>
      </c>
      <c r="L351" s="82">
        <v>16</v>
      </c>
      <c r="M351" s="82">
        <v>18</v>
      </c>
      <c r="N351" s="82">
        <v>1</v>
      </c>
      <c r="O351" s="82">
        <v>5</v>
      </c>
      <c r="P351" s="82">
        <v>77</v>
      </c>
      <c r="Q351" s="82">
        <v>909</v>
      </c>
      <c r="R351" s="12" t="s">
        <v>25</v>
      </c>
      <c r="S351" s="12" t="s">
        <v>25</v>
      </c>
      <c r="T351" s="12" t="s">
        <v>25</v>
      </c>
    </row>
    <row r="352" spans="1:20" x14ac:dyDescent="0.3">
      <c r="A352" s="13">
        <v>43901.708333333336</v>
      </c>
      <c r="B352" s="12" t="s">
        <v>22</v>
      </c>
      <c r="C352" s="82">
        <v>20</v>
      </c>
      <c r="D352" s="12" t="s">
        <v>55</v>
      </c>
      <c r="E352" s="82">
        <v>3921531192</v>
      </c>
      <c r="F352" s="82">
        <v>9110616306</v>
      </c>
      <c r="G352" s="82">
        <v>10</v>
      </c>
      <c r="H352" s="82">
        <v>0</v>
      </c>
      <c r="I352" s="82">
        <v>10</v>
      </c>
      <c r="J352" s="82">
        <v>27</v>
      </c>
      <c r="K352" s="82">
        <v>37</v>
      </c>
      <c r="L352" s="82">
        <v>17</v>
      </c>
      <c r="M352" s="82">
        <v>17</v>
      </c>
      <c r="N352" s="82">
        <v>0</v>
      </c>
      <c r="O352" s="82">
        <v>0</v>
      </c>
      <c r="P352" s="82">
        <v>37</v>
      </c>
      <c r="Q352" s="82">
        <v>283</v>
      </c>
      <c r="R352" s="12" t="s">
        <v>25</v>
      </c>
      <c r="S352" s="12" t="s">
        <v>25</v>
      </c>
      <c r="T352" s="12" t="s">
        <v>25</v>
      </c>
    </row>
    <row r="353" spans="1:20" x14ac:dyDescent="0.3">
      <c r="A353" s="13">
        <v>43901.708333333336</v>
      </c>
      <c r="B353" s="12" t="s">
        <v>22</v>
      </c>
      <c r="C353" s="82">
        <v>19</v>
      </c>
      <c r="D353" s="12" t="s">
        <v>56</v>
      </c>
      <c r="E353" s="82">
        <v>3811569725</v>
      </c>
      <c r="F353" s="82">
        <v>133623567</v>
      </c>
      <c r="G353" s="82">
        <v>23</v>
      </c>
      <c r="H353" s="82">
        <v>1</v>
      </c>
      <c r="I353" s="82">
        <v>24</v>
      </c>
      <c r="J353" s="82">
        <v>57</v>
      </c>
      <c r="K353" s="82">
        <v>81</v>
      </c>
      <c r="L353" s="82">
        <v>21</v>
      </c>
      <c r="M353" s="82">
        <v>21</v>
      </c>
      <c r="N353" s="82">
        <v>2</v>
      </c>
      <c r="O353" s="82">
        <v>0</v>
      </c>
      <c r="P353" s="82">
        <v>83</v>
      </c>
      <c r="Q353" s="82">
        <v>1194</v>
      </c>
      <c r="R353" s="12" t="s">
        <v>25</v>
      </c>
      <c r="S353" s="12" t="s">
        <v>25</v>
      </c>
      <c r="T353" s="12" t="s">
        <v>25</v>
      </c>
    </row>
    <row r="354" spans="1:20" x14ac:dyDescent="0.3">
      <c r="A354" s="13">
        <v>43901.708333333336</v>
      </c>
      <c r="B354" s="12" t="s">
        <v>22</v>
      </c>
      <c r="C354" s="82">
        <v>9</v>
      </c>
      <c r="D354" s="12" t="s">
        <v>57</v>
      </c>
      <c r="E354" s="82">
        <v>4376923077</v>
      </c>
      <c r="F354" s="82">
        <v>1125588885</v>
      </c>
      <c r="G354" s="82">
        <v>87</v>
      </c>
      <c r="H354" s="82">
        <v>54</v>
      </c>
      <c r="I354" s="82">
        <v>141</v>
      </c>
      <c r="J354" s="82">
        <v>173</v>
      </c>
      <c r="K354" s="82">
        <v>314</v>
      </c>
      <c r="L354" s="82">
        <v>54</v>
      </c>
      <c r="M354" s="82">
        <v>56</v>
      </c>
      <c r="N354" s="82">
        <v>5</v>
      </c>
      <c r="O354" s="82">
        <v>1</v>
      </c>
      <c r="P354" s="82">
        <v>320</v>
      </c>
      <c r="Q354" s="82">
        <v>2804</v>
      </c>
      <c r="R354" s="12" t="s">
        <v>25</v>
      </c>
      <c r="S354" s="12" t="s">
        <v>25</v>
      </c>
      <c r="T354" s="12" t="s">
        <v>25</v>
      </c>
    </row>
    <row r="355" spans="1:20" x14ac:dyDescent="0.3">
      <c r="A355" s="13">
        <v>43901.708333333336</v>
      </c>
      <c r="B355" s="12" t="s">
        <v>22</v>
      </c>
      <c r="C355" s="82">
        <v>4</v>
      </c>
      <c r="D355" s="12" t="s">
        <v>58</v>
      </c>
      <c r="E355" s="82">
        <v>4606893511</v>
      </c>
      <c r="F355" s="82">
        <v>1112123097</v>
      </c>
      <c r="G355" s="82">
        <v>28</v>
      </c>
      <c r="H355" s="82">
        <v>4</v>
      </c>
      <c r="I355" s="82">
        <v>32</v>
      </c>
      <c r="J355" s="82">
        <v>42</v>
      </c>
      <c r="K355" s="82">
        <v>74</v>
      </c>
      <c r="L355" s="82">
        <v>24</v>
      </c>
      <c r="M355" s="82">
        <v>25</v>
      </c>
      <c r="N355" s="82">
        <v>3</v>
      </c>
      <c r="O355" s="82">
        <v>0</v>
      </c>
      <c r="P355" s="82">
        <v>77</v>
      </c>
      <c r="Q355" s="82">
        <v>527</v>
      </c>
      <c r="R355" s="12" t="s">
        <v>25</v>
      </c>
      <c r="S355" s="12" t="s">
        <v>25</v>
      </c>
      <c r="T355" s="12" t="s">
        <v>25</v>
      </c>
    </row>
    <row r="356" spans="1:20" x14ac:dyDescent="0.3">
      <c r="A356" s="13">
        <v>43901.708333333336</v>
      </c>
      <c r="B356" s="12" t="s">
        <v>22</v>
      </c>
      <c r="C356" s="82">
        <v>10</v>
      </c>
      <c r="D356" s="12" t="s">
        <v>59</v>
      </c>
      <c r="E356" s="82">
        <v>4310675841</v>
      </c>
      <c r="F356" s="82">
        <v>1238824698</v>
      </c>
      <c r="G356" s="82">
        <v>7</v>
      </c>
      <c r="H356" s="82">
        <v>5</v>
      </c>
      <c r="I356" s="82">
        <v>12</v>
      </c>
      <c r="J356" s="82">
        <v>32</v>
      </c>
      <c r="K356" s="82">
        <v>44</v>
      </c>
      <c r="L356" s="82">
        <v>7</v>
      </c>
      <c r="M356" s="82">
        <v>9</v>
      </c>
      <c r="N356" s="82">
        <v>2</v>
      </c>
      <c r="O356" s="82">
        <v>0</v>
      </c>
      <c r="P356" s="82">
        <v>46</v>
      </c>
      <c r="Q356" s="82">
        <v>340</v>
      </c>
      <c r="R356" s="12" t="s">
        <v>25</v>
      </c>
      <c r="S356" s="12" t="s">
        <v>25</v>
      </c>
      <c r="T356" s="12" t="s">
        <v>25</v>
      </c>
    </row>
    <row r="357" spans="1:20" x14ac:dyDescent="0.3">
      <c r="A357" s="13">
        <v>43901.708333333336</v>
      </c>
      <c r="B357" s="12" t="s">
        <v>22</v>
      </c>
      <c r="C357" s="82">
        <v>2</v>
      </c>
      <c r="D357" s="12" t="s">
        <v>60</v>
      </c>
      <c r="E357" s="82">
        <v>4573750286</v>
      </c>
      <c r="F357" s="82">
        <v>7320149366</v>
      </c>
      <c r="G357" s="82">
        <v>2</v>
      </c>
      <c r="H357" s="82">
        <v>0</v>
      </c>
      <c r="I357" s="82">
        <v>2</v>
      </c>
      <c r="J357" s="82">
        <v>17</v>
      </c>
      <c r="K357" s="82">
        <v>19</v>
      </c>
      <c r="L357" s="82">
        <v>2</v>
      </c>
      <c r="M357" s="82">
        <v>3</v>
      </c>
      <c r="N357" s="82">
        <v>0</v>
      </c>
      <c r="O357" s="82">
        <v>1</v>
      </c>
      <c r="P357" s="82">
        <v>20</v>
      </c>
      <c r="Q357" s="82">
        <v>99</v>
      </c>
      <c r="R357" s="12" t="s">
        <v>25</v>
      </c>
      <c r="S357" s="12" t="s">
        <v>25</v>
      </c>
      <c r="T357" s="12" t="s">
        <v>25</v>
      </c>
    </row>
    <row r="358" spans="1:20" x14ac:dyDescent="0.3">
      <c r="A358" s="13">
        <v>43901.708333333336</v>
      </c>
      <c r="B358" s="12" t="s">
        <v>22</v>
      </c>
      <c r="C358" s="82">
        <v>5</v>
      </c>
      <c r="D358" s="12" t="s">
        <v>61</v>
      </c>
      <c r="E358" s="82">
        <v>4543490485</v>
      </c>
      <c r="F358" s="82">
        <v>1233845213</v>
      </c>
      <c r="G358" s="82">
        <v>262</v>
      </c>
      <c r="H358" s="82">
        <v>68</v>
      </c>
      <c r="I358" s="82">
        <v>330</v>
      </c>
      <c r="J358" s="82">
        <v>610</v>
      </c>
      <c r="K358" s="82">
        <v>940</v>
      </c>
      <c r="L358" s="82">
        <v>157</v>
      </c>
      <c r="M358" s="82">
        <v>167</v>
      </c>
      <c r="N358" s="82">
        <v>54</v>
      </c>
      <c r="O358" s="82">
        <v>29</v>
      </c>
      <c r="P358" s="82">
        <v>1023</v>
      </c>
      <c r="Q358" s="82">
        <v>21400</v>
      </c>
      <c r="R358" s="12" t="s">
        <v>25</v>
      </c>
      <c r="S358" s="12" t="s">
        <v>25</v>
      </c>
      <c r="T358" s="12" t="s">
        <v>25</v>
      </c>
    </row>
    <row r="359" spans="1:20" x14ac:dyDescent="0.3">
      <c r="A359" s="13">
        <v>43902.708333333336</v>
      </c>
      <c r="B359" s="12" t="s">
        <v>22</v>
      </c>
      <c r="C359" s="82">
        <v>13</v>
      </c>
      <c r="D359" s="12" t="s">
        <v>42</v>
      </c>
      <c r="E359" s="82">
        <v>4235122196</v>
      </c>
      <c r="F359" s="82">
        <v>1339843823</v>
      </c>
      <c r="G359" s="82">
        <v>47</v>
      </c>
      <c r="H359" s="82">
        <v>12</v>
      </c>
      <c r="I359" s="82">
        <v>59</v>
      </c>
      <c r="J359" s="82">
        <v>19</v>
      </c>
      <c r="K359" s="82">
        <v>78</v>
      </c>
      <c r="L359" s="82">
        <v>41</v>
      </c>
      <c r="M359" s="82">
        <v>46</v>
      </c>
      <c r="N359" s="82">
        <v>4</v>
      </c>
      <c r="O359" s="82">
        <v>2</v>
      </c>
      <c r="P359" s="82">
        <v>84</v>
      </c>
      <c r="Q359" s="82">
        <v>867</v>
      </c>
      <c r="R359" s="12" t="s">
        <v>25</v>
      </c>
      <c r="S359" s="12" t="s">
        <v>25</v>
      </c>
      <c r="T359" s="12" t="s">
        <v>25</v>
      </c>
    </row>
    <row r="360" spans="1:20" x14ac:dyDescent="0.3">
      <c r="A360" s="13">
        <v>43902.708333333336</v>
      </c>
      <c r="B360" s="12" t="s">
        <v>22</v>
      </c>
      <c r="C360" s="82">
        <v>17</v>
      </c>
      <c r="D360" s="12" t="s">
        <v>43</v>
      </c>
      <c r="E360" s="82">
        <v>4063947052</v>
      </c>
      <c r="F360" s="82">
        <v>1580514834</v>
      </c>
      <c r="G360" s="82">
        <v>1</v>
      </c>
      <c r="H360" s="82">
        <v>1</v>
      </c>
      <c r="I360" s="82">
        <v>2</v>
      </c>
      <c r="J360" s="82">
        <v>6</v>
      </c>
      <c r="K360" s="82">
        <v>8</v>
      </c>
      <c r="L360" s="82">
        <v>0</v>
      </c>
      <c r="M360" s="82">
        <v>0</v>
      </c>
      <c r="N360" s="82">
        <v>0</v>
      </c>
      <c r="O360" s="82">
        <v>0</v>
      </c>
      <c r="P360" s="82">
        <v>8</v>
      </c>
      <c r="Q360" s="82">
        <v>155</v>
      </c>
      <c r="R360" s="12" t="s">
        <v>25</v>
      </c>
      <c r="S360" s="12" t="s">
        <v>25</v>
      </c>
      <c r="T360" s="12" t="s">
        <v>25</v>
      </c>
    </row>
    <row r="361" spans="1:20" x14ac:dyDescent="0.3">
      <c r="A361" s="13">
        <v>43902.708333333336</v>
      </c>
      <c r="B361" s="12" t="s">
        <v>22</v>
      </c>
      <c r="C361" s="82">
        <v>4</v>
      </c>
      <c r="D361" s="12" t="s">
        <v>44</v>
      </c>
      <c r="E361" s="82">
        <v>4649933453</v>
      </c>
      <c r="F361" s="82">
        <v>1135662422</v>
      </c>
      <c r="G361" s="82">
        <v>21</v>
      </c>
      <c r="H361" s="82">
        <v>4</v>
      </c>
      <c r="I361" s="82">
        <v>25</v>
      </c>
      <c r="J361" s="82">
        <v>78</v>
      </c>
      <c r="K361" s="82">
        <v>103</v>
      </c>
      <c r="L361" s="82">
        <v>28</v>
      </c>
      <c r="M361" s="82">
        <v>29</v>
      </c>
      <c r="N361" s="82">
        <v>0</v>
      </c>
      <c r="O361" s="82">
        <v>1</v>
      </c>
      <c r="P361" s="82">
        <v>104</v>
      </c>
      <c r="Q361" s="82">
        <v>607</v>
      </c>
      <c r="R361" s="12" t="s">
        <v>25</v>
      </c>
      <c r="S361" s="12" t="s">
        <v>25</v>
      </c>
      <c r="T361" s="12" t="s">
        <v>25</v>
      </c>
    </row>
    <row r="362" spans="1:20" x14ac:dyDescent="0.3">
      <c r="A362" s="13">
        <v>43902.708333333336</v>
      </c>
      <c r="B362" s="12" t="s">
        <v>22</v>
      </c>
      <c r="C362" s="82">
        <v>18</v>
      </c>
      <c r="D362" s="12" t="s">
        <v>45</v>
      </c>
      <c r="E362" s="82">
        <v>3890597598</v>
      </c>
      <c r="F362" s="82">
        <v>1659440194</v>
      </c>
      <c r="G362" s="82">
        <v>14</v>
      </c>
      <c r="H362" s="82">
        <v>2</v>
      </c>
      <c r="I362" s="82">
        <v>16</v>
      </c>
      <c r="J362" s="82">
        <v>16</v>
      </c>
      <c r="K362" s="82">
        <v>32</v>
      </c>
      <c r="L362" s="82">
        <v>15</v>
      </c>
      <c r="M362" s="82">
        <v>14</v>
      </c>
      <c r="N362" s="82">
        <v>1</v>
      </c>
      <c r="O362" s="82">
        <v>0</v>
      </c>
      <c r="P362" s="82">
        <v>33</v>
      </c>
      <c r="Q362" s="82">
        <v>483</v>
      </c>
      <c r="R362" s="12" t="s">
        <v>25</v>
      </c>
      <c r="S362" s="12" t="s">
        <v>25</v>
      </c>
      <c r="T362" s="12" t="s">
        <v>25</v>
      </c>
    </row>
    <row r="363" spans="1:20" x14ac:dyDescent="0.3">
      <c r="A363" s="13">
        <v>43902.708333333336</v>
      </c>
      <c r="B363" s="12" t="s">
        <v>22</v>
      </c>
      <c r="C363" s="82">
        <v>15</v>
      </c>
      <c r="D363" s="12" t="s">
        <v>46</v>
      </c>
      <c r="E363" s="82">
        <v>4083956555</v>
      </c>
      <c r="F363" s="82">
        <v>1425084984</v>
      </c>
      <c r="G363" s="82">
        <v>56</v>
      </c>
      <c r="H363" s="82">
        <v>11</v>
      </c>
      <c r="I363" s="82">
        <v>67</v>
      </c>
      <c r="J363" s="82">
        <v>107</v>
      </c>
      <c r="K363" s="82">
        <v>174</v>
      </c>
      <c r="L363" s="82">
        <v>25</v>
      </c>
      <c r="M363" s="82">
        <v>25</v>
      </c>
      <c r="N363" s="82">
        <v>4</v>
      </c>
      <c r="O363" s="82">
        <v>1</v>
      </c>
      <c r="P363" s="82">
        <v>179</v>
      </c>
      <c r="Q363" s="82">
        <v>1551</v>
      </c>
      <c r="R363" s="12" t="s">
        <v>25</v>
      </c>
      <c r="S363" s="12" t="s">
        <v>25</v>
      </c>
      <c r="T363" s="12" t="s">
        <v>25</v>
      </c>
    </row>
    <row r="364" spans="1:20" x14ac:dyDescent="0.3">
      <c r="A364" s="13">
        <v>43902.708333333336</v>
      </c>
      <c r="B364" s="12" t="s">
        <v>22</v>
      </c>
      <c r="C364" s="82">
        <v>8</v>
      </c>
      <c r="D364" s="12" t="s">
        <v>95</v>
      </c>
      <c r="E364" s="82">
        <v>4449436681</v>
      </c>
      <c r="F364" s="82">
        <v>113417208</v>
      </c>
      <c r="G364" s="82">
        <v>814</v>
      </c>
      <c r="H364" s="82">
        <v>112</v>
      </c>
      <c r="I364" s="82">
        <v>926</v>
      </c>
      <c r="J364" s="82">
        <v>832</v>
      </c>
      <c r="K364" s="82">
        <v>1758</v>
      </c>
      <c r="L364" s="82">
        <v>170</v>
      </c>
      <c r="M364" s="82">
        <v>208</v>
      </c>
      <c r="N364" s="82">
        <v>43</v>
      </c>
      <c r="O364" s="82">
        <v>146</v>
      </c>
      <c r="P364" s="82">
        <v>1947</v>
      </c>
      <c r="Q364" s="82">
        <v>7600</v>
      </c>
      <c r="R364" s="12" t="s">
        <v>25</v>
      </c>
      <c r="S364" s="12" t="s">
        <v>25</v>
      </c>
      <c r="T364" s="12" t="s">
        <v>25</v>
      </c>
    </row>
    <row r="365" spans="1:20" x14ac:dyDescent="0.3">
      <c r="A365" s="13">
        <v>43902.708333333336</v>
      </c>
      <c r="B365" s="12" t="s">
        <v>22</v>
      </c>
      <c r="C365" s="82">
        <v>6</v>
      </c>
      <c r="D365" s="12" t="s">
        <v>47</v>
      </c>
      <c r="E365" s="82">
        <v>456494354</v>
      </c>
      <c r="F365" s="82">
        <v>1376813649</v>
      </c>
      <c r="G365" s="82">
        <v>23</v>
      </c>
      <c r="H365" s="82">
        <v>10</v>
      </c>
      <c r="I365" s="82">
        <v>33</v>
      </c>
      <c r="J365" s="82">
        <v>115</v>
      </c>
      <c r="K365" s="82">
        <v>148</v>
      </c>
      <c r="L365" s="82">
        <v>38</v>
      </c>
      <c r="M365" s="82">
        <v>41</v>
      </c>
      <c r="N365" s="82">
        <v>11</v>
      </c>
      <c r="O365" s="82">
        <v>8</v>
      </c>
      <c r="P365" s="82">
        <v>167</v>
      </c>
      <c r="Q365" s="82">
        <v>2604</v>
      </c>
      <c r="R365" s="12" t="s">
        <v>25</v>
      </c>
      <c r="S365" s="12" t="s">
        <v>25</v>
      </c>
      <c r="T365" s="12" t="s">
        <v>25</v>
      </c>
    </row>
    <row r="366" spans="1:20" x14ac:dyDescent="0.3">
      <c r="A366" s="13">
        <v>43902.708333333336</v>
      </c>
      <c r="B366" s="12" t="s">
        <v>22</v>
      </c>
      <c r="C366" s="82">
        <v>12</v>
      </c>
      <c r="D366" s="12" t="s">
        <v>48</v>
      </c>
      <c r="E366" s="82">
        <v>4189277044</v>
      </c>
      <c r="F366" s="82">
        <v>1248366722</v>
      </c>
      <c r="G366" s="82">
        <v>85</v>
      </c>
      <c r="H366" s="82">
        <v>20</v>
      </c>
      <c r="I366" s="82">
        <v>105</v>
      </c>
      <c r="J366" s="82">
        <v>67</v>
      </c>
      <c r="K366" s="82">
        <v>172</v>
      </c>
      <c r="L366" s="82">
        <v>47</v>
      </c>
      <c r="M366" s="82">
        <v>50</v>
      </c>
      <c r="N366" s="82">
        <v>19</v>
      </c>
      <c r="O366" s="82">
        <v>9</v>
      </c>
      <c r="P366" s="82">
        <v>200</v>
      </c>
      <c r="Q366" s="82">
        <v>5592</v>
      </c>
      <c r="R366" s="12" t="s">
        <v>25</v>
      </c>
      <c r="S366" s="12" t="s">
        <v>25</v>
      </c>
      <c r="T366" s="12" t="s">
        <v>25</v>
      </c>
    </row>
    <row r="367" spans="1:20" x14ac:dyDescent="0.3">
      <c r="A367" s="13">
        <v>43902.708333333336</v>
      </c>
      <c r="B367" s="12" t="s">
        <v>22</v>
      </c>
      <c r="C367" s="82">
        <v>7</v>
      </c>
      <c r="D367" s="12" t="s">
        <v>49</v>
      </c>
      <c r="E367" s="82">
        <v>4441149315</v>
      </c>
      <c r="F367" s="82">
        <v>89326992</v>
      </c>
      <c r="G367" s="82">
        <v>100</v>
      </c>
      <c r="H367" s="82">
        <v>36</v>
      </c>
      <c r="I367" s="82">
        <v>136</v>
      </c>
      <c r="J367" s="82">
        <v>107</v>
      </c>
      <c r="K367" s="82">
        <v>243</v>
      </c>
      <c r="L367" s="82">
        <v>62</v>
      </c>
      <c r="M367" s="82">
        <v>80</v>
      </c>
      <c r="N367" s="82">
        <v>20</v>
      </c>
      <c r="O367" s="82">
        <v>11</v>
      </c>
      <c r="P367" s="82">
        <v>274</v>
      </c>
      <c r="Q367" s="82">
        <v>1174</v>
      </c>
      <c r="R367" s="12" t="s">
        <v>25</v>
      </c>
      <c r="S367" s="12" t="s">
        <v>25</v>
      </c>
      <c r="T367" s="12" t="s">
        <v>25</v>
      </c>
    </row>
    <row r="368" spans="1:20" x14ac:dyDescent="0.3">
      <c r="A368" s="13">
        <v>43902.708333333336</v>
      </c>
      <c r="B368" s="12" t="s">
        <v>22</v>
      </c>
      <c r="C368" s="82">
        <v>3</v>
      </c>
      <c r="D368" s="12" t="s">
        <v>50</v>
      </c>
      <c r="E368" s="82">
        <v>4546679409</v>
      </c>
      <c r="F368" s="82">
        <v>9190347404</v>
      </c>
      <c r="G368" s="82">
        <v>4247</v>
      </c>
      <c r="H368" s="82">
        <v>605</v>
      </c>
      <c r="I368" s="82">
        <v>4852</v>
      </c>
      <c r="J368" s="82">
        <v>2044</v>
      </c>
      <c r="K368" s="82">
        <v>6896</v>
      </c>
      <c r="L368" s="82">
        <v>1133</v>
      </c>
      <c r="M368" s="82">
        <v>1445</v>
      </c>
      <c r="N368" s="82">
        <v>1085</v>
      </c>
      <c r="O368" s="82">
        <v>744</v>
      </c>
      <c r="P368" s="82">
        <v>8725</v>
      </c>
      <c r="Q368" s="82">
        <v>29534</v>
      </c>
      <c r="R368" s="12" t="s">
        <v>25</v>
      </c>
      <c r="S368" s="12" t="s">
        <v>25</v>
      </c>
      <c r="T368" s="12" t="s">
        <v>25</v>
      </c>
    </row>
    <row r="369" spans="1:20" x14ac:dyDescent="0.3">
      <c r="A369" s="13">
        <v>43902.708333333336</v>
      </c>
      <c r="B369" s="12" t="s">
        <v>22</v>
      </c>
      <c r="C369" s="82">
        <v>11</v>
      </c>
      <c r="D369" s="12" t="s">
        <v>51</v>
      </c>
      <c r="E369" s="82">
        <v>4361675973</v>
      </c>
      <c r="F369" s="82">
        <v>135188753</v>
      </c>
      <c r="G369" s="82">
        <v>254</v>
      </c>
      <c r="H369" s="82">
        <v>76</v>
      </c>
      <c r="I369" s="82">
        <v>330</v>
      </c>
      <c r="J369" s="82">
        <v>240</v>
      </c>
      <c r="K369" s="82">
        <v>570</v>
      </c>
      <c r="L369" s="82">
        <v>109</v>
      </c>
      <c r="M369" s="82">
        <v>113</v>
      </c>
      <c r="N369" s="82">
        <v>0</v>
      </c>
      <c r="O369" s="82">
        <v>22</v>
      </c>
      <c r="P369" s="82">
        <v>592</v>
      </c>
      <c r="Q369" s="82">
        <v>1907</v>
      </c>
      <c r="R369" s="12" t="s">
        <v>25</v>
      </c>
      <c r="S369" s="12" t="s">
        <v>25</v>
      </c>
      <c r="T369" s="12" t="s">
        <v>25</v>
      </c>
    </row>
    <row r="370" spans="1:20" x14ac:dyDescent="0.3">
      <c r="A370" s="13">
        <v>43902.708333333336</v>
      </c>
      <c r="B370" s="12" t="s">
        <v>22</v>
      </c>
      <c r="C370" s="82">
        <v>14</v>
      </c>
      <c r="D370" s="12" t="s">
        <v>52</v>
      </c>
      <c r="E370" s="82">
        <v>4155774754</v>
      </c>
      <c r="F370" s="82">
        <v>1465916051</v>
      </c>
      <c r="G370" s="82">
        <v>4</v>
      </c>
      <c r="H370" s="82">
        <v>3</v>
      </c>
      <c r="I370" s="82">
        <v>7</v>
      </c>
      <c r="J370" s="82">
        <v>9</v>
      </c>
      <c r="K370" s="82">
        <v>16</v>
      </c>
      <c r="L370" s="82">
        <v>0</v>
      </c>
      <c r="M370" s="82">
        <v>0</v>
      </c>
      <c r="N370" s="82">
        <v>0</v>
      </c>
      <c r="O370" s="82">
        <v>0</v>
      </c>
      <c r="P370" s="82">
        <v>16</v>
      </c>
      <c r="Q370" s="82">
        <v>238</v>
      </c>
      <c r="R370" s="12" t="s">
        <v>25</v>
      </c>
      <c r="S370" s="12" t="s">
        <v>25</v>
      </c>
      <c r="T370" s="12" t="s">
        <v>25</v>
      </c>
    </row>
    <row r="371" spans="1:20" x14ac:dyDescent="0.3">
      <c r="A371" s="13">
        <v>43902.708333333336</v>
      </c>
      <c r="B371" s="12" t="s">
        <v>22</v>
      </c>
      <c r="C371" s="82">
        <v>1</v>
      </c>
      <c r="D371" s="12" t="s">
        <v>53</v>
      </c>
      <c r="E371" s="82">
        <v>450732745</v>
      </c>
      <c r="F371" s="82">
        <v>7680687483</v>
      </c>
      <c r="G371" s="82">
        <v>368</v>
      </c>
      <c r="H371" s="82">
        <v>97</v>
      </c>
      <c r="I371" s="82">
        <v>465</v>
      </c>
      <c r="J371" s="82">
        <v>89</v>
      </c>
      <c r="K371" s="82">
        <v>554</v>
      </c>
      <c r="L371" s="82">
        <v>74</v>
      </c>
      <c r="M371" s="82">
        <v>79</v>
      </c>
      <c r="N371" s="82">
        <v>0</v>
      </c>
      <c r="O371" s="82">
        <v>26</v>
      </c>
      <c r="P371" s="82">
        <v>580</v>
      </c>
      <c r="Q371" s="82">
        <v>2879</v>
      </c>
      <c r="R371" s="12" t="s">
        <v>25</v>
      </c>
      <c r="S371" s="12" t="s">
        <v>25</v>
      </c>
      <c r="T371" s="12" t="s">
        <v>25</v>
      </c>
    </row>
    <row r="372" spans="1:20" x14ac:dyDescent="0.3">
      <c r="A372" s="13">
        <v>43902.708333333336</v>
      </c>
      <c r="B372" s="12" t="s">
        <v>22</v>
      </c>
      <c r="C372" s="82">
        <v>16</v>
      </c>
      <c r="D372" s="12" t="s">
        <v>54</v>
      </c>
      <c r="E372" s="82">
        <v>4112559576</v>
      </c>
      <c r="F372" s="82">
        <v>1686736689</v>
      </c>
      <c r="G372" s="82">
        <v>58</v>
      </c>
      <c r="H372" s="82">
        <v>2</v>
      </c>
      <c r="I372" s="82">
        <v>60</v>
      </c>
      <c r="J372" s="82">
        <v>38</v>
      </c>
      <c r="K372" s="82">
        <v>98</v>
      </c>
      <c r="L372" s="82">
        <v>27</v>
      </c>
      <c r="M372" s="82">
        <v>27</v>
      </c>
      <c r="N372" s="82">
        <v>1</v>
      </c>
      <c r="O372" s="82">
        <v>5</v>
      </c>
      <c r="P372" s="82">
        <v>104</v>
      </c>
      <c r="Q372" s="82">
        <v>1269</v>
      </c>
      <c r="R372" s="12" t="s">
        <v>25</v>
      </c>
      <c r="S372" s="12" t="s">
        <v>25</v>
      </c>
      <c r="T372" s="12" t="s">
        <v>25</v>
      </c>
    </row>
    <row r="373" spans="1:20" x14ac:dyDescent="0.3">
      <c r="A373" s="13">
        <v>43902.708333333336</v>
      </c>
      <c r="B373" s="12" t="s">
        <v>22</v>
      </c>
      <c r="C373" s="82">
        <v>20</v>
      </c>
      <c r="D373" s="12" t="s">
        <v>55</v>
      </c>
      <c r="E373" s="82">
        <v>3921531192</v>
      </c>
      <c r="F373" s="82">
        <v>9110616306</v>
      </c>
      <c r="G373" s="82">
        <v>12</v>
      </c>
      <c r="H373" s="82">
        <v>0</v>
      </c>
      <c r="I373" s="82">
        <v>12</v>
      </c>
      <c r="J373" s="82">
        <v>27</v>
      </c>
      <c r="K373" s="82">
        <v>39</v>
      </c>
      <c r="L373" s="82">
        <v>2</v>
      </c>
      <c r="M373" s="82">
        <v>2</v>
      </c>
      <c r="N373" s="82">
        <v>0</v>
      </c>
      <c r="O373" s="82">
        <v>0</v>
      </c>
      <c r="P373" s="82">
        <v>39</v>
      </c>
      <c r="Q373" s="82">
        <v>302</v>
      </c>
      <c r="R373" s="12" t="s">
        <v>25</v>
      </c>
      <c r="S373" s="12" t="s">
        <v>25</v>
      </c>
      <c r="T373" s="12" t="s">
        <v>25</v>
      </c>
    </row>
    <row r="374" spans="1:20" x14ac:dyDescent="0.3">
      <c r="A374" s="13">
        <v>43902.708333333336</v>
      </c>
      <c r="B374" s="12" t="s">
        <v>22</v>
      </c>
      <c r="C374" s="82">
        <v>19</v>
      </c>
      <c r="D374" s="12" t="s">
        <v>56</v>
      </c>
      <c r="E374" s="82">
        <v>3811569725</v>
      </c>
      <c r="F374" s="82">
        <v>133623567</v>
      </c>
      <c r="G374" s="82">
        <v>28</v>
      </c>
      <c r="H374" s="82">
        <v>5</v>
      </c>
      <c r="I374" s="82">
        <v>33</v>
      </c>
      <c r="J374" s="82">
        <v>78</v>
      </c>
      <c r="K374" s="82">
        <v>111</v>
      </c>
      <c r="L374" s="82">
        <v>30</v>
      </c>
      <c r="M374" s="82">
        <v>32</v>
      </c>
      <c r="N374" s="82">
        <v>2</v>
      </c>
      <c r="O374" s="82">
        <v>2</v>
      </c>
      <c r="P374" s="82">
        <v>115</v>
      </c>
      <c r="Q374" s="82">
        <v>1477</v>
      </c>
      <c r="R374" s="12" t="s">
        <v>25</v>
      </c>
      <c r="S374" s="12" t="s">
        <v>25</v>
      </c>
      <c r="T374" s="12" t="s">
        <v>25</v>
      </c>
    </row>
    <row r="375" spans="1:20" x14ac:dyDescent="0.3">
      <c r="A375" s="13">
        <v>43902.708333333336</v>
      </c>
      <c r="B375" s="12" t="s">
        <v>22</v>
      </c>
      <c r="C375" s="82">
        <v>9</v>
      </c>
      <c r="D375" s="12" t="s">
        <v>57</v>
      </c>
      <c r="E375" s="82">
        <v>4376923077</v>
      </c>
      <c r="F375" s="82">
        <v>1125588885</v>
      </c>
      <c r="G375" s="82">
        <v>100</v>
      </c>
      <c r="H375" s="82">
        <v>59</v>
      </c>
      <c r="I375" s="82">
        <v>159</v>
      </c>
      <c r="J375" s="82">
        <v>193</v>
      </c>
      <c r="K375" s="82">
        <v>352</v>
      </c>
      <c r="L375" s="82">
        <v>38</v>
      </c>
      <c r="M375" s="82">
        <v>44</v>
      </c>
      <c r="N375" s="82">
        <v>7</v>
      </c>
      <c r="O375" s="82">
        <v>5</v>
      </c>
      <c r="P375" s="82">
        <v>364</v>
      </c>
      <c r="Q375" s="82">
        <v>3165</v>
      </c>
      <c r="R375" s="12" t="s">
        <v>25</v>
      </c>
      <c r="S375" s="12" t="s">
        <v>25</v>
      </c>
      <c r="T375" s="12" t="s">
        <v>25</v>
      </c>
    </row>
    <row r="376" spans="1:20" x14ac:dyDescent="0.3">
      <c r="A376" s="13">
        <v>43902.708333333336</v>
      </c>
      <c r="B376" s="12" t="s">
        <v>22</v>
      </c>
      <c r="C376" s="82">
        <v>4</v>
      </c>
      <c r="D376" s="12" t="s">
        <v>58</v>
      </c>
      <c r="E376" s="82">
        <v>4606893511</v>
      </c>
      <c r="F376" s="82">
        <v>1112123097</v>
      </c>
      <c r="G376" s="82">
        <v>43</v>
      </c>
      <c r="H376" s="82">
        <v>5</v>
      </c>
      <c r="I376" s="82">
        <v>48</v>
      </c>
      <c r="J376" s="82">
        <v>54</v>
      </c>
      <c r="K376" s="82">
        <v>102</v>
      </c>
      <c r="L376" s="82">
        <v>28</v>
      </c>
      <c r="M376" s="82">
        <v>30</v>
      </c>
      <c r="N376" s="82">
        <v>4</v>
      </c>
      <c r="O376" s="82">
        <v>1</v>
      </c>
      <c r="P376" s="82">
        <v>107</v>
      </c>
      <c r="Q376" s="82">
        <v>593</v>
      </c>
      <c r="R376" s="12" t="s">
        <v>25</v>
      </c>
      <c r="S376" s="12" t="s">
        <v>25</v>
      </c>
      <c r="T376" s="12" t="s">
        <v>25</v>
      </c>
    </row>
    <row r="377" spans="1:20" x14ac:dyDescent="0.3">
      <c r="A377" s="13">
        <v>43902.708333333336</v>
      </c>
      <c r="B377" s="12" t="s">
        <v>22</v>
      </c>
      <c r="C377" s="82">
        <v>10</v>
      </c>
      <c r="D377" s="12" t="s">
        <v>59</v>
      </c>
      <c r="E377" s="82">
        <v>4310675841</v>
      </c>
      <c r="F377" s="82">
        <v>1238824698</v>
      </c>
      <c r="G377" s="82">
        <v>8</v>
      </c>
      <c r="H377" s="82">
        <v>8</v>
      </c>
      <c r="I377" s="82">
        <v>16</v>
      </c>
      <c r="J377" s="82">
        <v>46</v>
      </c>
      <c r="K377" s="82">
        <v>62</v>
      </c>
      <c r="L377" s="82">
        <v>18</v>
      </c>
      <c r="M377" s="82">
        <v>18</v>
      </c>
      <c r="N377" s="82">
        <v>2</v>
      </c>
      <c r="O377" s="82">
        <v>0</v>
      </c>
      <c r="P377" s="82">
        <v>64</v>
      </c>
      <c r="Q377" s="82">
        <v>458</v>
      </c>
      <c r="R377" s="12" t="s">
        <v>25</v>
      </c>
      <c r="S377" s="12" t="s">
        <v>25</v>
      </c>
      <c r="T377" s="12" t="s">
        <v>25</v>
      </c>
    </row>
    <row r="378" spans="1:20" x14ac:dyDescent="0.3">
      <c r="A378" s="13">
        <v>43902.708333333336</v>
      </c>
      <c r="B378" s="12" t="s">
        <v>22</v>
      </c>
      <c r="C378" s="82">
        <v>2</v>
      </c>
      <c r="D378" s="12" t="s">
        <v>60</v>
      </c>
      <c r="E378" s="82">
        <v>4573750286</v>
      </c>
      <c r="F378" s="82">
        <v>7320149366</v>
      </c>
      <c r="G378" s="82">
        <v>7</v>
      </c>
      <c r="H378" s="82">
        <v>0</v>
      </c>
      <c r="I378" s="82">
        <v>7</v>
      </c>
      <c r="J378" s="82">
        <v>19</v>
      </c>
      <c r="K378" s="82">
        <v>26</v>
      </c>
      <c r="L378" s="82">
        <v>7</v>
      </c>
      <c r="M378" s="82">
        <v>7</v>
      </c>
      <c r="N378" s="82">
        <v>0</v>
      </c>
      <c r="O378" s="82">
        <v>1</v>
      </c>
      <c r="P378" s="82">
        <v>27</v>
      </c>
      <c r="Q378" s="82">
        <v>118</v>
      </c>
      <c r="R378" s="12" t="s">
        <v>25</v>
      </c>
      <c r="S378" s="12" t="s">
        <v>25</v>
      </c>
      <c r="T378" s="12" t="s">
        <v>25</v>
      </c>
    </row>
    <row r="379" spans="1:20" x14ac:dyDescent="0.3">
      <c r="A379" s="13">
        <v>43902.708333333336</v>
      </c>
      <c r="B379" s="12" t="s">
        <v>22</v>
      </c>
      <c r="C379" s="82">
        <v>5</v>
      </c>
      <c r="D379" s="12" t="s">
        <v>61</v>
      </c>
      <c r="E379" s="82">
        <v>4543490485</v>
      </c>
      <c r="F379" s="82">
        <v>1233845213</v>
      </c>
      <c r="G379" s="82">
        <v>360</v>
      </c>
      <c r="H379" s="82">
        <v>85</v>
      </c>
      <c r="I379" s="82">
        <v>445</v>
      </c>
      <c r="J379" s="82">
        <v>852</v>
      </c>
      <c r="K379" s="82">
        <v>1297</v>
      </c>
      <c r="L379" s="82">
        <v>357</v>
      </c>
      <c r="M379" s="82">
        <v>361</v>
      </c>
      <c r="N379" s="82">
        <v>55</v>
      </c>
      <c r="O379" s="82">
        <v>32</v>
      </c>
      <c r="P379" s="82">
        <v>1384</v>
      </c>
      <c r="Q379" s="82">
        <v>23438</v>
      </c>
      <c r="R379" s="12" t="s">
        <v>25</v>
      </c>
      <c r="S379" s="12" t="s">
        <v>25</v>
      </c>
      <c r="T379" s="12" t="s">
        <v>25</v>
      </c>
    </row>
    <row r="380" spans="1:20" x14ac:dyDescent="0.3">
      <c r="A380" s="13">
        <v>43903.708333333336</v>
      </c>
      <c r="B380" s="12" t="s">
        <v>22</v>
      </c>
      <c r="C380" s="82">
        <v>13</v>
      </c>
      <c r="D380" s="12" t="s">
        <v>42</v>
      </c>
      <c r="E380" s="82">
        <v>4235122196</v>
      </c>
      <c r="F380" s="82">
        <v>1339843823</v>
      </c>
      <c r="G380" s="82">
        <v>42</v>
      </c>
      <c r="H380" s="82">
        <v>14</v>
      </c>
      <c r="I380" s="82">
        <v>56</v>
      </c>
      <c r="J380" s="82">
        <v>27</v>
      </c>
      <c r="K380" s="82">
        <v>83</v>
      </c>
      <c r="L380" s="82">
        <v>5</v>
      </c>
      <c r="M380" s="82">
        <v>5</v>
      </c>
      <c r="N380" s="82">
        <v>4</v>
      </c>
      <c r="O380" s="82">
        <v>2</v>
      </c>
      <c r="P380" s="82">
        <v>89</v>
      </c>
      <c r="Q380" s="82">
        <v>958</v>
      </c>
      <c r="R380" s="12" t="s">
        <v>25</v>
      </c>
      <c r="S380" s="12" t="s">
        <v>25</v>
      </c>
      <c r="T380" s="12" t="s">
        <v>25</v>
      </c>
    </row>
    <row r="381" spans="1:20" x14ac:dyDescent="0.3">
      <c r="A381" s="13">
        <v>43903.708333333336</v>
      </c>
      <c r="B381" s="12" t="s">
        <v>22</v>
      </c>
      <c r="C381" s="82">
        <v>17</v>
      </c>
      <c r="D381" s="12" t="s">
        <v>43</v>
      </c>
      <c r="E381" s="82">
        <v>4063947052</v>
      </c>
      <c r="F381" s="82">
        <v>1580514834</v>
      </c>
      <c r="G381" s="82">
        <v>1</v>
      </c>
      <c r="H381" s="82">
        <v>1</v>
      </c>
      <c r="I381" s="82">
        <v>2</v>
      </c>
      <c r="J381" s="82">
        <v>8</v>
      </c>
      <c r="K381" s="82">
        <v>10</v>
      </c>
      <c r="L381" s="82">
        <v>2</v>
      </c>
      <c r="M381" s="82">
        <v>2</v>
      </c>
      <c r="N381" s="82">
        <v>0</v>
      </c>
      <c r="O381" s="82">
        <v>0</v>
      </c>
      <c r="P381" s="82">
        <v>10</v>
      </c>
      <c r="Q381" s="82">
        <v>155</v>
      </c>
      <c r="R381" s="12" t="s">
        <v>25</v>
      </c>
      <c r="S381" s="12" t="s">
        <v>25</v>
      </c>
      <c r="T381" s="12" t="s">
        <v>25</v>
      </c>
    </row>
    <row r="382" spans="1:20" x14ac:dyDescent="0.3">
      <c r="A382" s="13">
        <v>43903.708333333336</v>
      </c>
      <c r="B382" s="12" t="s">
        <v>22</v>
      </c>
      <c r="C382" s="82">
        <v>4</v>
      </c>
      <c r="D382" s="12" t="s">
        <v>44</v>
      </c>
      <c r="E382" s="82">
        <v>4649933453</v>
      </c>
      <c r="F382" s="82">
        <v>1135662422</v>
      </c>
      <c r="G382" s="82">
        <v>20</v>
      </c>
      <c r="H382" s="82">
        <v>5</v>
      </c>
      <c r="I382" s="82">
        <v>25</v>
      </c>
      <c r="J382" s="82">
        <v>98</v>
      </c>
      <c r="K382" s="82">
        <v>123</v>
      </c>
      <c r="L382" s="82">
        <v>20</v>
      </c>
      <c r="M382" s="82">
        <v>21</v>
      </c>
      <c r="N382" s="82">
        <v>0</v>
      </c>
      <c r="O382" s="82">
        <v>2</v>
      </c>
      <c r="P382" s="82">
        <v>125</v>
      </c>
      <c r="Q382" s="82">
        <v>811</v>
      </c>
      <c r="R382" s="12" t="s">
        <v>25</v>
      </c>
      <c r="S382" s="12" t="s">
        <v>25</v>
      </c>
      <c r="T382" s="12" t="s">
        <v>25</v>
      </c>
    </row>
    <row r="383" spans="1:20" x14ac:dyDescent="0.3">
      <c r="A383" s="13">
        <v>43903.708333333336</v>
      </c>
      <c r="B383" s="12" t="s">
        <v>22</v>
      </c>
      <c r="C383" s="82">
        <v>18</v>
      </c>
      <c r="D383" s="12" t="s">
        <v>45</v>
      </c>
      <c r="E383" s="82">
        <v>3890597598</v>
      </c>
      <c r="F383" s="82">
        <v>1659440194</v>
      </c>
      <c r="G383" s="82">
        <v>18</v>
      </c>
      <c r="H383" s="82">
        <v>3</v>
      </c>
      <c r="I383" s="82">
        <v>21</v>
      </c>
      <c r="J383" s="82">
        <v>16</v>
      </c>
      <c r="K383" s="82">
        <v>37</v>
      </c>
      <c r="L383" s="82">
        <v>5</v>
      </c>
      <c r="M383" s="82">
        <v>5</v>
      </c>
      <c r="N383" s="82">
        <v>1</v>
      </c>
      <c r="O383" s="82">
        <v>0</v>
      </c>
      <c r="P383" s="82">
        <v>38</v>
      </c>
      <c r="Q383" s="82">
        <v>504</v>
      </c>
      <c r="R383" s="12" t="s">
        <v>25</v>
      </c>
      <c r="S383" s="12" t="s">
        <v>25</v>
      </c>
      <c r="T383" s="12" t="s">
        <v>25</v>
      </c>
    </row>
    <row r="384" spans="1:20" x14ac:dyDescent="0.3">
      <c r="A384" s="13">
        <v>43903.708333333336</v>
      </c>
      <c r="B384" s="12" t="s">
        <v>22</v>
      </c>
      <c r="C384" s="82">
        <v>15</v>
      </c>
      <c r="D384" s="12" t="s">
        <v>46</v>
      </c>
      <c r="E384" s="82">
        <v>4083956555</v>
      </c>
      <c r="F384" s="82">
        <v>1425084984</v>
      </c>
      <c r="G384" s="82">
        <v>60</v>
      </c>
      <c r="H384" s="82">
        <v>19</v>
      </c>
      <c r="I384" s="82">
        <v>79</v>
      </c>
      <c r="J384" s="82">
        <v>134</v>
      </c>
      <c r="K384" s="82">
        <v>213</v>
      </c>
      <c r="L384" s="82">
        <v>39</v>
      </c>
      <c r="M384" s="82">
        <v>41</v>
      </c>
      <c r="N384" s="82">
        <v>5</v>
      </c>
      <c r="O384" s="82">
        <v>2</v>
      </c>
      <c r="P384" s="82">
        <v>220</v>
      </c>
      <c r="Q384" s="82">
        <v>1671</v>
      </c>
      <c r="R384" s="12" t="s">
        <v>25</v>
      </c>
      <c r="S384" s="12" t="s">
        <v>25</v>
      </c>
      <c r="T384" s="12" t="s">
        <v>25</v>
      </c>
    </row>
    <row r="385" spans="1:20" x14ac:dyDescent="0.3">
      <c r="A385" s="13">
        <v>43903.708333333336</v>
      </c>
      <c r="B385" s="12" t="s">
        <v>22</v>
      </c>
      <c r="C385" s="82">
        <v>8</v>
      </c>
      <c r="D385" s="12" t="s">
        <v>95</v>
      </c>
      <c r="E385" s="82">
        <v>4449436681</v>
      </c>
      <c r="F385" s="82">
        <v>113417208</v>
      </c>
      <c r="G385" s="82">
        <v>942</v>
      </c>
      <c r="H385" s="82">
        <v>128</v>
      </c>
      <c r="I385" s="82">
        <v>1070</v>
      </c>
      <c r="J385" s="82">
        <v>941</v>
      </c>
      <c r="K385" s="82">
        <v>2011</v>
      </c>
      <c r="L385" s="82">
        <v>253</v>
      </c>
      <c r="M385" s="82">
        <v>316</v>
      </c>
      <c r="N385" s="82">
        <v>51</v>
      </c>
      <c r="O385" s="82">
        <v>201</v>
      </c>
      <c r="P385" s="82">
        <v>2263</v>
      </c>
      <c r="Q385" s="82">
        <v>8787</v>
      </c>
      <c r="R385" s="12" t="s">
        <v>25</v>
      </c>
      <c r="S385" s="12" t="s">
        <v>25</v>
      </c>
      <c r="T385" s="12" t="s">
        <v>25</v>
      </c>
    </row>
    <row r="386" spans="1:20" x14ac:dyDescent="0.3">
      <c r="A386" s="13">
        <v>43903.708333333336</v>
      </c>
      <c r="B386" s="12" t="s">
        <v>22</v>
      </c>
      <c r="C386" s="82">
        <v>6</v>
      </c>
      <c r="D386" s="12" t="s">
        <v>47</v>
      </c>
      <c r="E386" s="82">
        <v>456494354</v>
      </c>
      <c r="F386" s="82">
        <v>1376813649</v>
      </c>
      <c r="G386" s="82">
        <v>59</v>
      </c>
      <c r="H386" s="82">
        <v>8</v>
      </c>
      <c r="I386" s="82">
        <v>67</v>
      </c>
      <c r="J386" s="82">
        <v>169</v>
      </c>
      <c r="K386" s="82">
        <v>236</v>
      </c>
      <c r="L386" s="82">
        <v>88</v>
      </c>
      <c r="M386" s="82">
        <v>90</v>
      </c>
      <c r="N386" s="82">
        <v>11</v>
      </c>
      <c r="O386" s="82">
        <v>10</v>
      </c>
      <c r="P386" s="82">
        <v>257</v>
      </c>
      <c r="Q386" s="82">
        <v>3149</v>
      </c>
      <c r="R386" s="12" t="s">
        <v>25</v>
      </c>
      <c r="S386" s="12" t="s">
        <v>25</v>
      </c>
      <c r="T386" s="12" t="s">
        <v>25</v>
      </c>
    </row>
    <row r="387" spans="1:20" x14ac:dyDescent="0.3">
      <c r="A387" s="13">
        <v>43903.708333333336</v>
      </c>
      <c r="B387" s="12" t="s">
        <v>22</v>
      </c>
      <c r="C387" s="82">
        <v>12</v>
      </c>
      <c r="D387" s="12" t="s">
        <v>48</v>
      </c>
      <c r="E387" s="82">
        <v>4189277044</v>
      </c>
      <c r="F387" s="82">
        <v>1248366722</v>
      </c>
      <c r="G387" s="82">
        <v>122</v>
      </c>
      <c r="H387" s="82">
        <v>24</v>
      </c>
      <c r="I387" s="82">
        <v>146</v>
      </c>
      <c r="J387" s="82">
        <v>96</v>
      </c>
      <c r="K387" s="82">
        <v>242</v>
      </c>
      <c r="L387" s="82">
        <v>70</v>
      </c>
      <c r="M387" s="82">
        <v>77</v>
      </c>
      <c r="N387" s="82">
        <v>24</v>
      </c>
      <c r="O387" s="82">
        <v>11</v>
      </c>
      <c r="P387" s="82">
        <v>277</v>
      </c>
      <c r="Q387" s="82">
        <v>6491</v>
      </c>
      <c r="R387" s="12" t="s">
        <v>25</v>
      </c>
      <c r="S387" s="12" t="s">
        <v>25</v>
      </c>
      <c r="T387" s="12" t="s">
        <v>25</v>
      </c>
    </row>
    <row r="388" spans="1:20" x14ac:dyDescent="0.3">
      <c r="A388" s="13">
        <v>43903.708333333336</v>
      </c>
      <c r="B388" s="12" t="s">
        <v>22</v>
      </c>
      <c r="C388" s="82">
        <v>7</v>
      </c>
      <c r="D388" s="12" t="s">
        <v>49</v>
      </c>
      <c r="E388" s="82">
        <v>4441149315</v>
      </c>
      <c r="F388" s="82">
        <v>89326992</v>
      </c>
      <c r="G388" s="82">
        <v>128</v>
      </c>
      <c r="H388" s="82">
        <v>44</v>
      </c>
      <c r="I388" s="82">
        <v>172</v>
      </c>
      <c r="J388" s="82">
        <v>132</v>
      </c>
      <c r="K388" s="82">
        <v>304</v>
      </c>
      <c r="L388" s="82">
        <v>61</v>
      </c>
      <c r="M388" s="82">
        <v>71</v>
      </c>
      <c r="N388" s="82">
        <v>24</v>
      </c>
      <c r="O388" s="82">
        <v>17</v>
      </c>
      <c r="P388" s="82">
        <v>345</v>
      </c>
      <c r="Q388" s="82">
        <v>1442</v>
      </c>
      <c r="R388" s="12" t="s">
        <v>25</v>
      </c>
      <c r="S388" s="12" t="s">
        <v>25</v>
      </c>
      <c r="T388" s="12" t="s">
        <v>25</v>
      </c>
    </row>
    <row r="389" spans="1:20" x14ac:dyDescent="0.3">
      <c r="A389" s="13">
        <v>43903.708333333336</v>
      </c>
      <c r="B389" s="12" t="s">
        <v>22</v>
      </c>
      <c r="C389" s="82">
        <v>3</v>
      </c>
      <c r="D389" s="12" t="s">
        <v>50</v>
      </c>
      <c r="E389" s="82">
        <v>4546679409</v>
      </c>
      <c r="F389" s="82">
        <v>9190347404</v>
      </c>
      <c r="G389" s="82">
        <v>4435</v>
      </c>
      <c r="H389" s="82">
        <v>650</v>
      </c>
      <c r="I389" s="82">
        <v>5085</v>
      </c>
      <c r="J389" s="82">
        <v>2647</v>
      </c>
      <c r="K389" s="82">
        <v>7732</v>
      </c>
      <c r="L389" s="82">
        <v>836</v>
      </c>
      <c r="M389" s="82">
        <v>1095</v>
      </c>
      <c r="N389" s="82">
        <v>1198</v>
      </c>
      <c r="O389" s="82">
        <v>890</v>
      </c>
      <c r="P389" s="82">
        <v>9820</v>
      </c>
      <c r="Q389" s="82">
        <v>32700</v>
      </c>
      <c r="R389" s="12" t="s">
        <v>25</v>
      </c>
      <c r="S389" s="12" t="s">
        <v>25</v>
      </c>
      <c r="T389" s="12" t="s">
        <v>25</v>
      </c>
    </row>
    <row r="390" spans="1:20" x14ac:dyDescent="0.3">
      <c r="A390" s="13">
        <v>43903.708333333336</v>
      </c>
      <c r="B390" s="12" t="s">
        <v>22</v>
      </c>
      <c r="C390" s="82">
        <v>11</v>
      </c>
      <c r="D390" s="12" t="s">
        <v>51</v>
      </c>
      <c r="E390" s="82">
        <v>4361675973</v>
      </c>
      <c r="F390" s="82">
        <v>135188753</v>
      </c>
      <c r="G390" s="82">
        <v>337</v>
      </c>
      <c r="H390" s="82">
        <v>85</v>
      </c>
      <c r="I390" s="82">
        <v>422</v>
      </c>
      <c r="J390" s="82">
        <v>276</v>
      </c>
      <c r="K390" s="82">
        <v>698</v>
      </c>
      <c r="L390" s="82">
        <v>128</v>
      </c>
      <c r="M390" s="82">
        <v>133</v>
      </c>
      <c r="N390" s="82">
        <v>0</v>
      </c>
      <c r="O390" s="82">
        <v>27</v>
      </c>
      <c r="P390" s="82">
        <v>725</v>
      </c>
      <c r="Q390" s="82">
        <v>2218</v>
      </c>
      <c r="R390" s="12" t="s">
        <v>25</v>
      </c>
      <c r="S390" s="12" t="s">
        <v>25</v>
      </c>
      <c r="T390" s="12" t="s">
        <v>25</v>
      </c>
    </row>
    <row r="391" spans="1:20" x14ac:dyDescent="0.3">
      <c r="A391" s="13">
        <v>43903.708333333336</v>
      </c>
      <c r="B391" s="12" t="s">
        <v>22</v>
      </c>
      <c r="C391" s="82">
        <v>14</v>
      </c>
      <c r="D391" s="12" t="s">
        <v>52</v>
      </c>
      <c r="E391" s="82">
        <v>4155774754</v>
      </c>
      <c r="F391" s="82">
        <v>1465916051</v>
      </c>
      <c r="G391" s="82">
        <v>5</v>
      </c>
      <c r="H391" s="82">
        <v>3</v>
      </c>
      <c r="I391" s="82">
        <v>8</v>
      </c>
      <c r="J391" s="82">
        <v>9</v>
      </c>
      <c r="K391" s="82">
        <v>17</v>
      </c>
      <c r="L391" s="82">
        <v>1</v>
      </c>
      <c r="M391" s="82">
        <v>1</v>
      </c>
      <c r="N391" s="82">
        <v>0</v>
      </c>
      <c r="O391" s="82">
        <v>0</v>
      </c>
      <c r="P391" s="82">
        <v>17</v>
      </c>
      <c r="Q391" s="82">
        <v>243</v>
      </c>
      <c r="R391" s="12" t="s">
        <v>25</v>
      </c>
      <c r="S391" s="12" t="s">
        <v>25</v>
      </c>
      <c r="T391" s="12" t="s">
        <v>25</v>
      </c>
    </row>
    <row r="392" spans="1:20" x14ac:dyDescent="0.3">
      <c r="A392" s="13">
        <v>43903.708333333336</v>
      </c>
      <c r="B392" s="12" t="s">
        <v>22</v>
      </c>
      <c r="C392" s="82">
        <v>1</v>
      </c>
      <c r="D392" s="12" t="s">
        <v>53</v>
      </c>
      <c r="E392" s="82">
        <v>450732745</v>
      </c>
      <c r="F392" s="82">
        <v>7680687483</v>
      </c>
      <c r="G392" s="82">
        <v>556</v>
      </c>
      <c r="H392" s="82">
        <v>135</v>
      </c>
      <c r="I392" s="82">
        <v>691</v>
      </c>
      <c r="J392" s="82">
        <v>103</v>
      </c>
      <c r="K392" s="82">
        <v>794</v>
      </c>
      <c r="L392" s="82">
        <v>240</v>
      </c>
      <c r="M392" s="82">
        <v>260</v>
      </c>
      <c r="N392" s="82">
        <v>0</v>
      </c>
      <c r="O392" s="82">
        <v>46</v>
      </c>
      <c r="P392" s="82">
        <v>840</v>
      </c>
      <c r="Q392" s="82">
        <v>3105</v>
      </c>
      <c r="R392" s="12" t="s">
        <v>25</v>
      </c>
      <c r="S392" s="12" t="s">
        <v>25</v>
      </c>
      <c r="T392" s="12" t="s">
        <v>25</v>
      </c>
    </row>
    <row r="393" spans="1:20" x14ac:dyDescent="0.3">
      <c r="A393" s="13">
        <v>43903.708333333336</v>
      </c>
      <c r="B393" s="12" t="s">
        <v>22</v>
      </c>
      <c r="C393" s="82">
        <v>16</v>
      </c>
      <c r="D393" s="12" t="s">
        <v>54</v>
      </c>
      <c r="E393" s="82">
        <v>4112559576</v>
      </c>
      <c r="F393" s="82">
        <v>1686736689</v>
      </c>
      <c r="G393" s="82">
        <v>77</v>
      </c>
      <c r="H393" s="82">
        <v>2</v>
      </c>
      <c r="I393" s="82">
        <v>79</v>
      </c>
      <c r="J393" s="82">
        <v>42</v>
      </c>
      <c r="K393" s="82">
        <v>121</v>
      </c>
      <c r="L393" s="82">
        <v>23</v>
      </c>
      <c r="M393" s="82">
        <v>25</v>
      </c>
      <c r="N393" s="82">
        <v>3</v>
      </c>
      <c r="O393" s="82">
        <v>5</v>
      </c>
      <c r="P393" s="82">
        <v>129</v>
      </c>
      <c r="Q393" s="82">
        <v>1449</v>
      </c>
      <c r="R393" s="12" t="s">
        <v>25</v>
      </c>
      <c r="S393" s="12" t="s">
        <v>25</v>
      </c>
      <c r="T393" s="12" t="s">
        <v>25</v>
      </c>
    </row>
    <row r="394" spans="1:20" x14ac:dyDescent="0.3">
      <c r="A394" s="13">
        <v>43903.708333333336</v>
      </c>
      <c r="B394" s="12" t="s">
        <v>22</v>
      </c>
      <c r="C394" s="82">
        <v>20</v>
      </c>
      <c r="D394" s="12" t="s">
        <v>55</v>
      </c>
      <c r="E394" s="82">
        <v>3921531192</v>
      </c>
      <c r="F394" s="82">
        <v>9110616306</v>
      </c>
      <c r="G394" s="82">
        <v>12</v>
      </c>
      <c r="H394" s="82">
        <v>0</v>
      </c>
      <c r="I394" s="82">
        <v>12</v>
      </c>
      <c r="J394" s="82">
        <v>31</v>
      </c>
      <c r="K394" s="82">
        <v>43</v>
      </c>
      <c r="L394" s="82">
        <v>4</v>
      </c>
      <c r="M394" s="82">
        <v>4</v>
      </c>
      <c r="N394" s="82">
        <v>0</v>
      </c>
      <c r="O394" s="82">
        <v>0</v>
      </c>
      <c r="P394" s="82">
        <v>43</v>
      </c>
      <c r="Q394" s="82">
        <v>504</v>
      </c>
      <c r="R394" s="12" t="s">
        <v>25</v>
      </c>
      <c r="S394" s="12" t="s">
        <v>25</v>
      </c>
      <c r="T394" s="12" t="s">
        <v>25</v>
      </c>
    </row>
    <row r="395" spans="1:20" x14ac:dyDescent="0.3">
      <c r="A395" s="13">
        <v>43903.708333333336</v>
      </c>
      <c r="B395" s="12" t="s">
        <v>22</v>
      </c>
      <c r="C395" s="82">
        <v>19</v>
      </c>
      <c r="D395" s="12" t="s">
        <v>56</v>
      </c>
      <c r="E395" s="82">
        <v>3811569725</v>
      </c>
      <c r="F395" s="82">
        <v>133623567</v>
      </c>
      <c r="G395" s="82">
        <v>37</v>
      </c>
      <c r="H395" s="82">
        <v>7</v>
      </c>
      <c r="I395" s="82">
        <v>44</v>
      </c>
      <c r="J395" s="82">
        <v>82</v>
      </c>
      <c r="K395" s="82">
        <v>126</v>
      </c>
      <c r="L395" s="82">
        <v>15</v>
      </c>
      <c r="M395" s="82">
        <v>15</v>
      </c>
      <c r="N395" s="82">
        <v>2</v>
      </c>
      <c r="O395" s="82">
        <v>2</v>
      </c>
      <c r="P395" s="82">
        <v>130</v>
      </c>
      <c r="Q395" s="82">
        <v>1950</v>
      </c>
      <c r="R395" s="12" t="s">
        <v>25</v>
      </c>
      <c r="S395" s="12" t="s">
        <v>25</v>
      </c>
      <c r="T395" s="12" t="s">
        <v>25</v>
      </c>
    </row>
    <row r="396" spans="1:20" x14ac:dyDescent="0.3">
      <c r="A396" s="13">
        <v>43903.708333333336</v>
      </c>
      <c r="B396" s="12" t="s">
        <v>22</v>
      </c>
      <c r="C396" s="82">
        <v>9</v>
      </c>
      <c r="D396" s="12" t="s">
        <v>57</v>
      </c>
      <c r="E396" s="82">
        <v>4376923077</v>
      </c>
      <c r="F396" s="82">
        <v>1125588885</v>
      </c>
      <c r="G396" s="82">
        <v>134</v>
      </c>
      <c r="H396" s="82">
        <v>77</v>
      </c>
      <c r="I396" s="82">
        <v>211</v>
      </c>
      <c r="J396" s="82">
        <v>244</v>
      </c>
      <c r="K396" s="82">
        <v>455</v>
      </c>
      <c r="L396" s="82">
        <v>103</v>
      </c>
      <c r="M396" s="82">
        <v>106</v>
      </c>
      <c r="N396" s="82">
        <v>10</v>
      </c>
      <c r="O396" s="82">
        <v>5</v>
      </c>
      <c r="P396" s="82">
        <v>470</v>
      </c>
      <c r="Q396" s="82">
        <v>4049</v>
      </c>
      <c r="R396" s="12" t="s">
        <v>25</v>
      </c>
      <c r="S396" s="12" t="s">
        <v>25</v>
      </c>
      <c r="T396" s="12" t="s">
        <v>25</v>
      </c>
    </row>
    <row r="397" spans="1:20" x14ac:dyDescent="0.3">
      <c r="A397" s="13">
        <v>43903.708333333336</v>
      </c>
      <c r="B397" s="12" t="s">
        <v>22</v>
      </c>
      <c r="C397" s="82">
        <v>4</v>
      </c>
      <c r="D397" s="12" t="s">
        <v>58</v>
      </c>
      <c r="E397" s="82">
        <v>4606893511</v>
      </c>
      <c r="F397" s="82">
        <v>1112123097</v>
      </c>
      <c r="G397" s="82">
        <v>58</v>
      </c>
      <c r="H397" s="82">
        <v>6</v>
      </c>
      <c r="I397" s="82">
        <v>64</v>
      </c>
      <c r="J397" s="82">
        <v>93</v>
      </c>
      <c r="K397" s="82">
        <v>157</v>
      </c>
      <c r="L397" s="82">
        <v>55</v>
      </c>
      <c r="M397" s="82">
        <v>56</v>
      </c>
      <c r="N397" s="82">
        <v>4</v>
      </c>
      <c r="O397" s="82">
        <v>2</v>
      </c>
      <c r="P397" s="82">
        <v>163</v>
      </c>
      <c r="Q397" s="82">
        <v>846</v>
      </c>
      <c r="R397" s="12" t="s">
        <v>25</v>
      </c>
      <c r="S397" s="12" t="s">
        <v>25</v>
      </c>
      <c r="T397" s="12" t="s">
        <v>25</v>
      </c>
    </row>
    <row r="398" spans="1:20" x14ac:dyDescent="0.3">
      <c r="A398" s="13">
        <v>43903.708333333336</v>
      </c>
      <c r="B398" s="12" t="s">
        <v>22</v>
      </c>
      <c r="C398" s="82">
        <v>10</v>
      </c>
      <c r="D398" s="12" t="s">
        <v>59</v>
      </c>
      <c r="E398" s="82">
        <v>4310675841</v>
      </c>
      <c r="F398" s="82">
        <v>1238824698</v>
      </c>
      <c r="G398" s="82">
        <v>11</v>
      </c>
      <c r="H398" s="82">
        <v>10</v>
      </c>
      <c r="I398" s="82">
        <v>21</v>
      </c>
      <c r="J398" s="82">
        <v>52</v>
      </c>
      <c r="K398" s="82">
        <v>73</v>
      </c>
      <c r="L398" s="82">
        <v>11</v>
      </c>
      <c r="M398" s="82">
        <v>12</v>
      </c>
      <c r="N398" s="82">
        <v>2</v>
      </c>
      <c r="O398" s="82">
        <v>1</v>
      </c>
      <c r="P398" s="82">
        <v>76</v>
      </c>
      <c r="Q398" s="82">
        <v>576</v>
      </c>
      <c r="R398" s="12" t="s">
        <v>25</v>
      </c>
      <c r="S398" s="12" t="s">
        <v>25</v>
      </c>
      <c r="T398" s="12" t="s">
        <v>25</v>
      </c>
    </row>
    <row r="399" spans="1:20" x14ac:dyDescent="0.3">
      <c r="A399" s="13">
        <v>43903.708333333336</v>
      </c>
      <c r="B399" s="12" t="s">
        <v>22</v>
      </c>
      <c r="C399" s="82">
        <v>2</v>
      </c>
      <c r="D399" s="12" t="s">
        <v>60</v>
      </c>
      <c r="E399" s="82">
        <v>4573750286</v>
      </c>
      <c r="F399" s="82">
        <v>7320149366</v>
      </c>
      <c r="G399" s="82">
        <v>6</v>
      </c>
      <c r="H399" s="82">
        <v>0</v>
      </c>
      <c r="I399" s="82">
        <v>6</v>
      </c>
      <c r="J399" s="82">
        <v>21</v>
      </c>
      <c r="K399" s="82">
        <v>27</v>
      </c>
      <c r="L399" s="82">
        <v>1</v>
      </c>
      <c r="M399" s="82">
        <v>1</v>
      </c>
      <c r="N399" s="82">
        <v>0</v>
      </c>
      <c r="O399" s="82">
        <v>1</v>
      </c>
      <c r="P399" s="82">
        <v>28</v>
      </c>
      <c r="Q399" s="82">
        <v>189</v>
      </c>
      <c r="R399" s="12" t="s">
        <v>25</v>
      </c>
      <c r="S399" s="12" t="s">
        <v>25</v>
      </c>
      <c r="T399" s="12" t="s">
        <v>25</v>
      </c>
    </row>
    <row r="400" spans="1:20" x14ac:dyDescent="0.3">
      <c r="A400" s="13">
        <v>43903.708333333336</v>
      </c>
      <c r="B400" s="12" t="s">
        <v>22</v>
      </c>
      <c r="C400" s="82">
        <v>5</v>
      </c>
      <c r="D400" s="12" t="s">
        <v>61</v>
      </c>
      <c r="E400" s="82">
        <v>4543490485</v>
      </c>
      <c r="F400" s="82">
        <v>1233845213</v>
      </c>
      <c r="G400" s="82">
        <v>366</v>
      </c>
      <c r="H400" s="82">
        <v>107</v>
      </c>
      <c r="I400" s="82">
        <v>473</v>
      </c>
      <c r="J400" s="82">
        <v>980</v>
      </c>
      <c r="K400" s="82">
        <v>1453</v>
      </c>
      <c r="L400" s="82">
        <v>156</v>
      </c>
      <c r="M400" s="82">
        <v>211</v>
      </c>
      <c r="N400" s="82">
        <v>100</v>
      </c>
      <c r="O400" s="82">
        <v>42</v>
      </c>
      <c r="P400" s="82">
        <v>1595</v>
      </c>
      <c r="Q400" s="82">
        <v>25691</v>
      </c>
      <c r="R400" s="12" t="s">
        <v>25</v>
      </c>
      <c r="S400" s="12" t="s">
        <v>25</v>
      </c>
      <c r="T400" s="12" t="s">
        <v>25</v>
      </c>
    </row>
    <row r="401" spans="1:20" x14ac:dyDescent="0.3">
      <c r="A401" s="13">
        <v>43904.708333333336</v>
      </c>
      <c r="B401" s="12" t="s">
        <v>22</v>
      </c>
      <c r="C401" s="82">
        <v>13</v>
      </c>
      <c r="D401" s="12" t="s">
        <v>42</v>
      </c>
      <c r="E401" s="82">
        <v>4235122196</v>
      </c>
      <c r="F401" s="82">
        <v>1339843823</v>
      </c>
      <c r="G401" s="82">
        <v>51</v>
      </c>
      <c r="H401" s="82">
        <v>14</v>
      </c>
      <c r="I401" s="82">
        <v>65</v>
      </c>
      <c r="J401" s="82">
        <v>41</v>
      </c>
      <c r="K401" s="82">
        <v>106</v>
      </c>
      <c r="L401" s="82">
        <v>23</v>
      </c>
      <c r="M401" s="82">
        <v>23</v>
      </c>
      <c r="N401" s="82">
        <v>4</v>
      </c>
      <c r="O401" s="82">
        <v>2</v>
      </c>
      <c r="P401" s="82">
        <v>112</v>
      </c>
      <c r="Q401" s="82">
        <v>1232</v>
      </c>
      <c r="R401" s="12" t="s">
        <v>25</v>
      </c>
      <c r="S401" s="12" t="s">
        <v>25</v>
      </c>
      <c r="T401" s="12" t="s">
        <v>25</v>
      </c>
    </row>
    <row r="402" spans="1:20" x14ac:dyDescent="0.3">
      <c r="A402" s="13">
        <v>43904.708333333336</v>
      </c>
      <c r="B402" s="12" t="s">
        <v>22</v>
      </c>
      <c r="C402" s="82">
        <v>17</v>
      </c>
      <c r="D402" s="12" t="s">
        <v>43</v>
      </c>
      <c r="E402" s="82">
        <v>4063947052</v>
      </c>
      <c r="F402" s="82">
        <v>1580514834</v>
      </c>
      <c r="G402" s="82">
        <v>0</v>
      </c>
      <c r="H402" s="82">
        <v>2</v>
      </c>
      <c r="I402" s="82">
        <v>2</v>
      </c>
      <c r="J402" s="82">
        <v>8</v>
      </c>
      <c r="K402" s="82">
        <v>10</v>
      </c>
      <c r="L402" s="82">
        <v>0</v>
      </c>
      <c r="M402" s="82">
        <v>0</v>
      </c>
      <c r="N402" s="82">
        <v>0</v>
      </c>
      <c r="O402" s="82">
        <v>0</v>
      </c>
      <c r="P402" s="82">
        <v>10</v>
      </c>
      <c r="Q402" s="82">
        <v>155</v>
      </c>
      <c r="R402" s="12" t="s">
        <v>25</v>
      </c>
      <c r="S402" s="12" t="s">
        <v>25</v>
      </c>
      <c r="T402" s="12" t="s">
        <v>25</v>
      </c>
    </row>
    <row r="403" spans="1:20" x14ac:dyDescent="0.3">
      <c r="A403" s="13">
        <v>43904.708333333336</v>
      </c>
      <c r="B403" s="12" t="s">
        <v>22</v>
      </c>
      <c r="C403" s="82">
        <v>4</v>
      </c>
      <c r="D403" s="12" t="s">
        <v>44</v>
      </c>
      <c r="E403" s="82">
        <v>4649933453</v>
      </c>
      <c r="F403" s="82">
        <v>1135662422</v>
      </c>
      <c r="G403" s="82">
        <v>26</v>
      </c>
      <c r="H403" s="82">
        <v>7</v>
      </c>
      <c r="I403" s="82">
        <v>33</v>
      </c>
      <c r="J403" s="82">
        <v>137</v>
      </c>
      <c r="K403" s="82">
        <v>170</v>
      </c>
      <c r="L403" s="82">
        <v>47</v>
      </c>
      <c r="M403" s="82">
        <v>48</v>
      </c>
      <c r="N403" s="82">
        <v>0</v>
      </c>
      <c r="O403" s="82">
        <v>3</v>
      </c>
      <c r="P403" s="82">
        <v>173</v>
      </c>
      <c r="Q403" s="82">
        <v>1135</v>
      </c>
      <c r="R403" s="12" t="s">
        <v>25</v>
      </c>
      <c r="S403" s="12" t="s">
        <v>25</v>
      </c>
      <c r="T403" s="12" t="s">
        <v>25</v>
      </c>
    </row>
    <row r="404" spans="1:20" x14ac:dyDescent="0.3">
      <c r="A404" s="13">
        <v>43904.708333333336</v>
      </c>
      <c r="B404" s="12" t="s">
        <v>22</v>
      </c>
      <c r="C404" s="82">
        <v>18</v>
      </c>
      <c r="D404" s="12" t="s">
        <v>45</v>
      </c>
      <c r="E404" s="82">
        <v>3890597598</v>
      </c>
      <c r="F404" s="82">
        <v>1659440194</v>
      </c>
      <c r="G404" s="82">
        <v>22</v>
      </c>
      <c r="H404" s="82">
        <v>4</v>
      </c>
      <c r="I404" s="82">
        <v>26</v>
      </c>
      <c r="J404" s="82">
        <v>33</v>
      </c>
      <c r="K404" s="82">
        <v>59</v>
      </c>
      <c r="L404" s="82">
        <v>22</v>
      </c>
      <c r="M404" s="82">
        <v>22</v>
      </c>
      <c r="N404" s="82">
        <v>1</v>
      </c>
      <c r="O404" s="82">
        <v>0</v>
      </c>
      <c r="P404" s="82">
        <v>60</v>
      </c>
      <c r="Q404" s="82">
        <v>711</v>
      </c>
      <c r="R404" s="12" t="s">
        <v>25</v>
      </c>
      <c r="S404" s="12" t="s">
        <v>25</v>
      </c>
      <c r="T404" s="12" t="s">
        <v>25</v>
      </c>
    </row>
    <row r="405" spans="1:20" x14ac:dyDescent="0.3">
      <c r="A405" s="13">
        <v>43904.708333333336</v>
      </c>
      <c r="B405" s="12" t="s">
        <v>22</v>
      </c>
      <c r="C405" s="82">
        <v>15</v>
      </c>
      <c r="D405" s="12" t="s">
        <v>46</v>
      </c>
      <c r="E405" s="82">
        <v>4083956555</v>
      </c>
      <c r="F405" s="82">
        <v>1425084984</v>
      </c>
      <c r="G405" s="82">
        <v>72</v>
      </c>
      <c r="H405" s="82">
        <v>17</v>
      </c>
      <c r="I405" s="82">
        <v>89</v>
      </c>
      <c r="J405" s="82">
        <v>154</v>
      </c>
      <c r="K405" s="82">
        <v>243</v>
      </c>
      <c r="L405" s="82">
        <v>30</v>
      </c>
      <c r="M405" s="82">
        <v>52</v>
      </c>
      <c r="N405" s="82">
        <v>23</v>
      </c>
      <c r="O405" s="82">
        <v>6</v>
      </c>
      <c r="P405" s="82">
        <v>272</v>
      </c>
      <c r="Q405" s="82">
        <v>1936</v>
      </c>
      <c r="R405" s="12" t="s">
        <v>25</v>
      </c>
      <c r="S405" s="12" t="s">
        <v>25</v>
      </c>
      <c r="T405" s="12" t="s">
        <v>25</v>
      </c>
    </row>
    <row r="406" spans="1:20" x14ac:dyDescent="0.3">
      <c r="A406" s="13">
        <v>43904.708333333336</v>
      </c>
      <c r="B406" s="12" t="s">
        <v>22</v>
      </c>
      <c r="C406" s="82">
        <v>8</v>
      </c>
      <c r="D406" s="12" t="s">
        <v>95</v>
      </c>
      <c r="E406" s="82">
        <v>4449436681</v>
      </c>
      <c r="F406" s="82">
        <v>113417208</v>
      </c>
      <c r="G406" s="82">
        <v>1076</v>
      </c>
      <c r="H406" s="82">
        <v>152</v>
      </c>
      <c r="I406" s="82">
        <v>1228</v>
      </c>
      <c r="J406" s="82">
        <v>1121</v>
      </c>
      <c r="K406" s="82">
        <v>2349</v>
      </c>
      <c r="L406" s="82">
        <v>338</v>
      </c>
      <c r="M406" s="82">
        <v>381</v>
      </c>
      <c r="N406" s="82">
        <v>54</v>
      </c>
      <c r="O406" s="82">
        <v>241</v>
      </c>
      <c r="P406" s="82">
        <v>2644</v>
      </c>
      <c r="Q406" s="82">
        <v>10043</v>
      </c>
      <c r="R406" s="12" t="s">
        <v>25</v>
      </c>
      <c r="S406" s="12" t="s">
        <v>25</v>
      </c>
      <c r="T406" s="12" t="s">
        <v>25</v>
      </c>
    </row>
    <row r="407" spans="1:20" x14ac:dyDescent="0.3">
      <c r="A407" s="13">
        <v>43904.708333333336</v>
      </c>
      <c r="B407" s="12" t="s">
        <v>22</v>
      </c>
      <c r="C407" s="82">
        <v>6</v>
      </c>
      <c r="D407" s="12" t="s">
        <v>47</v>
      </c>
      <c r="E407" s="82">
        <v>456494354</v>
      </c>
      <c r="F407" s="82">
        <v>1376813649</v>
      </c>
      <c r="G407" s="82">
        <v>67</v>
      </c>
      <c r="H407" s="82">
        <v>11</v>
      </c>
      <c r="I407" s="82">
        <v>78</v>
      </c>
      <c r="J407" s="82">
        <v>193</v>
      </c>
      <c r="K407" s="82">
        <v>271</v>
      </c>
      <c r="L407" s="82">
        <v>35</v>
      </c>
      <c r="M407" s="82">
        <v>44</v>
      </c>
      <c r="N407" s="82">
        <v>17</v>
      </c>
      <c r="O407" s="82">
        <v>13</v>
      </c>
      <c r="P407" s="82">
        <v>301</v>
      </c>
      <c r="Q407" s="82">
        <v>3376</v>
      </c>
      <c r="R407" s="12" t="s">
        <v>25</v>
      </c>
      <c r="S407" s="12" t="s">
        <v>25</v>
      </c>
      <c r="T407" s="12" t="s">
        <v>25</v>
      </c>
    </row>
    <row r="408" spans="1:20" x14ac:dyDescent="0.3">
      <c r="A408" s="13">
        <v>43904.708333333336</v>
      </c>
      <c r="B408" s="12" t="s">
        <v>22</v>
      </c>
      <c r="C408" s="82">
        <v>12</v>
      </c>
      <c r="D408" s="12" t="s">
        <v>48</v>
      </c>
      <c r="E408" s="82">
        <v>4189277044</v>
      </c>
      <c r="F408" s="82">
        <v>1248366722</v>
      </c>
      <c r="G408" s="82">
        <v>181</v>
      </c>
      <c r="H408" s="82">
        <v>25</v>
      </c>
      <c r="I408" s="82">
        <v>206</v>
      </c>
      <c r="J408" s="82">
        <v>114</v>
      </c>
      <c r="K408" s="82">
        <v>320</v>
      </c>
      <c r="L408" s="82">
        <v>78</v>
      </c>
      <c r="M408" s="82">
        <v>80</v>
      </c>
      <c r="N408" s="82">
        <v>24</v>
      </c>
      <c r="O408" s="82">
        <v>13</v>
      </c>
      <c r="P408" s="82">
        <v>357</v>
      </c>
      <c r="Q408" s="82">
        <v>7335</v>
      </c>
      <c r="R408" s="12" t="s">
        <v>25</v>
      </c>
      <c r="S408" s="12" t="s">
        <v>25</v>
      </c>
      <c r="T408" s="12" t="s">
        <v>25</v>
      </c>
    </row>
    <row r="409" spans="1:20" x14ac:dyDescent="0.3">
      <c r="A409" s="13">
        <v>43904.708333333336</v>
      </c>
      <c r="B409" s="12" t="s">
        <v>22</v>
      </c>
      <c r="C409" s="82">
        <v>7</v>
      </c>
      <c r="D409" s="12" t="s">
        <v>49</v>
      </c>
      <c r="E409" s="82">
        <v>4441149315</v>
      </c>
      <c r="F409" s="82">
        <v>89326992</v>
      </c>
      <c r="G409" s="82">
        <v>213</v>
      </c>
      <c r="H409" s="82">
        <v>62</v>
      </c>
      <c r="I409" s="82">
        <v>275</v>
      </c>
      <c r="J409" s="82">
        <v>109</v>
      </c>
      <c r="K409" s="82">
        <v>384</v>
      </c>
      <c r="L409" s="82">
        <v>80</v>
      </c>
      <c r="M409" s="82">
        <v>118</v>
      </c>
      <c r="N409" s="82">
        <v>52</v>
      </c>
      <c r="O409" s="82">
        <v>27</v>
      </c>
      <c r="P409" s="82">
        <v>463</v>
      </c>
      <c r="Q409" s="82">
        <v>1750</v>
      </c>
      <c r="R409" s="12" t="s">
        <v>25</v>
      </c>
      <c r="S409" s="12" t="s">
        <v>25</v>
      </c>
      <c r="T409" s="12" t="s">
        <v>25</v>
      </c>
    </row>
    <row r="410" spans="1:20" x14ac:dyDescent="0.3">
      <c r="A410" s="13">
        <v>43904.708333333336</v>
      </c>
      <c r="B410" s="12" t="s">
        <v>22</v>
      </c>
      <c r="C410" s="82">
        <v>3</v>
      </c>
      <c r="D410" s="12" t="s">
        <v>50</v>
      </c>
      <c r="E410" s="82">
        <v>4546679409</v>
      </c>
      <c r="F410" s="82">
        <v>9190347404</v>
      </c>
      <c r="G410" s="82">
        <v>4898</v>
      </c>
      <c r="H410" s="82">
        <v>732</v>
      </c>
      <c r="I410" s="82">
        <v>5630</v>
      </c>
      <c r="J410" s="82">
        <v>3429</v>
      </c>
      <c r="K410" s="82">
        <v>9059</v>
      </c>
      <c r="L410" s="82">
        <v>1327</v>
      </c>
      <c r="M410" s="82">
        <v>1865</v>
      </c>
      <c r="N410" s="82">
        <v>1660</v>
      </c>
      <c r="O410" s="82">
        <v>966</v>
      </c>
      <c r="P410" s="82">
        <v>11685</v>
      </c>
      <c r="Q410" s="82">
        <v>37138</v>
      </c>
      <c r="R410" s="12" t="s">
        <v>25</v>
      </c>
      <c r="S410" s="12" t="s">
        <v>25</v>
      </c>
      <c r="T410" s="12" t="s">
        <v>25</v>
      </c>
    </row>
    <row r="411" spans="1:20" x14ac:dyDescent="0.3">
      <c r="A411" s="13">
        <v>43904.708333333336</v>
      </c>
      <c r="B411" s="12" t="s">
        <v>22</v>
      </c>
      <c r="C411" s="82">
        <v>11</v>
      </c>
      <c r="D411" s="12" t="s">
        <v>51</v>
      </c>
      <c r="E411" s="82">
        <v>4361675973</v>
      </c>
      <c r="F411" s="82">
        <v>135188753</v>
      </c>
      <c r="G411" s="82">
        <v>449</v>
      </c>
      <c r="H411" s="82">
        <v>93</v>
      </c>
      <c r="I411" s="82">
        <v>542</v>
      </c>
      <c r="J411" s="82">
        <v>321</v>
      </c>
      <c r="K411" s="82">
        <v>863</v>
      </c>
      <c r="L411" s="82">
        <v>165</v>
      </c>
      <c r="M411" s="82">
        <v>174</v>
      </c>
      <c r="N411" s="82">
        <v>0</v>
      </c>
      <c r="O411" s="82">
        <v>36</v>
      </c>
      <c r="P411" s="82">
        <v>899</v>
      </c>
      <c r="Q411" s="82">
        <v>2561</v>
      </c>
      <c r="R411" s="12" t="s">
        <v>25</v>
      </c>
      <c r="S411" s="12" t="s">
        <v>25</v>
      </c>
      <c r="T411" s="12" t="s">
        <v>25</v>
      </c>
    </row>
    <row r="412" spans="1:20" x14ac:dyDescent="0.3">
      <c r="A412" s="13">
        <v>43904.708333333336</v>
      </c>
      <c r="B412" s="12" t="s">
        <v>22</v>
      </c>
      <c r="C412" s="82">
        <v>14</v>
      </c>
      <c r="D412" s="12" t="s">
        <v>52</v>
      </c>
      <c r="E412" s="82">
        <v>4155774754</v>
      </c>
      <c r="F412" s="82">
        <v>1465916051</v>
      </c>
      <c r="G412" s="82">
        <v>5</v>
      </c>
      <c r="H412" s="82">
        <v>3</v>
      </c>
      <c r="I412" s="82">
        <v>8</v>
      </c>
      <c r="J412" s="82">
        <v>9</v>
      </c>
      <c r="K412" s="82">
        <v>17</v>
      </c>
      <c r="L412" s="82">
        <v>0</v>
      </c>
      <c r="M412" s="82">
        <v>0</v>
      </c>
      <c r="N412" s="82">
        <v>0</v>
      </c>
      <c r="O412" s="82">
        <v>0</v>
      </c>
      <c r="P412" s="82">
        <v>17</v>
      </c>
      <c r="Q412" s="82">
        <v>247</v>
      </c>
      <c r="R412" s="12" t="s">
        <v>25</v>
      </c>
      <c r="S412" s="12" t="s">
        <v>25</v>
      </c>
      <c r="T412" s="12" t="s">
        <v>25</v>
      </c>
    </row>
    <row r="413" spans="1:20" x14ac:dyDescent="0.3">
      <c r="A413" s="13">
        <v>43904.708333333336</v>
      </c>
      <c r="B413" s="12" t="s">
        <v>22</v>
      </c>
      <c r="C413" s="82">
        <v>1</v>
      </c>
      <c r="D413" s="12" t="s">
        <v>53</v>
      </c>
      <c r="E413" s="82">
        <v>450732745</v>
      </c>
      <c r="F413" s="82">
        <v>7680687483</v>
      </c>
      <c r="G413" s="82">
        <v>538</v>
      </c>
      <c r="H413" s="82">
        <v>150</v>
      </c>
      <c r="I413" s="82">
        <v>688</v>
      </c>
      <c r="J413" s="82">
        <v>126</v>
      </c>
      <c r="K413" s="82">
        <v>814</v>
      </c>
      <c r="L413" s="82">
        <v>20</v>
      </c>
      <c r="M413" s="82">
        <v>33</v>
      </c>
      <c r="N413" s="82">
        <v>0</v>
      </c>
      <c r="O413" s="82">
        <v>59</v>
      </c>
      <c r="P413" s="82">
        <v>873</v>
      </c>
      <c r="Q413" s="82">
        <v>3680</v>
      </c>
      <c r="R413" s="12" t="s">
        <v>25</v>
      </c>
      <c r="S413" s="12" t="s">
        <v>25</v>
      </c>
      <c r="T413" s="12" t="s">
        <v>25</v>
      </c>
    </row>
    <row r="414" spans="1:20" x14ac:dyDescent="0.3">
      <c r="A414" s="13">
        <v>43904.708333333336</v>
      </c>
      <c r="B414" s="12" t="s">
        <v>22</v>
      </c>
      <c r="C414" s="82">
        <v>16</v>
      </c>
      <c r="D414" s="12" t="s">
        <v>54</v>
      </c>
      <c r="E414" s="82">
        <v>4112559576</v>
      </c>
      <c r="F414" s="82">
        <v>1686736689</v>
      </c>
      <c r="G414" s="82">
        <v>91</v>
      </c>
      <c r="H414" s="82">
        <v>6</v>
      </c>
      <c r="I414" s="82">
        <v>97</v>
      </c>
      <c r="J414" s="82">
        <v>59</v>
      </c>
      <c r="K414" s="82">
        <v>156</v>
      </c>
      <c r="L414" s="82">
        <v>35</v>
      </c>
      <c r="M414" s="82">
        <v>37</v>
      </c>
      <c r="N414" s="82">
        <v>2</v>
      </c>
      <c r="O414" s="82">
        <v>8</v>
      </c>
      <c r="P414" s="82">
        <v>166</v>
      </c>
      <c r="Q414" s="82">
        <v>1681</v>
      </c>
      <c r="R414" s="12" t="s">
        <v>25</v>
      </c>
      <c r="S414" s="12" t="s">
        <v>25</v>
      </c>
      <c r="T414" s="12" t="s">
        <v>25</v>
      </c>
    </row>
    <row r="415" spans="1:20" x14ac:dyDescent="0.3">
      <c r="A415" s="13">
        <v>43904.708333333336</v>
      </c>
      <c r="B415" s="12" t="s">
        <v>22</v>
      </c>
      <c r="C415" s="82">
        <v>20</v>
      </c>
      <c r="D415" s="12" t="s">
        <v>55</v>
      </c>
      <c r="E415" s="82">
        <v>3921531192</v>
      </c>
      <c r="F415" s="82">
        <v>9110616306</v>
      </c>
      <c r="G415" s="82">
        <v>14</v>
      </c>
      <c r="H415" s="82">
        <v>0</v>
      </c>
      <c r="I415" s="82">
        <v>14</v>
      </c>
      <c r="J415" s="82">
        <v>33</v>
      </c>
      <c r="K415" s="82">
        <v>47</v>
      </c>
      <c r="L415" s="82">
        <v>4</v>
      </c>
      <c r="M415" s="82">
        <v>4</v>
      </c>
      <c r="N415" s="82">
        <v>0</v>
      </c>
      <c r="O415" s="82">
        <v>0</v>
      </c>
      <c r="P415" s="82">
        <v>47</v>
      </c>
      <c r="Q415" s="82">
        <v>530</v>
      </c>
      <c r="R415" s="12" t="s">
        <v>25</v>
      </c>
      <c r="S415" s="12" t="s">
        <v>25</v>
      </c>
      <c r="T415" s="12" t="s">
        <v>25</v>
      </c>
    </row>
    <row r="416" spans="1:20" x14ac:dyDescent="0.3">
      <c r="A416" s="13">
        <v>43904.708333333336</v>
      </c>
      <c r="B416" s="12" t="s">
        <v>22</v>
      </c>
      <c r="C416" s="82">
        <v>19</v>
      </c>
      <c r="D416" s="12" t="s">
        <v>56</v>
      </c>
      <c r="E416" s="82">
        <v>3811569725</v>
      </c>
      <c r="F416" s="82">
        <v>133623567</v>
      </c>
      <c r="G416" s="82">
        <v>42</v>
      </c>
      <c r="H416" s="82">
        <v>11</v>
      </c>
      <c r="I416" s="82">
        <v>53</v>
      </c>
      <c r="J416" s="82">
        <v>97</v>
      </c>
      <c r="K416" s="82">
        <v>150</v>
      </c>
      <c r="L416" s="82">
        <v>24</v>
      </c>
      <c r="M416" s="82">
        <v>26</v>
      </c>
      <c r="N416" s="82">
        <v>4</v>
      </c>
      <c r="O416" s="82">
        <v>2</v>
      </c>
      <c r="P416" s="82">
        <v>156</v>
      </c>
      <c r="Q416" s="82">
        <v>2100</v>
      </c>
      <c r="R416" s="12" t="s">
        <v>25</v>
      </c>
      <c r="S416" s="12" t="s">
        <v>25</v>
      </c>
      <c r="T416" s="12" t="s">
        <v>25</v>
      </c>
    </row>
    <row r="417" spans="1:20" x14ac:dyDescent="0.3">
      <c r="A417" s="13">
        <v>43904.708333333336</v>
      </c>
      <c r="B417" s="12" t="s">
        <v>22</v>
      </c>
      <c r="C417" s="82">
        <v>9</v>
      </c>
      <c r="D417" s="12" t="s">
        <v>57</v>
      </c>
      <c r="E417" s="82">
        <v>4376923077</v>
      </c>
      <c r="F417" s="82">
        <v>1125588885</v>
      </c>
      <c r="G417" s="82">
        <v>160</v>
      </c>
      <c r="H417" s="82">
        <v>87</v>
      </c>
      <c r="I417" s="82">
        <v>247</v>
      </c>
      <c r="J417" s="82">
        <v>367</v>
      </c>
      <c r="K417" s="82">
        <v>614</v>
      </c>
      <c r="L417" s="82">
        <v>159</v>
      </c>
      <c r="M417" s="82">
        <v>160</v>
      </c>
      <c r="N417" s="82">
        <v>10</v>
      </c>
      <c r="O417" s="82">
        <v>6</v>
      </c>
      <c r="P417" s="82">
        <v>630</v>
      </c>
      <c r="Q417" s="82">
        <v>4595</v>
      </c>
      <c r="R417" s="12" t="s">
        <v>25</v>
      </c>
      <c r="S417" s="12" t="s">
        <v>25</v>
      </c>
      <c r="T417" s="12" t="s">
        <v>25</v>
      </c>
    </row>
    <row r="418" spans="1:20" x14ac:dyDescent="0.3">
      <c r="A418" s="13">
        <v>43904.708333333336</v>
      </c>
      <c r="B418" s="12" t="s">
        <v>22</v>
      </c>
      <c r="C418" s="82">
        <v>4</v>
      </c>
      <c r="D418" s="12" t="s">
        <v>58</v>
      </c>
      <c r="E418" s="82">
        <v>4606893511</v>
      </c>
      <c r="F418" s="82">
        <v>1112123097</v>
      </c>
      <c r="G418" s="82">
        <v>68</v>
      </c>
      <c r="H418" s="82">
        <v>12</v>
      </c>
      <c r="I418" s="82">
        <v>80</v>
      </c>
      <c r="J418" s="82">
        <v>119</v>
      </c>
      <c r="K418" s="82">
        <v>199</v>
      </c>
      <c r="L418" s="82">
        <v>42</v>
      </c>
      <c r="M418" s="82">
        <v>43</v>
      </c>
      <c r="N418" s="82">
        <v>5</v>
      </c>
      <c r="O418" s="82">
        <v>2</v>
      </c>
      <c r="P418" s="82">
        <v>206</v>
      </c>
      <c r="Q418" s="82">
        <v>1006</v>
      </c>
      <c r="R418" s="12" t="s">
        <v>25</v>
      </c>
      <c r="S418" s="12" t="s">
        <v>25</v>
      </c>
      <c r="T418" s="12" t="s">
        <v>25</v>
      </c>
    </row>
    <row r="419" spans="1:20" x14ac:dyDescent="0.3">
      <c r="A419" s="13">
        <v>43904.708333333336</v>
      </c>
      <c r="B419" s="12" t="s">
        <v>22</v>
      </c>
      <c r="C419" s="82">
        <v>10</v>
      </c>
      <c r="D419" s="12" t="s">
        <v>59</v>
      </c>
      <c r="E419" s="82">
        <v>4310675841</v>
      </c>
      <c r="F419" s="82">
        <v>1238824698</v>
      </c>
      <c r="G419" s="82">
        <v>21</v>
      </c>
      <c r="H419" s="82">
        <v>11</v>
      </c>
      <c r="I419" s="82">
        <v>32</v>
      </c>
      <c r="J419" s="82">
        <v>71</v>
      </c>
      <c r="K419" s="82">
        <v>103</v>
      </c>
      <c r="L419" s="82">
        <v>30</v>
      </c>
      <c r="M419" s="82">
        <v>31</v>
      </c>
      <c r="N419" s="82">
        <v>3</v>
      </c>
      <c r="O419" s="82">
        <v>1</v>
      </c>
      <c r="P419" s="82">
        <v>107</v>
      </c>
      <c r="Q419" s="82">
        <v>748</v>
      </c>
      <c r="R419" s="12" t="s">
        <v>25</v>
      </c>
      <c r="S419" s="12" t="s">
        <v>25</v>
      </c>
      <c r="T419" s="12" t="s">
        <v>25</v>
      </c>
    </row>
    <row r="420" spans="1:20" x14ac:dyDescent="0.3">
      <c r="A420" s="13">
        <v>43904.708333333336</v>
      </c>
      <c r="B420" s="12" t="s">
        <v>22</v>
      </c>
      <c r="C420" s="82">
        <v>2</v>
      </c>
      <c r="D420" s="12" t="s">
        <v>60</v>
      </c>
      <c r="E420" s="82">
        <v>4573750286</v>
      </c>
      <c r="F420" s="82">
        <v>7320149366</v>
      </c>
      <c r="G420" s="82">
        <v>12</v>
      </c>
      <c r="H420" s="82">
        <v>0</v>
      </c>
      <c r="I420" s="82">
        <v>12</v>
      </c>
      <c r="J420" s="82">
        <v>29</v>
      </c>
      <c r="K420" s="82">
        <v>41</v>
      </c>
      <c r="L420" s="82">
        <v>14</v>
      </c>
      <c r="M420" s="82">
        <v>14</v>
      </c>
      <c r="N420" s="82">
        <v>0</v>
      </c>
      <c r="O420" s="82">
        <v>1</v>
      </c>
      <c r="P420" s="82">
        <v>42</v>
      </c>
      <c r="Q420" s="82">
        <v>231</v>
      </c>
      <c r="R420" s="12" t="s">
        <v>25</v>
      </c>
      <c r="S420" s="12" t="s">
        <v>25</v>
      </c>
      <c r="T420" s="12" t="s">
        <v>25</v>
      </c>
    </row>
    <row r="421" spans="1:20" x14ac:dyDescent="0.3">
      <c r="A421" s="13">
        <v>43904.708333333336</v>
      </c>
      <c r="B421" s="12" t="s">
        <v>22</v>
      </c>
      <c r="C421" s="82">
        <v>5</v>
      </c>
      <c r="D421" s="12" t="s">
        <v>61</v>
      </c>
      <c r="E421" s="82">
        <v>4543490485</v>
      </c>
      <c r="F421" s="82">
        <v>1233845213</v>
      </c>
      <c r="G421" s="82">
        <v>366</v>
      </c>
      <c r="H421" s="82">
        <v>119</v>
      </c>
      <c r="I421" s="82">
        <v>485</v>
      </c>
      <c r="J421" s="82">
        <v>1290</v>
      </c>
      <c r="K421" s="82">
        <v>1775</v>
      </c>
      <c r="L421" s="82">
        <v>322</v>
      </c>
      <c r="M421" s="82">
        <v>342</v>
      </c>
      <c r="N421" s="82">
        <v>107</v>
      </c>
      <c r="O421" s="82">
        <v>55</v>
      </c>
      <c r="P421" s="82">
        <v>1937</v>
      </c>
      <c r="Q421" s="82">
        <v>26980</v>
      </c>
      <c r="R421" s="12" t="s">
        <v>25</v>
      </c>
      <c r="S421" s="12" t="s">
        <v>25</v>
      </c>
      <c r="T421" s="12" t="s">
        <v>25</v>
      </c>
    </row>
    <row r="422" spans="1:20" x14ac:dyDescent="0.3">
      <c r="A422" s="13">
        <v>43905.708333333336</v>
      </c>
      <c r="B422" s="12" t="s">
        <v>22</v>
      </c>
      <c r="C422" s="82">
        <v>13</v>
      </c>
      <c r="D422" s="12" t="s">
        <v>42</v>
      </c>
      <c r="E422" s="82">
        <v>4235122196</v>
      </c>
      <c r="F422" s="82">
        <v>1339843823</v>
      </c>
      <c r="G422" s="82">
        <v>72</v>
      </c>
      <c r="H422" s="82">
        <v>28</v>
      </c>
      <c r="I422" s="82">
        <v>100</v>
      </c>
      <c r="J422" s="82">
        <v>28</v>
      </c>
      <c r="K422" s="82">
        <v>128</v>
      </c>
      <c r="L422" s="82">
        <v>22</v>
      </c>
      <c r="M422" s="82">
        <v>25</v>
      </c>
      <c r="N422" s="82">
        <v>6</v>
      </c>
      <c r="O422" s="82">
        <v>3</v>
      </c>
      <c r="P422" s="82">
        <v>137</v>
      </c>
      <c r="Q422" s="82">
        <v>1419</v>
      </c>
      <c r="R422" s="12" t="s">
        <v>25</v>
      </c>
      <c r="S422" s="12" t="s">
        <v>25</v>
      </c>
      <c r="T422" s="12" t="s">
        <v>25</v>
      </c>
    </row>
    <row r="423" spans="1:20" x14ac:dyDescent="0.3">
      <c r="A423" s="13">
        <v>43905.708333333336</v>
      </c>
      <c r="B423" s="12" t="s">
        <v>22</v>
      </c>
      <c r="C423" s="82">
        <v>17</v>
      </c>
      <c r="D423" s="12" t="s">
        <v>43</v>
      </c>
      <c r="E423" s="82">
        <v>4063947052</v>
      </c>
      <c r="F423" s="82">
        <v>1580514834</v>
      </c>
      <c r="G423" s="82">
        <v>0</v>
      </c>
      <c r="H423" s="82">
        <v>2</v>
      </c>
      <c r="I423" s="82">
        <v>2</v>
      </c>
      <c r="J423" s="82">
        <v>9</v>
      </c>
      <c r="K423" s="82">
        <v>11</v>
      </c>
      <c r="L423" s="82">
        <v>1</v>
      </c>
      <c r="M423" s="82">
        <v>1</v>
      </c>
      <c r="N423" s="82">
        <v>0</v>
      </c>
      <c r="O423" s="82">
        <v>0</v>
      </c>
      <c r="P423" s="82">
        <v>11</v>
      </c>
      <c r="Q423" s="82">
        <v>208</v>
      </c>
      <c r="R423" s="12" t="s">
        <v>25</v>
      </c>
      <c r="S423" s="12" t="s">
        <v>25</v>
      </c>
      <c r="T423" s="12" t="s">
        <v>25</v>
      </c>
    </row>
    <row r="424" spans="1:20" x14ac:dyDescent="0.3">
      <c r="A424" s="13">
        <v>43905.708333333336</v>
      </c>
      <c r="B424" s="12" t="s">
        <v>22</v>
      </c>
      <c r="C424" s="82">
        <v>4</v>
      </c>
      <c r="D424" s="12" t="s">
        <v>44</v>
      </c>
      <c r="E424" s="82">
        <v>4649933453</v>
      </c>
      <c r="F424" s="82">
        <v>1135662422</v>
      </c>
      <c r="G424" s="82">
        <v>50</v>
      </c>
      <c r="H424" s="82">
        <v>4</v>
      </c>
      <c r="I424" s="82">
        <v>54</v>
      </c>
      <c r="J424" s="82">
        <v>145</v>
      </c>
      <c r="K424" s="82">
        <v>199</v>
      </c>
      <c r="L424" s="82">
        <v>29</v>
      </c>
      <c r="M424" s="82">
        <v>31</v>
      </c>
      <c r="N424" s="82">
        <v>0</v>
      </c>
      <c r="O424" s="82">
        <v>5</v>
      </c>
      <c r="P424" s="82">
        <v>204</v>
      </c>
      <c r="Q424" s="82">
        <v>1497</v>
      </c>
      <c r="R424" s="12" t="s">
        <v>25</v>
      </c>
      <c r="S424" s="12" t="s">
        <v>25</v>
      </c>
      <c r="T424" s="12" t="s">
        <v>25</v>
      </c>
    </row>
    <row r="425" spans="1:20" x14ac:dyDescent="0.3">
      <c r="A425" s="13">
        <v>43905.708333333336</v>
      </c>
      <c r="B425" s="12" t="s">
        <v>22</v>
      </c>
      <c r="C425" s="82">
        <v>18</v>
      </c>
      <c r="D425" s="12" t="s">
        <v>45</v>
      </c>
      <c r="E425" s="82">
        <v>3890597598</v>
      </c>
      <c r="F425" s="82">
        <v>1659440194</v>
      </c>
      <c r="G425" s="82">
        <v>32</v>
      </c>
      <c r="H425" s="82">
        <v>6</v>
      </c>
      <c r="I425" s="82">
        <v>38</v>
      </c>
      <c r="J425" s="82">
        <v>28</v>
      </c>
      <c r="K425" s="82">
        <v>66</v>
      </c>
      <c r="L425" s="82">
        <v>7</v>
      </c>
      <c r="M425" s="82">
        <v>8</v>
      </c>
      <c r="N425" s="82">
        <v>1</v>
      </c>
      <c r="O425" s="82">
        <v>1</v>
      </c>
      <c r="P425" s="82">
        <v>68</v>
      </c>
      <c r="Q425" s="82">
        <v>884</v>
      </c>
      <c r="R425" s="12" t="s">
        <v>25</v>
      </c>
      <c r="S425" s="12" t="s">
        <v>25</v>
      </c>
      <c r="T425" s="12" t="s">
        <v>25</v>
      </c>
    </row>
    <row r="426" spans="1:20" x14ac:dyDescent="0.3">
      <c r="A426" s="13">
        <v>43905.708333333336</v>
      </c>
      <c r="B426" s="12" t="s">
        <v>22</v>
      </c>
      <c r="C426" s="82">
        <v>15</v>
      </c>
      <c r="D426" s="12" t="s">
        <v>46</v>
      </c>
      <c r="E426" s="82">
        <v>4083956555</v>
      </c>
      <c r="F426" s="82">
        <v>1425084984</v>
      </c>
      <c r="G426" s="82">
        <v>73</v>
      </c>
      <c r="H426" s="82">
        <v>22</v>
      </c>
      <c r="I426" s="82">
        <v>95</v>
      </c>
      <c r="J426" s="82">
        <v>201</v>
      </c>
      <c r="K426" s="82">
        <v>296</v>
      </c>
      <c r="L426" s="82">
        <v>53</v>
      </c>
      <c r="M426" s="82">
        <v>61</v>
      </c>
      <c r="N426" s="82">
        <v>28</v>
      </c>
      <c r="O426" s="82">
        <v>9</v>
      </c>
      <c r="P426" s="82">
        <v>333</v>
      </c>
      <c r="Q426" s="82">
        <v>2213</v>
      </c>
      <c r="R426" s="12" t="s">
        <v>25</v>
      </c>
      <c r="S426" s="12" t="s">
        <v>25</v>
      </c>
      <c r="T426" s="12" t="s">
        <v>25</v>
      </c>
    </row>
    <row r="427" spans="1:20" x14ac:dyDescent="0.3">
      <c r="A427" s="13">
        <v>43905.708333333336</v>
      </c>
      <c r="B427" s="12" t="s">
        <v>22</v>
      </c>
      <c r="C427" s="82">
        <v>8</v>
      </c>
      <c r="D427" s="12" t="s">
        <v>95</v>
      </c>
      <c r="E427" s="82">
        <v>4449436681</v>
      </c>
      <c r="F427" s="82">
        <v>113417208</v>
      </c>
      <c r="G427" s="82">
        <v>1215</v>
      </c>
      <c r="H427" s="82">
        <v>169</v>
      </c>
      <c r="I427" s="82">
        <v>1384</v>
      </c>
      <c r="J427" s="82">
        <v>1357</v>
      </c>
      <c r="K427" s="82">
        <v>2741</v>
      </c>
      <c r="L427" s="82">
        <v>392</v>
      </c>
      <c r="M427" s="82">
        <v>449</v>
      </c>
      <c r="N427" s="82">
        <v>68</v>
      </c>
      <c r="O427" s="82">
        <v>284</v>
      </c>
      <c r="P427" s="82">
        <v>3093</v>
      </c>
      <c r="Q427" s="82">
        <v>12054</v>
      </c>
      <c r="R427" s="12" t="s">
        <v>25</v>
      </c>
      <c r="S427" s="12" t="s">
        <v>25</v>
      </c>
      <c r="T427" s="12" t="s">
        <v>25</v>
      </c>
    </row>
    <row r="428" spans="1:20" x14ac:dyDescent="0.3">
      <c r="A428" s="13">
        <v>43905.708333333336</v>
      </c>
      <c r="B428" s="12" t="s">
        <v>22</v>
      </c>
      <c r="C428" s="82">
        <v>6</v>
      </c>
      <c r="D428" s="12" t="s">
        <v>47</v>
      </c>
      <c r="E428" s="82">
        <v>456494354</v>
      </c>
      <c r="F428" s="82">
        <v>1376813649</v>
      </c>
      <c r="G428" s="82">
        <v>98</v>
      </c>
      <c r="H428" s="82">
        <v>12</v>
      </c>
      <c r="I428" s="82">
        <v>110</v>
      </c>
      <c r="J428" s="82">
        <v>206</v>
      </c>
      <c r="K428" s="82">
        <v>316</v>
      </c>
      <c r="L428" s="82">
        <v>45</v>
      </c>
      <c r="M428" s="82">
        <v>46</v>
      </c>
      <c r="N428" s="82">
        <v>17</v>
      </c>
      <c r="O428" s="82">
        <v>14</v>
      </c>
      <c r="P428" s="82">
        <v>347</v>
      </c>
      <c r="Q428" s="82">
        <v>3407</v>
      </c>
      <c r="R428" s="12" t="s">
        <v>25</v>
      </c>
      <c r="S428" s="12" t="s">
        <v>25</v>
      </c>
      <c r="T428" s="12" t="s">
        <v>25</v>
      </c>
    </row>
    <row r="429" spans="1:20" x14ac:dyDescent="0.3">
      <c r="A429" s="13">
        <v>43905.708333333336</v>
      </c>
      <c r="B429" s="12" t="s">
        <v>22</v>
      </c>
      <c r="C429" s="82">
        <v>12</v>
      </c>
      <c r="D429" s="12" t="s">
        <v>48</v>
      </c>
      <c r="E429" s="82">
        <v>4189277044</v>
      </c>
      <c r="F429" s="82">
        <v>1248366722</v>
      </c>
      <c r="G429" s="82">
        <v>223</v>
      </c>
      <c r="H429" s="82">
        <v>31</v>
      </c>
      <c r="I429" s="82">
        <v>254</v>
      </c>
      <c r="J429" s="82">
        <v>142</v>
      </c>
      <c r="K429" s="82">
        <v>396</v>
      </c>
      <c r="L429" s="82">
        <v>76</v>
      </c>
      <c r="M429" s="82">
        <v>79</v>
      </c>
      <c r="N429" s="82">
        <v>24</v>
      </c>
      <c r="O429" s="82">
        <v>16</v>
      </c>
      <c r="P429" s="82">
        <v>436</v>
      </c>
      <c r="Q429" s="82">
        <v>8345</v>
      </c>
      <c r="R429" s="12" t="s">
        <v>25</v>
      </c>
      <c r="S429" s="12" t="s">
        <v>25</v>
      </c>
      <c r="T429" s="12" t="s">
        <v>25</v>
      </c>
    </row>
    <row r="430" spans="1:20" x14ac:dyDescent="0.3">
      <c r="A430" s="13">
        <v>43905.708333333336</v>
      </c>
      <c r="B430" s="12" t="s">
        <v>22</v>
      </c>
      <c r="C430" s="82">
        <v>7</v>
      </c>
      <c r="D430" s="12" t="s">
        <v>49</v>
      </c>
      <c r="E430" s="82">
        <v>4441149315</v>
      </c>
      <c r="F430" s="82">
        <v>89326992</v>
      </c>
      <c r="G430" s="82">
        <v>253</v>
      </c>
      <c r="H430" s="82">
        <v>66</v>
      </c>
      <c r="I430" s="82">
        <v>319</v>
      </c>
      <c r="J430" s="82">
        <v>174</v>
      </c>
      <c r="K430" s="82">
        <v>493</v>
      </c>
      <c r="L430" s="82">
        <v>109</v>
      </c>
      <c r="M430" s="82">
        <v>96</v>
      </c>
      <c r="N430" s="82">
        <v>33</v>
      </c>
      <c r="O430" s="82">
        <v>33</v>
      </c>
      <c r="P430" s="82">
        <v>559</v>
      </c>
      <c r="Q430" s="82">
        <v>1973</v>
      </c>
      <c r="R430" s="12" t="s">
        <v>25</v>
      </c>
      <c r="S430" s="12" t="s">
        <v>25</v>
      </c>
      <c r="T430" s="12" t="s">
        <v>25</v>
      </c>
    </row>
    <row r="431" spans="1:20" x14ac:dyDescent="0.3">
      <c r="A431" s="13">
        <v>43905.708333333336</v>
      </c>
      <c r="B431" s="12" t="s">
        <v>22</v>
      </c>
      <c r="C431" s="82">
        <v>3</v>
      </c>
      <c r="D431" s="12" t="s">
        <v>50</v>
      </c>
      <c r="E431" s="82">
        <v>4546679409</v>
      </c>
      <c r="F431" s="82">
        <v>9190347404</v>
      </c>
      <c r="G431" s="82">
        <v>5500</v>
      </c>
      <c r="H431" s="82">
        <v>767</v>
      </c>
      <c r="I431" s="82">
        <v>6267</v>
      </c>
      <c r="J431" s="82">
        <v>3776</v>
      </c>
      <c r="K431" s="82">
        <v>10043</v>
      </c>
      <c r="L431" s="82">
        <v>984</v>
      </c>
      <c r="M431" s="82">
        <v>1587</v>
      </c>
      <c r="N431" s="82">
        <v>2011</v>
      </c>
      <c r="O431" s="82">
        <v>1218</v>
      </c>
      <c r="P431" s="82">
        <v>13272</v>
      </c>
      <c r="Q431" s="82">
        <v>40369</v>
      </c>
      <c r="R431" s="12" t="s">
        <v>25</v>
      </c>
      <c r="S431" s="12" t="s">
        <v>25</v>
      </c>
      <c r="T431" s="12" t="s">
        <v>25</v>
      </c>
    </row>
    <row r="432" spans="1:20" x14ac:dyDescent="0.3">
      <c r="A432" s="13">
        <v>43905.708333333336</v>
      </c>
      <c r="B432" s="12" t="s">
        <v>22</v>
      </c>
      <c r="C432" s="82">
        <v>11</v>
      </c>
      <c r="D432" s="12" t="s">
        <v>51</v>
      </c>
      <c r="E432" s="82">
        <v>4361675973</v>
      </c>
      <c r="F432" s="82">
        <v>135188753</v>
      </c>
      <c r="G432" s="82">
        <v>521</v>
      </c>
      <c r="H432" s="82">
        <v>98</v>
      </c>
      <c r="I432" s="82">
        <v>619</v>
      </c>
      <c r="J432" s="82">
        <v>468</v>
      </c>
      <c r="K432" s="82">
        <v>1087</v>
      </c>
      <c r="L432" s="82">
        <v>224</v>
      </c>
      <c r="M432" s="82">
        <v>234</v>
      </c>
      <c r="N432" s="82">
        <v>0</v>
      </c>
      <c r="O432" s="82">
        <v>46</v>
      </c>
      <c r="P432" s="82">
        <v>1133</v>
      </c>
      <c r="Q432" s="82">
        <v>2946</v>
      </c>
      <c r="R432" s="12" t="s">
        <v>25</v>
      </c>
      <c r="S432" s="12" t="s">
        <v>25</v>
      </c>
      <c r="T432" s="12" t="s">
        <v>25</v>
      </c>
    </row>
    <row r="433" spans="1:20" x14ac:dyDescent="0.3">
      <c r="A433" s="13">
        <v>43905.708333333336</v>
      </c>
      <c r="B433" s="12" t="s">
        <v>22</v>
      </c>
      <c r="C433" s="82">
        <v>14</v>
      </c>
      <c r="D433" s="12" t="s">
        <v>52</v>
      </c>
      <c r="E433" s="82">
        <v>4155774754</v>
      </c>
      <c r="F433" s="82">
        <v>1465916051</v>
      </c>
      <c r="G433" s="82">
        <v>3</v>
      </c>
      <c r="H433" s="82">
        <v>4</v>
      </c>
      <c r="I433" s="82">
        <v>7</v>
      </c>
      <c r="J433" s="82">
        <v>10</v>
      </c>
      <c r="K433" s="82">
        <v>17</v>
      </c>
      <c r="L433" s="82">
        <v>0</v>
      </c>
      <c r="M433" s="82">
        <v>0</v>
      </c>
      <c r="N433" s="82">
        <v>0</v>
      </c>
      <c r="O433" s="82">
        <v>0</v>
      </c>
      <c r="P433" s="82">
        <v>17</v>
      </c>
      <c r="Q433" s="82">
        <v>248</v>
      </c>
      <c r="R433" s="12" t="s">
        <v>25</v>
      </c>
      <c r="S433" s="12" t="s">
        <v>25</v>
      </c>
      <c r="T433" s="12" t="s">
        <v>25</v>
      </c>
    </row>
    <row r="434" spans="1:20" x14ac:dyDescent="0.3">
      <c r="A434" s="13">
        <v>43905.708333333336</v>
      </c>
      <c r="B434" s="12" t="s">
        <v>22</v>
      </c>
      <c r="C434" s="82">
        <v>1</v>
      </c>
      <c r="D434" s="12" t="s">
        <v>53</v>
      </c>
      <c r="E434" s="82">
        <v>450732745</v>
      </c>
      <c r="F434" s="82">
        <v>7680687483</v>
      </c>
      <c r="G434" s="82">
        <v>726</v>
      </c>
      <c r="H434" s="82">
        <v>171</v>
      </c>
      <c r="I434" s="82">
        <v>897</v>
      </c>
      <c r="J434" s="82">
        <v>133</v>
      </c>
      <c r="K434" s="82">
        <v>1030</v>
      </c>
      <c r="L434" s="82">
        <v>216</v>
      </c>
      <c r="M434" s="82">
        <v>238</v>
      </c>
      <c r="N434" s="82">
        <v>0</v>
      </c>
      <c r="O434" s="82">
        <v>81</v>
      </c>
      <c r="P434" s="82">
        <v>1111</v>
      </c>
      <c r="Q434" s="82">
        <v>4375</v>
      </c>
      <c r="R434" s="12" t="s">
        <v>25</v>
      </c>
      <c r="S434" s="12" t="s">
        <v>25</v>
      </c>
      <c r="T434" s="12" t="s">
        <v>25</v>
      </c>
    </row>
    <row r="435" spans="1:20" x14ac:dyDescent="0.3">
      <c r="A435" s="13">
        <v>43905.708333333336</v>
      </c>
      <c r="B435" s="12" t="s">
        <v>22</v>
      </c>
      <c r="C435" s="82">
        <v>16</v>
      </c>
      <c r="D435" s="12" t="s">
        <v>54</v>
      </c>
      <c r="E435" s="82">
        <v>4112559576</v>
      </c>
      <c r="F435" s="82">
        <v>1686736689</v>
      </c>
      <c r="G435" s="82">
        <v>116</v>
      </c>
      <c r="H435" s="82">
        <v>6</v>
      </c>
      <c r="I435" s="82">
        <v>122</v>
      </c>
      <c r="J435" s="82">
        <v>90</v>
      </c>
      <c r="K435" s="82">
        <v>212</v>
      </c>
      <c r="L435" s="82">
        <v>56</v>
      </c>
      <c r="M435" s="82">
        <v>64</v>
      </c>
      <c r="N435" s="82">
        <v>2</v>
      </c>
      <c r="O435" s="82">
        <v>16</v>
      </c>
      <c r="P435" s="82">
        <v>230</v>
      </c>
      <c r="Q435" s="82">
        <v>2017</v>
      </c>
      <c r="R435" s="12" t="s">
        <v>25</v>
      </c>
      <c r="S435" s="12" t="s">
        <v>25</v>
      </c>
      <c r="T435" s="12" t="s">
        <v>25</v>
      </c>
    </row>
    <row r="436" spans="1:20" x14ac:dyDescent="0.3">
      <c r="A436" s="13">
        <v>43905.708333333336</v>
      </c>
      <c r="B436" s="12" t="s">
        <v>22</v>
      </c>
      <c r="C436" s="82">
        <v>20</v>
      </c>
      <c r="D436" s="12" t="s">
        <v>55</v>
      </c>
      <c r="E436" s="82">
        <v>3921531192</v>
      </c>
      <c r="F436" s="82">
        <v>9110616306</v>
      </c>
      <c r="G436" s="82">
        <v>16</v>
      </c>
      <c r="H436" s="82">
        <v>0</v>
      </c>
      <c r="I436" s="82">
        <v>16</v>
      </c>
      <c r="J436" s="82">
        <v>59</v>
      </c>
      <c r="K436" s="82">
        <v>75</v>
      </c>
      <c r="L436" s="82">
        <v>28</v>
      </c>
      <c r="M436" s="82">
        <v>30</v>
      </c>
      <c r="N436" s="82">
        <v>0</v>
      </c>
      <c r="O436" s="82">
        <v>2</v>
      </c>
      <c r="P436" s="82">
        <v>77</v>
      </c>
      <c r="Q436" s="82">
        <v>613</v>
      </c>
      <c r="R436" s="12" t="s">
        <v>25</v>
      </c>
      <c r="S436" s="12" t="s">
        <v>25</v>
      </c>
      <c r="T436" s="12" t="s">
        <v>25</v>
      </c>
    </row>
    <row r="437" spans="1:20" x14ac:dyDescent="0.3">
      <c r="A437" s="13">
        <v>43905.708333333336</v>
      </c>
      <c r="B437" s="12" t="s">
        <v>22</v>
      </c>
      <c r="C437" s="82">
        <v>19</v>
      </c>
      <c r="D437" s="12" t="s">
        <v>56</v>
      </c>
      <c r="E437" s="82">
        <v>3811569725</v>
      </c>
      <c r="F437" s="82">
        <v>133623567</v>
      </c>
      <c r="G437" s="82">
        <v>56</v>
      </c>
      <c r="H437" s="82">
        <v>15</v>
      </c>
      <c r="I437" s="82">
        <v>71</v>
      </c>
      <c r="J437" s="82">
        <v>108</v>
      </c>
      <c r="K437" s="82">
        <v>179</v>
      </c>
      <c r="L437" s="82">
        <v>29</v>
      </c>
      <c r="M437" s="82">
        <v>32</v>
      </c>
      <c r="N437" s="82">
        <v>7</v>
      </c>
      <c r="O437" s="82">
        <v>2</v>
      </c>
      <c r="P437" s="82">
        <v>188</v>
      </c>
      <c r="Q437" s="82">
        <v>2452</v>
      </c>
      <c r="R437" s="12" t="s">
        <v>25</v>
      </c>
      <c r="S437" s="12" t="s">
        <v>25</v>
      </c>
      <c r="T437" s="12" t="s">
        <v>25</v>
      </c>
    </row>
    <row r="438" spans="1:20" x14ac:dyDescent="0.3">
      <c r="A438" s="13">
        <v>43905.708333333336</v>
      </c>
      <c r="B438" s="12" t="s">
        <v>22</v>
      </c>
      <c r="C438" s="82">
        <v>9</v>
      </c>
      <c r="D438" s="12" t="s">
        <v>57</v>
      </c>
      <c r="E438" s="82">
        <v>4376923077</v>
      </c>
      <c r="F438" s="82">
        <v>1125588885</v>
      </c>
      <c r="G438" s="82">
        <v>175</v>
      </c>
      <c r="H438" s="82">
        <v>107</v>
      </c>
      <c r="I438" s="82">
        <v>282</v>
      </c>
      <c r="J438" s="82">
        <v>481</v>
      </c>
      <c r="K438" s="82">
        <v>763</v>
      </c>
      <c r="L438" s="82">
        <v>149</v>
      </c>
      <c r="M438" s="82">
        <v>151</v>
      </c>
      <c r="N438" s="82">
        <v>10</v>
      </c>
      <c r="O438" s="82">
        <v>8</v>
      </c>
      <c r="P438" s="82">
        <v>781</v>
      </c>
      <c r="Q438" s="82">
        <v>5132</v>
      </c>
      <c r="R438" s="12" t="s">
        <v>25</v>
      </c>
      <c r="S438" s="12" t="s">
        <v>25</v>
      </c>
      <c r="T438" s="12" t="s">
        <v>25</v>
      </c>
    </row>
    <row r="439" spans="1:20" x14ac:dyDescent="0.3">
      <c r="A439" s="13">
        <v>43905.708333333336</v>
      </c>
      <c r="B439" s="12" t="s">
        <v>22</v>
      </c>
      <c r="C439" s="82">
        <v>4</v>
      </c>
      <c r="D439" s="12" t="s">
        <v>58</v>
      </c>
      <c r="E439" s="82">
        <v>4606893511</v>
      </c>
      <c r="F439" s="82">
        <v>1112123097</v>
      </c>
      <c r="G439" s="82">
        <v>73</v>
      </c>
      <c r="H439" s="82">
        <v>19</v>
      </c>
      <c r="I439" s="82">
        <v>92</v>
      </c>
      <c r="J439" s="82">
        <v>275</v>
      </c>
      <c r="K439" s="82">
        <v>367</v>
      </c>
      <c r="L439" s="82">
        <v>168</v>
      </c>
      <c r="M439" s="82">
        <v>172</v>
      </c>
      <c r="N439" s="82">
        <v>5</v>
      </c>
      <c r="O439" s="82">
        <v>6</v>
      </c>
      <c r="P439" s="82">
        <v>378</v>
      </c>
      <c r="Q439" s="82">
        <v>1006</v>
      </c>
      <c r="R439" s="12" t="s">
        <v>25</v>
      </c>
      <c r="S439" s="12" t="s">
        <v>25</v>
      </c>
      <c r="T439" s="12" t="s">
        <v>25</v>
      </c>
    </row>
    <row r="440" spans="1:20" x14ac:dyDescent="0.3">
      <c r="A440" s="13">
        <v>43905.708333333336</v>
      </c>
      <c r="B440" s="12" t="s">
        <v>22</v>
      </c>
      <c r="C440" s="82">
        <v>10</v>
      </c>
      <c r="D440" s="12" t="s">
        <v>59</v>
      </c>
      <c r="E440" s="82">
        <v>4310675841</v>
      </c>
      <c r="F440" s="82">
        <v>1238824698</v>
      </c>
      <c r="G440" s="82">
        <v>25</v>
      </c>
      <c r="H440" s="82">
        <v>13</v>
      </c>
      <c r="I440" s="82">
        <v>38</v>
      </c>
      <c r="J440" s="82">
        <v>101</v>
      </c>
      <c r="K440" s="82">
        <v>139</v>
      </c>
      <c r="L440" s="82">
        <v>36</v>
      </c>
      <c r="M440" s="82">
        <v>36</v>
      </c>
      <c r="N440" s="82">
        <v>3</v>
      </c>
      <c r="O440" s="82">
        <v>1</v>
      </c>
      <c r="P440" s="82">
        <v>143</v>
      </c>
      <c r="Q440" s="82">
        <v>965</v>
      </c>
      <c r="R440" s="12" t="s">
        <v>25</v>
      </c>
      <c r="S440" s="12" t="s">
        <v>25</v>
      </c>
      <c r="T440" s="12" t="s">
        <v>25</v>
      </c>
    </row>
    <row r="441" spans="1:20" x14ac:dyDescent="0.3">
      <c r="A441" s="13">
        <v>43905.708333333336</v>
      </c>
      <c r="B441" s="12" t="s">
        <v>22</v>
      </c>
      <c r="C441" s="82">
        <v>2</v>
      </c>
      <c r="D441" s="12" t="s">
        <v>60</v>
      </c>
      <c r="E441" s="82">
        <v>4573750286</v>
      </c>
      <c r="F441" s="82">
        <v>7320149366</v>
      </c>
      <c r="G441" s="82">
        <v>10</v>
      </c>
      <c r="H441" s="82">
        <v>3</v>
      </c>
      <c r="I441" s="82">
        <v>13</v>
      </c>
      <c r="J441" s="82">
        <v>43</v>
      </c>
      <c r="K441" s="82">
        <v>56</v>
      </c>
      <c r="L441" s="82">
        <v>15</v>
      </c>
      <c r="M441" s="82">
        <v>15</v>
      </c>
      <c r="N441" s="82">
        <v>0</v>
      </c>
      <c r="O441" s="82">
        <v>1</v>
      </c>
      <c r="P441" s="82">
        <v>57</v>
      </c>
      <c r="Q441" s="82">
        <v>230</v>
      </c>
      <c r="R441" s="12" t="s">
        <v>25</v>
      </c>
      <c r="S441" s="12" t="s">
        <v>25</v>
      </c>
      <c r="T441" s="12" t="s">
        <v>25</v>
      </c>
    </row>
    <row r="442" spans="1:20" x14ac:dyDescent="0.3">
      <c r="A442" s="13">
        <v>43905.708333333336</v>
      </c>
      <c r="B442" s="12" t="s">
        <v>22</v>
      </c>
      <c r="C442" s="82">
        <v>5</v>
      </c>
      <c r="D442" s="12" t="s">
        <v>61</v>
      </c>
      <c r="E442" s="82">
        <v>4543490485</v>
      </c>
      <c r="F442" s="82">
        <v>1233845213</v>
      </c>
      <c r="G442" s="82">
        <v>426</v>
      </c>
      <c r="H442" s="82">
        <v>129</v>
      </c>
      <c r="I442" s="82">
        <v>555</v>
      </c>
      <c r="J442" s="82">
        <v>1434</v>
      </c>
      <c r="K442" s="82">
        <v>1989</v>
      </c>
      <c r="L442" s="82">
        <v>214</v>
      </c>
      <c r="M442" s="82">
        <v>235</v>
      </c>
      <c r="N442" s="82">
        <v>120</v>
      </c>
      <c r="O442" s="82">
        <v>63</v>
      </c>
      <c r="P442" s="82">
        <v>2172</v>
      </c>
      <c r="Q442" s="82">
        <v>32546</v>
      </c>
      <c r="R442" s="12" t="s">
        <v>25</v>
      </c>
      <c r="S442" s="12" t="s">
        <v>25</v>
      </c>
      <c r="T442" s="12" t="s">
        <v>25</v>
      </c>
    </row>
    <row r="443" spans="1:20" x14ac:dyDescent="0.3">
      <c r="A443" s="13">
        <v>43906.708333333336</v>
      </c>
      <c r="B443" s="12" t="s">
        <v>22</v>
      </c>
      <c r="C443" s="82">
        <v>13</v>
      </c>
      <c r="D443" s="12" t="s">
        <v>42</v>
      </c>
      <c r="E443" s="82">
        <v>4235122196</v>
      </c>
      <c r="F443" s="82">
        <v>1339843823</v>
      </c>
      <c r="G443" s="82">
        <v>71</v>
      </c>
      <c r="H443" s="82">
        <v>37</v>
      </c>
      <c r="I443" s="82">
        <v>108</v>
      </c>
      <c r="J443" s="82">
        <v>57</v>
      </c>
      <c r="K443" s="82">
        <v>165</v>
      </c>
      <c r="L443" s="82">
        <v>37</v>
      </c>
      <c r="M443" s="82">
        <v>39</v>
      </c>
      <c r="N443" s="82">
        <v>7</v>
      </c>
      <c r="O443" s="82">
        <v>4</v>
      </c>
      <c r="P443" s="82">
        <v>176</v>
      </c>
      <c r="Q443" s="82">
        <v>1533</v>
      </c>
      <c r="R443" s="12" t="s">
        <v>25</v>
      </c>
      <c r="S443" s="12" t="s">
        <v>25</v>
      </c>
      <c r="T443" s="12" t="s">
        <v>25</v>
      </c>
    </row>
    <row r="444" spans="1:20" x14ac:dyDescent="0.3">
      <c r="A444" s="13">
        <v>43906.708333333336</v>
      </c>
      <c r="B444" s="12" t="s">
        <v>22</v>
      </c>
      <c r="C444" s="82">
        <v>17</v>
      </c>
      <c r="D444" s="12" t="s">
        <v>43</v>
      </c>
      <c r="E444" s="82">
        <v>4063947052</v>
      </c>
      <c r="F444" s="82">
        <v>1580514834</v>
      </c>
      <c r="G444" s="82">
        <v>1</v>
      </c>
      <c r="H444" s="82">
        <v>2</v>
      </c>
      <c r="I444" s="82">
        <v>3</v>
      </c>
      <c r="J444" s="82">
        <v>9</v>
      </c>
      <c r="K444" s="82">
        <v>12</v>
      </c>
      <c r="L444" s="82">
        <v>1</v>
      </c>
      <c r="M444" s="82">
        <v>1</v>
      </c>
      <c r="N444" s="82">
        <v>0</v>
      </c>
      <c r="O444" s="82">
        <v>0</v>
      </c>
      <c r="P444" s="82">
        <v>12</v>
      </c>
      <c r="Q444" s="82">
        <v>230</v>
      </c>
      <c r="R444" s="12" t="s">
        <v>25</v>
      </c>
      <c r="S444" s="12" t="s">
        <v>25</v>
      </c>
      <c r="T444" s="12" t="s">
        <v>25</v>
      </c>
    </row>
    <row r="445" spans="1:20" x14ac:dyDescent="0.3">
      <c r="A445" s="13">
        <v>43906.708333333336</v>
      </c>
      <c r="B445" s="12" t="s">
        <v>22</v>
      </c>
      <c r="C445" s="82">
        <v>4</v>
      </c>
      <c r="D445" s="12" t="s">
        <v>44</v>
      </c>
      <c r="E445" s="82">
        <v>4649933453</v>
      </c>
      <c r="F445" s="82">
        <v>1135662422</v>
      </c>
      <c r="G445" s="82">
        <v>53</v>
      </c>
      <c r="H445" s="82">
        <v>11</v>
      </c>
      <c r="I445" s="82">
        <v>64</v>
      </c>
      <c r="J445" s="82">
        <v>171</v>
      </c>
      <c r="K445" s="82">
        <v>235</v>
      </c>
      <c r="L445" s="82">
        <v>36</v>
      </c>
      <c r="M445" s="82">
        <v>37</v>
      </c>
      <c r="N445" s="82">
        <v>0</v>
      </c>
      <c r="O445" s="82">
        <v>6</v>
      </c>
      <c r="P445" s="82">
        <v>241</v>
      </c>
      <c r="Q445" s="82">
        <v>1740</v>
      </c>
      <c r="R445" s="12" t="s">
        <v>25</v>
      </c>
      <c r="S445" s="12" t="s">
        <v>25</v>
      </c>
      <c r="T445" s="12" t="s">
        <v>25</v>
      </c>
    </row>
    <row r="446" spans="1:20" x14ac:dyDescent="0.3">
      <c r="A446" s="13">
        <v>43906.708333333336</v>
      </c>
      <c r="B446" s="12" t="s">
        <v>22</v>
      </c>
      <c r="C446" s="82">
        <v>18</v>
      </c>
      <c r="D446" s="12" t="s">
        <v>45</v>
      </c>
      <c r="E446" s="82">
        <v>3890597598</v>
      </c>
      <c r="F446" s="82">
        <v>1659440194</v>
      </c>
      <c r="G446" s="82">
        <v>36</v>
      </c>
      <c r="H446" s="82">
        <v>7</v>
      </c>
      <c r="I446" s="82">
        <v>43</v>
      </c>
      <c r="J446" s="82">
        <v>44</v>
      </c>
      <c r="K446" s="82">
        <v>87</v>
      </c>
      <c r="L446" s="82">
        <v>21</v>
      </c>
      <c r="M446" s="82">
        <v>21</v>
      </c>
      <c r="N446" s="82">
        <v>1</v>
      </c>
      <c r="O446" s="82">
        <v>1</v>
      </c>
      <c r="P446" s="82">
        <v>89</v>
      </c>
      <c r="Q446" s="82">
        <v>1030</v>
      </c>
      <c r="R446" s="12" t="s">
        <v>25</v>
      </c>
      <c r="S446" s="12" t="s">
        <v>25</v>
      </c>
      <c r="T446" s="12" t="s">
        <v>25</v>
      </c>
    </row>
    <row r="447" spans="1:20" x14ac:dyDescent="0.3">
      <c r="A447" s="13">
        <v>43906.708333333336</v>
      </c>
      <c r="B447" s="12" t="s">
        <v>22</v>
      </c>
      <c r="C447" s="82">
        <v>15</v>
      </c>
      <c r="D447" s="12" t="s">
        <v>46</v>
      </c>
      <c r="E447" s="82">
        <v>4083956555</v>
      </c>
      <c r="F447" s="82">
        <v>1425084984</v>
      </c>
      <c r="G447" s="82">
        <v>103</v>
      </c>
      <c r="H447" s="82">
        <v>22</v>
      </c>
      <c r="I447" s="82">
        <v>125</v>
      </c>
      <c r="J447" s="82">
        <v>238</v>
      </c>
      <c r="K447" s="82">
        <v>363</v>
      </c>
      <c r="L447" s="82">
        <v>67</v>
      </c>
      <c r="M447" s="82">
        <v>67</v>
      </c>
      <c r="N447" s="82">
        <v>28</v>
      </c>
      <c r="O447" s="82">
        <v>9</v>
      </c>
      <c r="P447" s="82">
        <v>400</v>
      </c>
      <c r="Q447" s="82">
        <v>2517</v>
      </c>
      <c r="R447" s="12" t="s">
        <v>25</v>
      </c>
      <c r="S447" s="12" t="s">
        <v>25</v>
      </c>
      <c r="T447" s="12" t="s">
        <v>25</v>
      </c>
    </row>
    <row r="448" spans="1:20" x14ac:dyDescent="0.3">
      <c r="A448" s="13">
        <v>43906.708333333336</v>
      </c>
      <c r="B448" s="12" t="s">
        <v>22</v>
      </c>
      <c r="C448" s="82">
        <v>8</v>
      </c>
      <c r="D448" s="12" t="s">
        <v>95</v>
      </c>
      <c r="E448" s="82">
        <v>4449436681</v>
      </c>
      <c r="F448" s="82">
        <v>113417208</v>
      </c>
      <c r="G448" s="82">
        <v>1362</v>
      </c>
      <c r="H448" s="82">
        <v>197</v>
      </c>
      <c r="I448" s="82">
        <v>1559</v>
      </c>
      <c r="J448" s="82">
        <v>1529</v>
      </c>
      <c r="K448" s="82">
        <v>3088</v>
      </c>
      <c r="L448" s="82">
        <v>347</v>
      </c>
      <c r="M448" s="82">
        <v>429</v>
      </c>
      <c r="N448" s="82">
        <v>88</v>
      </c>
      <c r="O448" s="82">
        <v>346</v>
      </c>
      <c r="P448" s="82">
        <v>3522</v>
      </c>
      <c r="Q448" s="82">
        <v>13096</v>
      </c>
      <c r="R448" s="12" t="s">
        <v>25</v>
      </c>
      <c r="S448" s="12" t="s">
        <v>25</v>
      </c>
      <c r="T448" s="12" t="s">
        <v>25</v>
      </c>
    </row>
    <row r="449" spans="1:20" x14ac:dyDescent="0.3">
      <c r="A449" s="13">
        <v>43906.708333333336</v>
      </c>
      <c r="B449" s="12" t="s">
        <v>22</v>
      </c>
      <c r="C449" s="82">
        <v>6</v>
      </c>
      <c r="D449" s="12" t="s">
        <v>47</v>
      </c>
      <c r="E449" s="82">
        <v>456494354</v>
      </c>
      <c r="F449" s="82">
        <v>1376813649</v>
      </c>
      <c r="G449" s="82">
        <v>96</v>
      </c>
      <c r="H449" s="82">
        <v>19</v>
      </c>
      <c r="I449" s="82">
        <v>115</v>
      </c>
      <c r="J449" s="82">
        <v>231</v>
      </c>
      <c r="K449" s="82">
        <v>346</v>
      </c>
      <c r="L449" s="82">
        <v>30</v>
      </c>
      <c r="M449" s="82">
        <v>39</v>
      </c>
      <c r="N449" s="82">
        <v>18</v>
      </c>
      <c r="O449" s="82">
        <v>22</v>
      </c>
      <c r="P449" s="82">
        <v>386</v>
      </c>
      <c r="Q449" s="82">
        <v>4851</v>
      </c>
      <c r="R449" s="12" t="s">
        <v>25</v>
      </c>
      <c r="S449" s="12" t="s">
        <v>25</v>
      </c>
      <c r="T449" s="12" t="s">
        <v>25</v>
      </c>
    </row>
    <row r="450" spans="1:20" x14ac:dyDescent="0.3">
      <c r="A450" s="13">
        <v>43906.708333333336</v>
      </c>
      <c r="B450" s="12" t="s">
        <v>22</v>
      </c>
      <c r="C450" s="82">
        <v>12</v>
      </c>
      <c r="D450" s="12" t="s">
        <v>48</v>
      </c>
      <c r="E450" s="82">
        <v>4189277044</v>
      </c>
      <c r="F450" s="82">
        <v>1248366722</v>
      </c>
      <c r="G450" s="82">
        <v>267</v>
      </c>
      <c r="H450" s="82">
        <v>31</v>
      </c>
      <c r="I450" s="82">
        <v>298</v>
      </c>
      <c r="J450" s="82">
        <v>174</v>
      </c>
      <c r="K450" s="82">
        <v>472</v>
      </c>
      <c r="L450" s="82">
        <v>76</v>
      </c>
      <c r="M450" s="82">
        <v>87</v>
      </c>
      <c r="N450" s="82">
        <v>32</v>
      </c>
      <c r="O450" s="82">
        <v>19</v>
      </c>
      <c r="P450" s="82">
        <v>523</v>
      </c>
      <c r="Q450" s="82">
        <v>9330</v>
      </c>
      <c r="R450" s="12" t="s">
        <v>25</v>
      </c>
      <c r="S450" s="12" t="s">
        <v>25</v>
      </c>
      <c r="T450" s="12" t="s">
        <v>25</v>
      </c>
    </row>
    <row r="451" spans="1:20" x14ac:dyDescent="0.3">
      <c r="A451" s="13">
        <v>43906.708333333336</v>
      </c>
      <c r="B451" s="12" t="s">
        <v>22</v>
      </c>
      <c r="C451" s="82">
        <v>7</v>
      </c>
      <c r="D451" s="12" t="s">
        <v>49</v>
      </c>
      <c r="E451" s="82">
        <v>4441149315</v>
      </c>
      <c r="F451" s="82">
        <v>89326992</v>
      </c>
      <c r="G451" s="82">
        <v>255</v>
      </c>
      <c r="H451" s="82">
        <v>73</v>
      </c>
      <c r="I451" s="82">
        <v>328</v>
      </c>
      <c r="J451" s="82">
        <v>247</v>
      </c>
      <c r="K451" s="82">
        <v>575</v>
      </c>
      <c r="L451" s="82">
        <v>82</v>
      </c>
      <c r="M451" s="82">
        <v>108</v>
      </c>
      <c r="N451" s="82">
        <v>42</v>
      </c>
      <c r="O451" s="82">
        <v>50</v>
      </c>
      <c r="P451" s="82">
        <v>667</v>
      </c>
      <c r="Q451" s="82">
        <v>2189</v>
      </c>
      <c r="R451" s="12" t="s">
        <v>25</v>
      </c>
      <c r="S451" s="12" t="s">
        <v>25</v>
      </c>
      <c r="T451" s="12" t="s">
        <v>25</v>
      </c>
    </row>
    <row r="452" spans="1:20" x14ac:dyDescent="0.3">
      <c r="A452" s="13">
        <v>43906.708333333336</v>
      </c>
      <c r="B452" s="12" t="s">
        <v>22</v>
      </c>
      <c r="C452" s="82">
        <v>3</v>
      </c>
      <c r="D452" s="12" t="s">
        <v>50</v>
      </c>
      <c r="E452" s="82">
        <v>4546679409</v>
      </c>
      <c r="F452" s="82">
        <v>9190347404</v>
      </c>
      <c r="G452" s="82">
        <v>6171</v>
      </c>
      <c r="H452" s="82">
        <v>823</v>
      </c>
      <c r="I452" s="82">
        <v>6994</v>
      </c>
      <c r="J452" s="82">
        <v>3867</v>
      </c>
      <c r="K452" s="82">
        <v>10861</v>
      </c>
      <c r="L452" s="82">
        <v>818</v>
      </c>
      <c r="M452" s="82">
        <v>1377</v>
      </c>
      <c r="N452" s="82">
        <v>2368</v>
      </c>
      <c r="O452" s="82">
        <v>1420</v>
      </c>
      <c r="P452" s="82">
        <v>14649</v>
      </c>
      <c r="Q452" s="82">
        <v>43565</v>
      </c>
      <c r="R452" s="12" t="s">
        <v>25</v>
      </c>
      <c r="S452" s="12" t="s">
        <v>25</v>
      </c>
      <c r="T452" s="12" t="s">
        <v>25</v>
      </c>
    </row>
    <row r="453" spans="1:20" x14ac:dyDescent="0.3">
      <c r="A453" s="13">
        <v>43906.708333333336</v>
      </c>
      <c r="B453" s="12" t="s">
        <v>22</v>
      </c>
      <c r="C453" s="82">
        <v>11</v>
      </c>
      <c r="D453" s="12" t="s">
        <v>51</v>
      </c>
      <c r="E453" s="82">
        <v>4361675973</v>
      </c>
      <c r="F453" s="82">
        <v>135188753</v>
      </c>
      <c r="G453" s="82">
        <v>528</v>
      </c>
      <c r="H453" s="82">
        <v>110</v>
      </c>
      <c r="I453" s="82">
        <v>638</v>
      </c>
      <c r="J453" s="82">
        <v>547</v>
      </c>
      <c r="K453" s="82">
        <v>1185</v>
      </c>
      <c r="L453" s="82">
        <v>98</v>
      </c>
      <c r="M453" s="82">
        <v>109</v>
      </c>
      <c r="N453" s="82">
        <v>0</v>
      </c>
      <c r="O453" s="82">
        <v>57</v>
      </c>
      <c r="P453" s="82">
        <v>1242</v>
      </c>
      <c r="Q453" s="82">
        <v>3225</v>
      </c>
      <c r="R453" s="12" t="s">
        <v>25</v>
      </c>
      <c r="S453" s="12" t="s">
        <v>25</v>
      </c>
      <c r="T453" s="12" t="s">
        <v>25</v>
      </c>
    </row>
    <row r="454" spans="1:20" x14ac:dyDescent="0.3">
      <c r="A454" s="13">
        <v>43906.708333333336</v>
      </c>
      <c r="B454" s="12" t="s">
        <v>22</v>
      </c>
      <c r="C454" s="82">
        <v>14</v>
      </c>
      <c r="D454" s="12" t="s">
        <v>52</v>
      </c>
      <c r="E454" s="82">
        <v>4155774754</v>
      </c>
      <c r="F454" s="82">
        <v>1465916051</v>
      </c>
      <c r="G454" s="82">
        <v>3</v>
      </c>
      <c r="H454" s="82">
        <v>5</v>
      </c>
      <c r="I454" s="82">
        <v>8</v>
      </c>
      <c r="J454" s="82">
        <v>7</v>
      </c>
      <c r="K454" s="82">
        <v>15</v>
      </c>
      <c r="L454" s="82">
        <v>-2</v>
      </c>
      <c r="M454" s="82">
        <v>4</v>
      </c>
      <c r="N454" s="82">
        <v>5</v>
      </c>
      <c r="O454" s="82">
        <v>1</v>
      </c>
      <c r="P454" s="82">
        <v>21</v>
      </c>
      <c r="Q454" s="82">
        <v>253</v>
      </c>
      <c r="R454" s="12" t="s">
        <v>25</v>
      </c>
      <c r="S454" s="12" t="s">
        <v>25</v>
      </c>
      <c r="T454" s="12" t="s">
        <v>25</v>
      </c>
    </row>
    <row r="455" spans="1:20" x14ac:dyDescent="0.3">
      <c r="A455" s="13">
        <v>43906.708333333336</v>
      </c>
      <c r="B455" s="12" t="s">
        <v>22</v>
      </c>
      <c r="C455" s="82">
        <v>1</v>
      </c>
      <c r="D455" s="12" t="s">
        <v>53</v>
      </c>
      <c r="E455" s="82">
        <v>450732745</v>
      </c>
      <c r="F455" s="82">
        <v>7680687483</v>
      </c>
      <c r="G455" s="82">
        <v>1045</v>
      </c>
      <c r="H455" s="82">
        <v>186</v>
      </c>
      <c r="I455" s="82">
        <v>1231</v>
      </c>
      <c r="J455" s="82">
        <v>174</v>
      </c>
      <c r="K455" s="82">
        <v>1405</v>
      </c>
      <c r="L455" s="82">
        <v>375</v>
      </c>
      <c r="M455" s="82">
        <v>405</v>
      </c>
      <c r="N455" s="82">
        <v>0</v>
      </c>
      <c r="O455" s="82">
        <v>111</v>
      </c>
      <c r="P455" s="82">
        <v>1516</v>
      </c>
      <c r="Q455" s="82">
        <v>5588</v>
      </c>
      <c r="R455" s="12" t="s">
        <v>25</v>
      </c>
      <c r="S455" s="12" t="s">
        <v>25</v>
      </c>
      <c r="T455" s="12" t="s">
        <v>25</v>
      </c>
    </row>
    <row r="456" spans="1:20" x14ac:dyDescent="0.3">
      <c r="A456" s="13">
        <v>43906.708333333336</v>
      </c>
      <c r="B456" s="12" t="s">
        <v>22</v>
      </c>
      <c r="C456" s="82">
        <v>16</v>
      </c>
      <c r="D456" s="12" t="s">
        <v>54</v>
      </c>
      <c r="E456" s="82">
        <v>4112559576</v>
      </c>
      <c r="F456" s="82">
        <v>1686736689</v>
      </c>
      <c r="G456" s="82">
        <v>116</v>
      </c>
      <c r="H456" s="82">
        <v>6</v>
      </c>
      <c r="I456" s="82">
        <v>122</v>
      </c>
      <c r="J456" s="82">
        <v>90</v>
      </c>
      <c r="K456" s="82">
        <v>212</v>
      </c>
      <c r="L456" s="82">
        <v>0</v>
      </c>
      <c r="M456" s="82">
        <v>0</v>
      </c>
      <c r="N456" s="82">
        <v>2</v>
      </c>
      <c r="O456" s="82">
        <v>16</v>
      </c>
      <c r="P456" s="82">
        <v>230</v>
      </c>
      <c r="Q456" s="82">
        <v>2017</v>
      </c>
      <c r="R456" s="12" t="s">
        <v>25</v>
      </c>
      <c r="S456" s="12" t="s">
        <v>68</v>
      </c>
      <c r="T456" s="12" t="s">
        <v>69</v>
      </c>
    </row>
    <row r="457" spans="1:20" x14ac:dyDescent="0.3">
      <c r="A457" s="13">
        <v>43906.708333333336</v>
      </c>
      <c r="B457" s="12" t="s">
        <v>22</v>
      </c>
      <c r="C457" s="82">
        <v>20</v>
      </c>
      <c r="D457" s="12" t="s">
        <v>55</v>
      </c>
      <c r="E457" s="82">
        <v>3921531192</v>
      </c>
      <c r="F457" s="82">
        <v>9110616306</v>
      </c>
      <c r="G457" s="82">
        <v>39</v>
      </c>
      <c r="H457" s="82">
        <v>0</v>
      </c>
      <c r="I457" s="82">
        <v>39</v>
      </c>
      <c r="J457" s="82">
        <v>66</v>
      </c>
      <c r="K457" s="82">
        <v>105</v>
      </c>
      <c r="L457" s="82">
        <v>30</v>
      </c>
      <c r="M457" s="82">
        <v>30</v>
      </c>
      <c r="N457" s="82">
        <v>0</v>
      </c>
      <c r="O457" s="82">
        <v>2</v>
      </c>
      <c r="P457" s="82">
        <v>107</v>
      </c>
      <c r="Q457" s="82">
        <v>797</v>
      </c>
      <c r="R457" s="12" t="s">
        <v>25</v>
      </c>
      <c r="S457" s="12" t="s">
        <v>25</v>
      </c>
      <c r="T457" s="12" t="s">
        <v>25</v>
      </c>
    </row>
    <row r="458" spans="1:20" x14ac:dyDescent="0.3">
      <c r="A458" s="13">
        <v>43906.708333333336</v>
      </c>
      <c r="B458" s="12" t="s">
        <v>22</v>
      </c>
      <c r="C458" s="82">
        <v>19</v>
      </c>
      <c r="D458" s="12" t="s">
        <v>56</v>
      </c>
      <c r="E458" s="82">
        <v>3811569725</v>
      </c>
      <c r="F458" s="82">
        <v>133623567</v>
      </c>
      <c r="G458" s="82">
        <v>75</v>
      </c>
      <c r="H458" s="82">
        <v>20</v>
      </c>
      <c r="I458" s="82">
        <v>95</v>
      </c>
      <c r="J458" s="82">
        <v>108</v>
      </c>
      <c r="K458" s="82">
        <v>203</v>
      </c>
      <c r="L458" s="82">
        <v>24</v>
      </c>
      <c r="M458" s="82">
        <v>25</v>
      </c>
      <c r="N458" s="82">
        <v>8</v>
      </c>
      <c r="O458" s="82">
        <v>2</v>
      </c>
      <c r="P458" s="82">
        <v>213</v>
      </c>
      <c r="Q458" s="82">
        <v>2653</v>
      </c>
      <c r="R458" s="12" t="s">
        <v>25</v>
      </c>
      <c r="S458" s="12" t="s">
        <v>25</v>
      </c>
      <c r="T458" s="12" t="s">
        <v>25</v>
      </c>
    </row>
    <row r="459" spans="1:20" x14ac:dyDescent="0.3">
      <c r="A459" s="13">
        <v>43906.708333333336</v>
      </c>
      <c r="B459" s="12" t="s">
        <v>22</v>
      </c>
      <c r="C459" s="82">
        <v>9</v>
      </c>
      <c r="D459" s="12" t="s">
        <v>57</v>
      </c>
      <c r="E459" s="82">
        <v>4376923077</v>
      </c>
      <c r="F459" s="82">
        <v>1125588885</v>
      </c>
      <c r="G459" s="82">
        <v>175</v>
      </c>
      <c r="H459" s="82">
        <v>107</v>
      </c>
      <c r="I459" s="82">
        <v>282</v>
      </c>
      <c r="J459" s="82">
        <v>559</v>
      </c>
      <c r="K459" s="82">
        <v>841</v>
      </c>
      <c r="L459" s="82">
        <v>78</v>
      </c>
      <c r="M459" s="82">
        <v>85</v>
      </c>
      <c r="N459" s="82">
        <v>11</v>
      </c>
      <c r="O459" s="82">
        <v>14</v>
      </c>
      <c r="P459" s="82">
        <v>866</v>
      </c>
      <c r="Q459" s="82">
        <v>5910</v>
      </c>
      <c r="R459" s="12" t="s">
        <v>25</v>
      </c>
      <c r="S459" s="12" t="s">
        <v>25</v>
      </c>
      <c r="T459" s="12" t="s">
        <v>25</v>
      </c>
    </row>
    <row r="460" spans="1:20" x14ac:dyDescent="0.3">
      <c r="A460" s="13">
        <v>43906.708333333336</v>
      </c>
      <c r="B460" s="12" t="s">
        <v>22</v>
      </c>
      <c r="C460" s="82">
        <v>4</v>
      </c>
      <c r="D460" s="12" t="s">
        <v>58</v>
      </c>
      <c r="E460" s="82">
        <v>4606893511</v>
      </c>
      <c r="F460" s="82">
        <v>1112123097</v>
      </c>
      <c r="G460" s="82">
        <v>73</v>
      </c>
      <c r="H460" s="82">
        <v>19</v>
      </c>
      <c r="I460" s="82">
        <v>92</v>
      </c>
      <c r="J460" s="82">
        <v>275</v>
      </c>
      <c r="K460" s="82">
        <v>367</v>
      </c>
      <c r="L460" s="82">
        <v>0</v>
      </c>
      <c r="M460" s="82">
        <v>0</v>
      </c>
      <c r="N460" s="82">
        <v>5</v>
      </c>
      <c r="O460" s="82">
        <v>6</v>
      </c>
      <c r="P460" s="82">
        <v>378</v>
      </c>
      <c r="Q460" s="82">
        <v>1006</v>
      </c>
      <c r="R460" s="12" t="s">
        <v>25</v>
      </c>
      <c r="S460" s="12" t="s">
        <v>70</v>
      </c>
      <c r="T460" s="12" t="s">
        <v>71</v>
      </c>
    </row>
    <row r="461" spans="1:20" x14ac:dyDescent="0.3">
      <c r="A461" s="13">
        <v>43906.708333333336</v>
      </c>
      <c r="B461" s="12" t="s">
        <v>22</v>
      </c>
      <c r="C461" s="82">
        <v>10</v>
      </c>
      <c r="D461" s="12" t="s">
        <v>59</v>
      </c>
      <c r="E461" s="82">
        <v>4310675841</v>
      </c>
      <c r="F461" s="82">
        <v>1238824698</v>
      </c>
      <c r="G461" s="82">
        <v>30</v>
      </c>
      <c r="H461" s="82">
        <v>15</v>
      </c>
      <c r="I461" s="82">
        <v>45</v>
      </c>
      <c r="J461" s="82">
        <v>114</v>
      </c>
      <c r="K461" s="82">
        <v>159</v>
      </c>
      <c r="L461" s="82">
        <v>20</v>
      </c>
      <c r="M461" s="82">
        <v>21</v>
      </c>
      <c r="N461" s="82">
        <v>4</v>
      </c>
      <c r="O461" s="82">
        <v>1</v>
      </c>
      <c r="P461" s="82">
        <v>164</v>
      </c>
      <c r="Q461" s="82">
        <v>1093</v>
      </c>
      <c r="R461" s="12" t="s">
        <v>25</v>
      </c>
      <c r="S461" s="12" t="s">
        <v>25</v>
      </c>
      <c r="T461" s="12" t="s">
        <v>25</v>
      </c>
    </row>
    <row r="462" spans="1:20" x14ac:dyDescent="0.3">
      <c r="A462" s="13">
        <v>43906.708333333336</v>
      </c>
      <c r="B462" s="12" t="s">
        <v>22</v>
      </c>
      <c r="C462" s="82">
        <v>2</v>
      </c>
      <c r="D462" s="12" t="s">
        <v>60</v>
      </c>
      <c r="E462" s="82">
        <v>4573750286</v>
      </c>
      <c r="F462" s="82">
        <v>7320149366</v>
      </c>
      <c r="G462" s="82">
        <v>28</v>
      </c>
      <c r="H462" s="82">
        <v>5</v>
      </c>
      <c r="I462" s="82">
        <v>33</v>
      </c>
      <c r="J462" s="82">
        <v>70</v>
      </c>
      <c r="K462" s="82">
        <v>103</v>
      </c>
      <c r="L462" s="82">
        <v>47</v>
      </c>
      <c r="M462" s="82">
        <v>48</v>
      </c>
      <c r="N462" s="82">
        <v>0</v>
      </c>
      <c r="O462" s="82">
        <v>2</v>
      </c>
      <c r="P462" s="82">
        <v>105</v>
      </c>
      <c r="Q462" s="82">
        <v>287</v>
      </c>
      <c r="R462" s="12" t="s">
        <v>25</v>
      </c>
      <c r="S462" s="12" t="s">
        <v>25</v>
      </c>
      <c r="T462" s="12" t="s">
        <v>25</v>
      </c>
    </row>
    <row r="463" spans="1:20" x14ac:dyDescent="0.3">
      <c r="A463" s="13">
        <v>43906.708333333336</v>
      </c>
      <c r="B463" s="12" t="s">
        <v>22</v>
      </c>
      <c r="C463" s="82">
        <v>5</v>
      </c>
      <c r="D463" s="12" t="s">
        <v>61</v>
      </c>
      <c r="E463" s="82">
        <v>4543490485</v>
      </c>
      <c r="F463" s="82">
        <v>1233845213</v>
      </c>
      <c r="G463" s="82">
        <v>498</v>
      </c>
      <c r="H463" s="82">
        <v>156</v>
      </c>
      <c r="I463" s="82">
        <v>654</v>
      </c>
      <c r="J463" s="82">
        <v>1620</v>
      </c>
      <c r="K463" s="82">
        <v>2274</v>
      </c>
      <c r="L463" s="82">
        <v>285</v>
      </c>
      <c r="M463" s="82">
        <v>301</v>
      </c>
      <c r="N463" s="82">
        <v>130</v>
      </c>
      <c r="O463" s="82">
        <v>69</v>
      </c>
      <c r="P463" s="82">
        <v>2473</v>
      </c>
      <c r="Q463" s="82">
        <v>35052</v>
      </c>
      <c r="R463" s="12" t="s">
        <v>25</v>
      </c>
      <c r="S463" s="12" t="s">
        <v>25</v>
      </c>
      <c r="T463" s="12" t="s">
        <v>25</v>
      </c>
    </row>
    <row r="464" spans="1:20" x14ac:dyDescent="0.3">
      <c r="A464" s="13">
        <v>43907.708333333336</v>
      </c>
      <c r="B464" s="12" t="s">
        <v>22</v>
      </c>
      <c r="C464" s="82">
        <v>13</v>
      </c>
      <c r="D464" s="12" t="s">
        <v>42</v>
      </c>
      <c r="E464" s="82">
        <v>4235122196</v>
      </c>
      <c r="F464" s="82">
        <v>1339843823</v>
      </c>
      <c r="G464" s="82">
        <v>94</v>
      </c>
      <c r="H464" s="82">
        <v>32</v>
      </c>
      <c r="I464" s="82">
        <v>126</v>
      </c>
      <c r="J464" s="82">
        <v>90</v>
      </c>
      <c r="K464" s="82">
        <v>216</v>
      </c>
      <c r="L464" s="82">
        <v>51</v>
      </c>
      <c r="M464" s="82">
        <v>53</v>
      </c>
      <c r="N464" s="82">
        <v>7</v>
      </c>
      <c r="O464" s="82">
        <v>6</v>
      </c>
      <c r="P464" s="82">
        <v>229</v>
      </c>
      <c r="Q464" s="82">
        <v>1688</v>
      </c>
      <c r="R464" s="12" t="s">
        <v>25</v>
      </c>
      <c r="S464" s="12" t="s">
        <v>25</v>
      </c>
      <c r="T464" s="12" t="s">
        <v>25</v>
      </c>
    </row>
    <row r="465" spans="1:20" x14ac:dyDescent="0.3">
      <c r="A465" s="13">
        <v>43907.708333333336</v>
      </c>
      <c r="B465" s="12" t="s">
        <v>22</v>
      </c>
      <c r="C465" s="82">
        <v>17</v>
      </c>
      <c r="D465" s="12" t="s">
        <v>43</v>
      </c>
      <c r="E465" s="82">
        <v>4063947052</v>
      </c>
      <c r="F465" s="82">
        <v>1580514834</v>
      </c>
      <c r="G465" s="82">
        <v>5</v>
      </c>
      <c r="H465" s="82">
        <v>2</v>
      </c>
      <c r="I465" s="82">
        <v>7</v>
      </c>
      <c r="J465" s="82">
        <v>13</v>
      </c>
      <c r="K465" s="82">
        <v>20</v>
      </c>
      <c r="L465" s="82">
        <v>8</v>
      </c>
      <c r="M465" s="82">
        <v>8</v>
      </c>
      <c r="N465" s="82">
        <v>0</v>
      </c>
      <c r="O465" s="82">
        <v>0</v>
      </c>
      <c r="P465" s="82">
        <v>20</v>
      </c>
      <c r="Q465" s="82">
        <v>262</v>
      </c>
      <c r="R465" s="12" t="s">
        <v>25</v>
      </c>
      <c r="S465" s="12" t="s">
        <v>25</v>
      </c>
      <c r="T465" s="12" t="s">
        <v>25</v>
      </c>
    </row>
    <row r="466" spans="1:20" x14ac:dyDescent="0.3">
      <c r="A466" s="13">
        <v>43907.708333333336</v>
      </c>
      <c r="B466" s="12" t="s">
        <v>22</v>
      </c>
      <c r="C466" s="82">
        <v>4</v>
      </c>
      <c r="D466" s="12" t="s">
        <v>44</v>
      </c>
      <c r="E466" s="82">
        <v>4649933453</v>
      </c>
      <c r="F466" s="82">
        <v>1135662422</v>
      </c>
      <c r="G466" s="82">
        <v>71</v>
      </c>
      <c r="H466" s="82">
        <v>11</v>
      </c>
      <c r="I466" s="82">
        <v>82</v>
      </c>
      <c r="J466" s="82">
        <v>200</v>
      </c>
      <c r="K466" s="82">
        <v>282</v>
      </c>
      <c r="L466" s="82">
        <v>47</v>
      </c>
      <c r="M466" s="82">
        <v>50</v>
      </c>
      <c r="N466" s="82">
        <v>1</v>
      </c>
      <c r="O466" s="82">
        <v>8</v>
      </c>
      <c r="P466" s="82">
        <v>291</v>
      </c>
      <c r="Q466" s="82">
        <v>2149</v>
      </c>
      <c r="R466" s="12" t="s">
        <v>25</v>
      </c>
      <c r="S466" s="12" t="s">
        <v>25</v>
      </c>
      <c r="T466" s="12" t="s">
        <v>25</v>
      </c>
    </row>
    <row r="467" spans="1:20" x14ac:dyDescent="0.3">
      <c r="A467" s="13">
        <v>43907.708333333336</v>
      </c>
      <c r="B467" s="12" t="s">
        <v>22</v>
      </c>
      <c r="C467" s="82">
        <v>18</v>
      </c>
      <c r="D467" s="12" t="s">
        <v>45</v>
      </c>
      <c r="E467" s="82">
        <v>3890597598</v>
      </c>
      <c r="F467" s="82">
        <v>1659440194</v>
      </c>
      <c r="G467" s="82">
        <v>45</v>
      </c>
      <c r="H467" s="82">
        <v>10</v>
      </c>
      <c r="I467" s="82">
        <v>55</v>
      </c>
      <c r="J467" s="82">
        <v>57</v>
      </c>
      <c r="K467" s="82">
        <v>112</v>
      </c>
      <c r="L467" s="82">
        <v>25</v>
      </c>
      <c r="M467" s="82">
        <v>25</v>
      </c>
      <c r="N467" s="82">
        <v>1</v>
      </c>
      <c r="O467" s="82">
        <v>1</v>
      </c>
      <c r="P467" s="82">
        <v>114</v>
      </c>
      <c r="Q467" s="82">
        <v>1293</v>
      </c>
      <c r="R467" s="12" t="s">
        <v>25</v>
      </c>
      <c r="S467" s="12" t="s">
        <v>25</v>
      </c>
      <c r="T467" s="12" t="s">
        <v>25</v>
      </c>
    </row>
    <row r="468" spans="1:20" x14ac:dyDescent="0.3">
      <c r="A468" s="13">
        <v>43907.708333333336</v>
      </c>
      <c r="B468" s="12" t="s">
        <v>22</v>
      </c>
      <c r="C468" s="82">
        <v>15</v>
      </c>
      <c r="D468" s="12" t="s">
        <v>46</v>
      </c>
      <c r="E468" s="82">
        <v>4083956555</v>
      </c>
      <c r="F468" s="82">
        <v>1425084984</v>
      </c>
      <c r="G468" s="82">
        <v>127</v>
      </c>
      <c r="H468" s="82">
        <v>24</v>
      </c>
      <c r="I468" s="82">
        <v>151</v>
      </c>
      <c r="J468" s="82">
        <v>272</v>
      </c>
      <c r="K468" s="82">
        <v>423</v>
      </c>
      <c r="L468" s="82">
        <v>60</v>
      </c>
      <c r="M468" s="82">
        <v>60</v>
      </c>
      <c r="N468" s="82">
        <v>28</v>
      </c>
      <c r="O468" s="82">
        <v>9</v>
      </c>
      <c r="P468" s="82">
        <v>460</v>
      </c>
      <c r="Q468" s="82">
        <v>2685</v>
      </c>
      <c r="R468" s="12" t="s">
        <v>25</v>
      </c>
      <c r="S468" s="12" t="s">
        <v>25</v>
      </c>
      <c r="T468" s="12" t="s">
        <v>25</v>
      </c>
    </row>
    <row r="469" spans="1:20" x14ac:dyDescent="0.3">
      <c r="A469" s="13">
        <v>43907.708333333336</v>
      </c>
      <c r="B469" s="12" t="s">
        <v>22</v>
      </c>
      <c r="C469" s="82">
        <v>8</v>
      </c>
      <c r="D469" s="12" t="s">
        <v>95</v>
      </c>
      <c r="E469" s="82">
        <v>4449436681</v>
      </c>
      <c r="F469" s="82">
        <v>113417208</v>
      </c>
      <c r="G469" s="82">
        <v>1566</v>
      </c>
      <c r="H469" s="82">
        <v>223</v>
      </c>
      <c r="I469" s="82">
        <v>1789</v>
      </c>
      <c r="J469" s="82">
        <v>1615</v>
      </c>
      <c r="K469" s="82">
        <v>3404</v>
      </c>
      <c r="L469" s="82">
        <v>316</v>
      </c>
      <c r="M469" s="82">
        <v>409</v>
      </c>
      <c r="N469" s="82">
        <v>134</v>
      </c>
      <c r="O469" s="82">
        <v>393</v>
      </c>
      <c r="P469" s="82">
        <v>3931</v>
      </c>
      <c r="Q469" s="82">
        <v>14510</v>
      </c>
      <c r="R469" s="12" t="s">
        <v>25</v>
      </c>
      <c r="S469" s="12" t="s">
        <v>72</v>
      </c>
      <c r="T469" s="12" t="s">
        <v>73</v>
      </c>
    </row>
    <row r="470" spans="1:20" x14ac:dyDescent="0.3">
      <c r="A470" s="13">
        <v>43907.708333333336</v>
      </c>
      <c r="B470" s="12" t="s">
        <v>22</v>
      </c>
      <c r="C470" s="82">
        <v>6</v>
      </c>
      <c r="D470" s="12" t="s">
        <v>47</v>
      </c>
      <c r="E470" s="82">
        <v>456494354</v>
      </c>
      <c r="F470" s="82">
        <v>1376813649</v>
      </c>
      <c r="G470" s="82">
        <v>104</v>
      </c>
      <c r="H470" s="82">
        <v>21</v>
      </c>
      <c r="I470" s="82">
        <v>125</v>
      </c>
      <c r="J470" s="82">
        <v>222</v>
      </c>
      <c r="K470" s="82">
        <v>347</v>
      </c>
      <c r="L470" s="82">
        <v>1</v>
      </c>
      <c r="M470" s="82">
        <v>8</v>
      </c>
      <c r="N470" s="82">
        <v>17</v>
      </c>
      <c r="O470" s="82">
        <v>30</v>
      </c>
      <c r="P470" s="82">
        <v>394</v>
      </c>
      <c r="Q470" s="82">
        <v>4958</v>
      </c>
      <c r="R470" s="12" t="s">
        <v>25</v>
      </c>
      <c r="S470" s="12" t="s">
        <v>25</v>
      </c>
      <c r="T470" s="12" t="s">
        <v>25</v>
      </c>
    </row>
    <row r="471" spans="1:20" x14ac:dyDescent="0.3">
      <c r="A471" s="13">
        <v>43907.708333333336</v>
      </c>
      <c r="B471" s="12" t="s">
        <v>22</v>
      </c>
      <c r="C471" s="82">
        <v>12</v>
      </c>
      <c r="D471" s="12" t="s">
        <v>48</v>
      </c>
      <c r="E471" s="82">
        <v>4189277044</v>
      </c>
      <c r="F471" s="82">
        <v>1248366722</v>
      </c>
      <c r="G471" s="82">
        <v>314</v>
      </c>
      <c r="H471" s="82">
        <v>44</v>
      </c>
      <c r="I471" s="82">
        <v>358</v>
      </c>
      <c r="J471" s="82">
        <v>192</v>
      </c>
      <c r="K471" s="82">
        <v>550</v>
      </c>
      <c r="L471" s="82">
        <v>78</v>
      </c>
      <c r="M471" s="82">
        <v>84</v>
      </c>
      <c r="N471" s="82">
        <v>34</v>
      </c>
      <c r="O471" s="82">
        <v>23</v>
      </c>
      <c r="P471" s="82">
        <v>607</v>
      </c>
      <c r="Q471" s="82">
        <v>9436</v>
      </c>
      <c r="R471" s="12" t="s">
        <v>25</v>
      </c>
      <c r="S471" s="12" t="s">
        <v>25</v>
      </c>
      <c r="T471" s="12" t="s">
        <v>25</v>
      </c>
    </row>
    <row r="472" spans="1:20" x14ac:dyDescent="0.3">
      <c r="A472" s="13">
        <v>43907.708333333336</v>
      </c>
      <c r="B472" s="12" t="s">
        <v>22</v>
      </c>
      <c r="C472" s="82">
        <v>7</v>
      </c>
      <c r="D472" s="12" t="s">
        <v>49</v>
      </c>
      <c r="E472" s="82">
        <v>4441149315</v>
      </c>
      <c r="F472" s="82">
        <v>89326992</v>
      </c>
      <c r="G472" s="82">
        <v>299</v>
      </c>
      <c r="H472" s="82">
        <v>85</v>
      </c>
      <c r="I472" s="82">
        <v>384</v>
      </c>
      <c r="J472" s="82">
        <v>277</v>
      </c>
      <c r="K472" s="82">
        <v>661</v>
      </c>
      <c r="L472" s="82">
        <v>86</v>
      </c>
      <c r="M472" s="82">
        <v>111</v>
      </c>
      <c r="N472" s="82">
        <v>57</v>
      </c>
      <c r="O472" s="82">
        <v>60</v>
      </c>
      <c r="P472" s="82">
        <v>778</v>
      </c>
      <c r="Q472" s="82">
        <v>2509</v>
      </c>
      <c r="R472" s="12" t="s">
        <v>25</v>
      </c>
      <c r="S472" s="12" t="s">
        <v>25</v>
      </c>
      <c r="T472" s="12" t="s">
        <v>25</v>
      </c>
    </row>
    <row r="473" spans="1:20" x14ac:dyDescent="0.3">
      <c r="A473" s="13">
        <v>43907.708333333336</v>
      </c>
      <c r="B473" s="12" t="s">
        <v>22</v>
      </c>
      <c r="C473" s="82">
        <v>3</v>
      </c>
      <c r="D473" s="12" t="s">
        <v>50</v>
      </c>
      <c r="E473" s="82">
        <v>4546679409</v>
      </c>
      <c r="F473" s="82">
        <v>9190347404</v>
      </c>
      <c r="G473" s="82">
        <v>6953</v>
      </c>
      <c r="H473" s="82">
        <v>879</v>
      </c>
      <c r="I473" s="82">
        <v>7832</v>
      </c>
      <c r="J473" s="82">
        <v>4263</v>
      </c>
      <c r="K473" s="82">
        <v>12095</v>
      </c>
      <c r="L473" s="82">
        <v>1234</v>
      </c>
      <c r="M473" s="82">
        <v>1571</v>
      </c>
      <c r="N473" s="82">
        <v>2485</v>
      </c>
      <c r="O473" s="82">
        <v>1640</v>
      </c>
      <c r="P473" s="82">
        <v>16220</v>
      </c>
      <c r="Q473" s="82">
        <v>46449</v>
      </c>
      <c r="R473" s="12" t="s">
        <v>25</v>
      </c>
      <c r="S473" s="12" t="s">
        <v>25</v>
      </c>
      <c r="T473" s="12" t="s">
        <v>25</v>
      </c>
    </row>
    <row r="474" spans="1:20" x14ac:dyDescent="0.3">
      <c r="A474" s="13">
        <v>43907.708333333336</v>
      </c>
      <c r="B474" s="12" t="s">
        <v>22</v>
      </c>
      <c r="C474" s="82">
        <v>11</v>
      </c>
      <c r="D474" s="12" t="s">
        <v>51</v>
      </c>
      <c r="E474" s="82">
        <v>4361675973</v>
      </c>
      <c r="F474" s="82">
        <v>135188753</v>
      </c>
      <c r="G474" s="82">
        <v>599</v>
      </c>
      <c r="H474" s="82">
        <v>109</v>
      </c>
      <c r="I474" s="82">
        <v>708</v>
      </c>
      <c r="J474" s="82">
        <v>594</v>
      </c>
      <c r="K474" s="82">
        <v>1302</v>
      </c>
      <c r="L474" s="82">
        <v>117</v>
      </c>
      <c r="M474" s="82">
        <v>129</v>
      </c>
      <c r="N474" s="82">
        <v>0</v>
      </c>
      <c r="O474" s="82">
        <v>69</v>
      </c>
      <c r="P474" s="82">
        <v>1371</v>
      </c>
      <c r="Q474" s="82">
        <v>3225</v>
      </c>
      <c r="R474" s="12" t="s">
        <v>25</v>
      </c>
      <c r="S474" s="12" t="s">
        <v>25</v>
      </c>
      <c r="T474" s="12" t="s">
        <v>25</v>
      </c>
    </row>
    <row r="475" spans="1:20" x14ac:dyDescent="0.3">
      <c r="A475" s="13">
        <v>43907.708333333336</v>
      </c>
      <c r="B475" s="12" t="s">
        <v>22</v>
      </c>
      <c r="C475" s="82">
        <v>14</v>
      </c>
      <c r="D475" s="12" t="s">
        <v>52</v>
      </c>
      <c r="E475" s="82">
        <v>4155774754</v>
      </c>
      <c r="F475" s="82">
        <v>1465916051</v>
      </c>
      <c r="G475" s="82">
        <v>7</v>
      </c>
      <c r="H475" s="82">
        <v>5</v>
      </c>
      <c r="I475" s="82">
        <v>12</v>
      </c>
      <c r="J475" s="82">
        <v>7</v>
      </c>
      <c r="K475" s="82">
        <v>19</v>
      </c>
      <c r="L475" s="82">
        <v>4</v>
      </c>
      <c r="M475" s="82">
        <v>4</v>
      </c>
      <c r="N475" s="82">
        <v>5</v>
      </c>
      <c r="O475" s="82">
        <v>1</v>
      </c>
      <c r="P475" s="82">
        <v>25</v>
      </c>
      <c r="Q475" s="82">
        <v>301</v>
      </c>
      <c r="R475" s="12" t="s">
        <v>25</v>
      </c>
      <c r="S475" s="12" t="s">
        <v>25</v>
      </c>
      <c r="T475" s="12" t="s">
        <v>25</v>
      </c>
    </row>
    <row r="476" spans="1:20" x14ac:dyDescent="0.3">
      <c r="A476" s="13">
        <v>43907.708333333336</v>
      </c>
      <c r="B476" s="12" t="s">
        <v>22</v>
      </c>
      <c r="C476" s="82">
        <v>1</v>
      </c>
      <c r="D476" s="12" t="s">
        <v>53</v>
      </c>
      <c r="E476" s="82">
        <v>450732745</v>
      </c>
      <c r="F476" s="82">
        <v>7680687483</v>
      </c>
      <c r="G476" s="82">
        <v>1378</v>
      </c>
      <c r="H476" s="82">
        <v>206</v>
      </c>
      <c r="I476" s="82">
        <v>1584</v>
      </c>
      <c r="J476" s="82">
        <v>180</v>
      </c>
      <c r="K476" s="82">
        <v>1764</v>
      </c>
      <c r="L476" s="82">
        <v>359</v>
      </c>
      <c r="M476" s="82">
        <v>381</v>
      </c>
      <c r="N476" s="82">
        <v>0</v>
      </c>
      <c r="O476" s="82">
        <v>133</v>
      </c>
      <c r="P476" s="82">
        <v>1897</v>
      </c>
      <c r="Q476" s="82">
        <v>6543</v>
      </c>
      <c r="R476" s="12" t="s">
        <v>25</v>
      </c>
      <c r="S476" s="12" t="s">
        <v>25</v>
      </c>
      <c r="T476" s="12" t="s">
        <v>25</v>
      </c>
    </row>
    <row r="477" spans="1:20" x14ac:dyDescent="0.3">
      <c r="A477" s="13">
        <v>43907.708333333336</v>
      </c>
      <c r="B477" s="12" t="s">
        <v>22</v>
      </c>
      <c r="C477" s="82">
        <v>16</v>
      </c>
      <c r="D477" s="12" t="s">
        <v>54</v>
      </c>
      <c r="E477" s="82">
        <v>4112559576</v>
      </c>
      <c r="F477" s="82">
        <v>1686736689</v>
      </c>
      <c r="G477" s="82">
        <v>155</v>
      </c>
      <c r="H477" s="82">
        <v>14</v>
      </c>
      <c r="I477" s="82">
        <v>169</v>
      </c>
      <c r="J477" s="82">
        <v>151</v>
      </c>
      <c r="K477" s="82">
        <v>320</v>
      </c>
      <c r="L477" s="82">
        <v>108</v>
      </c>
      <c r="M477" s="82">
        <v>110</v>
      </c>
      <c r="N477" s="82">
        <v>2</v>
      </c>
      <c r="O477" s="82">
        <v>18</v>
      </c>
      <c r="P477" s="82">
        <v>340</v>
      </c>
      <c r="Q477" s="82">
        <v>3077</v>
      </c>
      <c r="R477" s="12" t="s">
        <v>25</v>
      </c>
      <c r="S477" s="12" t="s">
        <v>25</v>
      </c>
      <c r="T477" s="12" t="s">
        <v>25</v>
      </c>
    </row>
    <row r="478" spans="1:20" x14ac:dyDescent="0.3">
      <c r="A478" s="13">
        <v>43907.708333333336</v>
      </c>
      <c r="B478" s="12" t="s">
        <v>22</v>
      </c>
      <c r="C478" s="82">
        <v>20</v>
      </c>
      <c r="D478" s="12" t="s">
        <v>55</v>
      </c>
      <c r="E478" s="82">
        <v>3921531192</v>
      </c>
      <c r="F478" s="82">
        <v>9110616306</v>
      </c>
      <c r="G478" s="82">
        <v>36</v>
      </c>
      <c r="H478" s="82">
        <v>4</v>
      </c>
      <c r="I478" s="82">
        <v>40</v>
      </c>
      <c r="J478" s="82">
        <v>75</v>
      </c>
      <c r="K478" s="82">
        <v>115</v>
      </c>
      <c r="L478" s="82">
        <v>10</v>
      </c>
      <c r="M478" s="82">
        <v>10</v>
      </c>
      <c r="N478" s="82">
        <v>0</v>
      </c>
      <c r="O478" s="82">
        <v>2</v>
      </c>
      <c r="P478" s="82">
        <v>117</v>
      </c>
      <c r="Q478" s="82">
        <v>1003</v>
      </c>
      <c r="R478" s="12" t="s">
        <v>25</v>
      </c>
      <c r="S478" s="12" t="s">
        <v>25</v>
      </c>
      <c r="T478" s="12" t="s">
        <v>25</v>
      </c>
    </row>
    <row r="479" spans="1:20" x14ac:dyDescent="0.3">
      <c r="A479" s="13">
        <v>43907.708333333336</v>
      </c>
      <c r="B479" s="12" t="s">
        <v>22</v>
      </c>
      <c r="C479" s="82">
        <v>19</v>
      </c>
      <c r="D479" s="12" t="s">
        <v>56</v>
      </c>
      <c r="E479" s="82">
        <v>3811569725</v>
      </c>
      <c r="F479" s="82">
        <v>133623567</v>
      </c>
      <c r="G479" s="82">
        <v>86</v>
      </c>
      <c r="H479" s="82">
        <v>28</v>
      </c>
      <c r="I479" s="82">
        <v>114</v>
      </c>
      <c r="J479" s="82">
        <v>112</v>
      </c>
      <c r="K479" s="82">
        <v>226</v>
      </c>
      <c r="L479" s="82">
        <v>23</v>
      </c>
      <c r="M479" s="82">
        <v>24</v>
      </c>
      <c r="N479" s="82">
        <v>8</v>
      </c>
      <c r="O479" s="82">
        <v>3</v>
      </c>
      <c r="P479" s="82">
        <v>237</v>
      </c>
      <c r="Q479" s="82">
        <v>2916</v>
      </c>
      <c r="R479" s="12" t="s">
        <v>25</v>
      </c>
      <c r="S479" s="12" t="s">
        <v>25</v>
      </c>
      <c r="T479" s="12" t="s">
        <v>25</v>
      </c>
    </row>
    <row r="480" spans="1:20" x14ac:dyDescent="0.3">
      <c r="A480" s="13">
        <v>43907.708333333336</v>
      </c>
      <c r="B480" s="12" t="s">
        <v>22</v>
      </c>
      <c r="C480" s="82">
        <v>9</v>
      </c>
      <c r="D480" s="12" t="s">
        <v>57</v>
      </c>
      <c r="E480" s="82">
        <v>4376923077</v>
      </c>
      <c r="F480" s="82">
        <v>1125588885</v>
      </c>
      <c r="G480" s="82">
        <v>329</v>
      </c>
      <c r="H480" s="82">
        <v>143</v>
      </c>
      <c r="I480" s="82">
        <v>472</v>
      </c>
      <c r="J480" s="82">
        <v>552</v>
      </c>
      <c r="K480" s="82">
        <v>1024</v>
      </c>
      <c r="L480" s="82">
        <v>183</v>
      </c>
      <c r="M480" s="82">
        <v>187</v>
      </c>
      <c r="N480" s="82">
        <v>12</v>
      </c>
      <c r="O480" s="82">
        <v>17</v>
      </c>
      <c r="P480" s="82">
        <v>1053</v>
      </c>
      <c r="Q480" s="82">
        <v>6727</v>
      </c>
      <c r="R480" s="12" t="s">
        <v>25</v>
      </c>
      <c r="S480" s="12" t="s">
        <v>25</v>
      </c>
      <c r="T480" s="12" t="s">
        <v>25</v>
      </c>
    </row>
    <row r="481" spans="1:20" x14ac:dyDescent="0.3">
      <c r="A481" s="13">
        <v>43907.708333333336</v>
      </c>
      <c r="B481" s="12" t="s">
        <v>22</v>
      </c>
      <c r="C481" s="82">
        <v>4</v>
      </c>
      <c r="D481" s="12" t="s">
        <v>58</v>
      </c>
      <c r="E481" s="82">
        <v>4606893511</v>
      </c>
      <c r="F481" s="82">
        <v>1112123097</v>
      </c>
      <c r="G481" s="82">
        <v>107</v>
      </c>
      <c r="H481" s="82">
        <v>22</v>
      </c>
      <c r="I481" s="82">
        <v>129</v>
      </c>
      <c r="J481" s="82">
        <v>239</v>
      </c>
      <c r="K481" s="82">
        <v>368</v>
      </c>
      <c r="L481" s="82">
        <v>1</v>
      </c>
      <c r="M481" s="82">
        <v>7</v>
      </c>
      <c r="N481" s="82">
        <v>10</v>
      </c>
      <c r="O481" s="82">
        <v>7</v>
      </c>
      <c r="P481" s="82">
        <v>385</v>
      </c>
      <c r="Q481" s="82">
        <v>1727</v>
      </c>
      <c r="R481" s="12" t="s">
        <v>25</v>
      </c>
      <c r="S481" s="12" t="s">
        <v>25</v>
      </c>
      <c r="T481" s="12" t="s">
        <v>25</v>
      </c>
    </row>
    <row r="482" spans="1:20" x14ac:dyDescent="0.3">
      <c r="A482" s="13">
        <v>43907.708333333336</v>
      </c>
      <c r="B482" s="12" t="s">
        <v>22</v>
      </c>
      <c r="C482" s="82">
        <v>10</v>
      </c>
      <c r="D482" s="12" t="s">
        <v>59</v>
      </c>
      <c r="E482" s="82">
        <v>4310675841</v>
      </c>
      <c r="F482" s="82">
        <v>1238824698</v>
      </c>
      <c r="G482" s="82">
        <v>36</v>
      </c>
      <c r="H482" s="82">
        <v>21</v>
      </c>
      <c r="I482" s="82">
        <v>57</v>
      </c>
      <c r="J482" s="82">
        <v>135</v>
      </c>
      <c r="K482" s="82">
        <v>192</v>
      </c>
      <c r="L482" s="82">
        <v>33</v>
      </c>
      <c r="M482" s="82">
        <v>33</v>
      </c>
      <c r="N482" s="82">
        <v>4</v>
      </c>
      <c r="O482" s="82">
        <v>1</v>
      </c>
      <c r="P482" s="82">
        <v>197</v>
      </c>
      <c r="Q482" s="82">
        <v>1323</v>
      </c>
      <c r="R482" s="12" t="s">
        <v>25</v>
      </c>
      <c r="S482" s="12" t="s">
        <v>25</v>
      </c>
      <c r="T482" s="12" t="s">
        <v>25</v>
      </c>
    </row>
    <row r="483" spans="1:20" x14ac:dyDescent="0.3">
      <c r="A483" s="13">
        <v>43907.708333333336</v>
      </c>
      <c r="B483" s="12" t="s">
        <v>22</v>
      </c>
      <c r="C483" s="82">
        <v>2</v>
      </c>
      <c r="D483" s="12" t="s">
        <v>60</v>
      </c>
      <c r="E483" s="82">
        <v>4573750286</v>
      </c>
      <c r="F483" s="82">
        <v>7320149366</v>
      </c>
      <c r="G483" s="82">
        <v>35</v>
      </c>
      <c r="H483" s="82">
        <v>6</v>
      </c>
      <c r="I483" s="82">
        <v>41</v>
      </c>
      <c r="J483" s="82">
        <v>93</v>
      </c>
      <c r="K483" s="82">
        <v>134</v>
      </c>
      <c r="L483" s="82">
        <v>31</v>
      </c>
      <c r="M483" s="82">
        <v>31</v>
      </c>
      <c r="N483" s="82">
        <v>0</v>
      </c>
      <c r="O483" s="82">
        <v>2</v>
      </c>
      <c r="P483" s="82">
        <v>136</v>
      </c>
      <c r="Q483" s="82">
        <v>398</v>
      </c>
      <c r="R483" s="12" t="s">
        <v>25</v>
      </c>
      <c r="S483" s="12" t="s">
        <v>25</v>
      </c>
      <c r="T483" s="12" t="s">
        <v>25</v>
      </c>
    </row>
    <row r="484" spans="1:20" x14ac:dyDescent="0.3">
      <c r="A484" s="13">
        <v>43907.708333333336</v>
      </c>
      <c r="B484" s="12" t="s">
        <v>22</v>
      </c>
      <c r="C484" s="82">
        <v>5</v>
      </c>
      <c r="D484" s="12" t="s">
        <v>61</v>
      </c>
      <c r="E484" s="82">
        <v>4543490485</v>
      </c>
      <c r="F484" s="82">
        <v>1233845213</v>
      </c>
      <c r="G484" s="82">
        <v>548</v>
      </c>
      <c r="H484" s="82">
        <v>171</v>
      </c>
      <c r="I484" s="82">
        <v>719</v>
      </c>
      <c r="J484" s="82">
        <v>1769</v>
      </c>
      <c r="K484" s="82">
        <v>2488</v>
      </c>
      <c r="L484" s="82">
        <v>214</v>
      </c>
      <c r="M484" s="82">
        <v>231</v>
      </c>
      <c r="N484" s="82">
        <v>136</v>
      </c>
      <c r="O484" s="82">
        <v>80</v>
      </c>
      <c r="P484" s="82">
        <v>2704</v>
      </c>
      <c r="Q484" s="82">
        <v>35478</v>
      </c>
      <c r="R484" s="12" t="s">
        <v>25</v>
      </c>
      <c r="S484" s="12" t="s">
        <v>25</v>
      </c>
      <c r="T484" s="12" t="s">
        <v>25</v>
      </c>
    </row>
    <row r="485" spans="1:20" x14ac:dyDescent="0.3">
      <c r="A485" s="13">
        <v>43908.708333333336</v>
      </c>
      <c r="B485" s="12" t="s">
        <v>22</v>
      </c>
      <c r="C485" s="82">
        <v>13</v>
      </c>
      <c r="D485" s="12" t="s">
        <v>42</v>
      </c>
      <c r="E485" s="82">
        <v>4235122196</v>
      </c>
      <c r="F485" s="82">
        <v>1339843823</v>
      </c>
      <c r="G485" s="82">
        <v>99</v>
      </c>
      <c r="H485" s="82">
        <v>41</v>
      </c>
      <c r="I485" s="82">
        <v>140</v>
      </c>
      <c r="J485" s="82">
        <v>109</v>
      </c>
      <c r="K485" s="82">
        <v>249</v>
      </c>
      <c r="L485" s="82">
        <v>33</v>
      </c>
      <c r="M485" s="82">
        <v>34</v>
      </c>
      <c r="N485" s="82">
        <v>7</v>
      </c>
      <c r="O485" s="82">
        <v>7</v>
      </c>
      <c r="P485" s="82">
        <v>263</v>
      </c>
      <c r="Q485" s="82">
        <v>2054</v>
      </c>
      <c r="R485" s="12" t="s">
        <v>25</v>
      </c>
      <c r="S485" s="12" t="s">
        <v>25</v>
      </c>
      <c r="T485" s="12" t="s">
        <v>25</v>
      </c>
    </row>
    <row r="486" spans="1:20" x14ac:dyDescent="0.3">
      <c r="A486" s="13">
        <v>43908.708333333336</v>
      </c>
      <c r="B486" s="12" t="s">
        <v>22</v>
      </c>
      <c r="C486" s="82">
        <v>17</v>
      </c>
      <c r="D486" s="12" t="s">
        <v>43</v>
      </c>
      <c r="E486" s="82">
        <v>4063947052</v>
      </c>
      <c r="F486" s="82">
        <v>1580514834</v>
      </c>
      <c r="G486" s="82">
        <v>9</v>
      </c>
      <c r="H486" s="82">
        <v>2</v>
      </c>
      <c r="I486" s="82">
        <v>11</v>
      </c>
      <c r="J486" s="82">
        <v>16</v>
      </c>
      <c r="K486" s="82">
        <v>27</v>
      </c>
      <c r="L486" s="82">
        <v>7</v>
      </c>
      <c r="M486" s="82">
        <v>7</v>
      </c>
      <c r="N486" s="82">
        <v>0</v>
      </c>
      <c r="O486" s="82">
        <v>0</v>
      </c>
      <c r="P486" s="82">
        <v>27</v>
      </c>
      <c r="Q486" s="82">
        <v>262</v>
      </c>
      <c r="R486" s="12" t="s">
        <v>25</v>
      </c>
      <c r="S486" s="12" t="s">
        <v>25</v>
      </c>
      <c r="T486" s="12" t="s">
        <v>25</v>
      </c>
    </row>
    <row r="487" spans="1:20" x14ac:dyDescent="0.3">
      <c r="A487" s="13">
        <v>43908.708333333336</v>
      </c>
      <c r="B487" s="12" t="s">
        <v>22</v>
      </c>
      <c r="C487" s="82">
        <v>4</v>
      </c>
      <c r="D487" s="12" t="s">
        <v>44</v>
      </c>
      <c r="E487" s="82">
        <v>4649933453</v>
      </c>
      <c r="F487" s="82">
        <v>1135662422</v>
      </c>
      <c r="G487" s="82">
        <v>79</v>
      </c>
      <c r="H487" s="82">
        <v>18</v>
      </c>
      <c r="I487" s="82">
        <v>97</v>
      </c>
      <c r="J487" s="82">
        <v>269</v>
      </c>
      <c r="K487" s="82">
        <v>366</v>
      </c>
      <c r="L487" s="82">
        <v>84</v>
      </c>
      <c r="M487" s="82">
        <v>85</v>
      </c>
      <c r="N487" s="82">
        <v>1</v>
      </c>
      <c r="O487" s="82">
        <v>9</v>
      </c>
      <c r="P487" s="82">
        <v>376</v>
      </c>
      <c r="Q487" s="82">
        <v>2844</v>
      </c>
      <c r="R487" s="12" t="s">
        <v>25</v>
      </c>
      <c r="S487" s="12" t="s">
        <v>25</v>
      </c>
      <c r="T487" s="12" t="s">
        <v>25</v>
      </c>
    </row>
    <row r="488" spans="1:20" x14ac:dyDescent="0.3">
      <c r="A488" s="13">
        <v>43908.708333333336</v>
      </c>
      <c r="B488" s="12" t="s">
        <v>22</v>
      </c>
      <c r="C488" s="82">
        <v>18</v>
      </c>
      <c r="D488" s="12" t="s">
        <v>45</v>
      </c>
      <c r="E488" s="82">
        <v>3890597598</v>
      </c>
      <c r="F488" s="82">
        <v>1659440194</v>
      </c>
      <c r="G488" s="82">
        <v>45</v>
      </c>
      <c r="H488" s="82">
        <v>11</v>
      </c>
      <c r="I488" s="82">
        <v>56</v>
      </c>
      <c r="J488" s="82">
        <v>70</v>
      </c>
      <c r="K488" s="82">
        <v>126</v>
      </c>
      <c r="L488" s="82">
        <v>14</v>
      </c>
      <c r="M488" s="82">
        <v>15</v>
      </c>
      <c r="N488" s="82">
        <v>2</v>
      </c>
      <c r="O488" s="82">
        <v>1</v>
      </c>
      <c r="P488" s="82">
        <v>129</v>
      </c>
      <c r="Q488" s="82">
        <v>1668</v>
      </c>
      <c r="R488" s="12" t="s">
        <v>25</v>
      </c>
      <c r="S488" s="12" t="s">
        <v>25</v>
      </c>
      <c r="T488" s="12" t="s">
        <v>25</v>
      </c>
    </row>
    <row r="489" spans="1:20" x14ac:dyDescent="0.3">
      <c r="A489" s="13">
        <v>43908.708333333336</v>
      </c>
      <c r="B489" s="12" t="s">
        <v>22</v>
      </c>
      <c r="C489" s="82">
        <v>15</v>
      </c>
      <c r="D489" s="12" t="s">
        <v>46</v>
      </c>
      <c r="E489" s="82">
        <v>4083956555</v>
      </c>
      <c r="F489" s="82">
        <v>1425084984</v>
      </c>
      <c r="G489" s="82">
        <v>127</v>
      </c>
      <c r="H489" s="82">
        <v>24</v>
      </c>
      <c r="I489" s="82">
        <v>151</v>
      </c>
      <c r="J489" s="82">
        <v>272</v>
      </c>
      <c r="K489" s="82">
        <v>423</v>
      </c>
      <c r="L489" s="82">
        <v>0</v>
      </c>
      <c r="M489" s="82">
        <v>0</v>
      </c>
      <c r="N489" s="82">
        <v>28</v>
      </c>
      <c r="O489" s="82">
        <v>9</v>
      </c>
      <c r="P489" s="82">
        <v>460</v>
      </c>
      <c r="Q489" s="82">
        <v>2685</v>
      </c>
      <c r="R489" s="12" t="s">
        <v>25</v>
      </c>
      <c r="S489" s="12" t="s">
        <v>74</v>
      </c>
      <c r="T489" s="12" t="s">
        <v>75</v>
      </c>
    </row>
    <row r="490" spans="1:20" x14ac:dyDescent="0.3">
      <c r="A490" s="13">
        <v>43908.708333333336</v>
      </c>
      <c r="B490" s="12" t="s">
        <v>22</v>
      </c>
      <c r="C490" s="82">
        <v>8</v>
      </c>
      <c r="D490" s="12" t="s">
        <v>95</v>
      </c>
      <c r="E490" s="82">
        <v>4449436681</v>
      </c>
      <c r="F490" s="82">
        <v>113417208</v>
      </c>
      <c r="G490" s="82">
        <v>1784</v>
      </c>
      <c r="H490" s="82">
        <v>247</v>
      </c>
      <c r="I490" s="82">
        <v>2031</v>
      </c>
      <c r="J490" s="82">
        <v>1884</v>
      </c>
      <c r="K490" s="82">
        <v>3915</v>
      </c>
      <c r="L490" s="82">
        <v>511</v>
      </c>
      <c r="M490" s="82">
        <v>594</v>
      </c>
      <c r="N490" s="82">
        <v>152</v>
      </c>
      <c r="O490" s="82">
        <v>458</v>
      </c>
      <c r="P490" s="82">
        <v>4525</v>
      </c>
      <c r="Q490" s="82">
        <v>15461</v>
      </c>
      <c r="R490" s="12" t="s">
        <v>25</v>
      </c>
      <c r="S490" s="12" t="s">
        <v>76</v>
      </c>
      <c r="T490" s="12" t="s">
        <v>77</v>
      </c>
    </row>
    <row r="491" spans="1:20" x14ac:dyDescent="0.3">
      <c r="A491" s="13">
        <v>43908.708333333336</v>
      </c>
      <c r="B491" s="12" t="s">
        <v>22</v>
      </c>
      <c r="C491" s="82">
        <v>6</v>
      </c>
      <c r="D491" s="12" t="s">
        <v>47</v>
      </c>
      <c r="E491" s="82">
        <v>456494354</v>
      </c>
      <c r="F491" s="82">
        <v>1376813649</v>
      </c>
      <c r="G491" s="82">
        <v>128</v>
      </c>
      <c r="H491" s="82">
        <v>27</v>
      </c>
      <c r="I491" s="82">
        <v>155</v>
      </c>
      <c r="J491" s="82">
        <v>261</v>
      </c>
      <c r="K491" s="82">
        <v>416</v>
      </c>
      <c r="L491" s="82">
        <v>69</v>
      </c>
      <c r="M491" s="82">
        <v>68</v>
      </c>
      <c r="N491" s="82">
        <v>15</v>
      </c>
      <c r="O491" s="82">
        <v>31</v>
      </c>
      <c r="P491" s="82">
        <v>462</v>
      </c>
      <c r="Q491" s="82">
        <v>4958</v>
      </c>
      <c r="R491" s="12" t="s">
        <v>25</v>
      </c>
      <c r="S491" s="12" t="s">
        <v>25</v>
      </c>
      <c r="T491" s="12" t="s">
        <v>25</v>
      </c>
    </row>
    <row r="492" spans="1:20" x14ac:dyDescent="0.3">
      <c r="A492" s="13">
        <v>43908.708333333336</v>
      </c>
      <c r="B492" s="12" t="s">
        <v>22</v>
      </c>
      <c r="C492" s="82">
        <v>12</v>
      </c>
      <c r="D492" s="12" t="s">
        <v>48</v>
      </c>
      <c r="E492" s="82">
        <v>4189277044</v>
      </c>
      <c r="F492" s="82">
        <v>1248366722</v>
      </c>
      <c r="G492" s="82">
        <v>374</v>
      </c>
      <c r="H492" s="82">
        <v>44</v>
      </c>
      <c r="I492" s="82">
        <v>418</v>
      </c>
      <c r="J492" s="82">
        <v>232</v>
      </c>
      <c r="K492" s="82">
        <v>650</v>
      </c>
      <c r="L492" s="82">
        <v>100</v>
      </c>
      <c r="M492" s="82">
        <v>117</v>
      </c>
      <c r="N492" s="82">
        <v>42</v>
      </c>
      <c r="O492" s="82">
        <v>32</v>
      </c>
      <c r="P492" s="82">
        <v>724</v>
      </c>
      <c r="Q492" s="82">
        <v>11145</v>
      </c>
      <c r="R492" s="12" t="s">
        <v>25</v>
      </c>
      <c r="S492" s="12" t="s">
        <v>25</v>
      </c>
      <c r="T492" s="12" t="s">
        <v>25</v>
      </c>
    </row>
    <row r="493" spans="1:20" x14ac:dyDescent="0.3">
      <c r="A493" s="13">
        <v>43908.708333333336</v>
      </c>
      <c r="B493" s="12" t="s">
        <v>22</v>
      </c>
      <c r="C493" s="82">
        <v>7</v>
      </c>
      <c r="D493" s="12" t="s">
        <v>49</v>
      </c>
      <c r="E493" s="82">
        <v>4441149315</v>
      </c>
      <c r="F493" s="82">
        <v>89326992</v>
      </c>
      <c r="G493" s="82">
        <v>401</v>
      </c>
      <c r="H493" s="82">
        <v>100</v>
      </c>
      <c r="I493" s="82">
        <v>501</v>
      </c>
      <c r="J493" s="82">
        <v>243</v>
      </c>
      <c r="K493" s="82">
        <v>744</v>
      </c>
      <c r="L493" s="82">
        <v>83</v>
      </c>
      <c r="M493" s="82">
        <v>109</v>
      </c>
      <c r="N493" s="82">
        <v>70</v>
      </c>
      <c r="O493" s="82">
        <v>73</v>
      </c>
      <c r="P493" s="82">
        <v>887</v>
      </c>
      <c r="Q493" s="82">
        <v>2912</v>
      </c>
      <c r="R493" s="12" t="s">
        <v>25</v>
      </c>
      <c r="S493" s="12" t="s">
        <v>25</v>
      </c>
      <c r="T493" s="12" t="s">
        <v>25</v>
      </c>
    </row>
    <row r="494" spans="1:20" x14ac:dyDescent="0.3">
      <c r="A494" s="13">
        <v>43908.708333333336</v>
      </c>
      <c r="B494" s="12" t="s">
        <v>22</v>
      </c>
      <c r="C494" s="82">
        <v>3</v>
      </c>
      <c r="D494" s="12" t="s">
        <v>50</v>
      </c>
      <c r="E494" s="82">
        <v>4546679409</v>
      </c>
      <c r="F494" s="82">
        <v>9190347404</v>
      </c>
      <c r="G494" s="82">
        <v>7285</v>
      </c>
      <c r="H494" s="82">
        <v>924</v>
      </c>
      <c r="I494" s="82">
        <v>8209</v>
      </c>
      <c r="J494" s="82">
        <v>4057</v>
      </c>
      <c r="K494" s="82">
        <v>12266</v>
      </c>
      <c r="L494" s="82">
        <v>171</v>
      </c>
      <c r="M494" s="82">
        <v>1493</v>
      </c>
      <c r="N494" s="82">
        <v>3488</v>
      </c>
      <c r="O494" s="82">
        <v>1959</v>
      </c>
      <c r="P494" s="82">
        <v>17713</v>
      </c>
      <c r="Q494" s="82">
        <v>48983</v>
      </c>
      <c r="R494" s="12" t="s">
        <v>25</v>
      </c>
      <c r="S494" s="12" t="s">
        <v>25</v>
      </c>
      <c r="T494" s="12" t="s">
        <v>25</v>
      </c>
    </row>
    <row r="495" spans="1:20" x14ac:dyDescent="0.3">
      <c r="A495" s="13">
        <v>43908.708333333336</v>
      </c>
      <c r="B495" s="12" t="s">
        <v>22</v>
      </c>
      <c r="C495" s="82">
        <v>11</v>
      </c>
      <c r="D495" s="12" t="s">
        <v>51</v>
      </c>
      <c r="E495" s="82">
        <v>4361675973</v>
      </c>
      <c r="F495" s="82">
        <v>135188753</v>
      </c>
      <c r="G495" s="82">
        <v>638</v>
      </c>
      <c r="H495" s="82">
        <v>119</v>
      </c>
      <c r="I495" s="82">
        <v>757</v>
      </c>
      <c r="J495" s="82">
        <v>719</v>
      </c>
      <c r="K495" s="82">
        <v>1476</v>
      </c>
      <c r="L495" s="82">
        <v>174</v>
      </c>
      <c r="M495" s="82">
        <v>197</v>
      </c>
      <c r="N495" s="82">
        <v>0</v>
      </c>
      <c r="O495" s="82">
        <v>92</v>
      </c>
      <c r="P495" s="82">
        <v>1568</v>
      </c>
      <c r="Q495" s="82">
        <v>4109</v>
      </c>
      <c r="R495" s="12" t="s">
        <v>25</v>
      </c>
      <c r="S495" s="12" t="s">
        <v>25</v>
      </c>
      <c r="T495" s="12" t="s">
        <v>25</v>
      </c>
    </row>
    <row r="496" spans="1:20" x14ac:dyDescent="0.3">
      <c r="A496" s="13">
        <v>43908.708333333336</v>
      </c>
      <c r="B496" s="12" t="s">
        <v>22</v>
      </c>
      <c r="C496" s="82">
        <v>14</v>
      </c>
      <c r="D496" s="12" t="s">
        <v>52</v>
      </c>
      <c r="E496" s="82">
        <v>4155774754</v>
      </c>
      <c r="F496" s="82">
        <v>1465916051</v>
      </c>
      <c r="G496" s="82">
        <v>7</v>
      </c>
      <c r="H496" s="82">
        <v>6</v>
      </c>
      <c r="I496" s="82">
        <v>13</v>
      </c>
      <c r="J496" s="82">
        <v>8</v>
      </c>
      <c r="K496" s="82">
        <v>21</v>
      </c>
      <c r="L496" s="82">
        <v>2</v>
      </c>
      <c r="M496" s="82">
        <v>3</v>
      </c>
      <c r="N496" s="82">
        <v>6</v>
      </c>
      <c r="O496" s="82">
        <v>1</v>
      </c>
      <c r="P496" s="82">
        <v>28</v>
      </c>
      <c r="Q496" s="82">
        <v>361</v>
      </c>
      <c r="R496" s="12" t="s">
        <v>25</v>
      </c>
      <c r="S496" s="12" t="s">
        <v>25</v>
      </c>
      <c r="T496" s="12" t="s">
        <v>25</v>
      </c>
    </row>
    <row r="497" spans="1:20" x14ac:dyDescent="0.3">
      <c r="A497" s="13">
        <v>43908.708333333336</v>
      </c>
      <c r="B497" s="12" t="s">
        <v>22</v>
      </c>
      <c r="C497" s="82">
        <v>1</v>
      </c>
      <c r="D497" s="12" t="s">
        <v>53</v>
      </c>
      <c r="E497" s="82">
        <v>450732745</v>
      </c>
      <c r="F497" s="82">
        <v>7680687483</v>
      </c>
      <c r="G497" s="82">
        <v>1780</v>
      </c>
      <c r="H497" s="82">
        <v>227</v>
      </c>
      <c r="I497" s="82">
        <v>2007</v>
      </c>
      <c r="J497" s="82">
        <v>180</v>
      </c>
      <c r="K497" s="82">
        <v>2187</v>
      </c>
      <c r="L497" s="82">
        <v>423</v>
      </c>
      <c r="M497" s="82">
        <v>444</v>
      </c>
      <c r="N497" s="82">
        <v>0</v>
      </c>
      <c r="O497" s="82">
        <v>154</v>
      </c>
      <c r="P497" s="82">
        <v>2341</v>
      </c>
      <c r="Q497" s="82">
        <v>7516</v>
      </c>
      <c r="R497" s="12" t="s">
        <v>25</v>
      </c>
      <c r="S497" s="12" t="s">
        <v>25</v>
      </c>
      <c r="T497" s="12" t="s">
        <v>25</v>
      </c>
    </row>
    <row r="498" spans="1:20" x14ac:dyDescent="0.3">
      <c r="A498" s="13">
        <v>43908.708333333336</v>
      </c>
      <c r="B498" s="12" t="s">
        <v>22</v>
      </c>
      <c r="C498" s="82">
        <v>16</v>
      </c>
      <c r="D498" s="12" t="s">
        <v>54</v>
      </c>
      <c r="E498" s="82">
        <v>4112559576</v>
      </c>
      <c r="F498" s="82">
        <v>1686736689</v>
      </c>
      <c r="G498" s="82">
        <v>156</v>
      </c>
      <c r="H498" s="82">
        <v>30</v>
      </c>
      <c r="I498" s="82">
        <v>186</v>
      </c>
      <c r="J498" s="82">
        <v>176</v>
      </c>
      <c r="K498" s="82">
        <v>362</v>
      </c>
      <c r="L498" s="82">
        <v>42</v>
      </c>
      <c r="M498" s="82">
        <v>43</v>
      </c>
      <c r="N498" s="82">
        <v>2</v>
      </c>
      <c r="O498" s="82">
        <v>19</v>
      </c>
      <c r="P498" s="82">
        <v>383</v>
      </c>
      <c r="Q498" s="82">
        <v>3433</v>
      </c>
      <c r="R498" s="12" t="s">
        <v>25</v>
      </c>
      <c r="S498" s="12" t="s">
        <v>25</v>
      </c>
      <c r="T498" s="12" t="s">
        <v>25</v>
      </c>
    </row>
    <row r="499" spans="1:20" x14ac:dyDescent="0.3">
      <c r="A499" s="13">
        <v>43908.708333333336</v>
      </c>
      <c r="B499" s="12" t="s">
        <v>22</v>
      </c>
      <c r="C499" s="82">
        <v>20</v>
      </c>
      <c r="D499" s="12" t="s">
        <v>55</v>
      </c>
      <c r="E499" s="82">
        <v>3921531192</v>
      </c>
      <c r="F499" s="82">
        <v>9110616306</v>
      </c>
      <c r="G499" s="82">
        <v>42</v>
      </c>
      <c r="H499" s="82">
        <v>7</v>
      </c>
      <c r="I499" s="82">
        <v>49</v>
      </c>
      <c r="J499" s="82">
        <v>83</v>
      </c>
      <c r="K499" s="82">
        <v>132</v>
      </c>
      <c r="L499" s="82">
        <v>17</v>
      </c>
      <c r="M499" s="82">
        <v>17</v>
      </c>
      <c r="N499" s="82">
        <v>0</v>
      </c>
      <c r="O499" s="82">
        <v>2</v>
      </c>
      <c r="P499" s="82">
        <v>134</v>
      </c>
      <c r="Q499" s="82">
        <v>1135</v>
      </c>
      <c r="R499" s="12" t="s">
        <v>25</v>
      </c>
      <c r="S499" s="12" t="s">
        <v>25</v>
      </c>
      <c r="T499" s="12" t="s">
        <v>25</v>
      </c>
    </row>
    <row r="500" spans="1:20" x14ac:dyDescent="0.3">
      <c r="A500" s="13">
        <v>43908.708333333336</v>
      </c>
      <c r="B500" s="12" t="s">
        <v>22</v>
      </c>
      <c r="C500" s="82">
        <v>19</v>
      </c>
      <c r="D500" s="12" t="s">
        <v>56</v>
      </c>
      <c r="E500" s="82">
        <v>3811569725</v>
      </c>
      <c r="F500" s="82">
        <v>133623567</v>
      </c>
      <c r="G500" s="82">
        <v>100</v>
      </c>
      <c r="H500" s="82">
        <v>29</v>
      </c>
      <c r="I500" s="82">
        <v>129</v>
      </c>
      <c r="J500" s="82">
        <v>138</v>
      </c>
      <c r="K500" s="82">
        <v>267</v>
      </c>
      <c r="L500" s="82">
        <v>41</v>
      </c>
      <c r="M500" s="82">
        <v>45</v>
      </c>
      <c r="N500" s="82">
        <v>12</v>
      </c>
      <c r="O500" s="82">
        <v>3</v>
      </c>
      <c r="P500" s="82">
        <v>282</v>
      </c>
      <c r="Q500" s="82">
        <v>3294</v>
      </c>
      <c r="R500" s="12" t="s">
        <v>25</v>
      </c>
      <c r="S500" s="12" t="s">
        <v>25</v>
      </c>
      <c r="T500" s="12" t="s">
        <v>25</v>
      </c>
    </row>
    <row r="501" spans="1:20" x14ac:dyDescent="0.3">
      <c r="A501" s="13">
        <v>43908.708333333336</v>
      </c>
      <c r="B501" s="12" t="s">
        <v>22</v>
      </c>
      <c r="C501" s="82">
        <v>9</v>
      </c>
      <c r="D501" s="12" t="s">
        <v>57</v>
      </c>
      <c r="E501" s="82">
        <v>4376923077</v>
      </c>
      <c r="F501" s="82">
        <v>1125588885</v>
      </c>
      <c r="G501" s="82">
        <v>427</v>
      </c>
      <c r="H501" s="82">
        <v>160</v>
      </c>
      <c r="I501" s="82">
        <v>587</v>
      </c>
      <c r="J501" s="82">
        <v>704</v>
      </c>
      <c r="K501" s="82">
        <v>1291</v>
      </c>
      <c r="L501" s="82">
        <v>267</v>
      </c>
      <c r="M501" s="82">
        <v>277</v>
      </c>
      <c r="N501" s="82">
        <v>17</v>
      </c>
      <c r="O501" s="82">
        <v>22</v>
      </c>
      <c r="P501" s="82">
        <v>1330</v>
      </c>
      <c r="Q501" s="82">
        <v>7606</v>
      </c>
      <c r="R501" s="12" t="s">
        <v>25</v>
      </c>
      <c r="S501" s="12" t="s">
        <v>25</v>
      </c>
      <c r="T501" s="12" t="s">
        <v>25</v>
      </c>
    </row>
    <row r="502" spans="1:20" x14ac:dyDescent="0.3">
      <c r="A502" s="13">
        <v>43908.708333333336</v>
      </c>
      <c r="B502" s="12" t="s">
        <v>22</v>
      </c>
      <c r="C502" s="82">
        <v>4</v>
      </c>
      <c r="D502" s="12" t="s">
        <v>58</v>
      </c>
      <c r="E502" s="82">
        <v>4606893511</v>
      </c>
      <c r="F502" s="82">
        <v>1112123097</v>
      </c>
      <c r="G502" s="82">
        <v>141</v>
      </c>
      <c r="H502" s="82">
        <v>22</v>
      </c>
      <c r="I502" s="82">
        <v>163</v>
      </c>
      <c r="J502" s="82">
        <v>273</v>
      </c>
      <c r="K502" s="82">
        <v>436</v>
      </c>
      <c r="L502" s="82">
        <v>68</v>
      </c>
      <c r="M502" s="82">
        <v>70</v>
      </c>
      <c r="N502" s="82">
        <v>12</v>
      </c>
      <c r="O502" s="82">
        <v>7</v>
      </c>
      <c r="P502" s="82">
        <v>455</v>
      </c>
      <c r="Q502" s="82">
        <v>2187</v>
      </c>
      <c r="R502" s="12" t="s">
        <v>25</v>
      </c>
      <c r="S502" s="12" t="s">
        <v>25</v>
      </c>
      <c r="T502" s="12" t="s">
        <v>25</v>
      </c>
    </row>
    <row r="503" spans="1:20" x14ac:dyDescent="0.3">
      <c r="A503" s="13">
        <v>43908.708333333336</v>
      </c>
      <c r="B503" s="12" t="s">
        <v>22</v>
      </c>
      <c r="C503" s="82">
        <v>10</v>
      </c>
      <c r="D503" s="12" t="s">
        <v>59</v>
      </c>
      <c r="E503" s="82">
        <v>4310675841</v>
      </c>
      <c r="F503" s="82">
        <v>1238824698</v>
      </c>
      <c r="G503" s="82">
        <v>54</v>
      </c>
      <c r="H503" s="82">
        <v>21</v>
      </c>
      <c r="I503" s="82">
        <v>75</v>
      </c>
      <c r="J503" s="82">
        <v>166</v>
      </c>
      <c r="K503" s="82">
        <v>241</v>
      </c>
      <c r="L503" s="82">
        <v>49</v>
      </c>
      <c r="M503" s="82">
        <v>50</v>
      </c>
      <c r="N503" s="82">
        <v>4</v>
      </c>
      <c r="O503" s="82">
        <v>2</v>
      </c>
      <c r="P503" s="82">
        <v>247</v>
      </c>
      <c r="Q503" s="82">
        <v>1601</v>
      </c>
      <c r="R503" s="12" t="s">
        <v>25</v>
      </c>
      <c r="S503" s="12" t="s">
        <v>25</v>
      </c>
      <c r="T503" s="12" t="s">
        <v>25</v>
      </c>
    </row>
    <row r="504" spans="1:20" x14ac:dyDescent="0.3">
      <c r="A504" s="13">
        <v>43908.708333333336</v>
      </c>
      <c r="B504" s="12" t="s">
        <v>22</v>
      </c>
      <c r="C504" s="82">
        <v>2</v>
      </c>
      <c r="D504" s="12" t="s">
        <v>60</v>
      </c>
      <c r="E504" s="82">
        <v>4573750286</v>
      </c>
      <c r="F504" s="82">
        <v>7320149366</v>
      </c>
      <c r="G504" s="82">
        <v>41</v>
      </c>
      <c r="H504" s="82">
        <v>3</v>
      </c>
      <c r="I504" s="82">
        <v>44</v>
      </c>
      <c r="J504" s="82">
        <v>118</v>
      </c>
      <c r="K504" s="82">
        <v>162</v>
      </c>
      <c r="L504" s="82">
        <v>28</v>
      </c>
      <c r="M504" s="82">
        <v>29</v>
      </c>
      <c r="N504" s="82">
        <v>0</v>
      </c>
      <c r="O504" s="82">
        <v>3</v>
      </c>
      <c r="P504" s="82">
        <v>165</v>
      </c>
      <c r="Q504" s="82">
        <v>486</v>
      </c>
      <c r="R504" s="12" t="s">
        <v>25</v>
      </c>
      <c r="S504" s="12" t="s">
        <v>25</v>
      </c>
      <c r="T504" s="12" t="s">
        <v>25</v>
      </c>
    </row>
    <row r="505" spans="1:20" x14ac:dyDescent="0.3">
      <c r="A505" s="13">
        <v>43908.708333333336</v>
      </c>
      <c r="B505" s="12" t="s">
        <v>22</v>
      </c>
      <c r="C505" s="82">
        <v>5</v>
      </c>
      <c r="D505" s="12" t="s">
        <v>61</v>
      </c>
      <c r="E505" s="82">
        <v>4543490485</v>
      </c>
      <c r="F505" s="82">
        <v>1233845213</v>
      </c>
      <c r="G505" s="82">
        <v>646</v>
      </c>
      <c r="H505" s="82">
        <v>195</v>
      </c>
      <c r="I505" s="82">
        <v>841</v>
      </c>
      <c r="J505" s="82">
        <v>2112</v>
      </c>
      <c r="K505" s="82">
        <v>2953</v>
      </c>
      <c r="L505" s="82">
        <v>465</v>
      </c>
      <c r="M505" s="82">
        <v>510</v>
      </c>
      <c r="N505" s="82">
        <v>167</v>
      </c>
      <c r="O505" s="82">
        <v>94</v>
      </c>
      <c r="P505" s="82">
        <v>3214</v>
      </c>
      <c r="Q505" s="82">
        <v>40841</v>
      </c>
      <c r="R505" s="12" t="s">
        <v>25</v>
      </c>
      <c r="S505" s="12" t="s">
        <v>25</v>
      </c>
      <c r="T505" s="12" t="s">
        <v>25</v>
      </c>
    </row>
    <row r="506" spans="1:20" x14ac:dyDescent="0.3">
      <c r="A506" s="13">
        <v>43909.708333333336</v>
      </c>
      <c r="B506" s="12" t="s">
        <v>22</v>
      </c>
      <c r="C506" s="82">
        <v>13</v>
      </c>
      <c r="D506" s="12" t="s">
        <v>42</v>
      </c>
      <c r="E506" s="82">
        <v>4235122196</v>
      </c>
      <c r="F506" s="82">
        <v>1339843823</v>
      </c>
      <c r="G506" s="82">
        <v>181</v>
      </c>
      <c r="H506" s="82">
        <v>47</v>
      </c>
      <c r="I506" s="82">
        <v>228</v>
      </c>
      <c r="J506" s="82">
        <v>138</v>
      </c>
      <c r="K506" s="82">
        <v>366</v>
      </c>
      <c r="L506" s="82">
        <v>117</v>
      </c>
      <c r="M506" s="82">
        <v>122</v>
      </c>
      <c r="N506" s="82">
        <v>8</v>
      </c>
      <c r="O506" s="82">
        <v>11</v>
      </c>
      <c r="P506" s="82">
        <v>385</v>
      </c>
      <c r="Q506" s="82">
        <v>2409</v>
      </c>
      <c r="R506" s="12" t="s">
        <v>25</v>
      </c>
      <c r="S506" s="12" t="s">
        <v>25</v>
      </c>
      <c r="T506" s="12" t="s">
        <v>25</v>
      </c>
    </row>
    <row r="507" spans="1:20" x14ac:dyDescent="0.3">
      <c r="A507" s="13">
        <v>43909.708333333336</v>
      </c>
      <c r="B507" s="12" t="s">
        <v>22</v>
      </c>
      <c r="C507" s="82">
        <v>17</v>
      </c>
      <c r="D507" s="12" t="s">
        <v>43</v>
      </c>
      <c r="E507" s="82">
        <v>4063947052</v>
      </c>
      <c r="F507" s="82">
        <v>1580514834</v>
      </c>
      <c r="G507" s="82">
        <v>8</v>
      </c>
      <c r="H507" s="82">
        <v>5</v>
      </c>
      <c r="I507" s="82">
        <v>13</v>
      </c>
      <c r="J507" s="82">
        <v>24</v>
      </c>
      <c r="K507" s="82">
        <v>37</v>
      </c>
      <c r="L507" s="82">
        <v>10</v>
      </c>
      <c r="M507" s="82">
        <v>10</v>
      </c>
      <c r="N507" s="82">
        <v>0</v>
      </c>
      <c r="O507" s="82">
        <v>0</v>
      </c>
      <c r="P507" s="82">
        <v>37</v>
      </c>
      <c r="Q507" s="82">
        <v>353</v>
      </c>
      <c r="R507" s="12" t="s">
        <v>25</v>
      </c>
      <c r="S507" s="12" t="s">
        <v>25</v>
      </c>
      <c r="T507" s="12" t="s">
        <v>25</v>
      </c>
    </row>
    <row r="508" spans="1:20" x14ac:dyDescent="0.3">
      <c r="A508" s="13">
        <v>43909.708333333336</v>
      </c>
      <c r="B508" s="12" t="s">
        <v>22</v>
      </c>
      <c r="C508" s="82">
        <v>4</v>
      </c>
      <c r="D508" s="12" t="s">
        <v>44</v>
      </c>
      <c r="E508" s="82">
        <v>4649933453</v>
      </c>
      <c r="F508" s="82">
        <v>1135662422</v>
      </c>
      <c r="G508" s="82">
        <v>87</v>
      </c>
      <c r="H508" s="82">
        <v>18</v>
      </c>
      <c r="I508" s="82">
        <v>105</v>
      </c>
      <c r="J508" s="82">
        <v>316</v>
      </c>
      <c r="K508" s="82">
        <v>421</v>
      </c>
      <c r="L508" s="82">
        <v>55</v>
      </c>
      <c r="M508" s="82">
        <v>60</v>
      </c>
      <c r="N508" s="82">
        <v>1</v>
      </c>
      <c r="O508" s="82">
        <v>14</v>
      </c>
      <c r="P508" s="82">
        <v>436</v>
      </c>
      <c r="Q508" s="82">
        <v>3568</v>
      </c>
      <c r="R508" s="12" t="s">
        <v>25</v>
      </c>
      <c r="S508" s="12" t="s">
        <v>25</v>
      </c>
      <c r="T508" s="12" t="s">
        <v>25</v>
      </c>
    </row>
    <row r="509" spans="1:20" x14ac:dyDescent="0.3">
      <c r="A509" s="13">
        <v>43909.708333333336</v>
      </c>
      <c r="B509" s="12" t="s">
        <v>22</v>
      </c>
      <c r="C509" s="82">
        <v>18</v>
      </c>
      <c r="D509" s="12" t="s">
        <v>45</v>
      </c>
      <c r="E509" s="82">
        <v>3890597598</v>
      </c>
      <c r="F509" s="82">
        <v>1659440194</v>
      </c>
      <c r="G509" s="82">
        <v>60</v>
      </c>
      <c r="H509" s="82">
        <v>13</v>
      </c>
      <c r="I509" s="82">
        <v>73</v>
      </c>
      <c r="J509" s="82">
        <v>91</v>
      </c>
      <c r="K509" s="82">
        <v>164</v>
      </c>
      <c r="L509" s="82">
        <v>38</v>
      </c>
      <c r="M509" s="82">
        <v>40</v>
      </c>
      <c r="N509" s="82">
        <v>2</v>
      </c>
      <c r="O509" s="82">
        <v>3</v>
      </c>
      <c r="P509" s="82">
        <v>169</v>
      </c>
      <c r="Q509" s="82">
        <v>2342</v>
      </c>
      <c r="R509" s="12" t="s">
        <v>25</v>
      </c>
      <c r="S509" s="12" t="s">
        <v>25</v>
      </c>
      <c r="T509" s="12" t="s">
        <v>25</v>
      </c>
    </row>
    <row r="510" spans="1:20" x14ac:dyDescent="0.3">
      <c r="A510" s="13">
        <v>43909.708333333336</v>
      </c>
      <c r="B510" s="12" t="s">
        <v>22</v>
      </c>
      <c r="C510" s="82">
        <v>15</v>
      </c>
      <c r="D510" s="12" t="s">
        <v>46</v>
      </c>
      <c r="E510" s="82">
        <v>4083956555</v>
      </c>
      <c r="F510" s="82">
        <v>1425084984</v>
      </c>
      <c r="G510" s="82">
        <v>213</v>
      </c>
      <c r="H510" s="82">
        <v>36</v>
      </c>
      <c r="I510" s="82">
        <v>249</v>
      </c>
      <c r="J510" s="82">
        <v>356</v>
      </c>
      <c r="K510" s="82">
        <v>605</v>
      </c>
      <c r="L510" s="82">
        <v>182</v>
      </c>
      <c r="M510" s="82">
        <v>192</v>
      </c>
      <c r="N510" s="82">
        <v>30</v>
      </c>
      <c r="O510" s="82">
        <v>17</v>
      </c>
      <c r="P510" s="82">
        <v>652</v>
      </c>
      <c r="Q510" s="82">
        <v>3544</v>
      </c>
      <c r="R510" s="12" t="s">
        <v>25</v>
      </c>
      <c r="S510" s="12" t="s">
        <v>25</v>
      </c>
      <c r="T510" s="12" t="s">
        <v>25</v>
      </c>
    </row>
    <row r="511" spans="1:20" x14ac:dyDescent="0.3">
      <c r="A511" s="13">
        <v>43909.708333333336</v>
      </c>
      <c r="B511" s="12" t="s">
        <v>22</v>
      </c>
      <c r="C511" s="82">
        <v>8</v>
      </c>
      <c r="D511" s="12" t="s">
        <v>95</v>
      </c>
      <c r="E511" s="82">
        <v>4449436681</v>
      </c>
      <c r="F511" s="82">
        <v>113417208</v>
      </c>
      <c r="G511" s="82">
        <v>1900</v>
      </c>
      <c r="H511" s="82">
        <v>260</v>
      </c>
      <c r="I511" s="82">
        <v>2160</v>
      </c>
      <c r="J511" s="82">
        <v>2346</v>
      </c>
      <c r="K511" s="82">
        <v>4506</v>
      </c>
      <c r="L511" s="82">
        <v>591</v>
      </c>
      <c r="M511" s="82">
        <v>689</v>
      </c>
      <c r="N511" s="82">
        <v>177</v>
      </c>
      <c r="O511" s="82">
        <v>531</v>
      </c>
      <c r="P511" s="82">
        <v>5214</v>
      </c>
      <c r="Q511" s="82">
        <v>18344</v>
      </c>
      <c r="R511" s="12" t="s">
        <v>25</v>
      </c>
      <c r="S511" s="12" t="s">
        <v>25</v>
      </c>
      <c r="T511" s="12" t="s">
        <v>25</v>
      </c>
    </row>
    <row r="512" spans="1:20" x14ac:dyDescent="0.3">
      <c r="A512" s="13">
        <v>43909.708333333336</v>
      </c>
      <c r="B512" s="12" t="s">
        <v>22</v>
      </c>
      <c r="C512" s="82">
        <v>6</v>
      </c>
      <c r="D512" s="12" t="s">
        <v>47</v>
      </c>
      <c r="E512" s="82">
        <v>456494354</v>
      </c>
      <c r="F512" s="82">
        <v>1376813649</v>
      </c>
      <c r="G512" s="82">
        <v>134</v>
      </c>
      <c r="H512" s="82">
        <v>29</v>
      </c>
      <c r="I512" s="82">
        <v>163</v>
      </c>
      <c r="J512" s="82">
        <v>359</v>
      </c>
      <c r="K512" s="82">
        <v>522</v>
      </c>
      <c r="L512" s="82">
        <v>106</v>
      </c>
      <c r="M512" s="82">
        <v>137</v>
      </c>
      <c r="N512" s="82">
        <v>41</v>
      </c>
      <c r="O512" s="82">
        <v>36</v>
      </c>
      <c r="P512" s="82">
        <v>599</v>
      </c>
      <c r="Q512" s="82">
        <v>4052</v>
      </c>
      <c r="R512" s="12" t="s">
        <v>25</v>
      </c>
      <c r="S512" s="12" t="s">
        <v>25</v>
      </c>
      <c r="T512" s="12" t="s">
        <v>25</v>
      </c>
    </row>
    <row r="513" spans="1:20" x14ac:dyDescent="0.3">
      <c r="A513" s="13">
        <v>43909.708333333336</v>
      </c>
      <c r="B513" s="12" t="s">
        <v>22</v>
      </c>
      <c r="C513" s="82">
        <v>12</v>
      </c>
      <c r="D513" s="12" t="s">
        <v>48</v>
      </c>
      <c r="E513" s="82">
        <v>4189277044</v>
      </c>
      <c r="F513" s="82">
        <v>1248366722</v>
      </c>
      <c r="G513" s="82">
        <v>426</v>
      </c>
      <c r="H513" s="82">
        <v>45</v>
      </c>
      <c r="I513" s="82">
        <v>471</v>
      </c>
      <c r="J513" s="82">
        <v>270</v>
      </c>
      <c r="K513" s="82">
        <v>741</v>
      </c>
      <c r="L513" s="82">
        <v>91</v>
      </c>
      <c r="M513" s="82">
        <v>99</v>
      </c>
      <c r="N513" s="82">
        <v>44</v>
      </c>
      <c r="O513" s="82">
        <v>38</v>
      </c>
      <c r="P513" s="82">
        <v>823</v>
      </c>
      <c r="Q513" s="82">
        <v>11145</v>
      </c>
      <c r="R513" s="12" t="s">
        <v>25</v>
      </c>
      <c r="S513" s="12" t="s">
        <v>25</v>
      </c>
      <c r="T513" s="12" t="s">
        <v>25</v>
      </c>
    </row>
    <row r="514" spans="1:20" x14ac:dyDescent="0.3">
      <c r="A514" s="13">
        <v>43909.708333333336</v>
      </c>
      <c r="B514" s="12" t="s">
        <v>22</v>
      </c>
      <c r="C514" s="82">
        <v>7</v>
      </c>
      <c r="D514" s="12" t="s">
        <v>49</v>
      </c>
      <c r="E514" s="82">
        <v>4441149315</v>
      </c>
      <c r="F514" s="82">
        <v>89326992</v>
      </c>
      <c r="G514" s="82">
        <v>491</v>
      </c>
      <c r="H514" s="82">
        <v>112</v>
      </c>
      <c r="I514" s="82">
        <v>603</v>
      </c>
      <c r="J514" s="82">
        <v>280</v>
      </c>
      <c r="K514" s="82">
        <v>883</v>
      </c>
      <c r="L514" s="82">
        <v>139</v>
      </c>
      <c r="M514" s="82">
        <v>172</v>
      </c>
      <c r="N514" s="82">
        <v>85</v>
      </c>
      <c r="O514" s="82">
        <v>91</v>
      </c>
      <c r="P514" s="82">
        <v>1059</v>
      </c>
      <c r="Q514" s="82">
        <v>3348</v>
      </c>
      <c r="R514" s="12" t="s">
        <v>25</v>
      </c>
      <c r="S514" s="12" t="s">
        <v>25</v>
      </c>
      <c r="T514" s="12" t="s">
        <v>25</v>
      </c>
    </row>
    <row r="515" spans="1:20" x14ac:dyDescent="0.3">
      <c r="A515" s="13">
        <v>43909.708333333336</v>
      </c>
      <c r="B515" s="12" t="s">
        <v>22</v>
      </c>
      <c r="C515" s="82">
        <v>3</v>
      </c>
      <c r="D515" s="12" t="s">
        <v>50</v>
      </c>
      <c r="E515" s="82">
        <v>4546679409</v>
      </c>
      <c r="F515" s="82">
        <v>9190347404</v>
      </c>
      <c r="G515" s="82">
        <v>7387</v>
      </c>
      <c r="H515" s="82">
        <v>1006</v>
      </c>
      <c r="I515" s="82">
        <v>8393</v>
      </c>
      <c r="J515" s="82">
        <v>5545</v>
      </c>
      <c r="K515" s="82">
        <v>13938</v>
      </c>
      <c r="L515" s="82">
        <v>1672</v>
      </c>
      <c r="M515" s="82">
        <v>2171</v>
      </c>
      <c r="N515" s="82">
        <v>3778</v>
      </c>
      <c r="O515" s="82">
        <v>2168</v>
      </c>
      <c r="P515" s="82">
        <v>19884</v>
      </c>
      <c r="Q515" s="82">
        <v>52244</v>
      </c>
      <c r="R515" s="12" t="s">
        <v>25</v>
      </c>
      <c r="S515" s="12" t="s">
        <v>25</v>
      </c>
      <c r="T515" s="12" t="s">
        <v>25</v>
      </c>
    </row>
    <row r="516" spans="1:20" x14ac:dyDescent="0.3">
      <c r="A516" s="13">
        <v>43909.708333333336</v>
      </c>
      <c r="B516" s="12" t="s">
        <v>22</v>
      </c>
      <c r="C516" s="82">
        <v>11</v>
      </c>
      <c r="D516" s="12" t="s">
        <v>51</v>
      </c>
      <c r="E516" s="82">
        <v>4361675973</v>
      </c>
      <c r="F516" s="82">
        <v>135188753</v>
      </c>
      <c r="G516" s="82">
        <v>656</v>
      </c>
      <c r="H516" s="82">
        <v>141</v>
      </c>
      <c r="I516" s="82">
        <v>797</v>
      </c>
      <c r="J516" s="82">
        <v>825</v>
      </c>
      <c r="K516" s="82">
        <v>1622</v>
      </c>
      <c r="L516" s="82">
        <v>146</v>
      </c>
      <c r="M516" s="82">
        <v>169</v>
      </c>
      <c r="N516" s="82">
        <v>0</v>
      </c>
      <c r="O516" s="82">
        <v>115</v>
      </c>
      <c r="P516" s="82">
        <v>1737</v>
      </c>
      <c r="Q516" s="82">
        <v>4512</v>
      </c>
      <c r="R516" s="12" t="s">
        <v>25</v>
      </c>
      <c r="S516" s="12" t="s">
        <v>25</v>
      </c>
      <c r="T516" s="12" t="s">
        <v>25</v>
      </c>
    </row>
    <row r="517" spans="1:20" x14ac:dyDescent="0.3">
      <c r="A517" s="13">
        <v>43909.708333333336</v>
      </c>
      <c r="B517" s="12" t="s">
        <v>22</v>
      </c>
      <c r="C517" s="82">
        <v>14</v>
      </c>
      <c r="D517" s="12" t="s">
        <v>52</v>
      </c>
      <c r="E517" s="82">
        <v>4155774754</v>
      </c>
      <c r="F517" s="82">
        <v>1465916051</v>
      </c>
      <c r="G517" s="82">
        <v>19</v>
      </c>
      <c r="H517" s="82">
        <v>6</v>
      </c>
      <c r="I517" s="82">
        <v>25</v>
      </c>
      <c r="J517" s="82">
        <v>13</v>
      </c>
      <c r="K517" s="82">
        <v>38</v>
      </c>
      <c r="L517" s="82">
        <v>17</v>
      </c>
      <c r="M517" s="82">
        <v>18</v>
      </c>
      <c r="N517" s="82">
        <v>6</v>
      </c>
      <c r="O517" s="82">
        <v>2</v>
      </c>
      <c r="P517" s="82">
        <v>46</v>
      </c>
      <c r="Q517" s="82">
        <v>426</v>
      </c>
      <c r="R517" s="12" t="s">
        <v>25</v>
      </c>
      <c r="S517" s="12" t="s">
        <v>25</v>
      </c>
      <c r="T517" s="12" t="s">
        <v>25</v>
      </c>
    </row>
    <row r="518" spans="1:20" x14ac:dyDescent="0.3">
      <c r="A518" s="13">
        <v>43909.708333333336</v>
      </c>
      <c r="B518" s="12" t="s">
        <v>22</v>
      </c>
      <c r="C518" s="82">
        <v>1</v>
      </c>
      <c r="D518" s="12" t="s">
        <v>53</v>
      </c>
      <c r="E518" s="82">
        <v>450732745</v>
      </c>
      <c r="F518" s="82">
        <v>7680687483</v>
      </c>
      <c r="G518" s="82">
        <v>2279</v>
      </c>
      <c r="H518" s="82">
        <v>257</v>
      </c>
      <c r="I518" s="82">
        <v>2536</v>
      </c>
      <c r="J518" s="82">
        <v>218</v>
      </c>
      <c r="K518" s="82">
        <v>2754</v>
      </c>
      <c r="L518" s="82">
        <v>567</v>
      </c>
      <c r="M518" s="82">
        <v>591</v>
      </c>
      <c r="N518" s="82">
        <v>3</v>
      </c>
      <c r="O518" s="82">
        <v>175</v>
      </c>
      <c r="P518" s="82">
        <v>2932</v>
      </c>
      <c r="Q518" s="82">
        <v>8853</v>
      </c>
      <c r="R518" s="12" t="s">
        <v>25</v>
      </c>
      <c r="S518" s="12" t="s">
        <v>25</v>
      </c>
      <c r="T518" s="12" t="s">
        <v>25</v>
      </c>
    </row>
    <row r="519" spans="1:20" x14ac:dyDescent="0.3">
      <c r="A519" s="13">
        <v>43909.708333333336</v>
      </c>
      <c r="B519" s="12" t="s">
        <v>22</v>
      </c>
      <c r="C519" s="82">
        <v>16</v>
      </c>
      <c r="D519" s="12" t="s">
        <v>54</v>
      </c>
      <c r="E519" s="82">
        <v>4112559576</v>
      </c>
      <c r="F519" s="82">
        <v>1686736689</v>
      </c>
      <c r="G519" s="82">
        <v>173</v>
      </c>
      <c r="H519" s="82">
        <v>31</v>
      </c>
      <c r="I519" s="82">
        <v>204</v>
      </c>
      <c r="J519" s="82">
        <v>245</v>
      </c>
      <c r="K519" s="82">
        <v>449</v>
      </c>
      <c r="L519" s="82">
        <v>87</v>
      </c>
      <c r="M519" s="82">
        <v>95</v>
      </c>
      <c r="N519" s="82">
        <v>4</v>
      </c>
      <c r="O519" s="82">
        <v>25</v>
      </c>
      <c r="P519" s="82">
        <v>478</v>
      </c>
      <c r="Q519" s="82">
        <v>4046</v>
      </c>
      <c r="R519" s="12" t="s">
        <v>25</v>
      </c>
      <c r="S519" s="12" t="s">
        <v>25</v>
      </c>
      <c r="T519" s="12" t="s">
        <v>25</v>
      </c>
    </row>
    <row r="520" spans="1:20" x14ac:dyDescent="0.3">
      <c r="A520" s="13">
        <v>43909.708333333336</v>
      </c>
      <c r="B520" s="12" t="s">
        <v>22</v>
      </c>
      <c r="C520" s="82">
        <v>20</v>
      </c>
      <c r="D520" s="12" t="s">
        <v>55</v>
      </c>
      <c r="E520" s="82">
        <v>3921531192</v>
      </c>
      <c r="F520" s="82">
        <v>9110616306</v>
      </c>
      <c r="G520" s="82">
        <v>43</v>
      </c>
      <c r="H520" s="82">
        <v>9</v>
      </c>
      <c r="I520" s="82">
        <v>52</v>
      </c>
      <c r="J520" s="82">
        <v>152</v>
      </c>
      <c r="K520" s="82">
        <v>204</v>
      </c>
      <c r="L520" s="82">
        <v>72</v>
      </c>
      <c r="M520" s="82">
        <v>72</v>
      </c>
      <c r="N520" s="82">
        <v>0</v>
      </c>
      <c r="O520" s="82">
        <v>2</v>
      </c>
      <c r="P520" s="82">
        <v>206</v>
      </c>
      <c r="Q520" s="82">
        <v>1334</v>
      </c>
      <c r="R520" s="12" t="s">
        <v>25</v>
      </c>
      <c r="S520" s="12" t="s">
        <v>25</v>
      </c>
      <c r="T520" s="12" t="s">
        <v>25</v>
      </c>
    </row>
    <row r="521" spans="1:20" x14ac:dyDescent="0.3">
      <c r="A521" s="13">
        <v>43909.708333333336</v>
      </c>
      <c r="B521" s="12" t="s">
        <v>22</v>
      </c>
      <c r="C521" s="82">
        <v>19</v>
      </c>
      <c r="D521" s="12" t="s">
        <v>56</v>
      </c>
      <c r="E521" s="82">
        <v>3811569725</v>
      </c>
      <c r="F521" s="82">
        <v>133623567</v>
      </c>
      <c r="G521" s="82">
        <v>143</v>
      </c>
      <c r="H521" s="82">
        <v>36</v>
      </c>
      <c r="I521" s="82">
        <v>179</v>
      </c>
      <c r="J521" s="82">
        <v>142</v>
      </c>
      <c r="K521" s="82">
        <v>321</v>
      </c>
      <c r="L521" s="82">
        <v>54</v>
      </c>
      <c r="M521" s="82">
        <v>58</v>
      </c>
      <c r="N521" s="82">
        <v>15</v>
      </c>
      <c r="O521" s="82">
        <v>4</v>
      </c>
      <c r="P521" s="82">
        <v>340</v>
      </c>
      <c r="Q521" s="82">
        <v>3961</v>
      </c>
      <c r="R521" s="12" t="s">
        <v>25</v>
      </c>
      <c r="S521" s="12" t="s">
        <v>25</v>
      </c>
      <c r="T521" s="12" t="s">
        <v>25</v>
      </c>
    </row>
    <row r="522" spans="1:20" x14ac:dyDescent="0.3">
      <c r="A522" s="13">
        <v>43909.708333333336</v>
      </c>
      <c r="B522" s="12" t="s">
        <v>22</v>
      </c>
      <c r="C522" s="82">
        <v>9</v>
      </c>
      <c r="D522" s="12" t="s">
        <v>57</v>
      </c>
      <c r="E522" s="82">
        <v>4376923077</v>
      </c>
      <c r="F522" s="82">
        <v>1125588885</v>
      </c>
      <c r="G522" s="82">
        <v>501</v>
      </c>
      <c r="H522" s="82">
        <v>178</v>
      </c>
      <c r="I522" s="82">
        <v>679</v>
      </c>
      <c r="J522" s="82">
        <v>743</v>
      </c>
      <c r="K522" s="82">
        <v>1422</v>
      </c>
      <c r="L522" s="82">
        <v>131</v>
      </c>
      <c r="M522" s="82">
        <v>152</v>
      </c>
      <c r="N522" s="82">
        <v>22</v>
      </c>
      <c r="O522" s="82">
        <v>38</v>
      </c>
      <c r="P522" s="82">
        <v>1482</v>
      </c>
      <c r="Q522" s="82">
        <v>8873</v>
      </c>
      <c r="R522" s="12" t="s">
        <v>25</v>
      </c>
      <c r="S522" s="12" t="s">
        <v>25</v>
      </c>
      <c r="T522" s="12" t="s">
        <v>25</v>
      </c>
    </row>
    <row r="523" spans="1:20" x14ac:dyDescent="0.3">
      <c r="A523" s="13">
        <v>43909.708333333336</v>
      </c>
      <c r="B523" s="12" t="s">
        <v>22</v>
      </c>
      <c r="C523" s="82">
        <v>4</v>
      </c>
      <c r="D523" s="12" t="s">
        <v>58</v>
      </c>
      <c r="E523" s="82">
        <v>4606893511</v>
      </c>
      <c r="F523" s="82">
        <v>1112123097</v>
      </c>
      <c r="G523" s="82">
        <v>169</v>
      </c>
      <c r="H523" s="82">
        <v>30</v>
      </c>
      <c r="I523" s="82">
        <v>199</v>
      </c>
      <c r="J523" s="82">
        <v>292</v>
      </c>
      <c r="K523" s="82">
        <v>491</v>
      </c>
      <c r="L523" s="82">
        <v>55</v>
      </c>
      <c r="M523" s="82">
        <v>68</v>
      </c>
      <c r="N523" s="82">
        <v>20</v>
      </c>
      <c r="O523" s="82">
        <v>12</v>
      </c>
      <c r="P523" s="82">
        <v>523</v>
      </c>
      <c r="Q523" s="82">
        <v>2203</v>
      </c>
      <c r="R523" s="12" t="s">
        <v>25</v>
      </c>
      <c r="S523" s="12" t="s">
        <v>25</v>
      </c>
      <c r="T523" s="12" t="s">
        <v>25</v>
      </c>
    </row>
    <row r="524" spans="1:20" x14ac:dyDescent="0.3">
      <c r="A524" s="13">
        <v>43909.708333333336</v>
      </c>
      <c r="B524" s="12" t="s">
        <v>22</v>
      </c>
      <c r="C524" s="82">
        <v>10</v>
      </c>
      <c r="D524" s="12" t="s">
        <v>59</v>
      </c>
      <c r="E524" s="82">
        <v>4310675841</v>
      </c>
      <c r="F524" s="82">
        <v>1238824698</v>
      </c>
      <c r="G524" s="82">
        <v>69</v>
      </c>
      <c r="H524" s="82">
        <v>21</v>
      </c>
      <c r="I524" s="82">
        <v>90</v>
      </c>
      <c r="J524" s="82">
        <v>238</v>
      </c>
      <c r="K524" s="82">
        <v>328</v>
      </c>
      <c r="L524" s="82">
        <v>87</v>
      </c>
      <c r="M524" s="82">
        <v>87</v>
      </c>
      <c r="N524" s="82">
        <v>4</v>
      </c>
      <c r="O524" s="82">
        <v>2</v>
      </c>
      <c r="P524" s="82">
        <v>334</v>
      </c>
      <c r="Q524" s="82">
        <v>1954</v>
      </c>
      <c r="R524" s="12" t="s">
        <v>25</v>
      </c>
      <c r="S524" s="12" t="s">
        <v>25</v>
      </c>
      <c r="T524" s="12" t="s">
        <v>25</v>
      </c>
    </row>
    <row r="525" spans="1:20" x14ac:dyDescent="0.3">
      <c r="A525" s="13">
        <v>43909.708333333336</v>
      </c>
      <c r="B525" s="12" t="s">
        <v>22</v>
      </c>
      <c r="C525" s="82">
        <v>2</v>
      </c>
      <c r="D525" s="12" t="s">
        <v>60</v>
      </c>
      <c r="E525" s="82">
        <v>4573750286</v>
      </c>
      <c r="F525" s="82">
        <v>7320149366</v>
      </c>
      <c r="G525" s="82">
        <v>47</v>
      </c>
      <c r="H525" s="82">
        <v>9</v>
      </c>
      <c r="I525" s="82">
        <v>56</v>
      </c>
      <c r="J525" s="82">
        <v>153</v>
      </c>
      <c r="K525" s="82">
        <v>209</v>
      </c>
      <c r="L525" s="82">
        <v>47</v>
      </c>
      <c r="M525" s="82">
        <v>50</v>
      </c>
      <c r="N525" s="82">
        <v>0</v>
      </c>
      <c r="O525" s="82">
        <v>6</v>
      </c>
      <c r="P525" s="82">
        <v>215</v>
      </c>
      <c r="Q525" s="82">
        <v>608</v>
      </c>
      <c r="R525" s="12" t="s">
        <v>25</v>
      </c>
      <c r="S525" s="12" t="s">
        <v>25</v>
      </c>
      <c r="T525" s="12" t="s">
        <v>25</v>
      </c>
    </row>
    <row r="526" spans="1:20" x14ac:dyDescent="0.3">
      <c r="A526" s="13">
        <v>43909.708333333336</v>
      </c>
      <c r="B526" s="12" t="s">
        <v>22</v>
      </c>
      <c r="C526" s="82">
        <v>5</v>
      </c>
      <c r="D526" s="12" t="s">
        <v>61</v>
      </c>
      <c r="E526" s="82">
        <v>4543490485</v>
      </c>
      <c r="F526" s="82">
        <v>1233845213</v>
      </c>
      <c r="G526" s="82">
        <v>771</v>
      </c>
      <c r="H526" s="82">
        <v>209</v>
      </c>
      <c r="I526" s="82">
        <v>980</v>
      </c>
      <c r="J526" s="82">
        <v>2189</v>
      </c>
      <c r="K526" s="82">
        <v>3169</v>
      </c>
      <c r="L526" s="82">
        <v>216</v>
      </c>
      <c r="M526" s="82">
        <v>270</v>
      </c>
      <c r="N526" s="82">
        <v>200</v>
      </c>
      <c r="O526" s="82">
        <v>115</v>
      </c>
      <c r="P526" s="82">
        <v>3484</v>
      </c>
      <c r="Q526" s="82">
        <v>44658</v>
      </c>
      <c r="R526" s="12" t="s">
        <v>25</v>
      </c>
      <c r="S526" s="12" t="s">
        <v>25</v>
      </c>
      <c r="T526" s="12" t="s">
        <v>25</v>
      </c>
    </row>
    <row r="527" spans="1:20" x14ac:dyDescent="0.3">
      <c r="A527" s="13">
        <v>43910.708333333336</v>
      </c>
      <c r="B527" s="12" t="s">
        <v>22</v>
      </c>
      <c r="C527" s="82">
        <v>13</v>
      </c>
      <c r="D527" s="12" t="s">
        <v>42</v>
      </c>
      <c r="E527" s="82">
        <v>4235122196</v>
      </c>
      <c r="F527" s="82">
        <v>1339843823</v>
      </c>
      <c r="G527" s="82">
        <v>190</v>
      </c>
      <c r="H527" s="82">
        <v>48</v>
      </c>
      <c r="I527" s="82">
        <v>238</v>
      </c>
      <c r="J527" s="82">
        <v>184</v>
      </c>
      <c r="K527" s="82">
        <v>422</v>
      </c>
      <c r="L527" s="82">
        <v>56</v>
      </c>
      <c r="M527" s="82">
        <v>64</v>
      </c>
      <c r="N527" s="82">
        <v>10</v>
      </c>
      <c r="O527" s="82">
        <v>17</v>
      </c>
      <c r="P527" s="82">
        <v>449</v>
      </c>
      <c r="Q527" s="82">
        <v>2695</v>
      </c>
      <c r="R527" s="12" t="s">
        <v>25</v>
      </c>
      <c r="S527" s="12" t="s">
        <v>25</v>
      </c>
      <c r="T527" s="12" t="s">
        <v>25</v>
      </c>
    </row>
    <row r="528" spans="1:20" x14ac:dyDescent="0.3">
      <c r="A528" s="13">
        <v>43910.708333333336</v>
      </c>
      <c r="B528" s="12" t="s">
        <v>22</v>
      </c>
      <c r="C528" s="82">
        <v>17</v>
      </c>
      <c r="D528" s="12" t="s">
        <v>43</v>
      </c>
      <c r="E528" s="82">
        <v>4063947052</v>
      </c>
      <c r="F528" s="82">
        <v>1580514834</v>
      </c>
      <c r="G528" s="82">
        <v>8</v>
      </c>
      <c r="H528" s="82">
        <v>5</v>
      </c>
      <c r="I528" s="82">
        <v>13</v>
      </c>
      <c r="J528" s="82">
        <v>39</v>
      </c>
      <c r="K528" s="82">
        <v>52</v>
      </c>
      <c r="L528" s="82">
        <v>15</v>
      </c>
      <c r="M528" s="82">
        <v>15</v>
      </c>
      <c r="N528" s="82">
        <v>0</v>
      </c>
      <c r="O528" s="82">
        <v>0</v>
      </c>
      <c r="P528" s="82">
        <v>52</v>
      </c>
      <c r="Q528" s="82">
        <v>443</v>
      </c>
      <c r="R528" s="12" t="s">
        <v>25</v>
      </c>
      <c r="S528" s="12" t="s">
        <v>25</v>
      </c>
      <c r="T528" s="12" t="s">
        <v>25</v>
      </c>
    </row>
    <row r="529" spans="1:20" x14ac:dyDescent="0.3">
      <c r="A529" s="13">
        <v>43910.708333333336</v>
      </c>
      <c r="B529" s="12" t="s">
        <v>22</v>
      </c>
      <c r="C529" s="82">
        <v>4</v>
      </c>
      <c r="D529" s="12" t="s">
        <v>44</v>
      </c>
      <c r="E529" s="82">
        <v>4649933453</v>
      </c>
      <c r="F529" s="82">
        <v>1135662422</v>
      </c>
      <c r="G529" s="82">
        <v>99</v>
      </c>
      <c r="H529" s="82">
        <v>24</v>
      </c>
      <c r="I529" s="82">
        <v>123</v>
      </c>
      <c r="J529" s="82">
        <v>407</v>
      </c>
      <c r="K529" s="82">
        <v>530</v>
      </c>
      <c r="L529" s="82">
        <v>109</v>
      </c>
      <c r="M529" s="82">
        <v>112</v>
      </c>
      <c r="N529" s="82">
        <v>1</v>
      </c>
      <c r="O529" s="82">
        <v>17</v>
      </c>
      <c r="P529" s="82">
        <v>548</v>
      </c>
      <c r="Q529" s="82">
        <v>4433</v>
      </c>
      <c r="R529" s="12" t="s">
        <v>25</v>
      </c>
      <c r="S529" s="12" t="s">
        <v>25</v>
      </c>
      <c r="T529" s="12" t="s">
        <v>25</v>
      </c>
    </row>
    <row r="530" spans="1:20" x14ac:dyDescent="0.3">
      <c r="A530" s="13">
        <v>43910.708333333336</v>
      </c>
      <c r="B530" s="12" t="s">
        <v>22</v>
      </c>
      <c r="C530" s="82">
        <v>18</v>
      </c>
      <c r="D530" s="12" t="s">
        <v>45</v>
      </c>
      <c r="E530" s="82">
        <v>3890597598</v>
      </c>
      <c r="F530" s="82">
        <v>1659440194</v>
      </c>
      <c r="G530" s="82">
        <v>71</v>
      </c>
      <c r="H530" s="82">
        <v>16</v>
      </c>
      <c r="I530" s="82">
        <v>87</v>
      </c>
      <c r="J530" s="82">
        <v>114</v>
      </c>
      <c r="K530" s="82">
        <v>201</v>
      </c>
      <c r="L530" s="82">
        <v>37</v>
      </c>
      <c r="M530" s="82">
        <v>38</v>
      </c>
      <c r="N530" s="82">
        <v>2</v>
      </c>
      <c r="O530" s="82">
        <v>4</v>
      </c>
      <c r="P530" s="82">
        <v>207</v>
      </c>
      <c r="Q530" s="82">
        <v>2690</v>
      </c>
      <c r="R530" s="12" t="s">
        <v>25</v>
      </c>
      <c r="S530" s="12" t="s">
        <v>25</v>
      </c>
      <c r="T530" s="12" t="s">
        <v>25</v>
      </c>
    </row>
    <row r="531" spans="1:20" x14ac:dyDescent="0.3">
      <c r="A531" s="13">
        <v>43910.708333333336</v>
      </c>
      <c r="B531" s="12" t="s">
        <v>22</v>
      </c>
      <c r="C531" s="82">
        <v>15</v>
      </c>
      <c r="D531" s="12" t="s">
        <v>46</v>
      </c>
      <c r="E531" s="82">
        <v>4083956555</v>
      </c>
      <c r="F531" s="82">
        <v>1425084984</v>
      </c>
      <c r="G531" s="82">
        <v>130</v>
      </c>
      <c r="H531" s="82">
        <v>41</v>
      </c>
      <c r="I531" s="82">
        <v>171</v>
      </c>
      <c r="J531" s="82">
        <v>531</v>
      </c>
      <c r="K531" s="82">
        <v>702</v>
      </c>
      <c r="L531" s="82">
        <v>97</v>
      </c>
      <c r="M531" s="82">
        <v>97</v>
      </c>
      <c r="N531" s="82">
        <v>30</v>
      </c>
      <c r="O531" s="82">
        <v>17</v>
      </c>
      <c r="P531" s="82">
        <v>749</v>
      </c>
      <c r="Q531" s="82">
        <v>3845</v>
      </c>
      <c r="R531" s="12" t="s">
        <v>25</v>
      </c>
      <c r="S531" s="12" t="s">
        <v>25</v>
      </c>
      <c r="T531" s="12" t="s">
        <v>25</v>
      </c>
    </row>
    <row r="532" spans="1:20" x14ac:dyDescent="0.3">
      <c r="A532" s="13">
        <v>43910.708333333336</v>
      </c>
      <c r="B532" s="12" t="s">
        <v>22</v>
      </c>
      <c r="C532" s="82">
        <v>8</v>
      </c>
      <c r="D532" s="12" t="s">
        <v>95</v>
      </c>
      <c r="E532" s="82">
        <v>4449436681</v>
      </c>
      <c r="F532" s="82">
        <v>113417208</v>
      </c>
      <c r="G532" s="82">
        <v>2083</v>
      </c>
      <c r="H532" s="82">
        <v>267</v>
      </c>
      <c r="I532" s="82">
        <v>2350</v>
      </c>
      <c r="J532" s="82">
        <v>2739</v>
      </c>
      <c r="K532" s="82">
        <v>5089</v>
      </c>
      <c r="L532" s="82">
        <v>583</v>
      </c>
      <c r="M532" s="82">
        <v>754</v>
      </c>
      <c r="N532" s="82">
        <v>239</v>
      </c>
      <c r="O532" s="82">
        <v>640</v>
      </c>
      <c r="P532" s="82">
        <v>5968</v>
      </c>
      <c r="Q532" s="82">
        <v>20753</v>
      </c>
      <c r="R532" s="12" t="s">
        <v>25</v>
      </c>
      <c r="S532" s="12" t="s">
        <v>25</v>
      </c>
      <c r="T532" s="12" t="s">
        <v>25</v>
      </c>
    </row>
    <row r="533" spans="1:20" x14ac:dyDescent="0.3">
      <c r="A533" s="13">
        <v>43910.708333333336</v>
      </c>
      <c r="B533" s="12" t="s">
        <v>22</v>
      </c>
      <c r="C533" s="82">
        <v>6</v>
      </c>
      <c r="D533" s="12" t="s">
        <v>47</v>
      </c>
      <c r="E533" s="82">
        <v>456494354</v>
      </c>
      <c r="F533" s="82">
        <v>1376813649</v>
      </c>
      <c r="G533" s="82">
        <v>143</v>
      </c>
      <c r="H533" s="82">
        <v>32</v>
      </c>
      <c r="I533" s="82">
        <v>175</v>
      </c>
      <c r="J533" s="82">
        <v>380</v>
      </c>
      <c r="K533" s="82">
        <v>555</v>
      </c>
      <c r="L533" s="82">
        <v>33</v>
      </c>
      <c r="M533" s="82">
        <v>57</v>
      </c>
      <c r="N533" s="82">
        <v>63</v>
      </c>
      <c r="O533" s="82">
        <v>38</v>
      </c>
      <c r="P533" s="82">
        <v>656</v>
      </c>
      <c r="Q533" s="82">
        <v>4964</v>
      </c>
      <c r="R533" s="12" t="s">
        <v>25</v>
      </c>
      <c r="S533" s="12" t="s">
        <v>25</v>
      </c>
      <c r="T533" s="12" t="s">
        <v>25</v>
      </c>
    </row>
    <row r="534" spans="1:20" x14ac:dyDescent="0.3">
      <c r="A534" s="13">
        <v>43910.708333333336</v>
      </c>
      <c r="B534" s="12" t="s">
        <v>22</v>
      </c>
      <c r="C534" s="82">
        <v>12</v>
      </c>
      <c r="D534" s="12" t="s">
        <v>48</v>
      </c>
      <c r="E534" s="82">
        <v>4189277044</v>
      </c>
      <c r="F534" s="82">
        <v>1248366722</v>
      </c>
      <c r="G534" s="82">
        <v>537</v>
      </c>
      <c r="H534" s="82">
        <v>47</v>
      </c>
      <c r="I534" s="82">
        <v>584</v>
      </c>
      <c r="J534" s="82">
        <v>328</v>
      </c>
      <c r="K534" s="82">
        <v>912</v>
      </c>
      <c r="L534" s="82">
        <v>171</v>
      </c>
      <c r="M534" s="82">
        <v>185</v>
      </c>
      <c r="N534" s="82">
        <v>53</v>
      </c>
      <c r="O534" s="82">
        <v>43</v>
      </c>
      <c r="P534" s="82">
        <v>1008</v>
      </c>
      <c r="Q534" s="82">
        <v>13889</v>
      </c>
      <c r="R534" s="12" t="s">
        <v>25</v>
      </c>
      <c r="S534" s="12" t="s">
        <v>25</v>
      </c>
      <c r="T534" s="12" t="s">
        <v>25</v>
      </c>
    </row>
    <row r="535" spans="1:20" x14ac:dyDescent="0.3">
      <c r="A535" s="13">
        <v>43910.708333333336</v>
      </c>
      <c r="B535" s="12" t="s">
        <v>22</v>
      </c>
      <c r="C535" s="82">
        <v>7</v>
      </c>
      <c r="D535" s="12" t="s">
        <v>49</v>
      </c>
      <c r="E535" s="82">
        <v>4441149315</v>
      </c>
      <c r="F535" s="82">
        <v>89326992</v>
      </c>
      <c r="G535" s="82">
        <v>573</v>
      </c>
      <c r="H535" s="82">
        <v>121</v>
      </c>
      <c r="I535" s="82">
        <v>694</v>
      </c>
      <c r="J535" s="82">
        <v>307</v>
      </c>
      <c r="K535" s="82">
        <v>1001</v>
      </c>
      <c r="L535" s="82">
        <v>118</v>
      </c>
      <c r="M535" s="82">
        <v>162</v>
      </c>
      <c r="N535" s="82">
        <v>101</v>
      </c>
      <c r="O535" s="82">
        <v>119</v>
      </c>
      <c r="P535" s="82">
        <v>1221</v>
      </c>
      <c r="Q535" s="82">
        <v>3794</v>
      </c>
      <c r="R535" s="12" t="s">
        <v>25</v>
      </c>
      <c r="S535" s="12" t="s">
        <v>25</v>
      </c>
      <c r="T535" s="12" t="s">
        <v>25</v>
      </c>
    </row>
    <row r="536" spans="1:20" x14ac:dyDescent="0.3">
      <c r="A536" s="13">
        <v>43910.708333333336</v>
      </c>
      <c r="B536" s="12" t="s">
        <v>22</v>
      </c>
      <c r="C536" s="82">
        <v>3</v>
      </c>
      <c r="D536" s="12" t="s">
        <v>50</v>
      </c>
      <c r="E536" s="82">
        <v>4546679409</v>
      </c>
      <c r="F536" s="82">
        <v>9190347404</v>
      </c>
      <c r="G536" s="82">
        <v>7735</v>
      </c>
      <c r="H536" s="82">
        <v>1050</v>
      </c>
      <c r="I536" s="82">
        <v>8785</v>
      </c>
      <c r="J536" s="82">
        <v>6635</v>
      </c>
      <c r="K536" s="82">
        <v>15420</v>
      </c>
      <c r="L536" s="82">
        <v>1482</v>
      </c>
      <c r="M536" s="82">
        <v>2380</v>
      </c>
      <c r="N536" s="82">
        <v>4295</v>
      </c>
      <c r="O536" s="82">
        <v>2549</v>
      </c>
      <c r="P536" s="82">
        <v>22264</v>
      </c>
      <c r="Q536" s="82">
        <v>57174</v>
      </c>
      <c r="R536" s="12" t="s">
        <v>25</v>
      </c>
      <c r="S536" s="12" t="s">
        <v>25</v>
      </c>
      <c r="T536" s="12" t="s">
        <v>25</v>
      </c>
    </row>
    <row r="537" spans="1:20" x14ac:dyDescent="0.3">
      <c r="A537" s="13">
        <v>43910.708333333336</v>
      </c>
      <c r="B537" s="12" t="s">
        <v>22</v>
      </c>
      <c r="C537" s="82">
        <v>11</v>
      </c>
      <c r="D537" s="12" t="s">
        <v>51</v>
      </c>
      <c r="E537" s="82">
        <v>4361675973</v>
      </c>
      <c r="F537" s="82">
        <v>135188753</v>
      </c>
      <c r="G537" s="82">
        <v>704</v>
      </c>
      <c r="H537" s="82">
        <v>138</v>
      </c>
      <c r="I537" s="82">
        <v>842</v>
      </c>
      <c r="J537" s="82">
        <v>1002</v>
      </c>
      <c r="K537" s="82">
        <v>1844</v>
      </c>
      <c r="L537" s="82">
        <v>222</v>
      </c>
      <c r="M537" s="82">
        <v>244</v>
      </c>
      <c r="N537" s="82">
        <v>0</v>
      </c>
      <c r="O537" s="82">
        <v>137</v>
      </c>
      <c r="P537" s="82">
        <v>1981</v>
      </c>
      <c r="Q537" s="82">
        <v>5170</v>
      </c>
      <c r="R537" s="12" t="s">
        <v>25</v>
      </c>
      <c r="S537" s="12" t="s">
        <v>25</v>
      </c>
      <c r="T537" s="12" t="s">
        <v>25</v>
      </c>
    </row>
    <row r="538" spans="1:20" x14ac:dyDescent="0.3">
      <c r="A538" s="13">
        <v>43910.708333333336</v>
      </c>
      <c r="B538" s="12" t="s">
        <v>22</v>
      </c>
      <c r="C538" s="82">
        <v>14</v>
      </c>
      <c r="D538" s="12" t="s">
        <v>52</v>
      </c>
      <c r="E538" s="82">
        <v>4155774754</v>
      </c>
      <c r="F538" s="82">
        <v>1465916051</v>
      </c>
      <c r="G538" s="82">
        <v>20</v>
      </c>
      <c r="H538" s="82">
        <v>6</v>
      </c>
      <c r="I538" s="82">
        <v>26</v>
      </c>
      <c r="J538" s="82">
        <v>13</v>
      </c>
      <c r="K538" s="82">
        <v>39</v>
      </c>
      <c r="L538" s="82">
        <v>1</v>
      </c>
      <c r="M538" s="82">
        <v>4</v>
      </c>
      <c r="N538" s="82">
        <v>6</v>
      </c>
      <c r="O538" s="82">
        <v>5</v>
      </c>
      <c r="P538" s="82">
        <v>50</v>
      </c>
      <c r="Q538" s="82">
        <v>426</v>
      </c>
      <c r="R538" s="12" t="s">
        <v>25</v>
      </c>
      <c r="S538" s="12" t="s">
        <v>25</v>
      </c>
      <c r="T538" s="12" t="s">
        <v>25</v>
      </c>
    </row>
    <row r="539" spans="1:20" x14ac:dyDescent="0.3">
      <c r="A539" s="13">
        <v>43910.708333333336</v>
      </c>
      <c r="B539" s="12" t="s">
        <v>22</v>
      </c>
      <c r="C539" s="82">
        <v>1</v>
      </c>
      <c r="D539" s="12" t="s">
        <v>53</v>
      </c>
      <c r="E539" s="82">
        <v>450732745</v>
      </c>
      <c r="F539" s="82">
        <v>7680687483</v>
      </c>
      <c r="G539" s="82">
        <v>1541</v>
      </c>
      <c r="H539" s="82">
        <v>280</v>
      </c>
      <c r="I539" s="82">
        <v>1821</v>
      </c>
      <c r="J539" s="82">
        <v>1423</v>
      </c>
      <c r="K539" s="82">
        <v>3244</v>
      </c>
      <c r="L539" s="82">
        <v>490</v>
      </c>
      <c r="M539" s="82">
        <v>529</v>
      </c>
      <c r="N539" s="82">
        <v>8</v>
      </c>
      <c r="O539" s="82">
        <v>209</v>
      </c>
      <c r="P539" s="82">
        <v>3461</v>
      </c>
      <c r="Q539" s="82">
        <v>9975</v>
      </c>
      <c r="R539" s="12" t="s">
        <v>25</v>
      </c>
      <c r="S539" s="12" t="s">
        <v>25</v>
      </c>
      <c r="T539" s="12" t="s">
        <v>25</v>
      </c>
    </row>
    <row r="540" spans="1:20" x14ac:dyDescent="0.3">
      <c r="A540" s="13">
        <v>43910.708333333336</v>
      </c>
      <c r="B540" s="12" t="s">
        <v>22</v>
      </c>
      <c r="C540" s="82">
        <v>16</v>
      </c>
      <c r="D540" s="12" t="s">
        <v>54</v>
      </c>
      <c r="E540" s="82">
        <v>4112559576</v>
      </c>
      <c r="F540" s="82">
        <v>1686736689</v>
      </c>
      <c r="G540" s="82">
        <v>191</v>
      </c>
      <c r="H540" s="82">
        <v>31</v>
      </c>
      <c r="I540" s="82">
        <v>222</v>
      </c>
      <c r="J540" s="82">
        <v>329</v>
      </c>
      <c r="K540" s="82">
        <v>551</v>
      </c>
      <c r="L540" s="82">
        <v>102</v>
      </c>
      <c r="M540" s="82">
        <v>103</v>
      </c>
      <c r="N540" s="82">
        <v>4</v>
      </c>
      <c r="O540" s="82">
        <v>26</v>
      </c>
      <c r="P540" s="82">
        <v>581</v>
      </c>
      <c r="Q540" s="82">
        <v>4789</v>
      </c>
      <c r="R540" s="12" t="s">
        <v>25</v>
      </c>
      <c r="S540" s="12" t="s">
        <v>25</v>
      </c>
      <c r="T540" s="12" t="s">
        <v>25</v>
      </c>
    </row>
    <row r="541" spans="1:20" x14ac:dyDescent="0.3">
      <c r="A541" s="13">
        <v>43910.708333333336</v>
      </c>
      <c r="B541" s="12" t="s">
        <v>22</v>
      </c>
      <c r="C541" s="82">
        <v>20</v>
      </c>
      <c r="D541" s="12" t="s">
        <v>55</v>
      </c>
      <c r="E541" s="82">
        <v>3921531192</v>
      </c>
      <c r="F541" s="82">
        <v>9110616306</v>
      </c>
      <c r="G541" s="82">
        <v>56</v>
      </c>
      <c r="H541" s="82">
        <v>15</v>
      </c>
      <c r="I541" s="82">
        <v>71</v>
      </c>
      <c r="J541" s="82">
        <v>217</v>
      </c>
      <c r="K541" s="82">
        <v>288</v>
      </c>
      <c r="L541" s="82">
        <v>84</v>
      </c>
      <c r="M541" s="82">
        <v>87</v>
      </c>
      <c r="N541" s="82">
        <v>3</v>
      </c>
      <c r="O541" s="82">
        <v>2</v>
      </c>
      <c r="P541" s="82">
        <v>293</v>
      </c>
      <c r="Q541" s="82">
        <v>1912</v>
      </c>
      <c r="R541" s="12" t="s">
        <v>25</v>
      </c>
      <c r="S541" s="12" t="s">
        <v>25</v>
      </c>
      <c r="T541" s="12" t="s">
        <v>25</v>
      </c>
    </row>
    <row r="542" spans="1:20" x14ac:dyDescent="0.3">
      <c r="A542" s="13">
        <v>43910.708333333336</v>
      </c>
      <c r="B542" s="12" t="s">
        <v>22</v>
      </c>
      <c r="C542" s="82">
        <v>19</v>
      </c>
      <c r="D542" s="12" t="s">
        <v>56</v>
      </c>
      <c r="E542" s="82">
        <v>3811569725</v>
      </c>
      <c r="F542" s="82">
        <v>133623567</v>
      </c>
      <c r="G542" s="82">
        <v>168</v>
      </c>
      <c r="H542" s="82">
        <v>42</v>
      </c>
      <c r="I542" s="82">
        <v>210</v>
      </c>
      <c r="J542" s="82">
        <v>169</v>
      </c>
      <c r="K542" s="82">
        <v>379</v>
      </c>
      <c r="L542" s="82">
        <v>58</v>
      </c>
      <c r="M542" s="82">
        <v>68</v>
      </c>
      <c r="N542" s="82">
        <v>25</v>
      </c>
      <c r="O542" s="82">
        <v>4</v>
      </c>
      <c r="P542" s="82">
        <v>408</v>
      </c>
      <c r="Q542" s="82">
        <v>4468</v>
      </c>
      <c r="R542" s="12" t="s">
        <v>25</v>
      </c>
      <c r="S542" s="12" t="s">
        <v>25</v>
      </c>
      <c r="T542" s="12" t="s">
        <v>25</v>
      </c>
    </row>
    <row r="543" spans="1:20" x14ac:dyDescent="0.3">
      <c r="A543" s="13">
        <v>43910.708333333336</v>
      </c>
      <c r="B543" s="12" t="s">
        <v>22</v>
      </c>
      <c r="C543" s="82">
        <v>9</v>
      </c>
      <c r="D543" s="12" t="s">
        <v>57</v>
      </c>
      <c r="E543" s="82">
        <v>4376923077</v>
      </c>
      <c r="F543" s="82">
        <v>1125588885</v>
      </c>
      <c r="G543" s="82">
        <v>601</v>
      </c>
      <c r="H543" s="82">
        <v>189</v>
      </c>
      <c r="I543" s="82">
        <v>790</v>
      </c>
      <c r="J543" s="82">
        <v>923</v>
      </c>
      <c r="K543" s="82">
        <v>1713</v>
      </c>
      <c r="L543" s="82">
        <v>291</v>
      </c>
      <c r="M543" s="82">
        <v>311</v>
      </c>
      <c r="N543" s="82">
        <v>33</v>
      </c>
      <c r="O543" s="82">
        <v>47</v>
      </c>
      <c r="P543" s="82">
        <v>1793</v>
      </c>
      <c r="Q543" s="82">
        <v>10405</v>
      </c>
      <c r="R543" s="12" t="s">
        <v>25</v>
      </c>
      <c r="S543" s="12" t="s">
        <v>25</v>
      </c>
      <c r="T543" s="12" t="s">
        <v>25</v>
      </c>
    </row>
    <row r="544" spans="1:20" x14ac:dyDescent="0.3">
      <c r="A544" s="13">
        <v>43910.708333333336</v>
      </c>
      <c r="B544" s="12" t="s">
        <v>22</v>
      </c>
      <c r="C544" s="82">
        <v>4</v>
      </c>
      <c r="D544" s="12" t="s">
        <v>58</v>
      </c>
      <c r="E544" s="82">
        <v>4606893511</v>
      </c>
      <c r="F544" s="82">
        <v>1112123097</v>
      </c>
      <c r="G544" s="82">
        <v>198</v>
      </c>
      <c r="H544" s="82">
        <v>34</v>
      </c>
      <c r="I544" s="82">
        <v>232</v>
      </c>
      <c r="J544" s="82">
        <v>368</v>
      </c>
      <c r="K544" s="82">
        <v>600</v>
      </c>
      <c r="L544" s="82">
        <v>109</v>
      </c>
      <c r="M544" s="82">
        <v>119</v>
      </c>
      <c r="N544" s="82">
        <v>29</v>
      </c>
      <c r="O544" s="82">
        <v>13</v>
      </c>
      <c r="P544" s="82">
        <v>642</v>
      </c>
      <c r="Q544" s="82">
        <v>2656</v>
      </c>
      <c r="R544" s="12" t="s">
        <v>25</v>
      </c>
      <c r="S544" s="12" t="s">
        <v>25</v>
      </c>
      <c r="T544" s="12" t="s">
        <v>25</v>
      </c>
    </row>
    <row r="545" spans="1:20" x14ac:dyDescent="0.3">
      <c r="A545" s="13">
        <v>43910.708333333336</v>
      </c>
      <c r="B545" s="12" t="s">
        <v>22</v>
      </c>
      <c r="C545" s="82">
        <v>10</v>
      </c>
      <c r="D545" s="12" t="s">
        <v>59</v>
      </c>
      <c r="E545" s="82">
        <v>4310675841</v>
      </c>
      <c r="F545" s="82">
        <v>1238824698</v>
      </c>
      <c r="G545" s="82">
        <v>75</v>
      </c>
      <c r="H545" s="82">
        <v>24</v>
      </c>
      <c r="I545" s="82">
        <v>99</v>
      </c>
      <c r="J545" s="82">
        <v>285</v>
      </c>
      <c r="K545" s="82">
        <v>384</v>
      </c>
      <c r="L545" s="82">
        <v>56</v>
      </c>
      <c r="M545" s="82">
        <v>61</v>
      </c>
      <c r="N545" s="82">
        <v>4</v>
      </c>
      <c r="O545" s="82">
        <v>7</v>
      </c>
      <c r="P545" s="82">
        <v>395</v>
      </c>
      <c r="Q545" s="82">
        <v>2303</v>
      </c>
      <c r="R545" s="12" t="s">
        <v>25</v>
      </c>
      <c r="S545" s="12" t="s">
        <v>25</v>
      </c>
      <c r="T545" s="12" t="s">
        <v>25</v>
      </c>
    </row>
    <row r="546" spans="1:20" x14ac:dyDescent="0.3">
      <c r="A546" s="13">
        <v>43910.708333333336</v>
      </c>
      <c r="B546" s="12" t="s">
        <v>22</v>
      </c>
      <c r="C546" s="82">
        <v>2</v>
      </c>
      <c r="D546" s="12" t="s">
        <v>60</v>
      </c>
      <c r="E546" s="82">
        <v>4573750286</v>
      </c>
      <c r="F546" s="82">
        <v>7320149366</v>
      </c>
      <c r="G546" s="82">
        <v>54</v>
      </c>
      <c r="H546" s="82">
        <v>9</v>
      </c>
      <c r="I546" s="82">
        <v>63</v>
      </c>
      <c r="J546" s="82">
        <v>194</v>
      </c>
      <c r="K546" s="82">
        <v>257</v>
      </c>
      <c r="L546" s="82">
        <v>48</v>
      </c>
      <c r="M546" s="82">
        <v>49</v>
      </c>
      <c r="N546" s="82">
        <v>0</v>
      </c>
      <c r="O546" s="82">
        <v>7</v>
      </c>
      <c r="P546" s="82">
        <v>264</v>
      </c>
      <c r="Q546" s="82">
        <v>814</v>
      </c>
      <c r="R546" s="12" t="s">
        <v>25</v>
      </c>
      <c r="S546" s="12" t="s">
        <v>25</v>
      </c>
      <c r="T546" s="12" t="s">
        <v>25</v>
      </c>
    </row>
    <row r="547" spans="1:20" x14ac:dyDescent="0.3">
      <c r="A547" s="13">
        <v>43910.708333333336</v>
      </c>
      <c r="B547" s="12" t="s">
        <v>22</v>
      </c>
      <c r="C547" s="82">
        <v>5</v>
      </c>
      <c r="D547" s="12" t="s">
        <v>61</v>
      </c>
      <c r="E547" s="82">
        <v>4543490485</v>
      </c>
      <c r="F547" s="82">
        <v>1233845213</v>
      </c>
      <c r="G547" s="82">
        <v>843</v>
      </c>
      <c r="H547" s="82">
        <v>236</v>
      </c>
      <c r="I547" s="82">
        <v>1079</v>
      </c>
      <c r="J547" s="82">
        <v>2598</v>
      </c>
      <c r="K547" s="82">
        <v>3677</v>
      </c>
      <c r="L547" s="82">
        <v>508</v>
      </c>
      <c r="M547" s="82">
        <v>547</v>
      </c>
      <c r="N547" s="82">
        <v>223</v>
      </c>
      <c r="O547" s="82">
        <v>131</v>
      </c>
      <c r="P547" s="82">
        <v>4031</v>
      </c>
      <c r="Q547" s="82">
        <v>49288</v>
      </c>
      <c r="R547" s="12" t="s">
        <v>25</v>
      </c>
      <c r="S547" s="12" t="s">
        <v>25</v>
      </c>
      <c r="T547" s="12" t="s">
        <v>25</v>
      </c>
    </row>
    <row r="548" spans="1:20" x14ac:dyDescent="0.3">
      <c r="A548" s="13">
        <v>43911.708333333336</v>
      </c>
      <c r="B548" s="12" t="s">
        <v>22</v>
      </c>
      <c r="C548" s="82">
        <v>13</v>
      </c>
      <c r="D548" s="12" t="s">
        <v>42</v>
      </c>
      <c r="E548" s="82">
        <v>4235122196</v>
      </c>
      <c r="F548" s="82">
        <v>1339843823</v>
      </c>
      <c r="G548" s="82">
        <v>185</v>
      </c>
      <c r="H548" s="82">
        <v>44</v>
      </c>
      <c r="I548" s="82">
        <v>229</v>
      </c>
      <c r="J548" s="82">
        <v>265</v>
      </c>
      <c r="K548" s="82">
        <v>494</v>
      </c>
      <c r="L548" s="82">
        <v>72</v>
      </c>
      <c r="M548" s="82">
        <v>80</v>
      </c>
      <c r="N548" s="82">
        <v>13</v>
      </c>
      <c r="O548" s="82">
        <v>22</v>
      </c>
      <c r="P548" s="82">
        <v>529</v>
      </c>
      <c r="Q548" s="82">
        <v>3035</v>
      </c>
      <c r="R548" s="12" t="s">
        <v>25</v>
      </c>
      <c r="S548" s="12" t="s">
        <v>25</v>
      </c>
      <c r="T548" s="12" t="s">
        <v>25</v>
      </c>
    </row>
    <row r="549" spans="1:20" x14ac:dyDescent="0.3">
      <c r="A549" s="13">
        <v>43911.708333333336</v>
      </c>
      <c r="B549" s="12" t="s">
        <v>22</v>
      </c>
      <c r="C549" s="82">
        <v>17</v>
      </c>
      <c r="D549" s="12" t="s">
        <v>43</v>
      </c>
      <c r="E549" s="82">
        <v>4063947052</v>
      </c>
      <c r="F549" s="82">
        <v>1580514834</v>
      </c>
      <c r="G549" s="82">
        <v>12</v>
      </c>
      <c r="H549" s="82">
        <v>7</v>
      </c>
      <c r="I549" s="82">
        <v>19</v>
      </c>
      <c r="J549" s="82">
        <v>47</v>
      </c>
      <c r="K549" s="82">
        <v>66</v>
      </c>
      <c r="L549" s="82">
        <v>14</v>
      </c>
      <c r="M549" s="82">
        <v>14</v>
      </c>
      <c r="N549" s="82">
        <v>0</v>
      </c>
      <c r="O549" s="82">
        <v>0</v>
      </c>
      <c r="P549" s="82">
        <v>66</v>
      </c>
      <c r="Q549" s="82">
        <v>522</v>
      </c>
      <c r="R549" s="12" t="s">
        <v>25</v>
      </c>
      <c r="S549" s="12" t="s">
        <v>25</v>
      </c>
      <c r="T549" s="12" t="s">
        <v>25</v>
      </c>
    </row>
    <row r="550" spans="1:20" x14ac:dyDescent="0.3">
      <c r="A550" s="13">
        <v>43911.708333333336</v>
      </c>
      <c r="B550" s="12" t="s">
        <v>22</v>
      </c>
      <c r="C550" s="82">
        <v>4</v>
      </c>
      <c r="D550" s="12" t="s">
        <v>44</v>
      </c>
      <c r="E550" s="82">
        <v>4649933453</v>
      </c>
      <c r="F550" s="82">
        <v>1135662422</v>
      </c>
      <c r="G550" s="82">
        <v>127</v>
      </c>
      <c r="H550" s="82">
        <v>30</v>
      </c>
      <c r="I550" s="82">
        <v>157</v>
      </c>
      <c r="J550" s="82">
        <v>443</v>
      </c>
      <c r="K550" s="82">
        <v>600</v>
      </c>
      <c r="L550" s="82">
        <v>70</v>
      </c>
      <c r="M550" s="82">
        <v>73</v>
      </c>
      <c r="N550" s="82">
        <v>1</v>
      </c>
      <c r="O550" s="82">
        <v>20</v>
      </c>
      <c r="P550" s="82">
        <v>621</v>
      </c>
      <c r="Q550" s="82">
        <v>5179</v>
      </c>
      <c r="R550" s="12" t="s">
        <v>25</v>
      </c>
      <c r="S550" s="12" t="s">
        <v>25</v>
      </c>
      <c r="T550" s="12" t="s">
        <v>25</v>
      </c>
    </row>
    <row r="551" spans="1:20" x14ac:dyDescent="0.3">
      <c r="A551" s="13">
        <v>43911.708333333336</v>
      </c>
      <c r="B551" s="12" t="s">
        <v>22</v>
      </c>
      <c r="C551" s="82">
        <v>18</v>
      </c>
      <c r="D551" s="12" t="s">
        <v>45</v>
      </c>
      <c r="E551" s="82">
        <v>3890597598</v>
      </c>
      <c r="F551" s="82">
        <v>1659440194</v>
      </c>
      <c r="G551" s="82">
        <v>73</v>
      </c>
      <c r="H551" s="82">
        <v>16</v>
      </c>
      <c r="I551" s="82">
        <v>89</v>
      </c>
      <c r="J551" s="82">
        <v>136</v>
      </c>
      <c r="K551" s="82">
        <v>225</v>
      </c>
      <c r="L551" s="82">
        <v>24</v>
      </c>
      <c r="M551" s="82">
        <v>28</v>
      </c>
      <c r="N551" s="82">
        <v>5</v>
      </c>
      <c r="O551" s="82">
        <v>5</v>
      </c>
      <c r="P551" s="82">
        <v>235</v>
      </c>
      <c r="Q551" s="82">
        <v>3050</v>
      </c>
      <c r="R551" s="12" t="s">
        <v>25</v>
      </c>
      <c r="S551" s="12" t="s">
        <v>25</v>
      </c>
      <c r="T551" s="12" t="s">
        <v>25</v>
      </c>
    </row>
    <row r="552" spans="1:20" x14ac:dyDescent="0.3">
      <c r="A552" s="13">
        <v>43911.708333333336</v>
      </c>
      <c r="B552" s="12" t="s">
        <v>22</v>
      </c>
      <c r="C552" s="82">
        <v>15</v>
      </c>
      <c r="D552" s="12" t="s">
        <v>46</v>
      </c>
      <c r="E552" s="82">
        <v>4083956555</v>
      </c>
      <c r="F552" s="82">
        <v>1425084984</v>
      </c>
      <c r="G552" s="82">
        <v>233</v>
      </c>
      <c r="H552" s="82">
        <v>87</v>
      </c>
      <c r="I552" s="82">
        <v>320</v>
      </c>
      <c r="J552" s="82">
        <v>473</v>
      </c>
      <c r="K552" s="82">
        <v>793</v>
      </c>
      <c r="L552" s="82">
        <v>91</v>
      </c>
      <c r="M552" s="82">
        <v>95</v>
      </c>
      <c r="N552" s="82">
        <v>29</v>
      </c>
      <c r="O552" s="82">
        <v>22</v>
      </c>
      <c r="P552" s="82">
        <v>844</v>
      </c>
      <c r="Q552" s="82">
        <v>4448</v>
      </c>
      <c r="R552" s="12" t="s">
        <v>25</v>
      </c>
      <c r="S552" s="12" t="s">
        <v>25</v>
      </c>
      <c r="T552" s="12" t="s">
        <v>25</v>
      </c>
    </row>
    <row r="553" spans="1:20" x14ac:dyDescent="0.3">
      <c r="A553" s="13">
        <v>43911.708333333336</v>
      </c>
      <c r="B553" s="12" t="s">
        <v>22</v>
      </c>
      <c r="C553" s="82">
        <v>8</v>
      </c>
      <c r="D553" s="12" t="s">
        <v>95</v>
      </c>
      <c r="E553" s="82">
        <v>4449436681</v>
      </c>
      <c r="F553" s="82">
        <v>113417208</v>
      </c>
      <c r="G553" s="82">
        <v>2267</v>
      </c>
      <c r="H553" s="82">
        <v>265</v>
      </c>
      <c r="I553" s="82">
        <v>2532</v>
      </c>
      <c r="J553" s="82">
        <v>3129</v>
      </c>
      <c r="K553" s="82">
        <v>5661</v>
      </c>
      <c r="L553" s="82">
        <v>572</v>
      </c>
      <c r="M553" s="82">
        <v>737</v>
      </c>
      <c r="N553" s="82">
        <v>329</v>
      </c>
      <c r="O553" s="82">
        <v>715</v>
      </c>
      <c r="P553" s="82">
        <v>6705</v>
      </c>
      <c r="Q553" s="82">
        <v>24620</v>
      </c>
      <c r="R553" s="12" t="s">
        <v>25</v>
      </c>
      <c r="S553" s="12" t="s">
        <v>25</v>
      </c>
      <c r="T553" s="12" t="s">
        <v>25</v>
      </c>
    </row>
    <row r="554" spans="1:20" x14ac:dyDescent="0.3">
      <c r="A554" s="13">
        <v>43911.708333333336</v>
      </c>
      <c r="B554" s="12" t="s">
        <v>22</v>
      </c>
      <c r="C554" s="82">
        <v>6</v>
      </c>
      <c r="D554" s="12" t="s">
        <v>47</v>
      </c>
      <c r="E554" s="82">
        <v>456494354</v>
      </c>
      <c r="F554" s="82">
        <v>1376813649</v>
      </c>
      <c r="G554" s="82">
        <v>152</v>
      </c>
      <c r="H554" s="82">
        <v>37</v>
      </c>
      <c r="I554" s="82">
        <v>189</v>
      </c>
      <c r="J554" s="82">
        <v>477</v>
      </c>
      <c r="K554" s="82">
        <v>666</v>
      </c>
      <c r="L554" s="82">
        <v>111</v>
      </c>
      <c r="M554" s="82">
        <v>134</v>
      </c>
      <c r="N554" s="82">
        <v>82</v>
      </c>
      <c r="O554" s="82">
        <v>42</v>
      </c>
      <c r="P554" s="82">
        <v>790</v>
      </c>
      <c r="Q554" s="82">
        <v>5955</v>
      </c>
      <c r="R554" s="12" t="s">
        <v>25</v>
      </c>
      <c r="S554" s="12" t="s">
        <v>25</v>
      </c>
      <c r="T554" s="12" t="s">
        <v>25</v>
      </c>
    </row>
    <row r="555" spans="1:20" x14ac:dyDescent="0.3">
      <c r="A555" s="13">
        <v>43911.708333333336</v>
      </c>
      <c r="B555" s="12" t="s">
        <v>22</v>
      </c>
      <c r="C555" s="82">
        <v>12</v>
      </c>
      <c r="D555" s="12" t="s">
        <v>48</v>
      </c>
      <c r="E555" s="82">
        <v>4189277044</v>
      </c>
      <c r="F555" s="82">
        <v>1248366722</v>
      </c>
      <c r="G555" s="82">
        <v>591</v>
      </c>
      <c r="H555" s="82">
        <v>70</v>
      </c>
      <c r="I555" s="82">
        <v>661</v>
      </c>
      <c r="J555" s="82">
        <v>425</v>
      </c>
      <c r="K555" s="82">
        <v>1086</v>
      </c>
      <c r="L555" s="82">
        <v>174</v>
      </c>
      <c r="M555" s="82">
        <v>182</v>
      </c>
      <c r="N555" s="82">
        <v>54</v>
      </c>
      <c r="O555" s="82">
        <v>50</v>
      </c>
      <c r="P555" s="82">
        <v>1190</v>
      </c>
      <c r="Q555" s="82">
        <v>13889</v>
      </c>
      <c r="R555" s="12" t="s">
        <v>25</v>
      </c>
      <c r="S555" s="12" t="s">
        <v>25</v>
      </c>
      <c r="T555" s="12" t="s">
        <v>25</v>
      </c>
    </row>
    <row r="556" spans="1:20" x14ac:dyDescent="0.3">
      <c r="A556" s="13">
        <v>43911.708333333336</v>
      </c>
      <c r="B556" s="12" t="s">
        <v>22</v>
      </c>
      <c r="C556" s="82">
        <v>7</v>
      </c>
      <c r="D556" s="12" t="s">
        <v>49</v>
      </c>
      <c r="E556" s="82">
        <v>4441149315</v>
      </c>
      <c r="F556" s="82">
        <v>89326992</v>
      </c>
      <c r="G556" s="82">
        <v>598</v>
      </c>
      <c r="H556" s="82">
        <v>129</v>
      </c>
      <c r="I556" s="82">
        <v>727</v>
      </c>
      <c r="J556" s="82">
        <v>432</v>
      </c>
      <c r="K556" s="82">
        <v>1159</v>
      </c>
      <c r="L556" s="82">
        <v>158</v>
      </c>
      <c r="M556" s="82">
        <v>215</v>
      </c>
      <c r="N556" s="82">
        <v>125</v>
      </c>
      <c r="O556" s="82">
        <v>152</v>
      </c>
      <c r="P556" s="82">
        <v>1436</v>
      </c>
      <c r="Q556" s="82">
        <v>4304</v>
      </c>
      <c r="R556" s="12" t="s">
        <v>25</v>
      </c>
      <c r="S556" s="12" t="s">
        <v>25</v>
      </c>
      <c r="T556" s="12" t="s">
        <v>25</v>
      </c>
    </row>
    <row r="557" spans="1:20" x14ac:dyDescent="0.3">
      <c r="A557" s="13">
        <v>43911.708333333336</v>
      </c>
      <c r="B557" s="12" t="s">
        <v>22</v>
      </c>
      <c r="C557" s="82">
        <v>3</v>
      </c>
      <c r="D557" s="12" t="s">
        <v>50</v>
      </c>
      <c r="E557" s="82">
        <v>4546679409</v>
      </c>
      <c r="F557" s="82">
        <v>9190347404</v>
      </c>
      <c r="G557" s="82">
        <v>8258</v>
      </c>
      <c r="H557" s="82">
        <v>1093</v>
      </c>
      <c r="I557" s="82">
        <v>9351</v>
      </c>
      <c r="J557" s="82">
        <v>8019</v>
      </c>
      <c r="K557" s="82">
        <v>17370</v>
      </c>
      <c r="L557" s="82">
        <v>1950</v>
      </c>
      <c r="M557" s="82">
        <v>3251</v>
      </c>
      <c r="N557" s="82">
        <v>5050</v>
      </c>
      <c r="O557" s="82">
        <v>3095</v>
      </c>
      <c r="P557" s="82">
        <v>25515</v>
      </c>
      <c r="Q557" s="82">
        <v>66730</v>
      </c>
      <c r="R557" s="12" t="s">
        <v>25</v>
      </c>
      <c r="S557" s="12" t="s">
        <v>25</v>
      </c>
      <c r="T557" s="12" t="s">
        <v>25</v>
      </c>
    </row>
    <row r="558" spans="1:20" x14ac:dyDescent="0.3">
      <c r="A558" s="13">
        <v>43911.708333333336</v>
      </c>
      <c r="B558" s="12" t="s">
        <v>22</v>
      </c>
      <c r="C558" s="82">
        <v>11</v>
      </c>
      <c r="D558" s="12" t="s">
        <v>51</v>
      </c>
      <c r="E558" s="82">
        <v>4361675973</v>
      </c>
      <c r="F558" s="82">
        <v>135188753</v>
      </c>
      <c r="G558" s="82">
        <v>742</v>
      </c>
      <c r="H558" s="82">
        <v>141</v>
      </c>
      <c r="I558" s="82">
        <v>883</v>
      </c>
      <c r="J558" s="82">
        <v>1114</v>
      </c>
      <c r="K558" s="82">
        <v>1997</v>
      </c>
      <c r="L558" s="82">
        <v>153</v>
      </c>
      <c r="M558" s="82">
        <v>172</v>
      </c>
      <c r="N558" s="82">
        <v>2</v>
      </c>
      <c r="O558" s="82">
        <v>154</v>
      </c>
      <c r="P558" s="82">
        <v>2153</v>
      </c>
      <c r="Q558" s="82">
        <v>5740</v>
      </c>
      <c r="R558" s="12" t="s">
        <v>25</v>
      </c>
      <c r="S558" s="12" t="s">
        <v>25</v>
      </c>
      <c r="T558" s="12" t="s">
        <v>25</v>
      </c>
    </row>
    <row r="559" spans="1:20" x14ac:dyDescent="0.3">
      <c r="A559" s="13">
        <v>43911.708333333336</v>
      </c>
      <c r="B559" s="12" t="s">
        <v>22</v>
      </c>
      <c r="C559" s="82">
        <v>14</v>
      </c>
      <c r="D559" s="12" t="s">
        <v>52</v>
      </c>
      <c r="E559" s="82">
        <v>4155774754</v>
      </c>
      <c r="F559" s="82">
        <v>1465916051</v>
      </c>
      <c r="G559" s="82">
        <v>21</v>
      </c>
      <c r="H559" s="82">
        <v>6</v>
      </c>
      <c r="I559" s="82">
        <v>27</v>
      </c>
      <c r="J559" s="82">
        <v>20</v>
      </c>
      <c r="K559" s="82">
        <v>47</v>
      </c>
      <c r="L559" s="82">
        <v>8</v>
      </c>
      <c r="M559" s="82">
        <v>11</v>
      </c>
      <c r="N559" s="82">
        <v>7</v>
      </c>
      <c r="O559" s="82">
        <v>7</v>
      </c>
      <c r="P559" s="82">
        <v>61</v>
      </c>
      <c r="Q559" s="82">
        <v>449</v>
      </c>
      <c r="R559" s="12" t="s">
        <v>25</v>
      </c>
      <c r="S559" s="12" t="s">
        <v>25</v>
      </c>
      <c r="T559" s="12" t="s">
        <v>25</v>
      </c>
    </row>
    <row r="560" spans="1:20" x14ac:dyDescent="0.3">
      <c r="A560" s="13">
        <v>43911.708333333336</v>
      </c>
      <c r="B560" s="12" t="s">
        <v>22</v>
      </c>
      <c r="C560" s="82">
        <v>1</v>
      </c>
      <c r="D560" s="12" t="s">
        <v>53</v>
      </c>
      <c r="E560" s="82">
        <v>450732745</v>
      </c>
      <c r="F560" s="82">
        <v>7680687483</v>
      </c>
      <c r="G560" s="82">
        <v>1976</v>
      </c>
      <c r="H560" s="82">
        <v>301</v>
      </c>
      <c r="I560" s="82">
        <v>2277</v>
      </c>
      <c r="J560" s="82">
        <v>1229</v>
      </c>
      <c r="K560" s="82">
        <v>3506</v>
      </c>
      <c r="L560" s="82">
        <v>262</v>
      </c>
      <c r="M560" s="82">
        <v>291</v>
      </c>
      <c r="N560" s="82">
        <v>8</v>
      </c>
      <c r="O560" s="82">
        <v>238</v>
      </c>
      <c r="P560" s="82">
        <v>3752</v>
      </c>
      <c r="Q560" s="82">
        <v>10701</v>
      </c>
      <c r="R560" s="12" t="s">
        <v>25</v>
      </c>
      <c r="S560" s="12" t="s">
        <v>25</v>
      </c>
      <c r="T560" s="12" t="s">
        <v>25</v>
      </c>
    </row>
    <row r="561" spans="1:20" x14ac:dyDescent="0.3">
      <c r="A561" s="13">
        <v>43911.708333333336</v>
      </c>
      <c r="B561" s="12" t="s">
        <v>22</v>
      </c>
      <c r="C561" s="82">
        <v>16</v>
      </c>
      <c r="D561" s="12" t="s">
        <v>54</v>
      </c>
      <c r="E561" s="82">
        <v>4112559576</v>
      </c>
      <c r="F561" s="82">
        <v>1686736689</v>
      </c>
      <c r="G561" s="82">
        <v>209</v>
      </c>
      <c r="H561" s="82">
        <v>33</v>
      </c>
      <c r="I561" s="82">
        <v>242</v>
      </c>
      <c r="J561" s="82">
        <v>400</v>
      </c>
      <c r="K561" s="82">
        <v>642</v>
      </c>
      <c r="L561" s="82">
        <v>91</v>
      </c>
      <c r="M561" s="82">
        <v>94</v>
      </c>
      <c r="N561" s="82">
        <v>4</v>
      </c>
      <c r="O561" s="82">
        <v>29</v>
      </c>
      <c r="P561" s="82">
        <v>675</v>
      </c>
      <c r="Q561" s="82">
        <v>5617</v>
      </c>
      <c r="R561" s="12" t="s">
        <v>25</v>
      </c>
      <c r="S561" s="12" t="s">
        <v>25</v>
      </c>
      <c r="T561" s="12" t="s">
        <v>25</v>
      </c>
    </row>
    <row r="562" spans="1:20" x14ac:dyDescent="0.3">
      <c r="A562" s="13">
        <v>43911.708333333336</v>
      </c>
      <c r="B562" s="12" t="s">
        <v>22</v>
      </c>
      <c r="C562" s="82">
        <v>20</v>
      </c>
      <c r="D562" s="12" t="s">
        <v>55</v>
      </c>
      <c r="E562" s="82">
        <v>3921531192</v>
      </c>
      <c r="F562" s="82">
        <v>9110616306</v>
      </c>
      <c r="G562" s="82">
        <v>65</v>
      </c>
      <c r="H562" s="82">
        <v>16</v>
      </c>
      <c r="I562" s="82">
        <v>81</v>
      </c>
      <c r="J562" s="82">
        <v>240</v>
      </c>
      <c r="K562" s="82">
        <v>321</v>
      </c>
      <c r="L562" s="82">
        <v>33</v>
      </c>
      <c r="M562" s="82">
        <v>37</v>
      </c>
      <c r="N562" s="82">
        <v>5</v>
      </c>
      <c r="O562" s="82">
        <v>4</v>
      </c>
      <c r="P562" s="82">
        <v>330</v>
      </c>
      <c r="Q562" s="82">
        <v>2297</v>
      </c>
      <c r="R562" s="12" t="s">
        <v>25</v>
      </c>
      <c r="S562" s="12" t="s">
        <v>25</v>
      </c>
      <c r="T562" s="12" t="s">
        <v>25</v>
      </c>
    </row>
    <row r="563" spans="1:20" x14ac:dyDescent="0.3">
      <c r="A563" s="13">
        <v>43911.708333333336</v>
      </c>
      <c r="B563" s="12" t="s">
        <v>22</v>
      </c>
      <c r="C563" s="82">
        <v>19</v>
      </c>
      <c r="D563" s="12" t="s">
        <v>56</v>
      </c>
      <c r="E563" s="82">
        <v>3811569725</v>
      </c>
      <c r="F563" s="82">
        <v>133623567</v>
      </c>
      <c r="G563" s="82">
        <v>206</v>
      </c>
      <c r="H563" s="82">
        <v>48</v>
      </c>
      <c r="I563" s="82">
        <v>254</v>
      </c>
      <c r="J563" s="82">
        <v>204</v>
      </c>
      <c r="K563" s="82">
        <v>458</v>
      </c>
      <c r="L563" s="82">
        <v>79</v>
      </c>
      <c r="M563" s="82">
        <v>82</v>
      </c>
      <c r="N563" s="82">
        <v>26</v>
      </c>
      <c r="O563" s="82">
        <v>6</v>
      </c>
      <c r="P563" s="82">
        <v>490</v>
      </c>
      <c r="Q563" s="82">
        <v>4883</v>
      </c>
      <c r="R563" s="12" t="s">
        <v>25</v>
      </c>
      <c r="S563" s="12" t="s">
        <v>25</v>
      </c>
      <c r="T563" s="12" t="s">
        <v>25</v>
      </c>
    </row>
    <row r="564" spans="1:20" x14ac:dyDescent="0.3">
      <c r="A564" s="13">
        <v>43911.708333333336</v>
      </c>
      <c r="B564" s="12" t="s">
        <v>22</v>
      </c>
      <c r="C564" s="82">
        <v>9</v>
      </c>
      <c r="D564" s="12" t="s">
        <v>57</v>
      </c>
      <c r="E564" s="82">
        <v>4376923077</v>
      </c>
      <c r="F564" s="82">
        <v>1125588885</v>
      </c>
      <c r="G564" s="82">
        <v>664</v>
      </c>
      <c r="H564" s="82">
        <v>202</v>
      </c>
      <c r="I564" s="82">
        <v>866</v>
      </c>
      <c r="J564" s="82">
        <v>1039</v>
      </c>
      <c r="K564" s="82">
        <v>1905</v>
      </c>
      <c r="L564" s="82">
        <v>192</v>
      </c>
      <c r="M564" s="82">
        <v>219</v>
      </c>
      <c r="N564" s="82">
        <v>35</v>
      </c>
      <c r="O564" s="82">
        <v>72</v>
      </c>
      <c r="P564" s="82">
        <v>2012</v>
      </c>
      <c r="Q564" s="82">
        <v>11909</v>
      </c>
      <c r="R564" s="12" t="s">
        <v>25</v>
      </c>
      <c r="S564" s="12" t="s">
        <v>25</v>
      </c>
      <c r="T564" s="12" t="s">
        <v>25</v>
      </c>
    </row>
    <row r="565" spans="1:20" x14ac:dyDescent="0.3">
      <c r="A565" s="13">
        <v>43911.708333333336</v>
      </c>
      <c r="B565" s="12" t="s">
        <v>22</v>
      </c>
      <c r="C565" s="82">
        <v>4</v>
      </c>
      <c r="D565" s="12" t="s">
        <v>58</v>
      </c>
      <c r="E565" s="82">
        <v>4606893511</v>
      </c>
      <c r="F565" s="82">
        <v>1112123097</v>
      </c>
      <c r="G565" s="82">
        <v>233</v>
      </c>
      <c r="H565" s="82">
        <v>39</v>
      </c>
      <c r="I565" s="82">
        <v>272</v>
      </c>
      <c r="J565" s="82">
        <v>448</v>
      </c>
      <c r="K565" s="82">
        <v>720</v>
      </c>
      <c r="L565" s="82">
        <v>120</v>
      </c>
      <c r="M565" s="82">
        <v>140</v>
      </c>
      <c r="N565" s="82">
        <v>34</v>
      </c>
      <c r="O565" s="82">
        <v>28</v>
      </c>
      <c r="P565" s="82">
        <v>782</v>
      </c>
      <c r="Q565" s="82">
        <v>2656</v>
      </c>
      <c r="R565" s="12" t="s">
        <v>25</v>
      </c>
      <c r="S565" s="12" t="s">
        <v>25</v>
      </c>
      <c r="T565" s="12" t="s">
        <v>25</v>
      </c>
    </row>
    <row r="566" spans="1:20" x14ac:dyDescent="0.3">
      <c r="A566" s="13">
        <v>43911.708333333336</v>
      </c>
      <c r="B566" s="12" t="s">
        <v>22</v>
      </c>
      <c r="C566" s="82">
        <v>10</v>
      </c>
      <c r="D566" s="12" t="s">
        <v>59</v>
      </c>
      <c r="E566" s="82">
        <v>4310675841</v>
      </c>
      <c r="F566" s="82">
        <v>1238824698</v>
      </c>
      <c r="G566" s="82">
        <v>92</v>
      </c>
      <c r="H566" s="82">
        <v>29</v>
      </c>
      <c r="I566" s="82">
        <v>121</v>
      </c>
      <c r="J566" s="82">
        <v>326</v>
      </c>
      <c r="K566" s="82">
        <v>447</v>
      </c>
      <c r="L566" s="82">
        <v>63</v>
      </c>
      <c r="M566" s="82">
        <v>67</v>
      </c>
      <c r="N566" s="82">
        <v>5</v>
      </c>
      <c r="O566" s="82">
        <v>10</v>
      </c>
      <c r="P566" s="82">
        <v>462</v>
      </c>
      <c r="Q566" s="82">
        <v>2712</v>
      </c>
      <c r="R566" s="12" t="s">
        <v>25</v>
      </c>
      <c r="S566" s="12" t="s">
        <v>25</v>
      </c>
      <c r="T566" s="12" t="s">
        <v>25</v>
      </c>
    </row>
    <row r="567" spans="1:20" x14ac:dyDescent="0.3">
      <c r="A567" s="13">
        <v>43911.708333333336</v>
      </c>
      <c r="B567" s="12" t="s">
        <v>22</v>
      </c>
      <c r="C567" s="82">
        <v>2</v>
      </c>
      <c r="D567" s="12" t="s">
        <v>60</v>
      </c>
      <c r="E567" s="82">
        <v>4573750286</v>
      </c>
      <c r="F567" s="82">
        <v>7320149366</v>
      </c>
      <c r="G567" s="82">
        <v>62</v>
      </c>
      <c r="H567" s="82">
        <v>15</v>
      </c>
      <c r="I567" s="82">
        <v>77</v>
      </c>
      <c r="J567" s="82">
        <v>227</v>
      </c>
      <c r="K567" s="82">
        <v>304</v>
      </c>
      <c r="L567" s="82">
        <v>47</v>
      </c>
      <c r="M567" s="82">
        <v>49</v>
      </c>
      <c r="N567" s="82">
        <v>1</v>
      </c>
      <c r="O567" s="82">
        <v>8</v>
      </c>
      <c r="P567" s="82">
        <v>313</v>
      </c>
      <c r="Q567" s="82">
        <v>884</v>
      </c>
      <c r="R567" s="12" t="s">
        <v>25</v>
      </c>
      <c r="S567" s="12" t="s">
        <v>25</v>
      </c>
      <c r="T567" s="12" t="s">
        <v>25</v>
      </c>
    </row>
    <row r="568" spans="1:20" x14ac:dyDescent="0.3">
      <c r="A568" s="13">
        <v>43911.708333333336</v>
      </c>
      <c r="B568" s="12" t="s">
        <v>22</v>
      </c>
      <c r="C568" s="82">
        <v>5</v>
      </c>
      <c r="D568" s="12" t="s">
        <v>61</v>
      </c>
      <c r="E568" s="82">
        <v>4543490485</v>
      </c>
      <c r="F568" s="82">
        <v>1233845213</v>
      </c>
      <c r="G568" s="82">
        <v>942</v>
      </c>
      <c r="H568" s="82">
        <v>249</v>
      </c>
      <c r="I568" s="82">
        <v>1191</v>
      </c>
      <c r="J568" s="82">
        <v>3023</v>
      </c>
      <c r="K568" s="82">
        <v>4214</v>
      </c>
      <c r="L568" s="82">
        <v>537</v>
      </c>
      <c r="M568" s="82">
        <v>586</v>
      </c>
      <c r="N568" s="82">
        <v>257</v>
      </c>
      <c r="O568" s="82">
        <v>146</v>
      </c>
      <c r="P568" s="82">
        <v>4617</v>
      </c>
      <c r="Q568" s="82">
        <v>53642</v>
      </c>
      <c r="R568" s="12" t="s">
        <v>25</v>
      </c>
      <c r="S568" s="12" t="s">
        <v>25</v>
      </c>
      <c r="T568" s="12" t="s">
        <v>25</v>
      </c>
    </row>
    <row r="569" spans="1:20" x14ac:dyDescent="0.3">
      <c r="A569" s="13">
        <v>43912.708333333336</v>
      </c>
      <c r="B569" s="12" t="s">
        <v>22</v>
      </c>
      <c r="C569" s="82">
        <v>13</v>
      </c>
      <c r="D569" s="12" t="s">
        <v>42</v>
      </c>
      <c r="E569" s="82">
        <v>4235122196</v>
      </c>
      <c r="F569" s="82">
        <v>1339843823</v>
      </c>
      <c r="G569" s="82">
        <v>218</v>
      </c>
      <c r="H569" s="82">
        <v>49</v>
      </c>
      <c r="I569" s="82">
        <v>267</v>
      </c>
      <c r="J569" s="82">
        <v>272</v>
      </c>
      <c r="K569" s="82">
        <v>539</v>
      </c>
      <c r="L569" s="82">
        <v>45</v>
      </c>
      <c r="M569" s="82">
        <v>58</v>
      </c>
      <c r="N569" s="82">
        <v>15</v>
      </c>
      <c r="O569" s="82">
        <v>33</v>
      </c>
      <c r="P569" s="82">
        <v>587</v>
      </c>
      <c r="Q569" s="82">
        <v>3375</v>
      </c>
      <c r="R569" s="12" t="s">
        <v>25</v>
      </c>
      <c r="S569" s="12" t="s">
        <v>25</v>
      </c>
      <c r="T569" s="12" t="s">
        <v>25</v>
      </c>
    </row>
    <row r="570" spans="1:20" x14ac:dyDescent="0.3">
      <c r="A570" s="13">
        <v>43912.708333333336</v>
      </c>
      <c r="B570" s="12" t="s">
        <v>22</v>
      </c>
      <c r="C570" s="82">
        <v>17</v>
      </c>
      <c r="D570" s="12" t="s">
        <v>43</v>
      </c>
      <c r="E570" s="82">
        <v>4063947052</v>
      </c>
      <c r="F570" s="82">
        <v>1580514834</v>
      </c>
      <c r="G570" s="82">
        <v>13</v>
      </c>
      <c r="H570" s="82">
        <v>10</v>
      </c>
      <c r="I570" s="82">
        <v>23</v>
      </c>
      <c r="J570" s="82">
        <v>58</v>
      </c>
      <c r="K570" s="82">
        <v>81</v>
      </c>
      <c r="L570" s="82">
        <v>15</v>
      </c>
      <c r="M570" s="82">
        <v>15</v>
      </c>
      <c r="N570" s="82">
        <v>0</v>
      </c>
      <c r="O570" s="82">
        <v>0</v>
      </c>
      <c r="P570" s="82">
        <v>81</v>
      </c>
      <c r="Q570" s="82">
        <v>643</v>
      </c>
      <c r="R570" s="12" t="s">
        <v>25</v>
      </c>
      <c r="S570" s="12" t="s">
        <v>25</v>
      </c>
      <c r="T570" s="12" t="s">
        <v>25</v>
      </c>
    </row>
    <row r="571" spans="1:20" x14ac:dyDescent="0.3">
      <c r="A571" s="13">
        <v>43912.708333333336</v>
      </c>
      <c r="B571" s="12" t="s">
        <v>22</v>
      </c>
      <c r="C571" s="82">
        <v>4</v>
      </c>
      <c r="D571" s="12" t="s">
        <v>44</v>
      </c>
      <c r="E571" s="82">
        <v>4649933453</v>
      </c>
      <c r="F571" s="82">
        <v>1135662422</v>
      </c>
      <c r="G571" s="82">
        <v>146</v>
      </c>
      <c r="H571" s="82">
        <v>32</v>
      </c>
      <c r="I571" s="82">
        <v>178</v>
      </c>
      <c r="J571" s="82">
        <v>470</v>
      </c>
      <c r="K571" s="82">
        <v>648</v>
      </c>
      <c r="L571" s="82">
        <v>48</v>
      </c>
      <c r="M571" s="82">
        <v>57</v>
      </c>
      <c r="N571" s="82">
        <v>7</v>
      </c>
      <c r="O571" s="82">
        <v>23</v>
      </c>
      <c r="P571" s="82">
        <v>678</v>
      </c>
      <c r="Q571" s="82">
        <v>5718</v>
      </c>
      <c r="R571" s="12" t="s">
        <v>25</v>
      </c>
      <c r="S571" s="12" t="s">
        <v>25</v>
      </c>
      <c r="T571" s="12" t="s">
        <v>25</v>
      </c>
    </row>
    <row r="572" spans="1:20" x14ac:dyDescent="0.3">
      <c r="A572" s="13">
        <v>43912.708333333336</v>
      </c>
      <c r="B572" s="12" t="s">
        <v>22</v>
      </c>
      <c r="C572" s="82">
        <v>18</v>
      </c>
      <c r="D572" s="12" t="s">
        <v>45</v>
      </c>
      <c r="E572" s="82">
        <v>3890597598</v>
      </c>
      <c r="F572" s="82">
        <v>1659440194</v>
      </c>
      <c r="G572" s="82">
        <v>77</v>
      </c>
      <c r="H572" s="82">
        <v>17</v>
      </c>
      <c r="I572" s="82">
        <v>94</v>
      </c>
      <c r="J572" s="82">
        <v>166</v>
      </c>
      <c r="K572" s="82">
        <v>260</v>
      </c>
      <c r="L572" s="82">
        <v>35</v>
      </c>
      <c r="M572" s="82">
        <v>38</v>
      </c>
      <c r="N572" s="82">
        <v>5</v>
      </c>
      <c r="O572" s="82">
        <v>8</v>
      </c>
      <c r="P572" s="82">
        <v>273</v>
      </c>
      <c r="Q572" s="82">
        <v>3666</v>
      </c>
      <c r="R572" s="12" t="s">
        <v>25</v>
      </c>
      <c r="S572" s="12" t="s">
        <v>25</v>
      </c>
      <c r="T572" s="12" t="s">
        <v>25</v>
      </c>
    </row>
    <row r="573" spans="1:20" x14ac:dyDescent="0.3">
      <c r="A573" s="13">
        <v>43912.708333333336</v>
      </c>
      <c r="B573" s="12" t="s">
        <v>22</v>
      </c>
      <c r="C573" s="82">
        <v>15</v>
      </c>
      <c r="D573" s="12" t="s">
        <v>46</v>
      </c>
      <c r="E573" s="82">
        <v>4083956555</v>
      </c>
      <c r="F573" s="82">
        <v>1425084984</v>
      </c>
      <c r="G573" s="82">
        <v>243</v>
      </c>
      <c r="H573" s="82">
        <v>99</v>
      </c>
      <c r="I573" s="82">
        <v>342</v>
      </c>
      <c r="J573" s="82">
        <v>524</v>
      </c>
      <c r="K573" s="82">
        <v>866</v>
      </c>
      <c r="L573" s="82">
        <v>73</v>
      </c>
      <c r="M573" s="82">
        <v>92</v>
      </c>
      <c r="N573" s="82">
        <v>41</v>
      </c>
      <c r="O573" s="82">
        <v>29</v>
      </c>
      <c r="P573" s="82">
        <v>936</v>
      </c>
      <c r="Q573" s="82">
        <v>4943</v>
      </c>
      <c r="R573" s="12" t="s">
        <v>25</v>
      </c>
      <c r="S573" s="12" t="s">
        <v>25</v>
      </c>
      <c r="T573" s="12" t="s">
        <v>25</v>
      </c>
    </row>
    <row r="574" spans="1:20" x14ac:dyDescent="0.3">
      <c r="A574" s="13">
        <v>43912.708333333336</v>
      </c>
      <c r="B574" s="12" t="s">
        <v>22</v>
      </c>
      <c r="C574" s="82">
        <v>8</v>
      </c>
      <c r="D574" s="12" t="s">
        <v>95</v>
      </c>
      <c r="E574" s="82">
        <v>4449436681</v>
      </c>
      <c r="F574" s="82">
        <v>113417208</v>
      </c>
      <c r="G574" s="82">
        <v>2429</v>
      </c>
      <c r="H574" s="82">
        <v>269</v>
      </c>
      <c r="I574" s="82">
        <v>2698</v>
      </c>
      <c r="J574" s="82">
        <v>3692</v>
      </c>
      <c r="K574" s="82">
        <v>6390</v>
      </c>
      <c r="L574" s="82">
        <v>729</v>
      </c>
      <c r="M574" s="82">
        <v>850</v>
      </c>
      <c r="N574" s="82">
        <v>349</v>
      </c>
      <c r="O574" s="82">
        <v>816</v>
      </c>
      <c r="P574" s="82">
        <v>7555</v>
      </c>
      <c r="Q574" s="82">
        <v>28022</v>
      </c>
      <c r="R574" s="12" t="s">
        <v>25</v>
      </c>
      <c r="S574" s="12" t="s">
        <v>25</v>
      </c>
      <c r="T574" s="12" t="s">
        <v>25</v>
      </c>
    </row>
    <row r="575" spans="1:20" x14ac:dyDescent="0.3">
      <c r="A575" s="13">
        <v>43912.708333333336</v>
      </c>
      <c r="B575" s="12" t="s">
        <v>22</v>
      </c>
      <c r="C575" s="82">
        <v>6</v>
      </c>
      <c r="D575" s="12" t="s">
        <v>47</v>
      </c>
      <c r="E575" s="82">
        <v>456494354</v>
      </c>
      <c r="F575" s="82">
        <v>1376813649</v>
      </c>
      <c r="G575" s="82">
        <v>163</v>
      </c>
      <c r="H575" s="82">
        <v>47</v>
      </c>
      <c r="I575" s="82">
        <v>210</v>
      </c>
      <c r="J575" s="82">
        <v>528</v>
      </c>
      <c r="K575" s="82">
        <v>738</v>
      </c>
      <c r="L575" s="82">
        <v>72</v>
      </c>
      <c r="M575" s="82">
        <v>84</v>
      </c>
      <c r="N575" s="82">
        <v>89</v>
      </c>
      <c r="O575" s="82">
        <v>47</v>
      </c>
      <c r="P575" s="82">
        <v>874</v>
      </c>
      <c r="Q575" s="82">
        <v>6761</v>
      </c>
      <c r="R575" s="12" t="s">
        <v>25</v>
      </c>
      <c r="S575" s="12" t="s">
        <v>25</v>
      </c>
      <c r="T575" s="12" t="s">
        <v>25</v>
      </c>
    </row>
    <row r="576" spans="1:20" x14ac:dyDescent="0.3">
      <c r="A576" s="13">
        <v>43912.708333333336</v>
      </c>
      <c r="B576" s="12" t="s">
        <v>22</v>
      </c>
      <c r="C576" s="82">
        <v>12</v>
      </c>
      <c r="D576" s="12" t="s">
        <v>48</v>
      </c>
      <c r="E576" s="82">
        <v>4189277044</v>
      </c>
      <c r="F576" s="82">
        <v>1248366722</v>
      </c>
      <c r="G576" s="82">
        <v>671</v>
      </c>
      <c r="H576" s="82">
        <v>79</v>
      </c>
      <c r="I576" s="82">
        <v>750</v>
      </c>
      <c r="J576" s="82">
        <v>522</v>
      </c>
      <c r="K576" s="82">
        <v>1272</v>
      </c>
      <c r="L576" s="82">
        <v>186</v>
      </c>
      <c r="M576" s="82">
        <v>193</v>
      </c>
      <c r="N576" s="82">
        <v>58</v>
      </c>
      <c r="O576" s="82">
        <v>53</v>
      </c>
      <c r="P576" s="82">
        <v>1383</v>
      </c>
      <c r="Q576" s="82">
        <v>17845</v>
      </c>
      <c r="R576" s="12" t="s">
        <v>25</v>
      </c>
      <c r="S576" s="12" t="s">
        <v>25</v>
      </c>
      <c r="T576" s="12" t="s">
        <v>25</v>
      </c>
    </row>
    <row r="577" spans="1:20" x14ac:dyDescent="0.3">
      <c r="A577" s="13">
        <v>43912.708333333336</v>
      </c>
      <c r="B577" s="12" t="s">
        <v>22</v>
      </c>
      <c r="C577" s="82">
        <v>7</v>
      </c>
      <c r="D577" s="12" t="s">
        <v>49</v>
      </c>
      <c r="E577" s="82">
        <v>4441149315</v>
      </c>
      <c r="F577" s="82">
        <v>89326992</v>
      </c>
      <c r="G577" s="82">
        <v>736</v>
      </c>
      <c r="H577" s="82">
        <v>132</v>
      </c>
      <c r="I577" s="82">
        <v>868</v>
      </c>
      <c r="J577" s="82">
        <v>483</v>
      </c>
      <c r="K577" s="82">
        <v>1351</v>
      </c>
      <c r="L577" s="82">
        <v>192</v>
      </c>
      <c r="M577" s="82">
        <v>229</v>
      </c>
      <c r="N577" s="82">
        <v>143</v>
      </c>
      <c r="O577" s="82">
        <v>171</v>
      </c>
      <c r="P577" s="82">
        <v>1665</v>
      </c>
      <c r="Q577" s="82">
        <v>4995</v>
      </c>
      <c r="R577" s="12" t="s">
        <v>25</v>
      </c>
      <c r="S577" s="12" t="s">
        <v>25</v>
      </c>
      <c r="T577" s="12" t="s">
        <v>25</v>
      </c>
    </row>
    <row r="578" spans="1:20" x14ac:dyDescent="0.3">
      <c r="A578" s="13">
        <v>43912.708333333336</v>
      </c>
      <c r="B578" s="12" t="s">
        <v>22</v>
      </c>
      <c r="C578" s="82">
        <v>3</v>
      </c>
      <c r="D578" s="12" t="s">
        <v>50</v>
      </c>
      <c r="E578" s="82">
        <v>4546679409</v>
      </c>
      <c r="F578" s="82">
        <v>9190347404</v>
      </c>
      <c r="G578" s="82">
        <v>9439</v>
      </c>
      <c r="H578" s="82">
        <v>1142</v>
      </c>
      <c r="I578" s="82">
        <v>10581</v>
      </c>
      <c r="J578" s="82">
        <v>7304</v>
      </c>
      <c r="K578" s="82">
        <v>17885</v>
      </c>
      <c r="L578" s="82">
        <v>515</v>
      </c>
      <c r="M578" s="82">
        <v>1691</v>
      </c>
      <c r="N578" s="82">
        <v>5865</v>
      </c>
      <c r="O578" s="82">
        <v>3456</v>
      </c>
      <c r="P578" s="82">
        <v>27206</v>
      </c>
      <c r="Q578" s="82">
        <v>70598</v>
      </c>
      <c r="R578" s="12" t="s">
        <v>25</v>
      </c>
      <c r="S578" s="12" t="s">
        <v>25</v>
      </c>
      <c r="T578" s="12" t="s">
        <v>25</v>
      </c>
    </row>
    <row r="579" spans="1:20" x14ac:dyDescent="0.3">
      <c r="A579" s="13">
        <v>43912.708333333336</v>
      </c>
      <c r="B579" s="12" t="s">
        <v>22</v>
      </c>
      <c r="C579" s="82">
        <v>11</v>
      </c>
      <c r="D579" s="12" t="s">
        <v>51</v>
      </c>
      <c r="E579" s="82">
        <v>4361675973</v>
      </c>
      <c r="F579" s="82">
        <v>135188753</v>
      </c>
      <c r="G579" s="82">
        <v>816</v>
      </c>
      <c r="H579" s="82">
        <v>138</v>
      </c>
      <c r="I579" s="82">
        <v>954</v>
      </c>
      <c r="J579" s="82">
        <v>1277</v>
      </c>
      <c r="K579" s="82">
        <v>2231</v>
      </c>
      <c r="L579" s="82">
        <v>234</v>
      </c>
      <c r="M579" s="82">
        <v>268</v>
      </c>
      <c r="N579" s="82">
        <v>6</v>
      </c>
      <c r="O579" s="82">
        <v>184</v>
      </c>
      <c r="P579" s="82">
        <v>2421</v>
      </c>
      <c r="Q579" s="82">
        <v>6391</v>
      </c>
      <c r="R579" s="12" t="s">
        <v>25</v>
      </c>
      <c r="S579" s="12" t="s">
        <v>25</v>
      </c>
      <c r="T579" s="12" t="s">
        <v>25</v>
      </c>
    </row>
    <row r="580" spans="1:20" x14ac:dyDescent="0.3">
      <c r="A580" s="13">
        <v>43912.708333333336</v>
      </c>
      <c r="B580" s="12" t="s">
        <v>22</v>
      </c>
      <c r="C580" s="82">
        <v>14</v>
      </c>
      <c r="D580" s="12" t="s">
        <v>52</v>
      </c>
      <c r="E580" s="82">
        <v>4155774754</v>
      </c>
      <c r="F580" s="82">
        <v>1465916051</v>
      </c>
      <c r="G580" s="82">
        <v>24</v>
      </c>
      <c r="H580" s="82">
        <v>7</v>
      </c>
      <c r="I580" s="82">
        <v>31</v>
      </c>
      <c r="J580" s="82">
        <v>21</v>
      </c>
      <c r="K580" s="82">
        <v>52</v>
      </c>
      <c r="L580" s="82">
        <v>5</v>
      </c>
      <c r="M580" s="82">
        <v>5</v>
      </c>
      <c r="N580" s="82">
        <v>7</v>
      </c>
      <c r="O580" s="82">
        <v>7</v>
      </c>
      <c r="P580" s="82">
        <v>66</v>
      </c>
      <c r="Q580" s="82">
        <v>532</v>
      </c>
      <c r="R580" s="12" t="s">
        <v>25</v>
      </c>
      <c r="S580" s="12" t="s">
        <v>25</v>
      </c>
      <c r="T580" s="12" t="s">
        <v>25</v>
      </c>
    </row>
    <row r="581" spans="1:20" x14ac:dyDescent="0.3">
      <c r="A581" s="13">
        <v>43912.708333333336</v>
      </c>
      <c r="B581" s="12" t="s">
        <v>22</v>
      </c>
      <c r="C581" s="82">
        <v>1</v>
      </c>
      <c r="D581" s="12" t="s">
        <v>53</v>
      </c>
      <c r="E581" s="82">
        <v>450732745</v>
      </c>
      <c r="F581" s="82">
        <v>7680687483</v>
      </c>
      <c r="G581" s="82">
        <v>2118</v>
      </c>
      <c r="H581" s="82">
        <v>308</v>
      </c>
      <c r="I581" s="82">
        <v>2426</v>
      </c>
      <c r="J581" s="82">
        <v>1701</v>
      </c>
      <c r="K581" s="82">
        <v>4127</v>
      </c>
      <c r="L581" s="82">
        <v>621</v>
      </c>
      <c r="M581" s="82">
        <v>668</v>
      </c>
      <c r="N581" s="82">
        <v>10</v>
      </c>
      <c r="O581" s="82">
        <v>283</v>
      </c>
      <c r="P581" s="82">
        <v>4420</v>
      </c>
      <c r="Q581" s="82">
        <v>12701</v>
      </c>
      <c r="R581" s="12" t="s">
        <v>25</v>
      </c>
      <c r="S581" s="12" t="s">
        <v>25</v>
      </c>
      <c r="T581" s="12" t="s">
        <v>25</v>
      </c>
    </row>
    <row r="582" spans="1:20" x14ac:dyDescent="0.3">
      <c r="A582" s="13">
        <v>43912.708333333336</v>
      </c>
      <c r="B582" s="12" t="s">
        <v>22</v>
      </c>
      <c r="C582" s="82">
        <v>16</v>
      </c>
      <c r="D582" s="12" t="s">
        <v>54</v>
      </c>
      <c r="E582" s="82">
        <v>4112559576</v>
      </c>
      <c r="F582" s="82">
        <v>1686736689</v>
      </c>
      <c r="G582" s="82">
        <v>252</v>
      </c>
      <c r="H582" s="82">
        <v>37</v>
      </c>
      <c r="I582" s="82">
        <v>289</v>
      </c>
      <c r="J582" s="82">
        <v>459</v>
      </c>
      <c r="K582" s="82">
        <v>748</v>
      </c>
      <c r="L582" s="82">
        <v>106</v>
      </c>
      <c r="M582" s="82">
        <v>111</v>
      </c>
      <c r="N582" s="82">
        <v>7</v>
      </c>
      <c r="O582" s="82">
        <v>31</v>
      </c>
      <c r="P582" s="82">
        <v>786</v>
      </c>
      <c r="Q582" s="82">
        <v>6160</v>
      </c>
      <c r="R582" s="12" t="s">
        <v>25</v>
      </c>
      <c r="S582" s="12" t="s">
        <v>25</v>
      </c>
      <c r="T582" s="12" t="s">
        <v>25</v>
      </c>
    </row>
    <row r="583" spans="1:20" x14ac:dyDescent="0.3">
      <c r="A583" s="13">
        <v>43912.708333333336</v>
      </c>
      <c r="B583" s="12" t="s">
        <v>22</v>
      </c>
      <c r="C583" s="82">
        <v>20</v>
      </c>
      <c r="D583" s="12" t="s">
        <v>55</v>
      </c>
      <c r="E583" s="82">
        <v>3921531192</v>
      </c>
      <c r="F583" s="82">
        <v>9110616306</v>
      </c>
      <c r="G583" s="82">
        <v>67</v>
      </c>
      <c r="H583" s="82">
        <v>16</v>
      </c>
      <c r="I583" s="82">
        <v>83</v>
      </c>
      <c r="J583" s="82">
        <v>244</v>
      </c>
      <c r="K583" s="82">
        <v>327</v>
      </c>
      <c r="L583" s="82">
        <v>6</v>
      </c>
      <c r="M583" s="82">
        <v>9</v>
      </c>
      <c r="N583" s="82">
        <v>5</v>
      </c>
      <c r="O583" s="82">
        <v>7</v>
      </c>
      <c r="P583" s="82">
        <v>339</v>
      </c>
      <c r="Q583" s="82">
        <v>2402</v>
      </c>
      <c r="R583" s="12" t="s">
        <v>25</v>
      </c>
      <c r="S583" s="12" t="s">
        <v>25</v>
      </c>
      <c r="T583" s="12" t="s">
        <v>25</v>
      </c>
    </row>
    <row r="584" spans="1:20" x14ac:dyDescent="0.3">
      <c r="A584" s="13">
        <v>43912.708333333336</v>
      </c>
      <c r="B584" s="12" t="s">
        <v>22</v>
      </c>
      <c r="C584" s="82">
        <v>19</v>
      </c>
      <c r="D584" s="12" t="s">
        <v>56</v>
      </c>
      <c r="E584" s="82">
        <v>3811569725</v>
      </c>
      <c r="F584" s="82">
        <v>133623567</v>
      </c>
      <c r="G584" s="82">
        <v>220</v>
      </c>
      <c r="H584" s="82">
        <v>55</v>
      </c>
      <c r="I584" s="82">
        <v>275</v>
      </c>
      <c r="J584" s="82">
        <v>321</v>
      </c>
      <c r="K584" s="82">
        <v>596</v>
      </c>
      <c r="L584" s="82">
        <v>138</v>
      </c>
      <c r="M584" s="82">
        <v>140</v>
      </c>
      <c r="N584" s="82">
        <v>26</v>
      </c>
      <c r="O584" s="82">
        <v>8</v>
      </c>
      <c r="P584" s="82">
        <v>630</v>
      </c>
      <c r="Q584" s="82">
        <v>5580</v>
      </c>
      <c r="R584" s="12" t="s">
        <v>25</v>
      </c>
      <c r="S584" s="12" t="s">
        <v>25</v>
      </c>
      <c r="T584" s="12" t="s">
        <v>25</v>
      </c>
    </row>
    <row r="585" spans="1:20" x14ac:dyDescent="0.3">
      <c r="A585" s="13">
        <v>43912.708333333336</v>
      </c>
      <c r="B585" s="12" t="s">
        <v>22</v>
      </c>
      <c r="C585" s="82">
        <v>9</v>
      </c>
      <c r="D585" s="12" t="s">
        <v>57</v>
      </c>
      <c r="E585" s="82">
        <v>4376923077</v>
      </c>
      <c r="F585" s="82">
        <v>1125588885</v>
      </c>
      <c r="G585" s="82">
        <v>706</v>
      </c>
      <c r="H585" s="82">
        <v>215</v>
      </c>
      <c r="I585" s="82">
        <v>921</v>
      </c>
      <c r="J585" s="82">
        <v>1223</v>
      </c>
      <c r="K585" s="82">
        <v>2144</v>
      </c>
      <c r="L585" s="82">
        <v>239</v>
      </c>
      <c r="M585" s="82">
        <v>265</v>
      </c>
      <c r="N585" s="82">
        <v>42</v>
      </c>
      <c r="O585" s="82">
        <v>91</v>
      </c>
      <c r="P585" s="82">
        <v>2277</v>
      </c>
      <c r="Q585" s="82">
        <v>13264</v>
      </c>
      <c r="R585" s="12" t="s">
        <v>25</v>
      </c>
      <c r="S585" s="12" t="s">
        <v>25</v>
      </c>
      <c r="T585" s="12" t="s">
        <v>25</v>
      </c>
    </row>
    <row r="586" spans="1:20" x14ac:dyDescent="0.3">
      <c r="A586" s="13">
        <v>43912.708333333336</v>
      </c>
      <c r="B586" s="12" t="s">
        <v>22</v>
      </c>
      <c r="C586" s="82">
        <v>4</v>
      </c>
      <c r="D586" s="12" t="s">
        <v>58</v>
      </c>
      <c r="E586" s="82">
        <v>4606893511</v>
      </c>
      <c r="F586" s="82">
        <v>1112123097</v>
      </c>
      <c r="G586" s="82">
        <v>235</v>
      </c>
      <c r="H586" s="82">
        <v>46</v>
      </c>
      <c r="I586" s="82">
        <v>281</v>
      </c>
      <c r="J586" s="82">
        <v>604</v>
      </c>
      <c r="K586" s="82">
        <v>885</v>
      </c>
      <c r="L586" s="82">
        <v>165</v>
      </c>
      <c r="M586" s="82">
        <v>172</v>
      </c>
      <c r="N586" s="82">
        <v>34</v>
      </c>
      <c r="O586" s="82">
        <v>35</v>
      </c>
      <c r="P586" s="82">
        <v>954</v>
      </c>
      <c r="Q586" s="82">
        <v>3050</v>
      </c>
      <c r="R586" s="12" t="s">
        <v>25</v>
      </c>
      <c r="S586" s="12" t="s">
        <v>25</v>
      </c>
      <c r="T586" s="12" t="s">
        <v>25</v>
      </c>
    </row>
    <row r="587" spans="1:20" x14ac:dyDescent="0.3">
      <c r="A587" s="13">
        <v>43912.708333333336</v>
      </c>
      <c r="B587" s="12" t="s">
        <v>22</v>
      </c>
      <c r="C587" s="82">
        <v>10</v>
      </c>
      <c r="D587" s="12" t="s">
        <v>59</v>
      </c>
      <c r="E587" s="82">
        <v>4310675841</v>
      </c>
      <c r="F587" s="82">
        <v>1238824698</v>
      </c>
      <c r="G587" s="82">
        <v>97</v>
      </c>
      <c r="H587" s="82">
        <v>35</v>
      </c>
      <c r="I587" s="82">
        <v>132</v>
      </c>
      <c r="J587" s="82">
        <v>368</v>
      </c>
      <c r="K587" s="82">
        <v>500</v>
      </c>
      <c r="L587" s="82">
        <v>53</v>
      </c>
      <c r="M587" s="82">
        <v>59</v>
      </c>
      <c r="N587" s="82">
        <v>5</v>
      </c>
      <c r="O587" s="82">
        <v>16</v>
      </c>
      <c r="P587" s="82">
        <v>521</v>
      </c>
      <c r="Q587" s="82">
        <v>3135</v>
      </c>
      <c r="R587" s="12" t="s">
        <v>25</v>
      </c>
      <c r="S587" s="12" t="s">
        <v>25</v>
      </c>
      <c r="T587" s="12" t="s">
        <v>25</v>
      </c>
    </row>
    <row r="588" spans="1:20" x14ac:dyDescent="0.3">
      <c r="A588" s="13">
        <v>43912.708333333336</v>
      </c>
      <c r="B588" s="12" t="s">
        <v>22</v>
      </c>
      <c r="C588" s="82">
        <v>2</v>
      </c>
      <c r="D588" s="12" t="s">
        <v>60</v>
      </c>
      <c r="E588" s="82">
        <v>4573750286</v>
      </c>
      <c r="F588" s="82">
        <v>7320149366</v>
      </c>
      <c r="G588" s="82">
        <v>63</v>
      </c>
      <c r="H588" s="82">
        <v>21</v>
      </c>
      <c r="I588" s="82">
        <v>84</v>
      </c>
      <c r="J588" s="82">
        <v>270</v>
      </c>
      <c r="K588" s="82">
        <v>354</v>
      </c>
      <c r="L588" s="82">
        <v>50</v>
      </c>
      <c r="M588" s="82">
        <v>51</v>
      </c>
      <c r="N588" s="82">
        <v>1</v>
      </c>
      <c r="O588" s="82">
        <v>9</v>
      </c>
      <c r="P588" s="82">
        <v>364</v>
      </c>
      <c r="Q588" s="82">
        <v>950</v>
      </c>
      <c r="R588" s="12" t="s">
        <v>25</v>
      </c>
      <c r="S588" s="12" t="s">
        <v>25</v>
      </c>
      <c r="T588" s="12" t="s">
        <v>25</v>
      </c>
    </row>
    <row r="589" spans="1:20" x14ac:dyDescent="0.3">
      <c r="A589" s="13">
        <v>43912.708333333336</v>
      </c>
      <c r="B589" s="12" t="s">
        <v>22</v>
      </c>
      <c r="C589" s="82">
        <v>5</v>
      </c>
      <c r="D589" s="12" t="s">
        <v>61</v>
      </c>
      <c r="E589" s="82">
        <v>4543490485</v>
      </c>
      <c r="F589" s="82">
        <v>1233845213</v>
      </c>
      <c r="G589" s="82">
        <v>1113</v>
      </c>
      <c r="H589" s="82">
        <v>255</v>
      </c>
      <c r="I589" s="82">
        <v>1368</v>
      </c>
      <c r="J589" s="82">
        <v>3276</v>
      </c>
      <c r="K589" s="82">
        <v>4644</v>
      </c>
      <c r="L589" s="82">
        <v>430</v>
      </c>
      <c r="M589" s="82">
        <v>505</v>
      </c>
      <c r="N589" s="82">
        <v>309</v>
      </c>
      <c r="O589" s="82">
        <v>169</v>
      </c>
      <c r="P589" s="82">
        <v>5122</v>
      </c>
      <c r="Q589" s="82">
        <v>57671</v>
      </c>
      <c r="R589" s="12" t="s">
        <v>25</v>
      </c>
      <c r="S589" s="12" t="s">
        <v>25</v>
      </c>
      <c r="T589" s="12" t="s">
        <v>25</v>
      </c>
    </row>
    <row r="590" spans="1:20" x14ac:dyDescent="0.3">
      <c r="A590" s="13">
        <v>43913.708333333336</v>
      </c>
      <c r="B590" s="12" t="s">
        <v>22</v>
      </c>
      <c r="C590" s="82">
        <v>13</v>
      </c>
      <c r="D590" s="12" t="s">
        <v>42</v>
      </c>
      <c r="E590" s="82">
        <v>4235122196</v>
      </c>
      <c r="F590" s="82">
        <v>1339843823</v>
      </c>
      <c r="G590" s="82">
        <v>228</v>
      </c>
      <c r="H590" s="82">
        <v>52</v>
      </c>
      <c r="I590" s="82">
        <v>280</v>
      </c>
      <c r="J590" s="82">
        <v>325</v>
      </c>
      <c r="K590" s="82">
        <v>605</v>
      </c>
      <c r="L590" s="82">
        <v>66</v>
      </c>
      <c r="M590" s="82">
        <v>76</v>
      </c>
      <c r="N590" s="82">
        <v>20</v>
      </c>
      <c r="O590" s="82">
        <v>38</v>
      </c>
      <c r="P590" s="82">
        <v>663</v>
      </c>
      <c r="Q590" s="82">
        <v>3674</v>
      </c>
      <c r="R590" s="12" t="s">
        <v>25</v>
      </c>
      <c r="S590" s="12" t="s">
        <v>25</v>
      </c>
      <c r="T590" s="12" t="s">
        <v>25</v>
      </c>
    </row>
    <row r="591" spans="1:20" x14ac:dyDescent="0.3">
      <c r="A591" s="13">
        <v>43913.708333333336</v>
      </c>
      <c r="B591" s="12" t="s">
        <v>22</v>
      </c>
      <c r="C591" s="82">
        <v>17</v>
      </c>
      <c r="D591" s="12" t="s">
        <v>43</v>
      </c>
      <c r="E591" s="82">
        <v>4063947052</v>
      </c>
      <c r="F591" s="82">
        <v>1580514834</v>
      </c>
      <c r="G591" s="82">
        <v>15</v>
      </c>
      <c r="H591" s="82">
        <v>12</v>
      </c>
      <c r="I591" s="82">
        <v>27</v>
      </c>
      <c r="J591" s="82">
        <v>62</v>
      </c>
      <c r="K591" s="82">
        <v>89</v>
      </c>
      <c r="L591" s="82">
        <v>8</v>
      </c>
      <c r="M591" s="82">
        <v>9</v>
      </c>
      <c r="N591" s="82">
        <v>0</v>
      </c>
      <c r="O591" s="82">
        <v>1</v>
      </c>
      <c r="P591" s="82">
        <v>90</v>
      </c>
      <c r="Q591" s="82">
        <v>696</v>
      </c>
      <c r="R591" s="12" t="s">
        <v>25</v>
      </c>
      <c r="S591" s="12" t="s">
        <v>25</v>
      </c>
      <c r="T591" s="12" t="s">
        <v>25</v>
      </c>
    </row>
    <row r="592" spans="1:20" x14ac:dyDescent="0.3">
      <c r="A592" s="13">
        <v>43913.708333333336</v>
      </c>
      <c r="B592" s="12" t="s">
        <v>22</v>
      </c>
      <c r="C592" s="82">
        <v>4</v>
      </c>
      <c r="D592" s="12" t="s">
        <v>44</v>
      </c>
      <c r="E592" s="82">
        <v>4649933453</v>
      </c>
      <c r="F592" s="82">
        <v>1135662422</v>
      </c>
      <c r="G592" s="82">
        <v>145</v>
      </c>
      <c r="H592" s="82">
        <v>33</v>
      </c>
      <c r="I592" s="82">
        <v>178</v>
      </c>
      <c r="J592" s="82">
        <v>510</v>
      </c>
      <c r="K592" s="82">
        <v>688</v>
      </c>
      <c r="L592" s="82">
        <v>40</v>
      </c>
      <c r="M592" s="82">
        <v>46</v>
      </c>
      <c r="N592" s="82">
        <v>7</v>
      </c>
      <c r="O592" s="82">
        <v>29</v>
      </c>
      <c r="P592" s="82">
        <v>724</v>
      </c>
      <c r="Q592" s="82">
        <v>6084</v>
      </c>
      <c r="R592" s="12" t="s">
        <v>25</v>
      </c>
      <c r="S592" s="12" t="s">
        <v>25</v>
      </c>
      <c r="T592" s="12" t="s">
        <v>25</v>
      </c>
    </row>
    <row r="593" spans="1:20" x14ac:dyDescent="0.3">
      <c r="A593" s="13">
        <v>43913.708333333336</v>
      </c>
      <c r="B593" s="12" t="s">
        <v>22</v>
      </c>
      <c r="C593" s="82">
        <v>18</v>
      </c>
      <c r="D593" s="12" t="s">
        <v>45</v>
      </c>
      <c r="E593" s="82">
        <v>3890597598</v>
      </c>
      <c r="F593" s="82">
        <v>1659440194</v>
      </c>
      <c r="G593" s="82">
        <v>82</v>
      </c>
      <c r="H593" s="82">
        <v>20</v>
      </c>
      <c r="I593" s="82">
        <v>102</v>
      </c>
      <c r="J593" s="82">
        <v>178</v>
      </c>
      <c r="K593" s="82">
        <v>280</v>
      </c>
      <c r="L593" s="82">
        <v>20</v>
      </c>
      <c r="M593" s="82">
        <v>19</v>
      </c>
      <c r="N593" s="82">
        <v>5</v>
      </c>
      <c r="O593" s="82">
        <v>7</v>
      </c>
      <c r="P593" s="82">
        <v>292</v>
      </c>
      <c r="Q593" s="82">
        <v>4073</v>
      </c>
      <c r="R593" s="12" t="s">
        <v>25</v>
      </c>
      <c r="S593" s="12" t="s">
        <v>25</v>
      </c>
      <c r="T593" s="12" t="s">
        <v>25</v>
      </c>
    </row>
    <row r="594" spans="1:20" x14ac:dyDescent="0.3">
      <c r="A594" s="13">
        <v>43913.708333333336</v>
      </c>
      <c r="B594" s="12" t="s">
        <v>22</v>
      </c>
      <c r="C594" s="82">
        <v>15</v>
      </c>
      <c r="D594" s="12" t="s">
        <v>46</v>
      </c>
      <c r="E594" s="82">
        <v>4083956555</v>
      </c>
      <c r="F594" s="82">
        <v>1425084984</v>
      </c>
      <c r="G594" s="82">
        <v>266</v>
      </c>
      <c r="H594" s="82">
        <v>110</v>
      </c>
      <c r="I594" s="82">
        <v>376</v>
      </c>
      <c r="J594" s="82">
        <v>553</v>
      </c>
      <c r="K594" s="82">
        <v>929</v>
      </c>
      <c r="L594" s="82">
        <v>63</v>
      </c>
      <c r="M594" s="82">
        <v>90</v>
      </c>
      <c r="N594" s="82">
        <v>48</v>
      </c>
      <c r="O594" s="82">
        <v>49</v>
      </c>
      <c r="P594" s="82">
        <v>1026</v>
      </c>
      <c r="Q594" s="82">
        <v>5813</v>
      </c>
      <c r="R594" s="12" t="s">
        <v>25</v>
      </c>
      <c r="S594" s="12" t="s">
        <v>25</v>
      </c>
      <c r="T594" s="12" t="s">
        <v>25</v>
      </c>
    </row>
    <row r="595" spans="1:20" x14ac:dyDescent="0.3">
      <c r="A595" s="13">
        <v>43913.708333333336</v>
      </c>
      <c r="B595" s="12" t="s">
        <v>22</v>
      </c>
      <c r="C595" s="82">
        <v>8</v>
      </c>
      <c r="D595" s="12" t="s">
        <v>95</v>
      </c>
      <c r="E595" s="82">
        <v>4449436681</v>
      </c>
      <c r="F595" s="82">
        <v>113417208</v>
      </c>
      <c r="G595" s="82">
        <v>2846</v>
      </c>
      <c r="H595" s="82">
        <v>276</v>
      </c>
      <c r="I595" s="82">
        <v>3122</v>
      </c>
      <c r="J595" s="82">
        <v>4098</v>
      </c>
      <c r="K595" s="82">
        <v>7220</v>
      </c>
      <c r="L595" s="82">
        <v>830</v>
      </c>
      <c r="M595" s="82">
        <v>980</v>
      </c>
      <c r="N595" s="82">
        <v>423</v>
      </c>
      <c r="O595" s="82">
        <v>892</v>
      </c>
      <c r="P595" s="82">
        <v>8535</v>
      </c>
      <c r="Q595" s="82">
        <v>31200</v>
      </c>
      <c r="R595" s="12" t="s">
        <v>25</v>
      </c>
      <c r="S595" s="12" t="s">
        <v>25</v>
      </c>
      <c r="T595" s="12" t="s">
        <v>25</v>
      </c>
    </row>
    <row r="596" spans="1:20" x14ac:dyDescent="0.3">
      <c r="A596" s="13">
        <v>43913.708333333336</v>
      </c>
      <c r="B596" s="12" t="s">
        <v>22</v>
      </c>
      <c r="C596" s="82">
        <v>6</v>
      </c>
      <c r="D596" s="12" t="s">
        <v>47</v>
      </c>
      <c r="E596" s="82">
        <v>456494354</v>
      </c>
      <c r="F596" s="82">
        <v>1376813649</v>
      </c>
      <c r="G596" s="82">
        <v>185</v>
      </c>
      <c r="H596" s="82">
        <v>41</v>
      </c>
      <c r="I596" s="82">
        <v>226</v>
      </c>
      <c r="J596" s="82">
        <v>545</v>
      </c>
      <c r="K596" s="82">
        <v>771</v>
      </c>
      <c r="L596" s="82">
        <v>33</v>
      </c>
      <c r="M596" s="82">
        <v>56</v>
      </c>
      <c r="N596" s="82">
        <v>105</v>
      </c>
      <c r="O596" s="82">
        <v>54</v>
      </c>
      <c r="P596" s="82">
        <v>930</v>
      </c>
      <c r="Q596" s="82">
        <v>7424</v>
      </c>
      <c r="R596" s="12" t="s">
        <v>25</v>
      </c>
      <c r="S596" s="12" t="s">
        <v>25</v>
      </c>
      <c r="T596" s="12" t="s">
        <v>25</v>
      </c>
    </row>
    <row r="597" spans="1:20" x14ac:dyDescent="0.3">
      <c r="A597" s="13">
        <v>43913.708333333336</v>
      </c>
      <c r="B597" s="12" t="s">
        <v>22</v>
      </c>
      <c r="C597" s="82">
        <v>12</v>
      </c>
      <c r="D597" s="12" t="s">
        <v>48</v>
      </c>
      <c r="E597" s="82">
        <v>4189277044</v>
      </c>
      <c r="F597" s="82">
        <v>1248366722</v>
      </c>
      <c r="G597" s="82">
        <v>718</v>
      </c>
      <c r="H597" s="82">
        <v>96</v>
      </c>
      <c r="I597" s="82">
        <v>814</v>
      </c>
      <c r="J597" s="82">
        <v>600</v>
      </c>
      <c r="K597" s="82">
        <v>1414</v>
      </c>
      <c r="L597" s="82">
        <v>142</v>
      </c>
      <c r="M597" s="82">
        <v>157</v>
      </c>
      <c r="N597" s="82">
        <v>63</v>
      </c>
      <c r="O597" s="82">
        <v>63</v>
      </c>
      <c r="P597" s="82">
        <v>1540</v>
      </c>
      <c r="Q597" s="82">
        <v>18371</v>
      </c>
      <c r="R597" s="12" t="s">
        <v>25</v>
      </c>
      <c r="S597" s="12" t="s">
        <v>25</v>
      </c>
      <c r="T597" s="12" t="s">
        <v>25</v>
      </c>
    </row>
    <row r="598" spans="1:20" x14ac:dyDescent="0.3">
      <c r="A598" s="13">
        <v>43913.708333333336</v>
      </c>
      <c r="B598" s="12" t="s">
        <v>22</v>
      </c>
      <c r="C598" s="82">
        <v>7</v>
      </c>
      <c r="D598" s="12" t="s">
        <v>49</v>
      </c>
      <c r="E598" s="82">
        <v>4441149315</v>
      </c>
      <c r="F598" s="82">
        <v>89326992</v>
      </c>
      <c r="G598" s="82">
        <v>761</v>
      </c>
      <c r="H598" s="82">
        <v>133</v>
      </c>
      <c r="I598" s="82">
        <v>894</v>
      </c>
      <c r="J598" s="82">
        <v>659</v>
      </c>
      <c r="K598" s="82">
        <v>1553</v>
      </c>
      <c r="L598" s="82">
        <v>202</v>
      </c>
      <c r="M598" s="82">
        <v>259</v>
      </c>
      <c r="N598" s="82">
        <v>159</v>
      </c>
      <c r="O598" s="82">
        <v>212</v>
      </c>
      <c r="P598" s="82">
        <v>1924</v>
      </c>
      <c r="Q598" s="82">
        <v>5538</v>
      </c>
      <c r="R598" s="12" t="s">
        <v>25</v>
      </c>
      <c r="S598" s="12" t="s">
        <v>25</v>
      </c>
      <c r="T598" s="12" t="s">
        <v>25</v>
      </c>
    </row>
    <row r="599" spans="1:20" x14ac:dyDescent="0.3">
      <c r="A599" s="13">
        <v>43913.708333333336</v>
      </c>
      <c r="B599" s="12" t="s">
        <v>22</v>
      </c>
      <c r="C599" s="82">
        <v>3</v>
      </c>
      <c r="D599" s="12" t="s">
        <v>50</v>
      </c>
      <c r="E599" s="82">
        <v>4546679409</v>
      </c>
      <c r="F599" s="82">
        <v>9190347404</v>
      </c>
      <c r="G599" s="82">
        <v>9266</v>
      </c>
      <c r="H599" s="82">
        <v>1183</v>
      </c>
      <c r="I599" s="82">
        <v>10449</v>
      </c>
      <c r="J599" s="82">
        <v>8461</v>
      </c>
      <c r="K599" s="82">
        <v>18910</v>
      </c>
      <c r="L599" s="82">
        <v>1025</v>
      </c>
      <c r="M599" s="82">
        <v>1555</v>
      </c>
      <c r="N599" s="82">
        <v>6075</v>
      </c>
      <c r="O599" s="82">
        <v>3776</v>
      </c>
      <c r="P599" s="82">
        <v>28761</v>
      </c>
      <c r="Q599" s="82">
        <v>73242</v>
      </c>
      <c r="R599" s="12" t="s">
        <v>25</v>
      </c>
      <c r="S599" s="12" t="s">
        <v>25</v>
      </c>
      <c r="T599" s="12" t="s">
        <v>25</v>
      </c>
    </row>
    <row r="600" spans="1:20" x14ac:dyDescent="0.3">
      <c r="A600" s="13">
        <v>43913.708333333336</v>
      </c>
      <c r="B600" s="12" t="s">
        <v>22</v>
      </c>
      <c r="C600" s="82">
        <v>11</v>
      </c>
      <c r="D600" s="12" t="s">
        <v>51</v>
      </c>
      <c r="E600" s="82">
        <v>4361675973</v>
      </c>
      <c r="F600" s="82">
        <v>135188753</v>
      </c>
      <c r="G600" s="82">
        <v>882</v>
      </c>
      <c r="H600" s="82">
        <v>148</v>
      </c>
      <c r="I600" s="82">
        <v>1030</v>
      </c>
      <c r="J600" s="82">
        <v>1328</v>
      </c>
      <c r="K600" s="82">
        <v>2358</v>
      </c>
      <c r="L600" s="82">
        <v>127</v>
      </c>
      <c r="M600" s="82">
        <v>148</v>
      </c>
      <c r="N600" s="82">
        <v>8</v>
      </c>
      <c r="O600" s="82">
        <v>203</v>
      </c>
      <c r="P600" s="82">
        <v>2569</v>
      </c>
      <c r="Q600" s="82">
        <v>6782</v>
      </c>
      <c r="R600" s="12" t="s">
        <v>25</v>
      </c>
      <c r="S600" s="12" t="s">
        <v>25</v>
      </c>
      <c r="T600" s="12" t="s">
        <v>25</v>
      </c>
    </row>
    <row r="601" spans="1:20" x14ac:dyDescent="0.3">
      <c r="A601" s="13">
        <v>43913.708333333336</v>
      </c>
      <c r="B601" s="12" t="s">
        <v>22</v>
      </c>
      <c r="C601" s="82">
        <v>14</v>
      </c>
      <c r="D601" s="12" t="s">
        <v>52</v>
      </c>
      <c r="E601" s="82">
        <v>4155774754</v>
      </c>
      <c r="F601" s="82">
        <v>1465916051</v>
      </c>
      <c r="G601" s="82">
        <v>25</v>
      </c>
      <c r="H601" s="82">
        <v>7</v>
      </c>
      <c r="I601" s="82">
        <v>32</v>
      </c>
      <c r="J601" s="82">
        <v>18</v>
      </c>
      <c r="K601" s="82">
        <v>50</v>
      </c>
      <c r="L601" s="82">
        <v>-2</v>
      </c>
      <c r="M601" s="82">
        <v>1</v>
      </c>
      <c r="N601" s="82">
        <v>10</v>
      </c>
      <c r="O601" s="82">
        <v>7</v>
      </c>
      <c r="P601" s="82">
        <v>67</v>
      </c>
      <c r="Q601" s="82">
        <v>532</v>
      </c>
      <c r="R601" s="12" t="s">
        <v>25</v>
      </c>
      <c r="S601" s="12" t="s">
        <v>25</v>
      </c>
      <c r="T601" s="12" t="s">
        <v>25</v>
      </c>
    </row>
    <row r="602" spans="1:20" x14ac:dyDescent="0.3">
      <c r="A602" s="13">
        <v>43913.708333333336</v>
      </c>
      <c r="B602" s="12" t="s">
        <v>22</v>
      </c>
      <c r="C602" s="82">
        <v>1</v>
      </c>
      <c r="D602" s="12" t="s">
        <v>53</v>
      </c>
      <c r="E602" s="82">
        <v>450732745</v>
      </c>
      <c r="F602" s="82">
        <v>7680687483</v>
      </c>
      <c r="G602" s="82">
        <v>2194</v>
      </c>
      <c r="H602" s="82">
        <v>343</v>
      </c>
      <c r="I602" s="82">
        <v>2537</v>
      </c>
      <c r="J602" s="82">
        <v>1992</v>
      </c>
      <c r="K602" s="82">
        <v>4529</v>
      </c>
      <c r="L602" s="82">
        <v>402</v>
      </c>
      <c r="M602" s="82">
        <v>441</v>
      </c>
      <c r="N602" s="82">
        <v>17</v>
      </c>
      <c r="O602" s="82">
        <v>315</v>
      </c>
      <c r="P602" s="82">
        <v>4861</v>
      </c>
      <c r="Q602" s="82">
        <v>13560</v>
      </c>
      <c r="R602" s="12" t="s">
        <v>25</v>
      </c>
      <c r="S602" s="12" t="s">
        <v>25</v>
      </c>
      <c r="T602" s="12" t="s">
        <v>25</v>
      </c>
    </row>
    <row r="603" spans="1:20" x14ac:dyDescent="0.3">
      <c r="A603" s="13">
        <v>43913.708333333336</v>
      </c>
      <c r="B603" s="12" t="s">
        <v>22</v>
      </c>
      <c r="C603" s="82">
        <v>16</v>
      </c>
      <c r="D603" s="12" t="s">
        <v>54</v>
      </c>
      <c r="E603" s="82">
        <v>4112559576</v>
      </c>
      <c r="F603" s="82">
        <v>1686736689</v>
      </c>
      <c r="G603" s="82">
        <v>285</v>
      </c>
      <c r="H603" s="82">
        <v>45</v>
      </c>
      <c r="I603" s="82">
        <v>330</v>
      </c>
      <c r="J603" s="82">
        <v>532</v>
      </c>
      <c r="K603" s="82">
        <v>862</v>
      </c>
      <c r="L603" s="82">
        <v>114</v>
      </c>
      <c r="M603" s="82">
        <v>120</v>
      </c>
      <c r="N603" s="82">
        <v>7</v>
      </c>
      <c r="O603" s="82">
        <v>37</v>
      </c>
      <c r="P603" s="82">
        <v>906</v>
      </c>
      <c r="Q603" s="82">
        <v>6761</v>
      </c>
      <c r="R603" s="12" t="s">
        <v>25</v>
      </c>
      <c r="S603" s="12" t="s">
        <v>25</v>
      </c>
      <c r="T603" s="12" t="s">
        <v>25</v>
      </c>
    </row>
    <row r="604" spans="1:20" x14ac:dyDescent="0.3">
      <c r="A604" s="13">
        <v>43913.708333333336</v>
      </c>
      <c r="B604" s="12" t="s">
        <v>22</v>
      </c>
      <c r="C604" s="82">
        <v>20</v>
      </c>
      <c r="D604" s="12" t="s">
        <v>55</v>
      </c>
      <c r="E604" s="82">
        <v>3921531192</v>
      </c>
      <c r="F604" s="82">
        <v>9110616306</v>
      </c>
      <c r="G604" s="82">
        <v>76</v>
      </c>
      <c r="H604" s="82">
        <v>18</v>
      </c>
      <c r="I604" s="82">
        <v>94</v>
      </c>
      <c r="J604" s="82">
        <v>249</v>
      </c>
      <c r="K604" s="82">
        <v>343</v>
      </c>
      <c r="L604" s="82">
        <v>16</v>
      </c>
      <c r="M604" s="82">
        <v>20</v>
      </c>
      <c r="N604" s="82">
        <v>5</v>
      </c>
      <c r="O604" s="82">
        <v>11</v>
      </c>
      <c r="P604" s="82">
        <v>359</v>
      </c>
      <c r="Q604" s="82">
        <v>2568</v>
      </c>
      <c r="R604" s="12" t="s">
        <v>25</v>
      </c>
      <c r="S604" s="12" t="s">
        <v>25</v>
      </c>
      <c r="T604" s="12" t="s">
        <v>25</v>
      </c>
    </row>
    <row r="605" spans="1:20" x14ac:dyDescent="0.3">
      <c r="A605" s="13">
        <v>43913.708333333336</v>
      </c>
      <c r="B605" s="12" t="s">
        <v>22</v>
      </c>
      <c r="C605" s="82">
        <v>19</v>
      </c>
      <c r="D605" s="12" t="s">
        <v>56</v>
      </c>
      <c r="E605" s="82">
        <v>3811569725</v>
      </c>
      <c r="F605" s="82">
        <v>133623567</v>
      </c>
      <c r="G605" s="82">
        <v>250</v>
      </c>
      <c r="H605" s="82">
        <v>60</v>
      </c>
      <c r="I605" s="82">
        <v>310</v>
      </c>
      <c r="J605" s="82">
        <v>371</v>
      </c>
      <c r="K605" s="82">
        <v>681</v>
      </c>
      <c r="L605" s="82">
        <v>85</v>
      </c>
      <c r="M605" s="82">
        <v>91</v>
      </c>
      <c r="N605" s="82">
        <v>27</v>
      </c>
      <c r="O605" s="82">
        <v>13</v>
      </c>
      <c r="P605" s="82">
        <v>721</v>
      </c>
      <c r="Q605" s="82">
        <v>6375</v>
      </c>
      <c r="R605" s="12" t="s">
        <v>25</v>
      </c>
      <c r="S605" s="12" t="s">
        <v>25</v>
      </c>
      <c r="T605" s="12" t="s">
        <v>25</v>
      </c>
    </row>
    <row r="606" spans="1:20" x14ac:dyDescent="0.3">
      <c r="A606" s="13">
        <v>43913.708333333336</v>
      </c>
      <c r="B606" s="12" t="s">
        <v>22</v>
      </c>
      <c r="C606" s="82">
        <v>9</v>
      </c>
      <c r="D606" s="12" t="s">
        <v>57</v>
      </c>
      <c r="E606" s="82">
        <v>4376923077</v>
      </c>
      <c r="F606" s="82">
        <v>1125588885</v>
      </c>
      <c r="G606" s="82">
        <v>838</v>
      </c>
      <c r="H606" s="82">
        <v>238</v>
      </c>
      <c r="I606" s="82">
        <v>1076</v>
      </c>
      <c r="J606" s="82">
        <v>1225</v>
      </c>
      <c r="K606" s="82">
        <v>2301</v>
      </c>
      <c r="L606" s="82">
        <v>157</v>
      </c>
      <c r="M606" s="82">
        <v>184</v>
      </c>
      <c r="N606" s="82">
        <v>51</v>
      </c>
      <c r="O606" s="82">
        <v>109</v>
      </c>
      <c r="P606" s="82">
        <v>2461</v>
      </c>
      <c r="Q606" s="82">
        <v>13851</v>
      </c>
      <c r="R606" s="12" t="s">
        <v>25</v>
      </c>
      <c r="S606" s="12" t="s">
        <v>25</v>
      </c>
      <c r="T606" s="12" t="s">
        <v>25</v>
      </c>
    </row>
    <row r="607" spans="1:20" x14ac:dyDescent="0.3">
      <c r="A607" s="13">
        <v>43913.708333333336</v>
      </c>
      <c r="B607" s="12" t="s">
        <v>22</v>
      </c>
      <c r="C607" s="82">
        <v>4</v>
      </c>
      <c r="D607" s="12" t="s">
        <v>58</v>
      </c>
      <c r="E607" s="82">
        <v>4606893511</v>
      </c>
      <c r="F607" s="82">
        <v>1112123097</v>
      </c>
      <c r="G607" s="82">
        <v>249</v>
      </c>
      <c r="H607" s="82">
        <v>46</v>
      </c>
      <c r="I607" s="82">
        <v>295</v>
      </c>
      <c r="J607" s="82">
        <v>619</v>
      </c>
      <c r="K607" s="82">
        <v>914</v>
      </c>
      <c r="L607" s="82">
        <v>29</v>
      </c>
      <c r="M607" s="82">
        <v>69</v>
      </c>
      <c r="N607" s="82">
        <v>68</v>
      </c>
      <c r="O607" s="82">
        <v>41</v>
      </c>
      <c r="P607" s="82">
        <v>1023</v>
      </c>
      <c r="Q607" s="82">
        <v>3150</v>
      </c>
      <c r="R607" s="12" t="s">
        <v>25</v>
      </c>
      <c r="S607" s="12" t="s">
        <v>25</v>
      </c>
      <c r="T607" s="12" t="s">
        <v>25</v>
      </c>
    </row>
    <row r="608" spans="1:20" x14ac:dyDescent="0.3">
      <c r="A608" s="13">
        <v>43913.708333333336</v>
      </c>
      <c r="B608" s="12" t="s">
        <v>22</v>
      </c>
      <c r="C608" s="82">
        <v>10</v>
      </c>
      <c r="D608" s="12" t="s">
        <v>59</v>
      </c>
      <c r="E608" s="82">
        <v>4310675841</v>
      </c>
      <c r="F608" s="82">
        <v>1238824698</v>
      </c>
      <c r="G608" s="82">
        <v>106</v>
      </c>
      <c r="H608" s="82">
        <v>42</v>
      </c>
      <c r="I608" s="82">
        <v>148</v>
      </c>
      <c r="J608" s="82">
        <v>408</v>
      </c>
      <c r="K608" s="82">
        <v>556</v>
      </c>
      <c r="L608" s="82">
        <v>56</v>
      </c>
      <c r="M608" s="82">
        <v>56</v>
      </c>
      <c r="N608" s="82">
        <v>5</v>
      </c>
      <c r="O608" s="82">
        <v>16</v>
      </c>
      <c r="P608" s="82">
        <v>577</v>
      </c>
      <c r="Q608" s="82">
        <v>3561</v>
      </c>
      <c r="R608" s="12" t="s">
        <v>25</v>
      </c>
      <c r="S608" s="12" t="s">
        <v>25</v>
      </c>
      <c r="T608" s="12" t="s">
        <v>25</v>
      </c>
    </row>
    <row r="609" spans="1:20" x14ac:dyDescent="0.3">
      <c r="A609" s="13">
        <v>43913.708333333336</v>
      </c>
      <c r="B609" s="12" t="s">
        <v>22</v>
      </c>
      <c r="C609" s="82">
        <v>2</v>
      </c>
      <c r="D609" s="12" t="s">
        <v>60</v>
      </c>
      <c r="E609" s="82">
        <v>4573750286</v>
      </c>
      <c r="F609" s="82">
        <v>7320149366</v>
      </c>
      <c r="G609" s="82">
        <v>69</v>
      </c>
      <c r="H609" s="82">
        <v>20</v>
      </c>
      <c r="I609" s="82">
        <v>89</v>
      </c>
      <c r="J609" s="82">
        <v>290</v>
      </c>
      <c r="K609" s="82">
        <v>379</v>
      </c>
      <c r="L609" s="82">
        <v>25</v>
      </c>
      <c r="M609" s="82">
        <v>29</v>
      </c>
      <c r="N609" s="82">
        <v>2</v>
      </c>
      <c r="O609" s="82">
        <v>12</v>
      </c>
      <c r="P609" s="82">
        <v>393</v>
      </c>
      <c r="Q609" s="82">
        <v>1098</v>
      </c>
      <c r="R609" s="12" t="s">
        <v>25</v>
      </c>
      <c r="S609" s="12" t="s">
        <v>25</v>
      </c>
      <c r="T609" s="12" t="s">
        <v>25</v>
      </c>
    </row>
    <row r="610" spans="1:20" x14ac:dyDescent="0.3">
      <c r="A610" s="13">
        <v>43913.708333333336</v>
      </c>
      <c r="B610" s="12" t="s">
        <v>22</v>
      </c>
      <c r="C610" s="82">
        <v>5</v>
      </c>
      <c r="D610" s="12" t="s">
        <v>61</v>
      </c>
      <c r="E610" s="82">
        <v>4543490485</v>
      </c>
      <c r="F610" s="82">
        <v>1233845213</v>
      </c>
      <c r="G610" s="82">
        <v>1206</v>
      </c>
      <c r="H610" s="82">
        <v>281</v>
      </c>
      <c r="I610" s="82">
        <v>1487</v>
      </c>
      <c r="J610" s="82">
        <v>3499</v>
      </c>
      <c r="K610" s="82">
        <v>4986</v>
      </c>
      <c r="L610" s="82">
        <v>342</v>
      </c>
      <c r="M610" s="82">
        <v>383</v>
      </c>
      <c r="N610" s="82">
        <v>327</v>
      </c>
      <c r="O610" s="82">
        <v>192</v>
      </c>
      <c r="P610" s="82">
        <v>5505</v>
      </c>
      <c r="Q610" s="82">
        <v>61115</v>
      </c>
      <c r="R610" s="12" t="s">
        <v>25</v>
      </c>
      <c r="S610" s="12" t="s">
        <v>25</v>
      </c>
      <c r="T610" s="12" t="s">
        <v>25</v>
      </c>
    </row>
    <row r="611" spans="1:20" x14ac:dyDescent="0.3">
      <c r="A611" s="13">
        <v>43914.708333333336</v>
      </c>
      <c r="B611" s="12" t="s">
        <v>22</v>
      </c>
      <c r="C611" s="82">
        <v>13</v>
      </c>
      <c r="D611" s="12" t="s">
        <v>42</v>
      </c>
      <c r="E611" s="82">
        <v>4235122196</v>
      </c>
      <c r="F611" s="82">
        <v>1339843823</v>
      </c>
      <c r="G611" s="82">
        <v>234</v>
      </c>
      <c r="H611" s="82">
        <v>57</v>
      </c>
      <c r="I611" s="82">
        <v>291</v>
      </c>
      <c r="J611" s="82">
        <v>331</v>
      </c>
      <c r="K611" s="82">
        <v>622</v>
      </c>
      <c r="L611" s="82">
        <v>17</v>
      </c>
      <c r="M611" s="82">
        <v>26</v>
      </c>
      <c r="N611" s="82">
        <v>21</v>
      </c>
      <c r="O611" s="82">
        <v>46</v>
      </c>
      <c r="P611" s="82">
        <v>689</v>
      </c>
      <c r="Q611" s="82">
        <v>4294</v>
      </c>
      <c r="R611" s="12" t="s">
        <v>25</v>
      </c>
      <c r="S611" s="12" t="s">
        <v>25</v>
      </c>
      <c r="T611" s="12" t="s">
        <v>25</v>
      </c>
    </row>
    <row r="612" spans="1:20" x14ac:dyDescent="0.3">
      <c r="A612" s="13">
        <v>43914.708333333336</v>
      </c>
      <c r="B612" s="12" t="s">
        <v>22</v>
      </c>
      <c r="C612" s="82">
        <v>17</v>
      </c>
      <c r="D612" s="12" t="s">
        <v>43</v>
      </c>
      <c r="E612" s="82">
        <v>4063947052</v>
      </c>
      <c r="F612" s="82">
        <v>1580514834</v>
      </c>
      <c r="G612" s="82">
        <v>14</v>
      </c>
      <c r="H612" s="82">
        <v>12</v>
      </c>
      <c r="I612" s="82">
        <v>26</v>
      </c>
      <c r="J612" s="82">
        <v>65</v>
      </c>
      <c r="K612" s="82">
        <v>91</v>
      </c>
      <c r="L612" s="82">
        <v>2</v>
      </c>
      <c r="M612" s="82">
        <v>2</v>
      </c>
      <c r="N612" s="82">
        <v>0</v>
      </c>
      <c r="O612" s="82">
        <v>1</v>
      </c>
      <c r="P612" s="82">
        <v>92</v>
      </c>
      <c r="Q612" s="82">
        <v>744</v>
      </c>
      <c r="R612" s="12" t="s">
        <v>25</v>
      </c>
      <c r="S612" s="12" t="s">
        <v>25</v>
      </c>
      <c r="T612" s="12" t="s">
        <v>25</v>
      </c>
    </row>
    <row r="613" spans="1:20" x14ac:dyDescent="0.3">
      <c r="A613" s="13">
        <v>43914.708333333336</v>
      </c>
      <c r="B613" s="12" t="s">
        <v>22</v>
      </c>
      <c r="C613" s="82">
        <v>4</v>
      </c>
      <c r="D613" s="12" t="s">
        <v>44</v>
      </c>
      <c r="E613" s="82">
        <v>4649933453</v>
      </c>
      <c r="F613" s="82">
        <v>1135662422</v>
      </c>
      <c r="G613" s="82">
        <v>166</v>
      </c>
      <c r="H613" s="82">
        <v>38</v>
      </c>
      <c r="I613" s="82">
        <v>204</v>
      </c>
      <c r="J613" s="82">
        <v>495</v>
      </c>
      <c r="K613" s="82">
        <v>699</v>
      </c>
      <c r="L613" s="82">
        <v>11</v>
      </c>
      <c r="M613" s="82">
        <v>57</v>
      </c>
      <c r="N613" s="82">
        <v>44</v>
      </c>
      <c r="O613" s="82">
        <v>38</v>
      </c>
      <c r="P613" s="82">
        <v>781</v>
      </c>
      <c r="Q613" s="82">
        <v>6509</v>
      </c>
      <c r="R613" s="12" t="s">
        <v>25</v>
      </c>
      <c r="S613" s="12" t="s">
        <v>25</v>
      </c>
      <c r="T613" s="12" t="s">
        <v>25</v>
      </c>
    </row>
    <row r="614" spans="1:20" x14ac:dyDescent="0.3">
      <c r="A614" s="13">
        <v>43914.708333333336</v>
      </c>
      <c r="B614" s="12" t="s">
        <v>22</v>
      </c>
      <c r="C614" s="82">
        <v>18</v>
      </c>
      <c r="D614" s="12" t="s">
        <v>45</v>
      </c>
      <c r="E614" s="82">
        <v>3890597598</v>
      </c>
      <c r="F614" s="82">
        <v>1659440194</v>
      </c>
      <c r="G614" s="82">
        <v>88</v>
      </c>
      <c r="H614" s="82">
        <v>21</v>
      </c>
      <c r="I614" s="82">
        <v>109</v>
      </c>
      <c r="J614" s="82">
        <v>195</v>
      </c>
      <c r="K614" s="82">
        <v>304</v>
      </c>
      <c r="L614" s="82">
        <v>24</v>
      </c>
      <c r="M614" s="82">
        <v>27</v>
      </c>
      <c r="N614" s="82">
        <v>5</v>
      </c>
      <c r="O614" s="82">
        <v>10</v>
      </c>
      <c r="P614" s="82">
        <v>319</v>
      </c>
      <c r="Q614" s="82">
        <v>4486</v>
      </c>
      <c r="R614" s="12" t="s">
        <v>25</v>
      </c>
      <c r="S614" s="12" t="s">
        <v>25</v>
      </c>
      <c r="T614" s="12" t="s">
        <v>25</v>
      </c>
    </row>
    <row r="615" spans="1:20" x14ac:dyDescent="0.3">
      <c r="A615" s="13">
        <v>43914.708333333336</v>
      </c>
      <c r="B615" s="12" t="s">
        <v>22</v>
      </c>
      <c r="C615" s="82">
        <v>15</v>
      </c>
      <c r="D615" s="12" t="s">
        <v>46</v>
      </c>
      <c r="E615" s="82">
        <v>4083956555</v>
      </c>
      <c r="F615" s="82">
        <v>1425084984</v>
      </c>
      <c r="G615" s="82">
        <v>345</v>
      </c>
      <c r="H615" s="82">
        <v>181</v>
      </c>
      <c r="I615" s="82">
        <v>526</v>
      </c>
      <c r="J615" s="82">
        <v>466</v>
      </c>
      <c r="K615" s="82">
        <v>992</v>
      </c>
      <c r="L615" s="82">
        <v>63</v>
      </c>
      <c r="M615" s="82">
        <v>75</v>
      </c>
      <c r="N615" s="82">
        <v>53</v>
      </c>
      <c r="O615" s="82">
        <v>56</v>
      </c>
      <c r="P615" s="82">
        <v>1101</v>
      </c>
      <c r="Q615" s="82">
        <v>6297</v>
      </c>
      <c r="R615" s="12" t="s">
        <v>25</v>
      </c>
      <c r="S615" s="12" t="s">
        <v>25</v>
      </c>
      <c r="T615" s="12" t="s">
        <v>25</v>
      </c>
    </row>
    <row r="616" spans="1:20" x14ac:dyDescent="0.3">
      <c r="A616" s="13">
        <v>43914.708333333336</v>
      </c>
      <c r="B616" s="12" t="s">
        <v>22</v>
      </c>
      <c r="C616" s="82">
        <v>8</v>
      </c>
      <c r="D616" s="12" t="s">
        <v>95</v>
      </c>
      <c r="E616" s="82">
        <v>4449436681</v>
      </c>
      <c r="F616" s="82">
        <v>113417208</v>
      </c>
      <c r="G616" s="82">
        <v>2974</v>
      </c>
      <c r="H616" s="82">
        <v>291</v>
      </c>
      <c r="I616" s="82">
        <v>3265</v>
      </c>
      <c r="J616" s="82">
        <v>4446</v>
      </c>
      <c r="K616" s="82">
        <v>7711</v>
      </c>
      <c r="L616" s="82">
        <v>491</v>
      </c>
      <c r="M616" s="82">
        <v>719</v>
      </c>
      <c r="N616" s="82">
        <v>558</v>
      </c>
      <c r="O616" s="82">
        <v>985</v>
      </c>
      <c r="P616" s="82">
        <v>9254</v>
      </c>
      <c r="Q616" s="82">
        <v>33527</v>
      </c>
      <c r="R616" s="12" t="s">
        <v>25</v>
      </c>
      <c r="S616" s="12" t="s">
        <v>25</v>
      </c>
      <c r="T616" s="12" t="s">
        <v>25</v>
      </c>
    </row>
    <row r="617" spans="1:20" x14ac:dyDescent="0.3">
      <c r="A617" s="13">
        <v>43914.708333333336</v>
      </c>
      <c r="B617" s="12" t="s">
        <v>22</v>
      </c>
      <c r="C617" s="82">
        <v>6</v>
      </c>
      <c r="D617" s="12" t="s">
        <v>47</v>
      </c>
      <c r="E617" s="82">
        <v>456494354</v>
      </c>
      <c r="F617" s="82">
        <v>1376813649</v>
      </c>
      <c r="G617" s="82">
        <v>195</v>
      </c>
      <c r="H617" s="82">
        <v>49</v>
      </c>
      <c r="I617" s="82">
        <v>244</v>
      </c>
      <c r="J617" s="82">
        <v>604</v>
      </c>
      <c r="K617" s="82">
        <v>848</v>
      </c>
      <c r="L617" s="82">
        <v>77</v>
      </c>
      <c r="M617" s="82">
        <v>62</v>
      </c>
      <c r="N617" s="82">
        <v>80</v>
      </c>
      <c r="O617" s="82">
        <v>64</v>
      </c>
      <c r="P617" s="82">
        <v>992</v>
      </c>
      <c r="Q617" s="82">
        <v>8526</v>
      </c>
      <c r="R617" s="12" t="s">
        <v>25</v>
      </c>
      <c r="S617" s="12" t="s">
        <v>25</v>
      </c>
      <c r="T617" s="12" t="s">
        <v>25</v>
      </c>
    </row>
    <row r="618" spans="1:20" x14ac:dyDescent="0.3">
      <c r="A618" s="13">
        <v>43914.708333333336</v>
      </c>
      <c r="B618" s="12" t="s">
        <v>22</v>
      </c>
      <c r="C618" s="82">
        <v>12</v>
      </c>
      <c r="D618" s="12" t="s">
        <v>48</v>
      </c>
      <c r="E618" s="82">
        <v>4189277044</v>
      </c>
      <c r="F618" s="82">
        <v>1248366722</v>
      </c>
      <c r="G618" s="82">
        <v>747</v>
      </c>
      <c r="H618" s="82">
        <v>94</v>
      </c>
      <c r="I618" s="82">
        <v>841</v>
      </c>
      <c r="J618" s="82">
        <v>704</v>
      </c>
      <c r="K618" s="82">
        <v>1545</v>
      </c>
      <c r="L618" s="82">
        <v>131</v>
      </c>
      <c r="M618" s="82">
        <v>188</v>
      </c>
      <c r="N618" s="82">
        <v>103</v>
      </c>
      <c r="O618" s="82">
        <v>80</v>
      </c>
      <c r="P618" s="82">
        <v>1728</v>
      </c>
      <c r="Q618" s="82">
        <v>18371</v>
      </c>
      <c r="R618" s="12" t="s">
        <v>25</v>
      </c>
      <c r="S618" s="12" t="s">
        <v>25</v>
      </c>
      <c r="T618" s="12" t="s">
        <v>25</v>
      </c>
    </row>
    <row r="619" spans="1:20" x14ac:dyDescent="0.3">
      <c r="A619" s="13">
        <v>43914.708333333336</v>
      </c>
      <c r="B619" s="12" t="s">
        <v>22</v>
      </c>
      <c r="C619" s="82">
        <v>7</v>
      </c>
      <c r="D619" s="12" t="s">
        <v>49</v>
      </c>
      <c r="E619" s="82">
        <v>4441149315</v>
      </c>
      <c r="F619" s="82">
        <v>89326992</v>
      </c>
      <c r="G619" s="82">
        <v>803</v>
      </c>
      <c r="H619" s="82">
        <v>147</v>
      </c>
      <c r="I619" s="82">
        <v>950</v>
      </c>
      <c r="J619" s="82">
        <v>742</v>
      </c>
      <c r="K619" s="82">
        <v>1692</v>
      </c>
      <c r="L619" s="82">
        <v>139</v>
      </c>
      <c r="M619" s="82">
        <v>192</v>
      </c>
      <c r="N619" s="82">
        <v>193</v>
      </c>
      <c r="O619" s="82">
        <v>231</v>
      </c>
      <c r="P619" s="82">
        <v>2116</v>
      </c>
      <c r="Q619" s="82">
        <v>5992</v>
      </c>
      <c r="R619" s="12" t="s">
        <v>25</v>
      </c>
      <c r="S619" s="12" t="s">
        <v>25</v>
      </c>
      <c r="T619" s="12" t="s">
        <v>25</v>
      </c>
    </row>
    <row r="620" spans="1:20" x14ac:dyDescent="0.3">
      <c r="A620" s="13">
        <v>43914.708333333336</v>
      </c>
      <c r="B620" s="12" t="s">
        <v>22</v>
      </c>
      <c r="C620" s="82">
        <v>3</v>
      </c>
      <c r="D620" s="12" t="s">
        <v>50</v>
      </c>
      <c r="E620" s="82">
        <v>4546679409</v>
      </c>
      <c r="F620" s="82">
        <v>9190347404</v>
      </c>
      <c r="G620" s="82">
        <v>9711</v>
      </c>
      <c r="H620" s="82">
        <v>1194</v>
      </c>
      <c r="I620" s="82">
        <v>10905</v>
      </c>
      <c r="J620" s="82">
        <v>8963</v>
      </c>
      <c r="K620" s="82">
        <v>19868</v>
      </c>
      <c r="L620" s="82">
        <v>958</v>
      </c>
      <c r="M620" s="82">
        <v>1942</v>
      </c>
      <c r="N620" s="82">
        <v>6657</v>
      </c>
      <c r="O620" s="82">
        <v>4178</v>
      </c>
      <c r="P620" s="82">
        <v>30703</v>
      </c>
      <c r="Q620" s="82">
        <v>76695</v>
      </c>
      <c r="R620" s="12" t="s">
        <v>25</v>
      </c>
      <c r="S620" s="12" t="s">
        <v>25</v>
      </c>
      <c r="T620" s="12" t="s">
        <v>25</v>
      </c>
    </row>
    <row r="621" spans="1:20" x14ac:dyDescent="0.3">
      <c r="A621" s="13">
        <v>43914.708333333336</v>
      </c>
      <c r="B621" s="12" t="s">
        <v>22</v>
      </c>
      <c r="C621" s="82">
        <v>11</v>
      </c>
      <c r="D621" s="12" t="s">
        <v>51</v>
      </c>
      <c r="E621" s="82">
        <v>4361675973</v>
      </c>
      <c r="F621" s="82">
        <v>135188753</v>
      </c>
      <c r="G621" s="82">
        <v>862</v>
      </c>
      <c r="H621" s="82">
        <v>149</v>
      </c>
      <c r="I621" s="82">
        <v>1011</v>
      </c>
      <c r="J621" s="82">
        <v>1486</v>
      </c>
      <c r="K621" s="82">
        <v>2497</v>
      </c>
      <c r="L621" s="82">
        <v>139</v>
      </c>
      <c r="M621" s="82">
        <v>167</v>
      </c>
      <c r="N621" s="82">
        <v>8</v>
      </c>
      <c r="O621" s="82">
        <v>231</v>
      </c>
      <c r="P621" s="82">
        <v>2736</v>
      </c>
      <c r="Q621" s="82">
        <v>7229</v>
      </c>
      <c r="R621" s="12" t="s">
        <v>25</v>
      </c>
      <c r="S621" s="12" t="s">
        <v>25</v>
      </c>
      <c r="T621" s="12" t="s">
        <v>25</v>
      </c>
    </row>
    <row r="622" spans="1:20" x14ac:dyDescent="0.3">
      <c r="A622" s="13">
        <v>43914.708333333336</v>
      </c>
      <c r="B622" s="12" t="s">
        <v>22</v>
      </c>
      <c r="C622" s="82">
        <v>14</v>
      </c>
      <c r="D622" s="12" t="s">
        <v>52</v>
      </c>
      <c r="E622" s="82">
        <v>4155774754</v>
      </c>
      <c r="F622" s="82">
        <v>1465916051</v>
      </c>
      <c r="G622" s="82">
        <v>27</v>
      </c>
      <c r="H622" s="82">
        <v>7</v>
      </c>
      <c r="I622" s="82">
        <v>34</v>
      </c>
      <c r="J622" s="82">
        <v>21</v>
      </c>
      <c r="K622" s="82">
        <v>55</v>
      </c>
      <c r="L622" s="82">
        <v>5</v>
      </c>
      <c r="M622" s="82">
        <v>6</v>
      </c>
      <c r="N622" s="82">
        <v>10</v>
      </c>
      <c r="O622" s="82">
        <v>8</v>
      </c>
      <c r="P622" s="82">
        <v>73</v>
      </c>
      <c r="Q622" s="82">
        <v>572</v>
      </c>
      <c r="R622" s="12" t="s">
        <v>25</v>
      </c>
      <c r="S622" s="12" t="s">
        <v>25</v>
      </c>
      <c r="T622" s="12" t="s">
        <v>25</v>
      </c>
    </row>
    <row r="623" spans="1:20" x14ac:dyDescent="0.3">
      <c r="A623" s="13">
        <v>43914.708333333336</v>
      </c>
      <c r="B623" s="12" t="s">
        <v>22</v>
      </c>
      <c r="C623" s="82">
        <v>1</v>
      </c>
      <c r="D623" s="12" t="s">
        <v>53</v>
      </c>
      <c r="E623" s="82">
        <v>450732745</v>
      </c>
      <c r="F623" s="82">
        <v>7680687483</v>
      </c>
      <c r="G623" s="82">
        <v>2404</v>
      </c>
      <c r="H623" s="82">
        <v>360</v>
      </c>
      <c r="I623" s="82">
        <v>2764</v>
      </c>
      <c r="J623" s="82">
        <v>2360</v>
      </c>
      <c r="K623" s="82">
        <v>5124</v>
      </c>
      <c r="L623" s="82">
        <v>595</v>
      </c>
      <c r="M623" s="82">
        <v>654</v>
      </c>
      <c r="N623" s="82">
        <v>17</v>
      </c>
      <c r="O623" s="82">
        <v>374</v>
      </c>
      <c r="P623" s="82">
        <v>5515</v>
      </c>
      <c r="Q623" s="82">
        <v>15469</v>
      </c>
      <c r="R623" s="12" t="s">
        <v>25</v>
      </c>
      <c r="S623" s="12" t="s">
        <v>25</v>
      </c>
      <c r="T623" s="12" t="s">
        <v>25</v>
      </c>
    </row>
    <row r="624" spans="1:20" x14ac:dyDescent="0.3">
      <c r="A624" s="13">
        <v>43914.708333333336</v>
      </c>
      <c r="B624" s="12" t="s">
        <v>22</v>
      </c>
      <c r="C624" s="82">
        <v>16</v>
      </c>
      <c r="D624" s="12" t="s">
        <v>54</v>
      </c>
      <c r="E624" s="82">
        <v>4112559576</v>
      </c>
      <c r="F624" s="82">
        <v>1686736689</v>
      </c>
      <c r="G624" s="82">
        <v>317</v>
      </c>
      <c r="H624" s="82">
        <v>57</v>
      </c>
      <c r="I624" s="82">
        <v>374</v>
      </c>
      <c r="J624" s="82">
        <v>566</v>
      </c>
      <c r="K624" s="82">
        <v>940</v>
      </c>
      <c r="L624" s="82">
        <v>78</v>
      </c>
      <c r="M624" s="82">
        <v>99</v>
      </c>
      <c r="N624" s="82">
        <v>21</v>
      </c>
      <c r="O624" s="82">
        <v>44</v>
      </c>
      <c r="P624" s="82">
        <v>1005</v>
      </c>
      <c r="Q624" s="82">
        <v>7345</v>
      </c>
      <c r="R624" s="12" t="s">
        <v>25</v>
      </c>
      <c r="S624" s="12" t="s">
        <v>25</v>
      </c>
      <c r="T624" s="12" t="s">
        <v>25</v>
      </c>
    </row>
    <row r="625" spans="1:20" x14ac:dyDescent="0.3">
      <c r="A625" s="13">
        <v>43914.708333333336</v>
      </c>
      <c r="B625" s="12" t="s">
        <v>22</v>
      </c>
      <c r="C625" s="82">
        <v>20</v>
      </c>
      <c r="D625" s="12" t="s">
        <v>55</v>
      </c>
      <c r="E625" s="82">
        <v>3921531192</v>
      </c>
      <c r="F625" s="82">
        <v>9110616306</v>
      </c>
      <c r="G625" s="82">
        <v>80</v>
      </c>
      <c r="H625" s="82">
        <v>19</v>
      </c>
      <c r="I625" s="82">
        <v>99</v>
      </c>
      <c r="J625" s="82">
        <v>296</v>
      </c>
      <c r="K625" s="82">
        <v>395</v>
      </c>
      <c r="L625" s="82">
        <v>52</v>
      </c>
      <c r="M625" s="82">
        <v>62</v>
      </c>
      <c r="N625" s="82">
        <v>11</v>
      </c>
      <c r="O625" s="82">
        <v>15</v>
      </c>
      <c r="P625" s="82">
        <v>421</v>
      </c>
      <c r="Q625" s="82">
        <v>2859</v>
      </c>
      <c r="R625" s="12" t="s">
        <v>25</v>
      </c>
      <c r="S625" s="12" t="s">
        <v>25</v>
      </c>
      <c r="T625" s="12" t="s">
        <v>25</v>
      </c>
    </row>
    <row r="626" spans="1:20" x14ac:dyDescent="0.3">
      <c r="A626" s="13">
        <v>43914.708333333336</v>
      </c>
      <c r="B626" s="12" t="s">
        <v>22</v>
      </c>
      <c r="C626" s="82">
        <v>19</v>
      </c>
      <c r="D626" s="12" t="s">
        <v>56</v>
      </c>
      <c r="E626" s="82">
        <v>3811569725</v>
      </c>
      <c r="F626" s="82">
        <v>133623567</v>
      </c>
      <c r="G626" s="82">
        <v>250</v>
      </c>
      <c r="H626" s="82">
        <v>60</v>
      </c>
      <c r="I626" s="82">
        <v>310</v>
      </c>
      <c r="J626" s="82">
        <v>489</v>
      </c>
      <c r="K626" s="82">
        <v>799</v>
      </c>
      <c r="L626" s="82">
        <v>118</v>
      </c>
      <c r="M626" s="82">
        <v>125</v>
      </c>
      <c r="N626" s="82">
        <v>27</v>
      </c>
      <c r="O626" s="82">
        <v>20</v>
      </c>
      <c r="P626" s="82">
        <v>846</v>
      </c>
      <c r="Q626" s="82">
        <v>7170</v>
      </c>
      <c r="R626" s="12" t="s">
        <v>25</v>
      </c>
      <c r="S626" s="12" t="s">
        <v>25</v>
      </c>
      <c r="T626" s="12" t="s">
        <v>25</v>
      </c>
    </row>
    <row r="627" spans="1:20" x14ac:dyDescent="0.3">
      <c r="A627" s="13">
        <v>43914.708333333336</v>
      </c>
      <c r="B627" s="12" t="s">
        <v>22</v>
      </c>
      <c r="C627" s="82">
        <v>9</v>
      </c>
      <c r="D627" s="12" t="s">
        <v>57</v>
      </c>
      <c r="E627" s="82">
        <v>4376923077</v>
      </c>
      <c r="F627" s="82">
        <v>1125588885</v>
      </c>
      <c r="G627" s="82">
        <v>918</v>
      </c>
      <c r="H627" s="82">
        <v>244</v>
      </c>
      <c r="I627" s="82">
        <v>1162</v>
      </c>
      <c r="J627" s="82">
        <v>1357</v>
      </c>
      <c r="K627" s="82">
        <v>2519</v>
      </c>
      <c r="L627" s="82">
        <v>218</v>
      </c>
      <c r="M627" s="82">
        <v>238</v>
      </c>
      <c r="N627" s="82">
        <v>51</v>
      </c>
      <c r="O627" s="82">
        <v>129</v>
      </c>
      <c r="P627" s="82">
        <v>2699</v>
      </c>
      <c r="Q627" s="82">
        <v>15701</v>
      </c>
      <c r="R627" s="12" t="s">
        <v>25</v>
      </c>
      <c r="S627" s="12" t="s">
        <v>25</v>
      </c>
      <c r="T627" s="12" t="s">
        <v>25</v>
      </c>
    </row>
    <row r="628" spans="1:20" x14ac:dyDescent="0.3">
      <c r="A628" s="13">
        <v>43914.708333333336</v>
      </c>
      <c r="B628" s="12" t="s">
        <v>22</v>
      </c>
      <c r="C628" s="82">
        <v>4</v>
      </c>
      <c r="D628" s="12" t="s">
        <v>58</v>
      </c>
      <c r="E628" s="82">
        <v>4606893511</v>
      </c>
      <c r="F628" s="82">
        <v>1112123097</v>
      </c>
      <c r="G628" s="82">
        <v>308</v>
      </c>
      <c r="H628" s="82">
        <v>49</v>
      </c>
      <c r="I628" s="82">
        <v>357</v>
      </c>
      <c r="J628" s="82">
        <v>618</v>
      </c>
      <c r="K628" s="82">
        <v>975</v>
      </c>
      <c r="L628" s="82">
        <v>61</v>
      </c>
      <c r="M628" s="82">
        <v>87</v>
      </c>
      <c r="N628" s="82">
        <v>79</v>
      </c>
      <c r="O628" s="82">
        <v>56</v>
      </c>
      <c r="P628" s="82">
        <v>1110</v>
      </c>
      <c r="Q628" s="82">
        <v>3712</v>
      </c>
      <c r="R628" s="12" t="s">
        <v>25</v>
      </c>
      <c r="S628" s="12" t="s">
        <v>25</v>
      </c>
      <c r="T628" s="12" t="s">
        <v>25</v>
      </c>
    </row>
    <row r="629" spans="1:20" x14ac:dyDescent="0.3">
      <c r="A629" s="13">
        <v>43914.708333333336</v>
      </c>
      <c r="B629" s="12" t="s">
        <v>22</v>
      </c>
      <c r="C629" s="82">
        <v>10</v>
      </c>
      <c r="D629" s="12" t="s">
        <v>59</v>
      </c>
      <c r="E629" s="82">
        <v>4310675841</v>
      </c>
      <c r="F629" s="82">
        <v>1238824698</v>
      </c>
      <c r="G629" s="82">
        <v>105</v>
      </c>
      <c r="H629" s="82">
        <v>43</v>
      </c>
      <c r="I629" s="82">
        <v>148</v>
      </c>
      <c r="J629" s="82">
        <v>476</v>
      </c>
      <c r="K629" s="82">
        <v>624</v>
      </c>
      <c r="L629" s="82">
        <v>68</v>
      </c>
      <c r="M629" s="82">
        <v>71</v>
      </c>
      <c r="N629" s="82">
        <v>5</v>
      </c>
      <c r="O629" s="82">
        <v>19</v>
      </c>
      <c r="P629" s="82">
        <v>648</v>
      </c>
      <c r="Q629" s="82">
        <v>4108</v>
      </c>
      <c r="R629" s="12" t="s">
        <v>25</v>
      </c>
      <c r="S629" s="12" t="s">
        <v>25</v>
      </c>
      <c r="T629" s="12" t="s">
        <v>25</v>
      </c>
    </row>
    <row r="630" spans="1:20" x14ac:dyDescent="0.3">
      <c r="A630" s="13">
        <v>43914.708333333336</v>
      </c>
      <c r="B630" s="12" t="s">
        <v>22</v>
      </c>
      <c r="C630" s="82">
        <v>2</v>
      </c>
      <c r="D630" s="12" t="s">
        <v>60</v>
      </c>
      <c r="E630" s="82">
        <v>4573750286</v>
      </c>
      <c r="F630" s="82">
        <v>7320149366</v>
      </c>
      <c r="G630" s="82">
        <v>71</v>
      </c>
      <c r="H630" s="82">
        <v>20</v>
      </c>
      <c r="I630" s="82">
        <v>91</v>
      </c>
      <c r="J630" s="82">
        <v>288</v>
      </c>
      <c r="K630" s="82">
        <v>379</v>
      </c>
      <c r="L630" s="82">
        <v>0</v>
      </c>
      <c r="M630" s="82">
        <v>7</v>
      </c>
      <c r="N630" s="82">
        <v>2</v>
      </c>
      <c r="O630" s="82">
        <v>19</v>
      </c>
      <c r="P630" s="82">
        <v>400</v>
      </c>
      <c r="Q630" s="82">
        <v>1180</v>
      </c>
      <c r="R630" s="12" t="s">
        <v>25</v>
      </c>
      <c r="S630" s="12" t="s">
        <v>25</v>
      </c>
      <c r="T630" s="12" t="s">
        <v>25</v>
      </c>
    </row>
    <row r="631" spans="1:20" x14ac:dyDescent="0.3">
      <c r="A631" s="13">
        <v>43914.708333333336</v>
      </c>
      <c r="B631" s="12" t="s">
        <v>22</v>
      </c>
      <c r="C631" s="82">
        <v>5</v>
      </c>
      <c r="D631" s="12" t="s">
        <v>61</v>
      </c>
      <c r="E631" s="82">
        <v>4543490485</v>
      </c>
      <c r="F631" s="82">
        <v>1233845213</v>
      </c>
      <c r="G631" s="82">
        <v>1318</v>
      </c>
      <c r="H631" s="82">
        <v>304</v>
      </c>
      <c r="I631" s="82">
        <v>1622</v>
      </c>
      <c r="J631" s="82">
        <v>3729</v>
      </c>
      <c r="K631" s="82">
        <v>5351</v>
      </c>
      <c r="L631" s="82">
        <v>365</v>
      </c>
      <c r="M631" s="82">
        <v>443</v>
      </c>
      <c r="N631" s="82">
        <v>381</v>
      </c>
      <c r="O631" s="82">
        <v>216</v>
      </c>
      <c r="P631" s="82">
        <v>5948</v>
      </c>
      <c r="Q631" s="82">
        <v>66178</v>
      </c>
      <c r="R631" s="12" t="s">
        <v>25</v>
      </c>
      <c r="S631" s="12" t="s">
        <v>25</v>
      </c>
      <c r="T631" s="12" t="s">
        <v>25</v>
      </c>
    </row>
    <row r="632" spans="1:20" x14ac:dyDescent="0.3">
      <c r="A632" s="13">
        <v>43915.708333333336</v>
      </c>
      <c r="B632" s="12" t="s">
        <v>22</v>
      </c>
      <c r="C632" s="82">
        <v>13</v>
      </c>
      <c r="D632" s="12" t="s">
        <v>42</v>
      </c>
      <c r="E632" s="82">
        <v>4235122196</v>
      </c>
      <c r="F632" s="82">
        <v>1339843823</v>
      </c>
      <c r="G632" s="82">
        <v>248</v>
      </c>
      <c r="H632" s="82">
        <v>59</v>
      </c>
      <c r="I632" s="82">
        <v>307</v>
      </c>
      <c r="J632" s="82">
        <v>431</v>
      </c>
      <c r="K632" s="82">
        <v>738</v>
      </c>
      <c r="L632" s="82">
        <v>116</v>
      </c>
      <c r="M632" s="82">
        <v>124</v>
      </c>
      <c r="N632" s="82">
        <v>23</v>
      </c>
      <c r="O632" s="82">
        <v>52</v>
      </c>
      <c r="P632" s="82">
        <v>813</v>
      </c>
      <c r="Q632" s="82">
        <v>4982</v>
      </c>
      <c r="R632" s="12" t="s">
        <v>25</v>
      </c>
      <c r="S632" s="12" t="s">
        <v>25</v>
      </c>
      <c r="T632" s="12" t="s">
        <v>25</v>
      </c>
    </row>
    <row r="633" spans="1:20" x14ac:dyDescent="0.3">
      <c r="A633" s="13">
        <v>43915.708333333336</v>
      </c>
      <c r="B633" s="12" t="s">
        <v>22</v>
      </c>
      <c r="C633" s="82">
        <v>17</v>
      </c>
      <c r="D633" s="12" t="s">
        <v>43</v>
      </c>
      <c r="E633" s="82">
        <v>4063947052</v>
      </c>
      <c r="F633" s="82">
        <v>1580514834</v>
      </c>
      <c r="G633" s="82">
        <v>20</v>
      </c>
      <c r="H633" s="82">
        <v>14</v>
      </c>
      <c r="I633" s="82">
        <v>34</v>
      </c>
      <c r="J633" s="82">
        <v>78</v>
      </c>
      <c r="K633" s="82">
        <v>112</v>
      </c>
      <c r="L633" s="82">
        <v>21</v>
      </c>
      <c r="M633" s="82">
        <v>21</v>
      </c>
      <c r="N633" s="82">
        <v>0</v>
      </c>
      <c r="O633" s="82">
        <v>1</v>
      </c>
      <c r="P633" s="82">
        <v>113</v>
      </c>
      <c r="Q633" s="82">
        <v>857</v>
      </c>
      <c r="R633" s="12" t="s">
        <v>25</v>
      </c>
      <c r="S633" s="12" t="s">
        <v>25</v>
      </c>
      <c r="T633" s="12" t="s">
        <v>25</v>
      </c>
    </row>
    <row r="634" spans="1:20" x14ac:dyDescent="0.3">
      <c r="A634" s="13">
        <v>43915.708333333336</v>
      </c>
      <c r="B634" s="12" t="s">
        <v>22</v>
      </c>
      <c r="C634" s="82">
        <v>4</v>
      </c>
      <c r="D634" s="12" t="s">
        <v>44</v>
      </c>
      <c r="E634" s="82">
        <v>4649933453</v>
      </c>
      <c r="F634" s="82">
        <v>1135662422</v>
      </c>
      <c r="G634" s="82">
        <v>190</v>
      </c>
      <c r="H634" s="82">
        <v>40</v>
      </c>
      <c r="I634" s="82">
        <v>230</v>
      </c>
      <c r="J634" s="82">
        <v>518</v>
      </c>
      <c r="K634" s="82">
        <v>748</v>
      </c>
      <c r="L634" s="82">
        <v>49</v>
      </c>
      <c r="M634" s="82">
        <v>77</v>
      </c>
      <c r="N634" s="82">
        <v>67</v>
      </c>
      <c r="O634" s="82">
        <v>43</v>
      </c>
      <c r="P634" s="82">
        <v>858</v>
      </c>
      <c r="Q634" s="82">
        <v>6649</v>
      </c>
      <c r="R634" s="12" t="s">
        <v>25</v>
      </c>
      <c r="S634" s="12" t="s">
        <v>25</v>
      </c>
      <c r="T634" s="12" t="s">
        <v>25</v>
      </c>
    </row>
    <row r="635" spans="1:20" x14ac:dyDescent="0.3">
      <c r="A635" s="13">
        <v>43915.708333333336</v>
      </c>
      <c r="B635" s="12" t="s">
        <v>22</v>
      </c>
      <c r="C635" s="82">
        <v>18</v>
      </c>
      <c r="D635" s="12" t="s">
        <v>45</v>
      </c>
      <c r="E635" s="82">
        <v>3890597598</v>
      </c>
      <c r="F635" s="82">
        <v>1659440194</v>
      </c>
      <c r="G635" s="82">
        <v>93</v>
      </c>
      <c r="H635" s="82">
        <v>23</v>
      </c>
      <c r="I635" s="82">
        <v>116</v>
      </c>
      <c r="J635" s="82">
        <v>217</v>
      </c>
      <c r="K635" s="82">
        <v>333</v>
      </c>
      <c r="L635" s="82">
        <v>29</v>
      </c>
      <c r="M635" s="82">
        <v>32</v>
      </c>
      <c r="N635" s="82">
        <v>7</v>
      </c>
      <c r="O635" s="82">
        <v>11</v>
      </c>
      <c r="P635" s="82">
        <v>351</v>
      </c>
      <c r="Q635" s="82">
        <v>5058</v>
      </c>
      <c r="R635" s="12" t="s">
        <v>25</v>
      </c>
      <c r="S635" s="12" t="s">
        <v>25</v>
      </c>
      <c r="T635" s="12" t="s">
        <v>25</v>
      </c>
    </row>
    <row r="636" spans="1:20" x14ac:dyDescent="0.3">
      <c r="A636" s="13">
        <v>43915.708333333336</v>
      </c>
      <c r="B636" s="12" t="s">
        <v>22</v>
      </c>
      <c r="C636" s="82">
        <v>15</v>
      </c>
      <c r="D636" s="12" t="s">
        <v>46</v>
      </c>
      <c r="E636" s="82">
        <v>4083956555</v>
      </c>
      <c r="F636" s="82">
        <v>1425084984</v>
      </c>
      <c r="G636" s="82">
        <v>318</v>
      </c>
      <c r="H636" s="82">
        <v>123</v>
      </c>
      <c r="I636" s="82">
        <v>441</v>
      </c>
      <c r="J636" s="82">
        <v>631</v>
      </c>
      <c r="K636" s="82">
        <v>1072</v>
      </c>
      <c r="L636" s="82">
        <v>80</v>
      </c>
      <c r="M636" s="82">
        <v>98</v>
      </c>
      <c r="N636" s="82">
        <v>53</v>
      </c>
      <c r="O636" s="82">
        <v>74</v>
      </c>
      <c r="P636" s="82">
        <v>1199</v>
      </c>
      <c r="Q636" s="82">
        <v>6972</v>
      </c>
      <c r="R636" s="12" t="s">
        <v>25</v>
      </c>
      <c r="S636" s="12" t="s">
        <v>25</v>
      </c>
      <c r="T636" s="12" t="s">
        <v>25</v>
      </c>
    </row>
    <row r="637" spans="1:20" x14ac:dyDescent="0.3">
      <c r="A637" s="13">
        <v>43915.708333333336</v>
      </c>
      <c r="B637" s="12" t="s">
        <v>22</v>
      </c>
      <c r="C637" s="82">
        <v>8</v>
      </c>
      <c r="D637" s="12" t="s">
        <v>95</v>
      </c>
      <c r="E637" s="82">
        <v>4449436681</v>
      </c>
      <c r="F637" s="82">
        <v>113417208</v>
      </c>
      <c r="G637" s="82">
        <v>3180</v>
      </c>
      <c r="H637" s="82">
        <v>294</v>
      </c>
      <c r="I637" s="82">
        <v>3474</v>
      </c>
      <c r="J637" s="82">
        <v>4782</v>
      </c>
      <c r="K637" s="82">
        <v>8256</v>
      </c>
      <c r="L637" s="82">
        <v>545</v>
      </c>
      <c r="M637" s="82">
        <v>800</v>
      </c>
      <c r="N637" s="82">
        <v>721</v>
      </c>
      <c r="O637" s="82">
        <v>1077</v>
      </c>
      <c r="P637" s="82">
        <v>10054</v>
      </c>
      <c r="Q637" s="82">
        <v>38045</v>
      </c>
      <c r="R637" s="12" t="s">
        <v>25</v>
      </c>
      <c r="S637" s="12" t="s">
        <v>25</v>
      </c>
      <c r="T637" s="12" t="s">
        <v>25</v>
      </c>
    </row>
    <row r="638" spans="1:20" x14ac:dyDescent="0.3">
      <c r="A638" s="13">
        <v>43915.708333333336</v>
      </c>
      <c r="B638" s="12" t="s">
        <v>22</v>
      </c>
      <c r="C638" s="82">
        <v>6</v>
      </c>
      <c r="D638" s="12" t="s">
        <v>47</v>
      </c>
      <c r="E638" s="82">
        <v>456494354</v>
      </c>
      <c r="F638" s="82">
        <v>1376813649</v>
      </c>
      <c r="G638" s="82">
        <v>200</v>
      </c>
      <c r="H638" s="82">
        <v>52</v>
      </c>
      <c r="I638" s="82">
        <v>252</v>
      </c>
      <c r="J638" s="82">
        <v>659</v>
      </c>
      <c r="K638" s="82">
        <v>911</v>
      </c>
      <c r="L638" s="82">
        <v>63</v>
      </c>
      <c r="M638" s="82">
        <v>147</v>
      </c>
      <c r="N638" s="82">
        <v>158</v>
      </c>
      <c r="O638" s="82">
        <v>70</v>
      </c>
      <c r="P638" s="82">
        <v>1139</v>
      </c>
      <c r="Q638" s="82">
        <v>9494</v>
      </c>
      <c r="R638" s="12" t="s">
        <v>25</v>
      </c>
      <c r="S638" s="12" t="s">
        <v>25</v>
      </c>
      <c r="T638" s="12" t="s">
        <v>25</v>
      </c>
    </row>
    <row r="639" spans="1:20" x14ac:dyDescent="0.3">
      <c r="A639" s="13">
        <v>43915.708333333336</v>
      </c>
      <c r="B639" s="12" t="s">
        <v>22</v>
      </c>
      <c r="C639" s="82">
        <v>12</v>
      </c>
      <c r="D639" s="12" t="s">
        <v>48</v>
      </c>
      <c r="E639" s="82">
        <v>4189277044</v>
      </c>
      <c r="F639" s="82">
        <v>1248366722</v>
      </c>
      <c r="G639" s="82">
        <v>805</v>
      </c>
      <c r="H639" s="82">
        <v>101</v>
      </c>
      <c r="I639" s="82">
        <v>906</v>
      </c>
      <c r="J639" s="82">
        <v>769</v>
      </c>
      <c r="K639" s="82">
        <v>1675</v>
      </c>
      <c r="L639" s="82">
        <v>130</v>
      </c>
      <c r="M639" s="82">
        <v>173</v>
      </c>
      <c r="N639" s="82">
        <v>131</v>
      </c>
      <c r="O639" s="82">
        <v>95</v>
      </c>
      <c r="P639" s="82">
        <v>1901</v>
      </c>
      <c r="Q639" s="82">
        <v>20669</v>
      </c>
      <c r="R639" s="12" t="s">
        <v>25</v>
      </c>
      <c r="S639" s="12" t="s">
        <v>25</v>
      </c>
      <c r="T639" s="12" t="s">
        <v>25</v>
      </c>
    </row>
    <row r="640" spans="1:20" x14ac:dyDescent="0.3">
      <c r="A640" s="13">
        <v>43915.708333333336</v>
      </c>
      <c r="B640" s="12" t="s">
        <v>22</v>
      </c>
      <c r="C640" s="82">
        <v>7</v>
      </c>
      <c r="D640" s="12" t="s">
        <v>49</v>
      </c>
      <c r="E640" s="82">
        <v>4441149315</v>
      </c>
      <c r="F640" s="82">
        <v>89326992</v>
      </c>
      <c r="G640" s="82">
        <v>927</v>
      </c>
      <c r="H640" s="82">
        <v>147</v>
      </c>
      <c r="I640" s="82">
        <v>1074</v>
      </c>
      <c r="J640" s="82">
        <v>752</v>
      </c>
      <c r="K640" s="82">
        <v>1826</v>
      </c>
      <c r="L640" s="82">
        <v>134</v>
      </c>
      <c r="M640" s="82">
        <v>189</v>
      </c>
      <c r="N640" s="82">
        <v>225</v>
      </c>
      <c r="O640" s="82">
        <v>254</v>
      </c>
      <c r="P640" s="82">
        <v>2305</v>
      </c>
      <c r="Q640" s="82">
        <v>6602</v>
      </c>
      <c r="R640" s="12" t="s">
        <v>25</v>
      </c>
      <c r="S640" s="12" t="s">
        <v>25</v>
      </c>
      <c r="T640" s="12" t="s">
        <v>25</v>
      </c>
    </row>
    <row r="641" spans="1:20" x14ac:dyDescent="0.3">
      <c r="A641" s="13">
        <v>43915.708333333336</v>
      </c>
      <c r="B641" s="12" t="s">
        <v>22</v>
      </c>
      <c r="C641" s="82">
        <v>3</v>
      </c>
      <c r="D641" s="12" t="s">
        <v>50</v>
      </c>
      <c r="E641" s="82">
        <v>4546679409</v>
      </c>
      <c r="F641" s="82">
        <v>9190347404</v>
      </c>
      <c r="G641" s="82">
        <v>10026</v>
      </c>
      <c r="H641" s="82">
        <v>1236</v>
      </c>
      <c r="I641" s="82">
        <v>11262</v>
      </c>
      <c r="J641" s="82">
        <v>9329</v>
      </c>
      <c r="K641" s="82">
        <v>20591</v>
      </c>
      <c r="L641" s="82">
        <v>723</v>
      </c>
      <c r="M641" s="82">
        <v>1643</v>
      </c>
      <c r="N641" s="82">
        <v>7281</v>
      </c>
      <c r="O641" s="82">
        <v>4474</v>
      </c>
      <c r="P641" s="82">
        <v>32346</v>
      </c>
      <c r="Q641" s="82">
        <v>81666</v>
      </c>
      <c r="R641" s="12" t="s">
        <v>25</v>
      </c>
      <c r="S641" s="12" t="s">
        <v>25</v>
      </c>
      <c r="T641" s="12" t="s">
        <v>25</v>
      </c>
    </row>
    <row r="642" spans="1:20" x14ac:dyDescent="0.3">
      <c r="A642" s="13">
        <v>43915.708333333336</v>
      </c>
      <c r="B642" s="12" t="s">
        <v>22</v>
      </c>
      <c r="C642" s="82">
        <v>11</v>
      </c>
      <c r="D642" s="12" t="s">
        <v>51</v>
      </c>
      <c r="E642" s="82">
        <v>4361675973</v>
      </c>
      <c r="F642" s="82">
        <v>135188753</v>
      </c>
      <c r="G642" s="82">
        <v>938</v>
      </c>
      <c r="H642" s="82">
        <v>148</v>
      </c>
      <c r="I642" s="82">
        <v>1086</v>
      </c>
      <c r="J642" s="82">
        <v>1553</v>
      </c>
      <c r="K642" s="82">
        <v>2639</v>
      </c>
      <c r="L642" s="82">
        <v>142</v>
      </c>
      <c r="M642" s="82">
        <v>198</v>
      </c>
      <c r="N642" s="82">
        <v>8</v>
      </c>
      <c r="O642" s="82">
        <v>287</v>
      </c>
      <c r="P642" s="82">
        <v>2934</v>
      </c>
      <c r="Q642" s="82">
        <v>7896</v>
      </c>
      <c r="R642" s="12" t="s">
        <v>25</v>
      </c>
      <c r="S642" s="12" t="s">
        <v>25</v>
      </c>
      <c r="T642" s="12" t="s">
        <v>25</v>
      </c>
    </row>
    <row r="643" spans="1:20" x14ac:dyDescent="0.3">
      <c r="A643" s="13">
        <v>43915.708333333336</v>
      </c>
      <c r="B643" s="12" t="s">
        <v>22</v>
      </c>
      <c r="C643" s="82">
        <v>14</v>
      </c>
      <c r="D643" s="12" t="s">
        <v>52</v>
      </c>
      <c r="E643" s="82">
        <v>4155774754</v>
      </c>
      <c r="F643" s="82">
        <v>1465916051</v>
      </c>
      <c r="G643" s="82">
        <v>26</v>
      </c>
      <c r="H643" s="82">
        <v>7</v>
      </c>
      <c r="I643" s="82">
        <v>33</v>
      </c>
      <c r="J643" s="82">
        <v>20</v>
      </c>
      <c r="K643" s="82">
        <v>53</v>
      </c>
      <c r="L643" s="82">
        <v>-2</v>
      </c>
      <c r="M643" s="82">
        <v>0</v>
      </c>
      <c r="N643" s="82">
        <v>12</v>
      </c>
      <c r="O643" s="82">
        <v>8</v>
      </c>
      <c r="P643" s="82">
        <v>73</v>
      </c>
      <c r="Q643" s="82">
        <v>580</v>
      </c>
      <c r="R643" s="12" t="s">
        <v>25</v>
      </c>
      <c r="S643" s="12" t="s">
        <v>25</v>
      </c>
      <c r="T643" s="12" t="s">
        <v>25</v>
      </c>
    </row>
    <row r="644" spans="1:20" x14ac:dyDescent="0.3">
      <c r="A644" s="13">
        <v>43915.708333333336</v>
      </c>
      <c r="B644" s="12" t="s">
        <v>22</v>
      </c>
      <c r="C644" s="82">
        <v>1</v>
      </c>
      <c r="D644" s="12" t="s">
        <v>53</v>
      </c>
      <c r="E644" s="82">
        <v>450732745</v>
      </c>
      <c r="F644" s="82">
        <v>7680687483</v>
      </c>
      <c r="G644" s="82">
        <v>2544</v>
      </c>
      <c r="H644" s="82">
        <v>381</v>
      </c>
      <c r="I644" s="82">
        <v>2925</v>
      </c>
      <c r="J644" s="82">
        <v>2631</v>
      </c>
      <c r="K644" s="82">
        <v>5556</v>
      </c>
      <c r="L644" s="82">
        <v>432</v>
      </c>
      <c r="M644" s="82">
        <v>509</v>
      </c>
      <c r="N644" s="82">
        <v>19</v>
      </c>
      <c r="O644" s="82">
        <v>449</v>
      </c>
      <c r="P644" s="82">
        <v>6024</v>
      </c>
      <c r="Q644" s="82">
        <v>16655</v>
      </c>
      <c r="R644" s="12" t="s">
        <v>25</v>
      </c>
      <c r="S644" s="12" t="s">
        <v>25</v>
      </c>
      <c r="T644" s="12" t="s">
        <v>25</v>
      </c>
    </row>
    <row r="645" spans="1:20" x14ac:dyDescent="0.3">
      <c r="A645" s="13">
        <v>43915.708333333336</v>
      </c>
      <c r="B645" s="12" t="s">
        <v>22</v>
      </c>
      <c r="C645" s="82">
        <v>16</v>
      </c>
      <c r="D645" s="12" t="s">
        <v>54</v>
      </c>
      <c r="E645" s="82">
        <v>4112559576</v>
      </c>
      <c r="F645" s="82">
        <v>1686736689</v>
      </c>
      <c r="G645" s="82">
        <v>349</v>
      </c>
      <c r="H645" s="82">
        <v>64</v>
      </c>
      <c r="I645" s="82">
        <v>413</v>
      </c>
      <c r="J645" s="82">
        <v>610</v>
      </c>
      <c r="K645" s="82">
        <v>1023</v>
      </c>
      <c r="L645" s="82">
        <v>83</v>
      </c>
      <c r="M645" s="82">
        <v>88</v>
      </c>
      <c r="N645" s="82">
        <v>22</v>
      </c>
      <c r="O645" s="82">
        <v>48</v>
      </c>
      <c r="P645" s="82">
        <v>1093</v>
      </c>
      <c r="Q645" s="82">
        <v>8223</v>
      </c>
      <c r="R645" s="12" t="s">
        <v>25</v>
      </c>
      <c r="S645" s="12" t="s">
        <v>25</v>
      </c>
      <c r="T645" s="12" t="s">
        <v>25</v>
      </c>
    </row>
    <row r="646" spans="1:20" x14ac:dyDescent="0.3">
      <c r="A646" s="13">
        <v>43915.708333333336</v>
      </c>
      <c r="B646" s="12" t="s">
        <v>22</v>
      </c>
      <c r="C646" s="82">
        <v>20</v>
      </c>
      <c r="D646" s="12" t="s">
        <v>55</v>
      </c>
      <c r="E646" s="82">
        <v>3921531192</v>
      </c>
      <c r="F646" s="82">
        <v>9110616306</v>
      </c>
      <c r="G646" s="82">
        <v>82</v>
      </c>
      <c r="H646" s="82">
        <v>19</v>
      </c>
      <c r="I646" s="82">
        <v>101</v>
      </c>
      <c r="J646" s="82">
        <v>311</v>
      </c>
      <c r="K646" s="82">
        <v>412</v>
      </c>
      <c r="L646" s="82">
        <v>17</v>
      </c>
      <c r="M646" s="82">
        <v>21</v>
      </c>
      <c r="N646" s="82">
        <v>12</v>
      </c>
      <c r="O646" s="82">
        <v>18</v>
      </c>
      <c r="P646" s="82">
        <v>442</v>
      </c>
      <c r="Q646" s="82">
        <v>3019</v>
      </c>
      <c r="R646" s="12" t="s">
        <v>25</v>
      </c>
      <c r="S646" s="12" t="s">
        <v>25</v>
      </c>
      <c r="T646" s="12" t="s">
        <v>25</v>
      </c>
    </row>
    <row r="647" spans="1:20" x14ac:dyDescent="0.3">
      <c r="A647" s="13">
        <v>43915.708333333336</v>
      </c>
      <c r="B647" s="12" t="s">
        <v>22</v>
      </c>
      <c r="C647" s="82">
        <v>19</v>
      </c>
      <c r="D647" s="12" t="s">
        <v>56</v>
      </c>
      <c r="E647" s="82">
        <v>3811569725</v>
      </c>
      <c r="F647" s="82">
        <v>133623567</v>
      </c>
      <c r="G647" s="82">
        <v>259</v>
      </c>
      <c r="H647" s="82">
        <v>80</v>
      </c>
      <c r="I647" s="82">
        <v>339</v>
      </c>
      <c r="J647" s="82">
        <v>597</v>
      </c>
      <c r="K647" s="82">
        <v>936</v>
      </c>
      <c r="L647" s="82">
        <v>137</v>
      </c>
      <c r="M647" s="82">
        <v>148</v>
      </c>
      <c r="N647" s="82">
        <v>33</v>
      </c>
      <c r="O647" s="82">
        <v>25</v>
      </c>
      <c r="P647" s="82">
        <v>994</v>
      </c>
      <c r="Q647" s="82">
        <v>8312</v>
      </c>
      <c r="R647" s="12" t="s">
        <v>25</v>
      </c>
      <c r="S647" s="12" t="s">
        <v>25</v>
      </c>
      <c r="T647" s="12" t="s">
        <v>25</v>
      </c>
    </row>
    <row r="648" spans="1:20" x14ac:dyDescent="0.3">
      <c r="A648" s="13">
        <v>43915.708333333336</v>
      </c>
      <c r="B648" s="12" t="s">
        <v>22</v>
      </c>
      <c r="C648" s="82">
        <v>9</v>
      </c>
      <c r="D648" s="12" t="s">
        <v>57</v>
      </c>
      <c r="E648" s="82">
        <v>4376923077</v>
      </c>
      <c r="F648" s="82">
        <v>1125588885</v>
      </c>
      <c r="G648" s="82">
        <v>999</v>
      </c>
      <c r="H648" s="82">
        <v>251</v>
      </c>
      <c r="I648" s="82">
        <v>1250</v>
      </c>
      <c r="J648" s="82">
        <v>1526</v>
      </c>
      <c r="K648" s="82">
        <v>2776</v>
      </c>
      <c r="L648" s="82">
        <v>257</v>
      </c>
      <c r="M648" s="82">
        <v>273</v>
      </c>
      <c r="N648" s="82">
        <v>54</v>
      </c>
      <c r="O648" s="82">
        <v>142</v>
      </c>
      <c r="P648" s="82">
        <v>2972</v>
      </c>
      <c r="Q648" s="82">
        <v>17868</v>
      </c>
      <c r="R648" s="12" t="s">
        <v>25</v>
      </c>
      <c r="S648" s="12" t="s">
        <v>25</v>
      </c>
      <c r="T648" s="12" t="s">
        <v>25</v>
      </c>
    </row>
    <row r="649" spans="1:20" x14ac:dyDescent="0.3">
      <c r="A649" s="13">
        <v>43915.708333333336</v>
      </c>
      <c r="B649" s="12" t="s">
        <v>22</v>
      </c>
      <c r="C649" s="82">
        <v>4</v>
      </c>
      <c r="D649" s="12" t="s">
        <v>58</v>
      </c>
      <c r="E649" s="82">
        <v>4606893511</v>
      </c>
      <c r="F649" s="82">
        <v>1112123097</v>
      </c>
      <c r="G649" s="82">
        <v>308</v>
      </c>
      <c r="H649" s="82">
        <v>65</v>
      </c>
      <c r="I649" s="82">
        <v>373</v>
      </c>
      <c r="J649" s="82">
        <v>685</v>
      </c>
      <c r="K649" s="82">
        <v>1058</v>
      </c>
      <c r="L649" s="82">
        <v>83</v>
      </c>
      <c r="M649" s="82">
        <v>112</v>
      </c>
      <c r="N649" s="82">
        <v>90</v>
      </c>
      <c r="O649" s="82">
        <v>74</v>
      </c>
      <c r="P649" s="82">
        <v>1222</v>
      </c>
      <c r="Q649" s="82">
        <v>4114</v>
      </c>
      <c r="R649" s="12" t="s">
        <v>25</v>
      </c>
      <c r="S649" s="12" t="s">
        <v>25</v>
      </c>
      <c r="T649" s="12" t="s">
        <v>25</v>
      </c>
    </row>
    <row r="650" spans="1:20" x14ac:dyDescent="0.3">
      <c r="A650" s="13">
        <v>43915.708333333336</v>
      </c>
      <c r="B650" s="12" t="s">
        <v>22</v>
      </c>
      <c r="C650" s="82">
        <v>10</v>
      </c>
      <c r="D650" s="12" t="s">
        <v>59</v>
      </c>
      <c r="E650" s="82">
        <v>4310675841</v>
      </c>
      <c r="F650" s="82">
        <v>1238824698</v>
      </c>
      <c r="G650" s="82">
        <v>123</v>
      </c>
      <c r="H650" s="82">
        <v>44</v>
      </c>
      <c r="I650" s="82">
        <v>167</v>
      </c>
      <c r="J650" s="82">
        <v>519</v>
      </c>
      <c r="K650" s="82">
        <v>686</v>
      </c>
      <c r="L650" s="82">
        <v>62</v>
      </c>
      <c r="M650" s="82">
        <v>62</v>
      </c>
      <c r="N650" s="82">
        <v>5</v>
      </c>
      <c r="O650" s="82">
        <v>19</v>
      </c>
      <c r="P650" s="82">
        <v>710</v>
      </c>
      <c r="Q650" s="82">
        <v>4707</v>
      </c>
      <c r="R650" s="12" t="s">
        <v>25</v>
      </c>
      <c r="S650" s="12" t="s">
        <v>25</v>
      </c>
      <c r="T650" s="12" t="s">
        <v>25</v>
      </c>
    </row>
    <row r="651" spans="1:20" x14ac:dyDescent="0.3">
      <c r="A651" s="13">
        <v>43915.708333333336</v>
      </c>
      <c r="B651" s="12" t="s">
        <v>22</v>
      </c>
      <c r="C651" s="82">
        <v>2</v>
      </c>
      <c r="D651" s="12" t="s">
        <v>60</v>
      </c>
      <c r="E651" s="82">
        <v>4573750286</v>
      </c>
      <c r="F651" s="82">
        <v>7320149366</v>
      </c>
      <c r="G651" s="82">
        <v>70</v>
      </c>
      <c r="H651" s="82">
        <v>25</v>
      </c>
      <c r="I651" s="82">
        <v>95</v>
      </c>
      <c r="J651" s="82">
        <v>280</v>
      </c>
      <c r="K651" s="82">
        <v>375</v>
      </c>
      <c r="L651" s="82">
        <v>-4</v>
      </c>
      <c r="M651" s="82">
        <v>1</v>
      </c>
      <c r="N651" s="82">
        <v>2</v>
      </c>
      <c r="O651" s="82">
        <v>24</v>
      </c>
      <c r="P651" s="82">
        <v>401</v>
      </c>
      <c r="Q651" s="82">
        <v>1200</v>
      </c>
      <c r="R651" s="12" t="s">
        <v>25</v>
      </c>
      <c r="S651" s="12" t="s">
        <v>25</v>
      </c>
      <c r="T651" s="12" t="s">
        <v>25</v>
      </c>
    </row>
    <row r="652" spans="1:20" x14ac:dyDescent="0.3">
      <c r="A652" s="13">
        <v>43915.708333333336</v>
      </c>
      <c r="B652" s="12" t="s">
        <v>22</v>
      </c>
      <c r="C652" s="82">
        <v>5</v>
      </c>
      <c r="D652" s="12" t="s">
        <v>61</v>
      </c>
      <c r="E652" s="82">
        <v>4543490485</v>
      </c>
      <c r="F652" s="82">
        <v>1233845213</v>
      </c>
      <c r="G652" s="82">
        <v>1407</v>
      </c>
      <c r="H652" s="82">
        <v>316</v>
      </c>
      <c r="I652" s="82">
        <v>1723</v>
      </c>
      <c r="J652" s="82">
        <v>4022</v>
      </c>
      <c r="K652" s="82">
        <v>5745</v>
      </c>
      <c r="L652" s="82">
        <v>394</v>
      </c>
      <c r="M652" s="82">
        <v>494</v>
      </c>
      <c r="N652" s="82">
        <v>439</v>
      </c>
      <c r="O652" s="82">
        <v>258</v>
      </c>
      <c r="P652" s="82">
        <v>6442</v>
      </c>
      <c r="Q652" s="82">
        <v>70877</v>
      </c>
      <c r="R652" s="12" t="s">
        <v>25</v>
      </c>
      <c r="S652" s="12" t="s">
        <v>25</v>
      </c>
      <c r="T652" s="12" t="s">
        <v>25</v>
      </c>
    </row>
    <row r="653" spans="1:20" x14ac:dyDescent="0.3">
      <c r="A653" s="13">
        <v>43916.708333333336</v>
      </c>
      <c r="B653" s="12" t="s">
        <v>22</v>
      </c>
      <c r="C653" s="82">
        <v>13</v>
      </c>
      <c r="D653" s="12" t="s">
        <v>42</v>
      </c>
      <c r="E653" s="82">
        <v>4235122196</v>
      </c>
      <c r="F653" s="82">
        <v>1339843823</v>
      </c>
      <c r="G653" s="82">
        <v>280</v>
      </c>
      <c r="H653" s="82">
        <v>64</v>
      </c>
      <c r="I653" s="82">
        <v>344</v>
      </c>
      <c r="J653" s="82">
        <v>516</v>
      </c>
      <c r="K653" s="82">
        <v>860</v>
      </c>
      <c r="L653" s="82">
        <v>122</v>
      </c>
      <c r="M653" s="82">
        <v>133</v>
      </c>
      <c r="N653" s="82">
        <v>23</v>
      </c>
      <c r="O653" s="82">
        <v>63</v>
      </c>
      <c r="P653" s="82">
        <v>946</v>
      </c>
      <c r="Q653" s="82">
        <v>5488</v>
      </c>
      <c r="R653" s="12" t="s">
        <v>25</v>
      </c>
      <c r="S653" s="12" t="s">
        <v>25</v>
      </c>
      <c r="T653" s="12" t="s">
        <v>25</v>
      </c>
    </row>
    <row r="654" spans="1:20" x14ac:dyDescent="0.3">
      <c r="A654" s="13">
        <v>43916.708333333336</v>
      </c>
      <c r="B654" s="12" t="s">
        <v>22</v>
      </c>
      <c r="C654" s="82">
        <v>17</v>
      </c>
      <c r="D654" s="12" t="s">
        <v>43</v>
      </c>
      <c r="E654" s="82">
        <v>4063947052</v>
      </c>
      <c r="F654" s="82">
        <v>1580514834</v>
      </c>
      <c r="G654" s="82">
        <v>22</v>
      </c>
      <c r="H654" s="82">
        <v>16</v>
      </c>
      <c r="I654" s="82">
        <v>38</v>
      </c>
      <c r="J654" s="82">
        <v>95</v>
      </c>
      <c r="K654" s="82">
        <v>133</v>
      </c>
      <c r="L654" s="82">
        <v>21</v>
      </c>
      <c r="M654" s="82">
        <v>21</v>
      </c>
      <c r="N654" s="82">
        <v>0</v>
      </c>
      <c r="O654" s="82">
        <v>1</v>
      </c>
      <c r="P654" s="82">
        <v>134</v>
      </c>
      <c r="Q654" s="82">
        <v>1046</v>
      </c>
      <c r="R654" s="12" t="s">
        <v>25</v>
      </c>
      <c r="S654" s="12" t="s">
        <v>25</v>
      </c>
      <c r="T654" s="12" t="s">
        <v>25</v>
      </c>
    </row>
    <row r="655" spans="1:20" x14ac:dyDescent="0.3">
      <c r="A655" s="13">
        <v>43916.708333333336</v>
      </c>
      <c r="B655" s="12" t="s">
        <v>22</v>
      </c>
      <c r="C655" s="82">
        <v>4</v>
      </c>
      <c r="D655" s="12" t="s">
        <v>44</v>
      </c>
      <c r="E655" s="82">
        <v>4649933453</v>
      </c>
      <c r="F655" s="82">
        <v>1135662422</v>
      </c>
      <c r="G655" s="82">
        <v>223</v>
      </c>
      <c r="H655" s="82">
        <v>43</v>
      </c>
      <c r="I655" s="82">
        <v>266</v>
      </c>
      <c r="J655" s="82">
        <v>525</v>
      </c>
      <c r="K655" s="82">
        <v>791</v>
      </c>
      <c r="L655" s="82">
        <v>43</v>
      </c>
      <c r="M655" s="82">
        <v>48</v>
      </c>
      <c r="N655" s="82">
        <v>67</v>
      </c>
      <c r="O655" s="82">
        <v>48</v>
      </c>
      <c r="P655" s="82">
        <v>906</v>
      </c>
      <c r="Q655" s="82">
        <v>7744</v>
      </c>
      <c r="R655" s="12" t="s">
        <v>25</v>
      </c>
      <c r="S655" s="12" t="s">
        <v>25</v>
      </c>
      <c r="T655" s="12" t="s">
        <v>25</v>
      </c>
    </row>
    <row r="656" spans="1:20" x14ac:dyDescent="0.3">
      <c r="A656" s="13">
        <v>43916.708333333336</v>
      </c>
      <c r="B656" s="12" t="s">
        <v>22</v>
      </c>
      <c r="C656" s="82">
        <v>18</v>
      </c>
      <c r="D656" s="12" t="s">
        <v>45</v>
      </c>
      <c r="E656" s="82">
        <v>3890597598</v>
      </c>
      <c r="F656" s="82">
        <v>1659440194</v>
      </c>
      <c r="G656" s="82">
        <v>101</v>
      </c>
      <c r="H656" s="82">
        <v>23</v>
      </c>
      <c r="I656" s="82">
        <v>124</v>
      </c>
      <c r="J656" s="82">
        <v>248</v>
      </c>
      <c r="K656" s="82">
        <v>372</v>
      </c>
      <c r="L656" s="82">
        <v>39</v>
      </c>
      <c r="M656" s="82">
        <v>42</v>
      </c>
      <c r="N656" s="82">
        <v>7</v>
      </c>
      <c r="O656" s="82">
        <v>14</v>
      </c>
      <c r="P656" s="82">
        <v>393</v>
      </c>
      <c r="Q656" s="82">
        <v>5933</v>
      </c>
      <c r="R656" s="12" t="s">
        <v>25</v>
      </c>
      <c r="S656" s="12" t="s">
        <v>25</v>
      </c>
      <c r="T656" s="12" t="s">
        <v>25</v>
      </c>
    </row>
    <row r="657" spans="1:20" x14ac:dyDescent="0.3">
      <c r="A657" s="13">
        <v>43916.708333333336</v>
      </c>
      <c r="B657" s="12" t="s">
        <v>22</v>
      </c>
      <c r="C657" s="82">
        <v>15</v>
      </c>
      <c r="D657" s="12" t="s">
        <v>46</v>
      </c>
      <c r="E657" s="82">
        <v>4083956555</v>
      </c>
      <c r="F657" s="82">
        <v>1425084984</v>
      </c>
      <c r="G657" s="82">
        <v>448</v>
      </c>
      <c r="H657" s="82">
        <v>114</v>
      </c>
      <c r="I657" s="82">
        <v>562</v>
      </c>
      <c r="J657" s="82">
        <v>607</v>
      </c>
      <c r="K657" s="82">
        <v>1169</v>
      </c>
      <c r="L657" s="82">
        <v>97</v>
      </c>
      <c r="M657" s="82">
        <v>111</v>
      </c>
      <c r="N657" s="82">
        <v>58</v>
      </c>
      <c r="O657" s="82">
        <v>83</v>
      </c>
      <c r="P657" s="82">
        <v>1310</v>
      </c>
      <c r="Q657" s="82">
        <v>8346</v>
      </c>
      <c r="R657" s="12" t="s">
        <v>25</v>
      </c>
      <c r="S657" s="12" t="s">
        <v>25</v>
      </c>
      <c r="T657" s="12" t="s">
        <v>25</v>
      </c>
    </row>
    <row r="658" spans="1:20" x14ac:dyDescent="0.3">
      <c r="A658" s="13">
        <v>43916.708333333336</v>
      </c>
      <c r="B658" s="12" t="s">
        <v>22</v>
      </c>
      <c r="C658" s="82">
        <v>8</v>
      </c>
      <c r="D658" s="12" t="s">
        <v>95</v>
      </c>
      <c r="E658" s="82">
        <v>4449436681</v>
      </c>
      <c r="F658" s="82">
        <v>113417208</v>
      </c>
      <c r="G658" s="82">
        <v>3354</v>
      </c>
      <c r="H658" s="82">
        <v>301</v>
      </c>
      <c r="I658" s="82">
        <v>3655</v>
      </c>
      <c r="J658" s="82">
        <v>5195</v>
      </c>
      <c r="K658" s="82">
        <v>8850</v>
      </c>
      <c r="L658" s="82">
        <v>594</v>
      </c>
      <c r="M658" s="82">
        <v>762</v>
      </c>
      <c r="N658" s="82">
        <v>792</v>
      </c>
      <c r="O658" s="82">
        <v>1174</v>
      </c>
      <c r="P658" s="82">
        <v>10816</v>
      </c>
      <c r="Q658" s="82">
        <v>42395</v>
      </c>
      <c r="R658" s="12" t="s">
        <v>25</v>
      </c>
      <c r="S658" s="12" t="s">
        <v>25</v>
      </c>
      <c r="T658" s="12" t="s">
        <v>25</v>
      </c>
    </row>
    <row r="659" spans="1:20" x14ac:dyDescent="0.3">
      <c r="A659" s="13">
        <v>43916.708333333336</v>
      </c>
      <c r="B659" s="12" t="s">
        <v>22</v>
      </c>
      <c r="C659" s="82">
        <v>6</v>
      </c>
      <c r="D659" s="12" t="s">
        <v>47</v>
      </c>
      <c r="E659" s="82">
        <v>456494354</v>
      </c>
      <c r="F659" s="82">
        <v>1376813649</v>
      </c>
      <c r="G659" s="82">
        <v>212</v>
      </c>
      <c r="H659" s="82">
        <v>54</v>
      </c>
      <c r="I659" s="82">
        <v>266</v>
      </c>
      <c r="J659" s="82">
        <v>688</v>
      </c>
      <c r="K659" s="82">
        <v>954</v>
      </c>
      <c r="L659" s="82">
        <v>43</v>
      </c>
      <c r="M659" s="82">
        <v>84</v>
      </c>
      <c r="N659" s="82">
        <v>197</v>
      </c>
      <c r="O659" s="82">
        <v>72</v>
      </c>
      <c r="P659" s="82">
        <v>1223</v>
      </c>
      <c r="Q659" s="82">
        <v>10721</v>
      </c>
      <c r="R659" s="12" t="s">
        <v>25</v>
      </c>
      <c r="S659" s="12" t="s">
        <v>25</v>
      </c>
      <c r="T659" s="12" t="s">
        <v>25</v>
      </c>
    </row>
    <row r="660" spans="1:20" x14ac:dyDescent="0.3">
      <c r="A660" s="13">
        <v>43916.708333333336</v>
      </c>
      <c r="B660" s="12" t="s">
        <v>22</v>
      </c>
      <c r="C660" s="82">
        <v>12</v>
      </c>
      <c r="D660" s="12" t="s">
        <v>48</v>
      </c>
      <c r="E660" s="82">
        <v>4189277044</v>
      </c>
      <c r="F660" s="82">
        <v>1248366722</v>
      </c>
      <c r="G660" s="82">
        <v>878</v>
      </c>
      <c r="H660" s="82">
        <v>113</v>
      </c>
      <c r="I660" s="82">
        <v>991</v>
      </c>
      <c r="J660" s="82">
        <v>844</v>
      </c>
      <c r="K660" s="82">
        <v>1835</v>
      </c>
      <c r="L660" s="82">
        <v>160</v>
      </c>
      <c r="M660" s="82">
        <v>195</v>
      </c>
      <c r="N660" s="82">
        <v>155</v>
      </c>
      <c r="O660" s="82">
        <v>106</v>
      </c>
      <c r="P660" s="82">
        <v>2096</v>
      </c>
      <c r="Q660" s="82">
        <v>22771</v>
      </c>
      <c r="R660" s="12" t="s">
        <v>25</v>
      </c>
      <c r="S660" s="12" t="s">
        <v>25</v>
      </c>
      <c r="T660" s="12" t="s">
        <v>25</v>
      </c>
    </row>
    <row r="661" spans="1:20" x14ac:dyDescent="0.3">
      <c r="A661" s="13">
        <v>43916.708333333336</v>
      </c>
      <c r="B661" s="12" t="s">
        <v>22</v>
      </c>
      <c r="C661" s="82">
        <v>7</v>
      </c>
      <c r="D661" s="12" t="s">
        <v>49</v>
      </c>
      <c r="E661" s="82">
        <v>4441149315</v>
      </c>
      <c r="F661" s="82">
        <v>89326992</v>
      </c>
      <c r="G661" s="82">
        <v>998</v>
      </c>
      <c r="H661" s="82">
        <v>154</v>
      </c>
      <c r="I661" s="82">
        <v>1152</v>
      </c>
      <c r="J661" s="82">
        <v>875</v>
      </c>
      <c r="K661" s="82">
        <v>2027</v>
      </c>
      <c r="L661" s="82">
        <v>201</v>
      </c>
      <c r="M661" s="82">
        <v>262</v>
      </c>
      <c r="N661" s="82">
        <v>260</v>
      </c>
      <c r="O661" s="82">
        <v>280</v>
      </c>
      <c r="P661" s="82">
        <v>2567</v>
      </c>
      <c r="Q661" s="82">
        <v>7304</v>
      </c>
      <c r="R661" s="12" t="s">
        <v>25</v>
      </c>
      <c r="S661" s="12" t="s">
        <v>25</v>
      </c>
      <c r="T661" s="12" t="s">
        <v>25</v>
      </c>
    </row>
    <row r="662" spans="1:20" x14ac:dyDescent="0.3">
      <c r="A662" s="13">
        <v>43916.708333333336</v>
      </c>
      <c r="B662" s="12" t="s">
        <v>22</v>
      </c>
      <c r="C662" s="82">
        <v>3</v>
      </c>
      <c r="D662" s="12" t="s">
        <v>50</v>
      </c>
      <c r="E662" s="82">
        <v>4546679409</v>
      </c>
      <c r="F662" s="82">
        <v>9190347404</v>
      </c>
      <c r="G662" s="82">
        <v>10681</v>
      </c>
      <c r="H662" s="82">
        <v>1263</v>
      </c>
      <c r="I662" s="82">
        <v>11944</v>
      </c>
      <c r="J662" s="82">
        <v>10245</v>
      </c>
      <c r="K662" s="82">
        <v>22189</v>
      </c>
      <c r="L662" s="82">
        <v>1598</v>
      </c>
      <c r="M662" s="82">
        <v>2543</v>
      </c>
      <c r="N662" s="82">
        <v>7839</v>
      </c>
      <c r="O662" s="82">
        <v>4861</v>
      </c>
      <c r="P662" s="82">
        <v>34889</v>
      </c>
      <c r="Q662" s="82">
        <v>87713</v>
      </c>
      <c r="R662" s="12" t="s">
        <v>25</v>
      </c>
      <c r="S662" s="12" t="s">
        <v>25</v>
      </c>
      <c r="T662" s="12" t="s">
        <v>25</v>
      </c>
    </row>
    <row r="663" spans="1:20" x14ac:dyDescent="0.3">
      <c r="A663" s="13">
        <v>43916.708333333336</v>
      </c>
      <c r="B663" s="12" t="s">
        <v>22</v>
      </c>
      <c r="C663" s="82">
        <v>11</v>
      </c>
      <c r="D663" s="12" t="s">
        <v>51</v>
      </c>
      <c r="E663" s="82">
        <v>4361675973</v>
      </c>
      <c r="F663" s="82">
        <v>135188753</v>
      </c>
      <c r="G663" s="82">
        <v>977</v>
      </c>
      <c r="H663" s="82">
        <v>166</v>
      </c>
      <c r="I663" s="82">
        <v>1143</v>
      </c>
      <c r="J663" s="82">
        <v>1652</v>
      </c>
      <c r="K663" s="82">
        <v>2795</v>
      </c>
      <c r="L663" s="82">
        <v>156</v>
      </c>
      <c r="M663" s="82">
        <v>180</v>
      </c>
      <c r="N663" s="82">
        <v>9</v>
      </c>
      <c r="O663" s="82">
        <v>310</v>
      </c>
      <c r="P663" s="82">
        <v>3114</v>
      </c>
      <c r="Q663" s="82">
        <v>8623</v>
      </c>
      <c r="R663" s="12" t="s">
        <v>25</v>
      </c>
      <c r="S663" s="12" t="s">
        <v>25</v>
      </c>
      <c r="T663" s="12" t="s">
        <v>25</v>
      </c>
    </row>
    <row r="664" spans="1:20" x14ac:dyDescent="0.3">
      <c r="A664" s="13">
        <v>43916.708333333336</v>
      </c>
      <c r="B664" s="12" t="s">
        <v>22</v>
      </c>
      <c r="C664" s="82">
        <v>14</v>
      </c>
      <c r="D664" s="12" t="s">
        <v>52</v>
      </c>
      <c r="E664" s="82">
        <v>4155774754</v>
      </c>
      <c r="F664" s="82">
        <v>1465916051</v>
      </c>
      <c r="G664" s="82">
        <v>27</v>
      </c>
      <c r="H664" s="82">
        <v>8</v>
      </c>
      <c r="I664" s="82">
        <v>35</v>
      </c>
      <c r="J664" s="82">
        <v>46</v>
      </c>
      <c r="K664" s="82">
        <v>81</v>
      </c>
      <c r="L664" s="82">
        <v>28</v>
      </c>
      <c r="M664" s="82">
        <v>30</v>
      </c>
      <c r="N664" s="82">
        <v>14</v>
      </c>
      <c r="O664" s="82">
        <v>8</v>
      </c>
      <c r="P664" s="82">
        <v>103</v>
      </c>
      <c r="Q664" s="82">
        <v>670</v>
      </c>
      <c r="R664" s="12" t="s">
        <v>25</v>
      </c>
      <c r="S664" s="12" t="s">
        <v>25</v>
      </c>
      <c r="T664" s="12" t="s">
        <v>25</v>
      </c>
    </row>
    <row r="665" spans="1:20" x14ac:dyDescent="0.3">
      <c r="A665" s="13">
        <v>43916.708333333336</v>
      </c>
      <c r="B665" s="12" t="s">
        <v>22</v>
      </c>
      <c r="C665" s="82">
        <v>1</v>
      </c>
      <c r="D665" s="12" t="s">
        <v>53</v>
      </c>
      <c r="E665" s="82">
        <v>450732745</v>
      </c>
      <c r="F665" s="82">
        <v>7680687483</v>
      </c>
      <c r="G665" s="82">
        <v>2633</v>
      </c>
      <c r="H665" s="82">
        <v>408</v>
      </c>
      <c r="I665" s="82">
        <v>3041</v>
      </c>
      <c r="J665" s="82">
        <v>2909</v>
      </c>
      <c r="K665" s="82">
        <v>5950</v>
      </c>
      <c r="L665" s="82">
        <v>394</v>
      </c>
      <c r="M665" s="82">
        <v>510</v>
      </c>
      <c r="N665" s="82">
        <v>135</v>
      </c>
      <c r="O665" s="82">
        <v>449</v>
      </c>
      <c r="P665" s="82">
        <v>6534</v>
      </c>
      <c r="Q665" s="82">
        <v>18054</v>
      </c>
      <c r="R665" s="12" t="s">
        <v>25</v>
      </c>
      <c r="S665" s="12" t="s">
        <v>88</v>
      </c>
      <c r="T665" s="12" t="s">
        <v>89</v>
      </c>
    </row>
    <row r="666" spans="1:20" x14ac:dyDescent="0.3">
      <c r="A666" s="13">
        <v>43916.708333333336</v>
      </c>
      <c r="B666" s="12" t="s">
        <v>22</v>
      </c>
      <c r="C666" s="82">
        <v>16</v>
      </c>
      <c r="D666" s="12" t="s">
        <v>54</v>
      </c>
      <c r="E666" s="82">
        <v>4112559576</v>
      </c>
      <c r="F666" s="82">
        <v>1686736689</v>
      </c>
      <c r="G666" s="82">
        <v>480</v>
      </c>
      <c r="H666" s="82">
        <v>76</v>
      </c>
      <c r="I666" s="82">
        <v>556</v>
      </c>
      <c r="J666" s="82">
        <v>539</v>
      </c>
      <c r="K666" s="82">
        <v>1095</v>
      </c>
      <c r="L666" s="82">
        <v>72</v>
      </c>
      <c r="M666" s="82">
        <v>89</v>
      </c>
      <c r="N666" s="82">
        <v>22</v>
      </c>
      <c r="O666" s="82">
        <v>65</v>
      </c>
      <c r="P666" s="82">
        <v>1182</v>
      </c>
      <c r="Q666" s="82">
        <v>9191</v>
      </c>
      <c r="R666" s="12" t="s">
        <v>25</v>
      </c>
      <c r="S666" s="12" t="s">
        <v>25</v>
      </c>
      <c r="T666" s="12" t="s">
        <v>25</v>
      </c>
    </row>
    <row r="667" spans="1:20" x14ac:dyDescent="0.3">
      <c r="A667" s="13">
        <v>43916.708333333336</v>
      </c>
      <c r="B667" s="12" t="s">
        <v>22</v>
      </c>
      <c r="C667" s="82">
        <v>20</v>
      </c>
      <c r="D667" s="12" t="s">
        <v>55</v>
      </c>
      <c r="E667" s="82">
        <v>3921531192</v>
      </c>
      <c r="F667" s="82">
        <v>9110616306</v>
      </c>
      <c r="G667" s="82">
        <v>92</v>
      </c>
      <c r="H667" s="82">
        <v>20</v>
      </c>
      <c r="I667" s="82">
        <v>112</v>
      </c>
      <c r="J667" s="82">
        <v>350</v>
      </c>
      <c r="K667" s="82">
        <v>462</v>
      </c>
      <c r="L667" s="82">
        <v>50</v>
      </c>
      <c r="M667" s="82">
        <v>52</v>
      </c>
      <c r="N667" s="82">
        <v>13</v>
      </c>
      <c r="O667" s="82">
        <v>19</v>
      </c>
      <c r="P667" s="82">
        <v>494</v>
      </c>
      <c r="Q667" s="82">
        <v>3461</v>
      </c>
      <c r="R667" s="12" t="s">
        <v>25</v>
      </c>
      <c r="S667" s="12" t="s">
        <v>25</v>
      </c>
      <c r="T667" s="12" t="s">
        <v>25</v>
      </c>
    </row>
    <row r="668" spans="1:20" x14ac:dyDescent="0.3">
      <c r="A668" s="13">
        <v>43916.708333333336</v>
      </c>
      <c r="B668" s="12" t="s">
        <v>22</v>
      </c>
      <c r="C668" s="82">
        <v>19</v>
      </c>
      <c r="D668" s="12" t="s">
        <v>56</v>
      </c>
      <c r="E668" s="82">
        <v>3811569725</v>
      </c>
      <c r="F668" s="82">
        <v>133623567</v>
      </c>
      <c r="G668" s="82">
        <v>346</v>
      </c>
      <c r="H668" s="82">
        <v>68</v>
      </c>
      <c r="I668" s="82">
        <v>414</v>
      </c>
      <c r="J668" s="82">
        <v>681</v>
      </c>
      <c r="K668" s="82">
        <v>1095</v>
      </c>
      <c r="L668" s="82">
        <v>159</v>
      </c>
      <c r="M668" s="82">
        <v>170</v>
      </c>
      <c r="N668" s="82">
        <v>36</v>
      </c>
      <c r="O668" s="82">
        <v>33</v>
      </c>
      <c r="P668" s="82">
        <v>1164</v>
      </c>
      <c r="Q668" s="82">
        <v>9658</v>
      </c>
      <c r="R668" s="12" t="s">
        <v>25</v>
      </c>
      <c r="S668" s="12" t="s">
        <v>25</v>
      </c>
      <c r="T668" s="12" t="s">
        <v>25</v>
      </c>
    </row>
    <row r="669" spans="1:20" x14ac:dyDescent="0.3">
      <c r="A669" s="13">
        <v>43916.708333333336</v>
      </c>
      <c r="B669" s="12" t="s">
        <v>22</v>
      </c>
      <c r="C669" s="82">
        <v>9</v>
      </c>
      <c r="D669" s="12" t="s">
        <v>57</v>
      </c>
      <c r="E669" s="82">
        <v>4376923077</v>
      </c>
      <c r="F669" s="82">
        <v>1125588885</v>
      </c>
      <c r="G669" s="82">
        <v>1037</v>
      </c>
      <c r="H669" s="82">
        <v>259</v>
      </c>
      <c r="I669" s="82">
        <v>1296</v>
      </c>
      <c r="J669" s="82">
        <v>1677</v>
      </c>
      <c r="K669" s="82">
        <v>2973</v>
      </c>
      <c r="L669" s="82">
        <v>197</v>
      </c>
      <c r="M669" s="82">
        <v>254</v>
      </c>
      <c r="N669" s="82">
        <v>95</v>
      </c>
      <c r="O669" s="82">
        <v>158</v>
      </c>
      <c r="P669" s="82">
        <v>3226</v>
      </c>
      <c r="Q669" s="82">
        <v>20952</v>
      </c>
      <c r="R669" s="12" t="s">
        <v>25</v>
      </c>
      <c r="S669" s="12" t="s">
        <v>25</v>
      </c>
      <c r="T669" s="12" t="s">
        <v>25</v>
      </c>
    </row>
    <row r="670" spans="1:20" x14ac:dyDescent="0.3">
      <c r="A670" s="13">
        <v>43916.708333333336</v>
      </c>
      <c r="B670" s="12" t="s">
        <v>22</v>
      </c>
      <c r="C670" s="82">
        <v>4</v>
      </c>
      <c r="D670" s="12" t="s">
        <v>58</v>
      </c>
      <c r="E670" s="82">
        <v>4606893511</v>
      </c>
      <c r="F670" s="82">
        <v>1112123097</v>
      </c>
      <c r="G670" s="82">
        <v>300</v>
      </c>
      <c r="H670" s="82">
        <v>66</v>
      </c>
      <c r="I670" s="82">
        <v>366</v>
      </c>
      <c r="J670" s="82">
        <v>728</v>
      </c>
      <c r="K670" s="82">
        <v>1094</v>
      </c>
      <c r="L670" s="82">
        <v>36</v>
      </c>
      <c r="M670" s="82">
        <v>75</v>
      </c>
      <c r="N670" s="82">
        <v>117</v>
      </c>
      <c r="O670" s="82">
        <v>86</v>
      </c>
      <c r="P670" s="82">
        <v>1297</v>
      </c>
      <c r="Q670" s="82">
        <v>4600</v>
      </c>
      <c r="R670" s="12" t="s">
        <v>25</v>
      </c>
      <c r="S670" s="12" t="s">
        <v>25</v>
      </c>
      <c r="T670" s="12" t="s">
        <v>25</v>
      </c>
    </row>
    <row r="671" spans="1:20" x14ac:dyDescent="0.3">
      <c r="A671" s="13">
        <v>43916.708333333336</v>
      </c>
      <c r="B671" s="12" t="s">
        <v>22</v>
      </c>
      <c r="C671" s="82">
        <v>10</v>
      </c>
      <c r="D671" s="12" t="s">
        <v>59</v>
      </c>
      <c r="E671" s="82">
        <v>4310675841</v>
      </c>
      <c r="F671" s="82">
        <v>1238824698</v>
      </c>
      <c r="G671" s="82">
        <v>144</v>
      </c>
      <c r="H671" s="82">
        <v>46</v>
      </c>
      <c r="I671" s="82">
        <v>190</v>
      </c>
      <c r="J671" s="82">
        <v>580</v>
      </c>
      <c r="K671" s="82">
        <v>770</v>
      </c>
      <c r="L671" s="82">
        <v>84</v>
      </c>
      <c r="M671" s="82">
        <v>92</v>
      </c>
      <c r="N671" s="82">
        <v>12</v>
      </c>
      <c r="O671" s="82">
        <v>20</v>
      </c>
      <c r="P671" s="82">
        <v>802</v>
      </c>
      <c r="Q671" s="82">
        <v>5428</v>
      </c>
      <c r="R671" s="12" t="s">
        <v>25</v>
      </c>
      <c r="S671" s="12" t="s">
        <v>25</v>
      </c>
      <c r="T671" s="12" t="s">
        <v>25</v>
      </c>
    </row>
    <row r="672" spans="1:20" x14ac:dyDescent="0.3">
      <c r="A672" s="13">
        <v>43916.708333333336</v>
      </c>
      <c r="B672" s="12" t="s">
        <v>22</v>
      </c>
      <c r="C672" s="82">
        <v>2</v>
      </c>
      <c r="D672" s="12" t="s">
        <v>60</v>
      </c>
      <c r="E672" s="82">
        <v>4573750286</v>
      </c>
      <c r="F672" s="82">
        <v>7320149366</v>
      </c>
      <c r="G672" s="82">
        <v>73</v>
      </c>
      <c r="H672" s="82">
        <v>24</v>
      </c>
      <c r="I672" s="82">
        <v>97</v>
      </c>
      <c r="J672" s="82">
        <v>281</v>
      </c>
      <c r="K672" s="82">
        <v>378</v>
      </c>
      <c r="L672" s="82">
        <v>3</v>
      </c>
      <c r="M672" s="82">
        <v>7</v>
      </c>
      <c r="N672" s="82">
        <v>2</v>
      </c>
      <c r="O672" s="82">
        <v>28</v>
      </c>
      <c r="P672" s="82">
        <v>408</v>
      </c>
      <c r="Q672" s="82">
        <v>1203</v>
      </c>
      <c r="R672" s="12" t="s">
        <v>25</v>
      </c>
      <c r="S672" s="12" t="s">
        <v>25</v>
      </c>
      <c r="T672" s="12" t="s">
        <v>25</v>
      </c>
    </row>
    <row r="673" spans="1:20" x14ac:dyDescent="0.3">
      <c r="A673" s="13">
        <v>43916.708333333336</v>
      </c>
      <c r="B673" s="12" t="s">
        <v>22</v>
      </c>
      <c r="C673" s="82">
        <v>5</v>
      </c>
      <c r="D673" s="12" t="s">
        <v>61</v>
      </c>
      <c r="E673" s="82">
        <v>4543490485</v>
      </c>
      <c r="F673" s="82">
        <v>1233845213</v>
      </c>
      <c r="G673" s="82">
        <v>1447</v>
      </c>
      <c r="H673" s="82">
        <v>326</v>
      </c>
      <c r="I673" s="82">
        <v>1773</v>
      </c>
      <c r="J673" s="82">
        <v>4367</v>
      </c>
      <c r="K673" s="82">
        <v>6140</v>
      </c>
      <c r="L673" s="82">
        <v>395</v>
      </c>
      <c r="M673" s="82">
        <v>493</v>
      </c>
      <c r="N673" s="82">
        <v>508</v>
      </c>
      <c r="O673" s="82">
        <v>287</v>
      </c>
      <c r="P673" s="82">
        <v>6935</v>
      </c>
      <c r="Q673" s="82">
        <v>79759</v>
      </c>
      <c r="R673" s="12" t="s">
        <v>25</v>
      </c>
      <c r="S673" s="12" t="s">
        <v>25</v>
      </c>
      <c r="T673" s="12" t="s">
        <v>25</v>
      </c>
    </row>
    <row r="674" spans="1:20" x14ac:dyDescent="0.3">
      <c r="A674" s="13">
        <v>43917.708333333336</v>
      </c>
      <c r="B674" s="12" t="s">
        <v>22</v>
      </c>
      <c r="C674" s="82">
        <v>13</v>
      </c>
      <c r="D674" s="12" t="s">
        <v>42</v>
      </c>
      <c r="E674" s="82">
        <v>4235122196</v>
      </c>
      <c r="F674" s="82">
        <v>1339843823</v>
      </c>
      <c r="G674" s="82">
        <v>289</v>
      </c>
      <c r="H674" s="82">
        <v>71</v>
      </c>
      <c r="I674" s="82">
        <v>360</v>
      </c>
      <c r="J674" s="82">
        <v>565</v>
      </c>
      <c r="K674" s="82">
        <v>925</v>
      </c>
      <c r="L674" s="82">
        <v>65</v>
      </c>
      <c r="M674" s="82">
        <v>71</v>
      </c>
      <c r="N674" s="82">
        <v>24</v>
      </c>
      <c r="O674" s="82">
        <v>68</v>
      </c>
      <c r="P674" s="82">
        <v>1017</v>
      </c>
      <c r="Q674" s="82">
        <v>6109</v>
      </c>
      <c r="R674" s="12" t="s">
        <v>25</v>
      </c>
      <c r="S674" s="12" t="s">
        <v>25</v>
      </c>
      <c r="T674" s="12" t="s">
        <v>25</v>
      </c>
    </row>
    <row r="675" spans="1:20" x14ac:dyDescent="0.3">
      <c r="A675" s="13">
        <v>43917.708333333336</v>
      </c>
      <c r="B675" s="12" t="s">
        <v>22</v>
      </c>
      <c r="C675" s="82">
        <v>17</v>
      </c>
      <c r="D675" s="12" t="s">
        <v>43</v>
      </c>
      <c r="E675" s="82">
        <v>4063947052</v>
      </c>
      <c r="F675" s="82">
        <v>1580514834</v>
      </c>
      <c r="G675" s="82">
        <v>22</v>
      </c>
      <c r="H675" s="82">
        <v>15</v>
      </c>
      <c r="I675" s="82">
        <v>37</v>
      </c>
      <c r="J675" s="82">
        <v>110</v>
      </c>
      <c r="K675" s="82">
        <v>147</v>
      </c>
      <c r="L675" s="82">
        <v>14</v>
      </c>
      <c r="M675" s="82">
        <v>17</v>
      </c>
      <c r="N675" s="82">
        <v>1</v>
      </c>
      <c r="O675" s="82">
        <v>3</v>
      </c>
      <c r="P675" s="82">
        <v>151</v>
      </c>
      <c r="Q675" s="82">
        <v>1254</v>
      </c>
      <c r="R675" s="12" t="s">
        <v>25</v>
      </c>
      <c r="S675" s="12" t="s">
        <v>25</v>
      </c>
      <c r="T675" s="12" t="s">
        <v>25</v>
      </c>
    </row>
    <row r="676" spans="1:20" x14ac:dyDescent="0.3">
      <c r="A676" s="13">
        <v>43917.708333333336</v>
      </c>
      <c r="B676" s="12" t="s">
        <v>22</v>
      </c>
      <c r="C676" s="82">
        <v>4</v>
      </c>
      <c r="D676" s="12" t="s">
        <v>44</v>
      </c>
      <c r="E676" s="82">
        <v>4649933453</v>
      </c>
      <c r="F676" s="82">
        <v>1135662422</v>
      </c>
      <c r="G676" s="82">
        <v>249</v>
      </c>
      <c r="H676" s="82">
        <v>45</v>
      </c>
      <c r="I676" s="82">
        <v>294</v>
      </c>
      <c r="J676" s="82">
        <v>539</v>
      </c>
      <c r="K676" s="82">
        <v>833</v>
      </c>
      <c r="L676" s="82">
        <v>42</v>
      </c>
      <c r="M676" s="82">
        <v>97</v>
      </c>
      <c r="N676" s="82">
        <v>110</v>
      </c>
      <c r="O676" s="82">
        <v>60</v>
      </c>
      <c r="P676" s="82">
        <v>1003</v>
      </c>
      <c r="Q676" s="82">
        <v>8520</v>
      </c>
      <c r="R676" s="12" t="s">
        <v>25</v>
      </c>
      <c r="S676" s="12" t="s">
        <v>25</v>
      </c>
      <c r="T676" s="12" t="s">
        <v>25</v>
      </c>
    </row>
    <row r="677" spans="1:20" x14ac:dyDescent="0.3">
      <c r="A677" s="13">
        <v>43917.708333333336</v>
      </c>
      <c r="B677" s="12" t="s">
        <v>22</v>
      </c>
      <c r="C677" s="82">
        <v>18</v>
      </c>
      <c r="D677" s="12" t="s">
        <v>45</v>
      </c>
      <c r="E677" s="82">
        <v>3890597598</v>
      </c>
      <c r="F677" s="82">
        <v>1659440194</v>
      </c>
      <c r="G677" s="82">
        <v>103</v>
      </c>
      <c r="H677" s="82">
        <v>22</v>
      </c>
      <c r="I677" s="82">
        <v>125</v>
      </c>
      <c r="J677" s="82">
        <v>344</v>
      </c>
      <c r="K677" s="82">
        <v>469</v>
      </c>
      <c r="L677" s="82">
        <v>97</v>
      </c>
      <c r="M677" s="82">
        <v>101</v>
      </c>
      <c r="N677" s="82">
        <v>7</v>
      </c>
      <c r="O677" s="82">
        <v>18</v>
      </c>
      <c r="P677" s="82">
        <v>494</v>
      </c>
      <c r="Q677" s="82">
        <v>6901</v>
      </c>
      <c r="R677" s="12" t="s">
        <v>25</v>
      </c>
      <c r="S677" s="12" t="s">
        <v>25</v>
      </c>
      <c r="T677" s="12" t="s">
        <v>25</v>
      </c>
    </row>
    <row r="678" spans="1:20" x14ac:dyDescent="0.3">
      <c r="A678" s="13">
        <v>43917.708333333336</v>
      </c>
      <c r="B678" s="12" t="s">
        <v>22</v>
      </c>
      <c r="C678" s="82">
        <v>15</v>
      </c>
      <c r="D678" s="12" t="s">
        <v>46</v>
      </c>
      <c r="E678" s="82">
        <v>4083956555</v>
      </c>
      <c r="F678" s="82">
        <v>1425084984</v>
      </c>
      <c r="G678" s="82">
        <v>456</v>
      </c>
      <c r="H678" s="82">
        <v>113</v>
      </c>
      <c r="I678" s="82">
        <v>569</v>
      </c>
      <c r="J678" s="82">
        <v>723</v>
      </c>
      <c r="K678" s="82">
        <v>1292</v>
      </c>
      <c r="L678" s="82">
        <v>123</v>
      </c>
      <c r="M678" s="82">
        <v>144</v>
      </c>
      <c r="N678" s="82">
        <v>64</v>
      </c>
      <c r="O678" s="82">
        <v>98</v>
      </c>
      <c r="P678" s="82">
        <v>1454</v>
      </c>
      <c r="Q678" s="82">
        <v>9613</v>
      </c>
      <c r="R678" s="12" t="s">
        <v>25</v>
      </c>
      <c r="S678" s="12" t="s">
        <v>25</v>
      </c>
      <c r="T678" s="12" t="s">
        <v>25</v>
      </c>
    </row>
    <row r="679" spans="1:20" x14ac:dyDescent="0.3">
      <c r="A679" s="13">
        <v>43917.708333333336</v>
      </c>
      <c r="B679" s="12" t="s">
        <v>22</v>
      </c>
      <c r="C679" s="82">
        <v>8</v>
      </c>
      <c r="D679" s="12" t="s">
        <v>95</v>
      </c>
      <c r="E679" s="82">
        <v>4449436681</v>
      </c>
      <c r="F679" s="82">
        <v>113417208</v>
      </c>
      <c r="G679" s="82">
        <v>3461</v>
      </c>
      <c r="H679" s="82">
        <v>308</v>
      </c>
      <c r="I679" s="82">
        <v>3769</v>
      </c>
      <c r="J679" s="82">
        <v>5592</v>
      </c>
      <c r="K679" s="82">
        <v>9361</v>
      </c>
      <c r="L679" s="82">
        <v>511</v>
      </c>
      <c r="M679" s="82">
        <v>772</v>
      </c>
      <c r="N679" s="82">
        <v>960</v>
      </c>
      <c r="O679" s="82">
        <v>1267</v>
      </c>
      <c r="P679" s="82">
        <v>11588</v>
      </c>
      <c r="Q679" s="82">
        <v>47798</v>
      </c>
      <c r="R679" s="12" t="s">
        <v>25</v>
      </c>
      <c r="S679" s="12" t="s">
        <v>25</v>
      </c>
      <c r="T679" s="12" t="s">
        <v>25</v>
      </c>
    </row>
    <row r="680" spans="1:20" x14ac:dyDescent="0.3">
      <c r="A680" s="13">
        <v>43917.708333333336</v>
      </c>
      <c r="B680" s="12" t="s">
        <v>22</v>
      </c>
      <c r="C680" s="82">
        <v>6</v>
      </c>
      <c r="D680" s="12" t="s">
        <v>47</v>
      </c>
      <c r="E680" s="82">
        <v>456494354</v>
      </c>
      <c r="F680" s="82">
        <v>1376813649</v>
      </c>
      <c r="G680" s="82">
        <v>222</v>
      </c>
      <c r="H680" s="82">
        <v>57</v>
      </c>
      <c r="I680" s="82">
        <v>279</v>
      </c>
      <c r="J680" s="82">
        <v>748</v>
      </c>
      <c r="K680" s="82">
        <v>1027</v>
      </c>
      <c r="L680" s="82">
        <v>73</v>
      </c>
      <c r="M680" s="82">
        <v>94</v>
      </c>
      <c r="N680" s="82">
        <v>214</v>
      </c>
      <c r="O680" s="82">
        <v>76</v>
      </c>
      <c r="P680" s="82">
        <v>1317</v>
      </c>
      <c r="Q680" s="82">
        <v>11841</v>
      </c>
      <c r="R680" s="12" t="s">
        <v>25</v>
      </c>
      <c r="S680" s="12" t="s">
        <v>25</v>
      </c>
      <c r="T680" s="12" t="s">
        <v>25</v>
      </c>
    </row>
    <row r="681" spans="1:20" x14ac:dyDescent="0.3">
      <c r="A681" s="13">
        <v>43917.708333333336</v>
      </c>
      <c r="B681" s="12" t="s">
        <v>22</v>
      </c>
      <c r="C681" s="82">
        <v>12</v>
      </c>
      <c r="D681" s="12" t="s">
        <v>48</v>
      </c>
      <c r="E681" s="82">
        <v>4189277044</v>
      </c>
      <c r="F681" s="82">
        <v>1248366722</v>
      </c>
      <c r="G681" s="82">
        <v>992</v>
      </c>
      <c r="H681" s="82">
        <v>126</v>
      </c>
      <c r="I681" s="82">
        <v>1118</v>
      </c>
      <c r="J681" s="82">
        <v>895</v>
      </c>
      <c r="K681" s="82">
        <v>2013</v>
      </c>
      <c r="L681" s="82">
        <v>178</v>
      </c>
      <c r="M681" s="82">
        <v>199</v>
      </c>
      <c r="N681" s="82">
        <v>164</v>
      </c>
      <c r="O681" s="82">
        <v>118</v>
      </c>
      <c r="P681" s="82">
        <v>2295</v>
      </c>
      <c r="Q681" s="82">
        <v>24106</v>
      </c>
      <c r="R681" s="12" t="s">
        <v>25</v>
      </c>
      <c r="S681" s="12" t="s">
        <v>25</v>
      </c>
      <c r="T681" s="12" t="s">
        <v>25</v>
      </c>
    </row>
    <row r="682" spans="1:20" x14ac:dyDescent="0.3">
      <c r="A682" s="13">
        <v>43917.708333333336</v>
      </c>
      <c r="B682" s="12" t="s">
        <v>22</v>
      </c>
      <c r="C682" s="82">
        <v>7</v>
      </c>
      <c r="D682" s="12" t="s">
        <v>49</v>
      </c>
      <c r="E682" s="82">
        <v>4441149315</v>
      </c>
      <c r="F682" s="82">
        <v>89326992</v>
      </c>
      <c r="G682" s="82">
        <v>1023</v>
      </c>
      <c r="H682" s="82">
        <v>157</v>
      </c>
      <c r="I682" s="82">
        <v>1180</v>
      </c>
      <c r="J682" s="82">
        <v>880</v>
      </c>
      <c r="K682" s="82">
        <v>2060</v>
      </c>
      <c r="L682" s="82">
        <v>33</v>
      </c>
      <c r="M682" s="82">
        <v>129</v>
      </c>
      <c r="N682" s="82">
        <v>305</v>
      </c>
      <c r="O682" s="82">
        <v>331</v>
      </c>
      <c r="P682" s="82">
        <v>2696</v>
      </c>
      <c r="Q682" s="82">
        <v>7804</v>
      </c>
      <c r="R682" s="12" t="s">
        <v>25</v>
      </c>
      <c r="S682" s="12" t="s">
        <v>25</v>
      </c>
      <c r="T682" s="12" t="s">
        <v>25</v>
      </c>
    </row>
    <row r="683" spans="1:20" x14ac:dyDescent="0.3">
      <c r="A683" s="13">
        <v>43917.708333333336</v>
      </c>
      <c r="B683" s="12" t="s">
        <v>22</v>
      </c>
      <c r="C683" s="82">
        <v>3</v>
      </c>
      <c r="D683" s="12" t="s">
        <v>50</v>
      </c>
      <c r="E683" s="82">
        <v>4546679409</v>
      </c>
      <c r="F683" s="82">
        <v>9190347404</v>
      </c>
      <c r="G683" s="82">
        <v>11137</v>
      </c>
      <c r="H683" s="82">
        <v>1292</v>
      </c>
      <c r="I683" s="82">
        <v>12429</v>
      </c>
      <c r="J683" s="82">
        <v>11466</v>
      </c>
      <c r="K683" s="82">
        <v>23895</v>
      </c>
      <c r="L683" s="82">
        <v>1706</v>
      </c>
      <c r="M683" s="82">
        <v>2409</v>
      </c>
      <c r="N683" s="82">
        <v>8001</v>
      </c>
      <c r="O683" s="82">
        <v>5402</v>
      </c>
      <c r="P683" s="82">
        <v>37298</v>
      </c>
      <c r="Q683" s="82">
        <v>95860</v>
      </c>
      <c r="R683" s="12" t="s">
        <v>25</v>
      </c>
      <c r="S683" s="12" t="s">
        <v>25</v>
      </c>
      <c r="T683" s="12" t="s">
        <v>25</v>
      </c>
    </row>
    <row r="684" spans="1:20" x14ac:dyDescent="0.3">
      <c r="A684" s="13">
        <v>43917.708333333336</v>
      </c>
      <c r="B684" s="12" t="s">
        <v>22</v>
      </c>
      <c r="C684" s="82">
        <v>11</v>
      </c>
      <c r="D684" s="12" t="s">
        <v>51</v>
      </c>
      <c r="E684" s="82">
        <v>4361675973</v>
      </c>
      <c r="F684" s="82">
        <v>135188753</v>
      </c>
      <c r="G684" s="82">
        <v>979</v>
      </c>
      <c r="H684" s="82">
        <v>162</v>
      </c>
      <c r="I684" s="82">
        <v>1141</v>
      </c>
      <c r="J684" s="82">
        <v>1709</v>
      </c>
      <c r="K684" s="82">
        <v>2850</v>
      </c>
      <c r="L684" s="82">
        <v>55</v>
      </c>
      <c r="M684" s="82">
        <v>82</v>
      </c>
      <c r="N684" s="82">
        <v>10</v>
      </c>
      <c r="O684" s="82">
        <v>336</v>
      </c>
      <c r="P684" s="82">
        <v>3196</v>
      </c>
      <c r="Q684" s="82">
        <v>9060</v>
      </c>
      <c r="R684" s="12" t="s">
        <v>25</v>
      </c>
      <c r="S684" s="12" t="s">
        <v>25</v>
      </c>
      <c r="T684" s="12" t="s">
        <v>25</v>
      </c>
    </row>
    <row r="685" spans="1:20" x14ac:dyDescent="0.3">
      <c r="A685" s="13">
        <v>43917.708333333336</v>
      </c>
      <c r="B685" s="12" t="s">
        <v>22</v>
      </c>
      <c r="C685" s="82">
        <v>14</v>
      </c>
      <c r="D685" s="12" t="s">
        <v>52</v>
      </c>
      <c r="E685" s="82">
        <v>4155774754</v>
      </c>
      <c r="F685" s="82">
        <v>1465916051</v>
      </c>
      <c r="G685" s="82">
        <v>26</v>
      </c>
      <c r="H685" s="82">
        <v>9</v>
      </c>
      <c r="I685" s="82">
        <v>35</v>
      </c>
      <c r="J685" s="82">
        <v>51</v>
      </c>
      <c r="K685" s="82">
        <v>86</v>
      </c>
      <c r="L685" s="82">
        <v>5</v>
      </c>
      <c r="M685" s="82">
        <v>6</v>
      </c>
      <c r="N685" s="82">
        <v>14</v>
      </c>
      <c r="O685" s="82">
        <v>9</v>
      </c>
      <c r="P685" s="82">
        <v>109</v>
      </c>
      <c r="Q685" s="82">
        <v>710</v>
      </c>
      <c r="R685" s="12" t="s">
        <v>25</v>
      </c>
      <c r="S685" s="12" t="s">
        <v>25</v>
      </c>
      <c r="T685" s="12" t="s">
        <v>25</v>
      </c>
    </row>
    <row r="686" spans="1:20" x14ac:dyDescent="0.3">
      <c r="A686" s="13">
        <v>43917.708333333336</v>
      </c>
      <c r="B686" s="12" t="s">
        <v>22</v>
      </c>
      <c r="C686" s="82">
        <v>1</v>
      </c>
      <c r="D686" s="12" t="s">
        <v>53</v>
      </c>
      <c r="E686" s="82">
        <v>450732745</v>
      </c>
      <c r="F686" s="82">
        <v>7680687483</v>
      </c>
      <c r="G686" s="82">
        <v>2852</v>
      </c>
      <c r="H686" s="82">
        <v>431</v>
      </c>
      <c r="I686" s="82">
        <v>3283</v>
      </c>
      <c r="J686" s="82">
        <v>3064</v>
      </c>
      <c r="K686" s="82">
        <v>6347</v>
      </c>
      <c r="L686" s="82">
        <v>397</v>
      </c>
      <c r="M686" s="82">
        <v>558</v>
      </c>
      <c r="N686" s="82">
        <v>176</v>
      </c>
      <c r="O686" s="82">
        <v>569</v>
      </c>
      <c r="P686" s="82">
        <v>7092</v>
      </c>
      <c r="Q686" s="82">
        <v>19705</v>
      </c>
      <c r="R686" s="12" t="s">
        <v>25</v>
      </c>
      <c r="S686" s="12" t="s">
        <v>25</v>
      </c>
      <c r="T686" s="12" t="s">
        <v>25</v>
      </c>
    </row>
    <row r="687" spans="1:20" x14ac:dyDescent="0.3">
      <c r="A687" s="13">
        <v>43917.708333333336</v>
      </c>
      <c r="B687" s="12" t="s">
        <v>22</v>
      </c>
      <c r="C687" s="82">
        <v>16</v>
      </c>
      <c r="D687" s="12" t="s">
        <v>54</v>
      </c>
      <c r="E687" s="82">
        <v>4112559576</v>
      </c>
      <c r="F687" s="82">
        <v>1686736689</v>
      </c>
      <c r="G687" s="82">
        <v>530</v>
      </c>
      <c r="H687" s="82">
        <v>82</v>
      </c>
      <c r="I687" s="82">
        <v>612</v>
      </c>
      <c r="J687" s="82">
        <v>624</v>
      </c>
      <c r="K687" s="82">
        <v>1236</v>
      </c>
      <c r="L687" s="82">
        <v>141</v>
      </c>
      <c r="M687" s="82">
        <v>152</v>
      </c>
      <c r="N687" s="82">
        <v>29</v>
      </c>
      <c r="O687" s="82">
        <v>69</v>
      </c>
      <c r="P687" s="82">
        <v>1334</v>
      </c>
      <c r="Q687" s="82">
        <v>10233</v>
      </c>
      <c r="R687" s="12" t="s">
        <v>25</v>
      </c>
      <c r="S687" s="12" t="s">
        <v>25</v>
      </c>
      <c r="T687" s="12" t="s">
        <v>25</v>
      </c>
    </row>
    <row r="688" spans="1:20" x14ac:dyDescent="0.3">
      <c r="A688" s="13">
        <v>43917.708333333336</v>
      </c>
      <c r="B688" s="12" t="s">
        <v>22</v>
      </c>
      <c r="C688" s="82">
        <v>20</v>
      </c>
      <c r="D688" s="12" t="s">
        <v>55</v>
      </c>
      <c r="E688" s="82">
        <v>3921531192</v>
      </c>
      <c r="F688" s="82">
        <v>9110616306</v>
      </c>
      <c r="G688" s="82">
        <v>93</v>
      </c>
      <c r="H688" s="82">
        <v>19</v>
      </c>
      <c r="I688" s="82">
        <v>112</v>
      </c>
      <c r="J688" s="82">
        <v>384</v>
      </c>
      <c r="K688" s="82">
        <v>496</v>
      </c>
      <c r="L688" s="82">
        <v>34</v>
      </c>
      <c r="M688" s="82">
        <v>36</v>
      </c>
      <c r="N688" s="82">
        <v>13</v>
      </c>
      <c r="O688" s="82">
        <v>21</v>
      </c>
      <c r="P688" s="82">
        <v>530</v>
      </c>
      <c r="Q688" s="82">
        <v>3801</v>
      </c>
      <c r="R688" s="12" t="s">
        <v>25</v>
      </c>
      <c r="S688" s="12" t="s">
        <v>25</v>
      </c>
      <c r="T688" s="12" t="s">
        <v>25</v>
      </c>
    </row>
    <row r="689" spans="1:20" x14ac:dyDescent="0.3">
      <c r="A689" s="13">
        <v>43917.708333333336</v>
      </c>
      <c r="B689" s="12" t="s">
        <v>22</v>
      </c>
      <c r="C689" s="82">
        <v>19</v>
      </c>
      <c r="D689" s="12" t="s">
        <v>56</v>
      </c>
      <c r="E689" s="82">
        <v>3811569725</v>
      </c>
      <c r="F689" s="82">
        <v>133623567</v>
      </c>
      <c r="G689" s="82">
        <v>425</v>
      </c>
      <c r="H689" s="82">
        <v>75</v>
      </c>
      <c r="I689" s="82">
        <v>500</v>
      </c>
      <c r="J689" s="82">
        <v>658</v>
      </c>
      <c r="K689" s="82">
        <v>1158</v>
      </c>
      <c r="L689" s="82">
        <v>63</v>
      </c>
      <c r="M689" s="82">
        <v>86</v>
      </c>
      <c r="N689" s="82">
        <v>53</v>
      </c>
      <c r="O689" s="82">
        <v>39</v>
      </c>
      <c r="P689" s="82">
        <v>1250</v>
      </c>
      <c r="Q689" s="82">
        <v>11079</v>
      </c>
      <c r="R689" s="12" t="s">
        <v>25</v>
      </c>
      <c r="S689" s="12" t="s">
        <v>25</v>
      </c>
      <c r="T689" s="12" t="s">
        <v>25</v>
      </c>
    </row>
    <row r="690" spans="1:20" x14ac:dyDescent="0.3">
      <c r="A690" s="13">
        <v>43917.708333333336</v>
      </c>
      <c r="B690" s="12" t="s">
        <v>22</v>
      </c>
      <c r="C690" s="82">
        <v>9</v>
      </c>
      <c r="D690" s="12" t="s">
        <v>57</v>
      </c>
      <c r="E690" s="82">
        <v>4376923077</v>
      </c>
      <c r="F690" s="82">
        <v>1125588885</v>
      </c>
      <c r="G690" s="82">
        <v>1053</v>
      </c>
      <c r="H690" s="82">
        <v>274</v>
      </c>
      <c r="I690" s="82">
        <v>1327</v>
      </c>
      <c r="J690" s="82">
        <v>1843</v>
      </c>
      <c r="K690" s="82">
        <v>3170</v>
      </c>
      <c r="L690" s="82">
        <v>197</v>
      </c>
      <c r="M690" s="82">
        <v>224</v>
      </c>
      <c r="N690" s="82">
        <v>103</v>
      </c>
      <c r="O690" s="82">
        <v>177</v>
      </c>
      <c r="P690" s="82">
        <v>3450</v>
      </c>
      <c r="Q690" s="82">
        <v>23746</v>
      </c>
      <c r="R690" s="12" t="s">
        <v>25</v>
      </c>
      <c r="S690" s="12" t="s">
        <v>25</v>
      </c>
      <c r="T690" s="12" t="s">
        <v>25</v>
      </c>
    </row>
    <row r="691" spans="1:20" x14ac:dyDescent="0.3">
      <c r="A691" s="13">
        <v>43917.708333333336</v>
      </c>
      <c r="B691" s="12" t="s">
        <v>22</v>
      </c>
      <c r="C691" s="82">
        <v>4</v>
      </c>
      <c r="D691" s="12" t="s">
        <v>58</v>
      </c>
      <c r="E691" s="82">
        <v>4606893511</v>
      </c>
      <c r="F691" s="82">
        <v>1112123097</v>
      </c>
      <c r="G691" s="82">
        <v>341</v>
      </c>
      <c r="H691" s="82">
        <v>66</v>
      </c>
      <c r="I691" s="82">
        <v>407</v>
      </c>
      <c r="J691" s="82">
        <v>757</v>
      </c>
      <c r="K691" s="82">
        <v>1164</v>
      </c>
      <c r="L691" s="82">
        <v>70</v>
      </c>
      <c r="M691" s="82">
        <v>94</v>
      </c>
      <c r="N691" s="82">
        <v>125</v>
      </c>
      <c r="O691" s="82">
        <v>102</v>
      </c>
      <c r="P691" s="82">
        <v>1391</v>
      </c>
      <c r="Q691" s="82">
        <v>4923</v>
      </c>
      <c r="R691" s="12" t="s">
        <v>25</v>
      </c>
      <c r="S691" s="12" t="s">
        <v>25</v>
      </c>
      <c r="T691" s="12" t="s">
        <v>25</v>
      </c>
    </row>
    <row r="692" spans="1:20" x14ac:dyDescent="0.3">
      <c r="A692" s="13">
        <v>43917.708333333336</v>
      </c>
      <c r="B692" s="12" t="s">
        <v>22</v>
      </c>
      <c r="C692" s="82">
        <v>10</v>
      </c>
      <c r="D692" s="12" t="s">
        <v>59</v>
      </c>
      <c r="E692" s="82">
        <v>4310675841</v>
      </c>
      <c r="F692" s="82">
        <v>1238824698</v>
      </c>
      <c r="G692" s="82">
        <v>149</v>
      </c>
      <c r="H692" s="82">
        <v>46</v>
      </c>
      <c r="I692" s="82">
        <v>195</v>
      </c>
      <c r="J692" s="82">
        <v>629</v>
      </c>
      <c r="K692" s="82">
        <v>824</v>
      </c>
      <c r="L692" s="82">
        <v>54</v>
      </c>
      <c r="M692" s="82">
        <v>82</v>
      </c>
      <c r="N692" s="82">
        <v>39</v>
      </c>
      <c r="O692" s="82">
        <v>21</v>
      </c>
      <c r="P692" s="82">
        <v>884</v>
      </c>
      <c r="Q692" s="82">
        <v>6137</v>
      </c>
      <c r="R692" s="12" t="s">
        <v>25</v>
      </c>
      <c r="S692" s="12" t="s">
        <v>25</v>
      </c>
      <c r="T692" s="12" t="s">
        <v>25</v>
      </c>
    </row>
    <row r="693" spans="1:20" x14ac:dyDescent="0.3">
      <c r="A693" s="13">
        <v>43917.708333333336</v>
      </c>
      <c r="B693" s="12" t="s">
        <v>22</v>
      </c>
      <c r="C693" s="82">
        <v>2</v>
      </c>
      <c r="D693" s="12" t="s">
        <v>60</v>
      </c>
      <c r="E693" s="82">
        <v>4573750286</v>
      </c>
      <c r="F693" s="82">
        <v>7320149366</v>
      </c>
      <c r="G693" s="82">
        <v>91</v>
      </c>
      <c r="H693" s="82">
        <v>24</v>
      </c>
      <c r="I693" s="82">
        <v>115</v>
      </c>
      <c r="J693" s="82">
        <v>298</v>
      </c>
      <c r="K693" s="82">
        <v>413</v>
      </c>
      <c r="L693" s="82">
        <v>35</v>
      </c>
      <c r="M693" s="82">
        <v>44</v>
      </c>
      <c r="N693" s="82">
        <v>2</v>
      </c>
      <c r="O693" s="82">
        <v>37</v>
      </c>
      <c r="P693" s="82">
        <v>452</v>
      </c>
      <c r="Q693" s="82">
        <v>1252</v>
      </c>
      <c r="R693" s="12" t="s">
        <v>25</v>
      </c>
      <c r="S693" s="12" t="s">
        <v>25</v>
      </c>
      <c r="T693" s="12" t="s">
        <v>25</v>
      </c>
    </row>
    <row r="694" spans="1:20" x14ac:dyDescent="0.3">
      <c r="A694" s="13">
        <v>43917.708333333336</v>
      </c>
      <c r="B694" s="12" t="s">
        <v>22</v>
      </c>
      <c r="C694" s="82">
        <v>5</v>
      </c>
      <c r="D694" s="12" t="s">
        <v>61</v>
      </c>
      <c r="E694" s="82">
        <v>4543490485</v>
      </c>
      <c r="F694" s="82">
        <v>1233845213</v>
      </c>
      <c r="G694" s="82">
        <v>1536</v>
      </c>
      <c r="H694" s="82">
        <v>338</v>
      </c>
      <c r="I694" s="82">
        <v>1874</v>
      </c>
      <c r="J694" s="82">
        <v>4774</v>
      </c>
      <c r="K694" s="82">
        <v>6648</v>
      </c>
      <c r="L694" s="82">
        <v>508</v>
      </c>
      <c r="M694" s="82">
        <v>562</v>
      </c>
      <c r="N694" s="82">
        <v>536</v>
      </c>
      <c r="O694" s="82">
        <v>313</v>
      </c>
      <c r="P694" s="82">
        <v>7497</v>
      </c>
      <c r="Q694" s="82">
        <v>83627</v>
      </c>
      <c r="R694" s="12" t="s">
        <v>25</v>
      </c>
      <c r="S694" s="12" t="s">
        <v>25</v>
      </c>
      <c r="T694" s="12" t="s">
        <v>25</v>
      </c>
    </row>
    <row r="695" spans="1:20" x14ac:dyDescent="0.3">
      <c r="A695" s="13">
        <v>43918.708333333336</v>
      </c>
      <c r="B695" s="12" t="s">
        <v>22</v>
      </c>
      <c r="C695" s="82">
        <v>13</v>
      </c>
      <c r="D695" s="12" t="s">
        <v>42</v>
      </c>
      <c r="E695" s="82">
        <v>4235122196</v>
      </c>
      <c r="F695" s="82">
        <v>1339843823</v>
      </c>
      <c r="G695" s="82">
        <v>311</v>
      </c>
      <c r="H695" s="82">
        <v>70</v>
      </c>
      <c r="I695" s="82">
        <v>381</v>
      </c>
      <c r="J695" s="82">
        <v>646</v>
      </c>
      <c r="K695" s="82">
        <v>1027</v>
      </c>
      <c r="L695" s="82">
        <v>102</v>
      </c>
      <c r="M695" s="82">
        <v>116</v>
      </c>
      <c r="N695" s="82">
        <v>30</v>
      </c>
      <c r="O695" s="82">
        <v>76</v>
      </c>
      <c r="P695" s="82">
        <v>1133</v>
      </c>
      <c r="Q695" s="82">
        <v>7003</v>
      </c>
      <c r="R695" s="12" t="s">
        <v>25</v>
      </c>
      <c r="S695" s="12" t="s">
        <v>25</v>
      </c>
      <c r="T695" s="12" t="s">
        <v>25</v>
      </c>
    </row>
    <row r="696" spans="1:20" x14ac:dyDescent="0.3">
      <c r="A696" s="13">
        <v>43918.708333333336</v>
      </c>
      <c r="B696" s="12" t="s">
        <v>22</v>
      </c>
      <c r="C696" s="82">
        <v>17</v>
      </c>
      <c r="D696" s="12" t="s">
        <v>43</v>
      </c>
      <c r="E696" s="82">
        <v>4063947052</v>
      </c>
      <c r="F696" s="82">
        <v>1580514834</v>
      </c>
      <c r="G696" s="82">
        <v>26</v>
      </c>
      <c r="H696" s="82">
        <v>19</v>
      </c>
      <c r="I696" s="82">
        <v>45</v>
      </c>
      <c r="J696" s="82">
        <v>133</v>
      </c>
      <c r="K696" s="82">
        <v>178</v>
      </c>
      <c r="L696" s="82">
        <v>31</v>
      </c>
      <c r="M696" s="82">
        <v>31</v>
      </c>
      <c r="N696" s="82">
        <v>1</v>
      </c>
      <c r="O696" s="82">
        <v>3</v>
      </c>
      <c r="P696" s="82">
        <v>182</v>
      </c>
      <c r="Q696" s="82">
        <v>1421</v>
      </c>
      <c r="R696" s="12" t="s">
        <v>25</v>
      </c>
      <c r="S696" s="12" t="s">
        <v>25</v>
      </c>
      <c r="T696" s="12" t="s">
        <v>25</v>
      </c>
    </row>
    <row r="697" spans="1:20" x14ac:dyDescent="0.3">
      <c r="A697" s="13">
        <v>43918.708333333336</v>
      </c>
      <c r="B697" s="12" t="s">
        <v>22</v>
      </c>
      <c r="C697" s="82">
        <v>4</v>
      </c>
      <c r="D697" s="12" t="s">
        <v>44</v>
      </c>
      <c r="E697" s="82">
        <v>4649933453</v>
      </c>
      <c r="F697" s="82">
        <v>1135662422</v>
      </c>
      <c r="G697" s="82">
        <v>225</v>
      </c>
      <c r="H697" s="82">
        <v>51</v>
      </c>
      <c r="I697" s="82">
        <v>276</v>
      </c>
      <c r="J697" s="82">
        <v>653</v>
      </c>
      <c r="K697" s="82">
        <v>929</v>
      </c>
      <c r="L697" s="82">
        <v>96</v>
      </c>
      <c r="M697" s="82">
        <v>106</v>
      </c>
      <c r="N697" s="82">
        <v>116</v>
      </c>
      <c r="O697" s="82">
        <v>64</v>
      </c>
      <c r="P697" s="82">
        <v>1109</v>
      </c>
      <c r="Q697" s="82">
        <v>9168</v>
      </c>
      <c r="R697" s="12" t="s">
        <v>25</v>
      </c>
      <c r="S697" s="12" t="s">
        <v>25</v>
      </c>
      <c r="T697" s="12" t="s">
        <v>25</v>
      </c>
    </row>
    <row r="698" spans="1:20" x14ac:dyDescent="0.3">
      <c r="A698" s="13">
        <v>43918.708333333336</v>
      </c>
      <c r="B698" s="12" t="s">
        <v>22</v>
      </c>
      <c r="C698" s="82">
        <v>18</v>
      </c>
      <c r="D698" s="12" t="s">
        <v>45</v>
      </c>
      <c r="E698" s="82">
        <v>3890597598</v>
      </c>
      <c r="F698" s="82">
        <v>1659440194</v>
      </c>
      <c r="G698" s="82">
        <v>107</v>
      </c>
      <c r="H698" s="82">
        <v>22</v>
      </c>
      <c r="I698" s="82">
        <v>129</v>
      </c>
      <c r="J698" s="82">
        <v>394</v>
      </c>
      <c r="K698" s="82">
        <v>523</v>
      </c>
      <c r="L698" s="82">
        <v>54</v>
      </c>
      <c r="M698" s="82">
        <v>61</v>
      </c>
      <c r="N698" s="82">
        <v>11</v>
      </c>
      <c r="O698" s="82">
        <v>21</v>
      </c>
      <c r="P698" s="82">
        <v>555</v>
      </c>
      <c r="Q698" s="82">
        <v>7760</v>
      </c>
      <c r="R698" s="12" t="s">
        <v>25</v>
      </c>
      <c r="S698" s="12" t="s">
        <v>25</v>
      </c>
      <c r="T698" s="12" t="s">
        <v>25</v>
      </c>
    </row>
    <row r="699" spans="1:20" x14ac:dyDescent="0.3">
      <c r="A699" s="13">
        <v>43918.708333333336</v>
      </c>
      <c r="B699" s="12" t="s">
        <v>22</v>
      </c>
      <c r="C699" s="82">
        <v>15</v>
      </c>
      <c r="D699" s="12" t="s">
        <v>46</v>
      </c>
      <c r="E699" s="82">
        <v>4083956555</v>
      </c>
      <c r="F699" s="82">
        <v>1425084984</v>
      </c>
      <c r="G699" s="82">
        <v>463</v>
      </c>
      <c r="H699" s="82">
        <v>132</v>
      </c>
      <c r="I699" s="82">
        <v>595</v>
      </c>
      <c r="J699" s="82">
        <v>812</v>
      </c>
      <c r="K699" s="82">
        <v>1407</v>
      </c>
      <c r="L699" s="82">
        <v>115</v>
      </c>
      <c r="M699" s="82">
        <v>138</v>
      </c>
      <c r="N699" s="82">
        <v>76</v>
      </c>
      <c r="O699" s="82">
        <v>109</v>
      </c>
      <c r="P699" s="82">
        <v>1592</v>
      </c>
      <c r="Q699" s="82">
        <v>10616</v>
      </c>
      <c r="R699" s="12" t="s">
        <v>25</v>
      </c>
      <c r="S699" s="12" t="s">
        <v>25</v>
      </c>
      <c r="T699" s="12" t="s">
        <v>25</v>
      </c>
    </row>
    <row r="700" spans="1:20" x14ac:dyDescent="0.3">
      <c r="A700" s="13">
        <v>43918.708333333336</v>
      </c>
      <c r="B700" s="12" t="s">
        <v>22</v>
      </c>
      <c r="C700" s="82">
        <v>8</v>
      </c>
      <c r="D700" s="12" t="s">
        <v>95</v>
      </c>
      <c r="E700" s="82">
        <v>4449436681</v>
      </c>
      <c r="F700" s="82">
        <v>113417208</v>
      </c>
      <c r="G700" s="82">
        <v>3695</v>
      </c>
      <c r="H700" s="82">
        <v>316</v>
      </c>
      <c r="I700" s="82">
        <v>4011</v>
      </c>
      <c r="J700" s="82">
        <v>5953</v>
      </c>
      <c r="K700" s="82">
        <v>9964</v>
      </c>
      <c r="L700" s="82">
        <v>603</v>
      </c>
      <c r="M700" s="82">
        <v>795</v>
      </c>
      <c r="N700" s="82">
        <v>1075</v>
      </c>
      <c r="O700" s="82">
        <v>1344</v>
      </c>
      <c r="P700" s="82">
        <v>12383</v>
      </c>
      <c r="Q700" s="82">
        <v>52991</v>
      </c>
      <c r="R700" s="12" t="s">
        <v>25</v>
      </c>
      <c r="S700" s="12" t="s">
        <v>25</v>
      </c>
      <c r="T700" s="12" t="s">
        <v>25</v>
      </c>
    </row>
    <row r="701" spans="1:20" x14ac:dyDescent="0.3">
      <c r="A701" s="13">
        <v>43918.708333333336</v>
      </c>
      <c r="B701" s="12" t="s">
        <v>22</v>
      </c>
      <c r="C701" s="82">
        <v>6</v>
      </c>
      <c r="D701" s="12" t="s">
        <v>47</v>
      </c>
      <c r="E701" s="82">
        <v>456494354</v>
      </c>
      <c r="F701" s="82">
        <v>1376813649</v>
      </c>
      <c r="G701" s="82">
        <v>223</v>
      </c>
      <c r="H701" s="82">
        <v>59</v>
      </c>
      <c r="I701" s="82">
        <v>282</v>
      </c>
      <c r="J701" s="82">
        <v>838</v>
      </c>
      <c r="K701" s="82">
        <v>1120</v>
      </c>
      <c r="L701" s="82">
        <v>93</v>
      </c>
      <c r="M701" s="82">
        <v>119</v>
      </c>
      <c r="N701" s="82">
        <v>229</v>
      </c>
      <c r="O701" s="82">
        <v>87</v>
      </c>
      <c r="P701" s="82">
        <v>1436</v>
      </c>
      <c r="Q701" s="82">
        <v>12723</v>
      </c>
      <c r="R701" s="12" t="s">
        <v>25</v>
      </c>
      <c r="S701" s="12" t="s">
        <v>25</v>
      </c>
      <c r="T701" s="12" t="s">
        <v>25</v>
      </c>
    </row>
    <row r="702" spans="1:20" x14ac:dyDescent="0.3">
      <c r="A702" s="13">
        <v>43918.708333333336</v>
      </c>
      <c r="B702" s="12" t="s">
        <v>22</v>
      </c>
      <c r="C702" s="82">
        <v>12</v>
      </c>
      <c r="D702" s="12" t="s">
        <v>48</v>
      </c>
      <c r="E702" s="82">
        <v>4189277044</v>
      </c>
      <c r="F702" s="82">
        <v>1248366722</v>
      </c>
      <c r="G702" s="82">
        <v>985</v>
      </c>
      <c r="H702" s="82">
        <v>133</v>
      </c>
      <c r="I702" s="82">
        <v>1118</v>
      </c>
      <c r="J702" s="82">
        <v>1063</v>
      </c>
      <c r="K702" s="82">
        <v>2181</v>
      </c>
      <c r="L702" s="82">
        <v>168</v>
      </c>
      <c r="M702" s="82">
        <v>210</v>
      </c>
      <c r="N702" s="82">
        <v>200</v>
      </c>
      <c r="O702" s="82">
        <v>124</v>
      </c>
      <c r="P702" s="82">
        <v>2505</v>
      </c>
      <c r="Q702" s="82">
        <v>27179</v>
      </c>
      <c r="R702" s="12" t="s">
        <v>25</v>
      </c>
      <c r="S702" s="12" t="s">
        <v>25</v>
      </c>
      <c r="T702" s="12" t="s">
        <v>25</v>
      </c>
    </row>
    <row r="703" spans="1:20" x14ac:dyDescent="0.3">
      <c r="A703" s="13">
        <v>43918.708333333336</v>
      </c>
      <c r="B703" s="12" t="s">
        <v>22</v>
      </c>
      <c r="C703" s="82">
        <v>7</v>
      </c>
      <c r="D703" s="12" t="s">
        <v>49</v>
      </c>
      <c r="E703" s="82">
        <v>4441149315</v>
      </c>
      <c r="F703" s="82">
        <v>89326992</v>
      </c>
      <c r="G703" s="82">
        <v>1031</v>
      </c>
      <c r="H703" s="82">
        <v>167</v>
      </c>
      <c r="I703" s="82">
        <v>1198</v>
      </c>
      <c r="J703" s="82">
        <v>888</v>
      </c>
      <c r="K703" s="82">
        <v>2086</v>
      </c>
      <c r="L703" s="82">
        <v>26</v>
      </c>
      <c r="M703" s="82">
        <v>126</v>
      </c>
      <c r="N703" s="82">
        <v>378</v>
      </c>
      <c r="O703" s="82">
        <v>358</v>
      </c>
      <c r="P703" s="82">
        <v>2822</v>
      </c>
      <c r="Q703" s="82">
        <v>8177</v>
      </c>
      <c r="R703" s="12" t="s">
        <v>25</v>
      </c>
      <c r="S703" s="12" t="s">
        <v>25</v>
      </c>
      <c r="T703" s="12" t="s">
        <v>25</v>
      </c>
    </row>
    <row r="704" spans="1:20" x14ac:dyDescent="0.3">
      <c r="A704" s="13">
        <v>43918.708333333336</v>
      </c>
      <c r="B704" s="12" t="s">
        <v>22</v>
      </c>
      <c r="C704" s="82">
        <v>3</v>
      </c>
      <c r="D704" s="12" t="s">
        <v>50</v>
      </c>
      <c r="E704" s="82">
        <v>4546679409</v>
      </c>
      <c r="F704" s="82">
        <v>9190347404</v>
      </c>
      <c r="G704" s="82">
        <v>11152</v>
      </c>
      <c r="H704" s="82">
        <v>1319</v>
      </c>
      <c r="I704" s="82">
        <v>12471</v>
      </c>
      <c r="J704" s="82">
        <v>12038</v>
      </c>
      <c r="K704" s="82">
        <v>24509</v>
      </c>
      <c r="L704" s="82">
        <v>614</v>
      </c>
      <c r="M704" s="82">
        <v>2117</v>
      </c>
      <c r="N704" s="82">
        <v>8962</v>
      </c>
      <c r="O704" s="82">
        <v>5944</v>
      </c>
      <c r="P704" s="82">
        <v>39415</v>
      </c>
      <c r="Q704" s="82">
        <v>102503</v>
      </c>
      <c r="R704" s="12" t="s">
        <v>25</v>
      </c>
      <c r="S704" s="12" t="s">
        <v>25</v>
      </c>
      <c r="T704" s="12" t="s">
        <v>25</v>
      </c>
    </row>
    <row r="705" spans="1:20" x14ac:dyDescent="0.3">
      <c r="A705" s="13">
        <v>43918.708333333336</v>
      </c>
      <c r="B705" s="12" t="s">
        <v>22</v>
      </c>
      <c r="C705" s="82">
        <v>11</v>
      </c>
      <c r="D705" s="12" t="s">
        <v>51</v>
      </c>
      <c r="E705" s="82">
        <v>4361675973</v>
      </c>
      <c r="F705" s="82">
        <v>135188753</v>
      </c>
      <c r="G705" s="82">
        <v>987</v>
      </c>
      <c r="H705" s="82">
        <v>166</v>
      </c>
      <c r="I705" s="82">
        <v>1153</v>
      </c>
      <c r="J705" s="82">
        <v>1846</v>
      </c>
      <c r="K705" s="82">
        <v>2999</v>
      </c>
      <c r="L705" s="82">
        <v>149</v>
      </c>
      <c r="M705" s="82">
        <v>177</v>
      </c>
      <c r="N705" s="82">
        <v>10</v>
      </c>
      <c r="O705" s="82">
        <v>364</v>
      </c>
      <c r="P705" s="82">
        <v>3373</v>
      </c>
      <c r="Q705" s="82">
        <v>9884</v>
      </c>
      <c r="R705" s="12" t="s">
        <v>25</v>
      </c>
      <c r="S705" s="12" t="s">
        <v>25</v>
      </c>
      <c r="T705" s="12" t="s">
        <v>25</v>
      </c>
    </row>
    <row r="706" spans="1:20" x14ac:dyDescent="0.3">
      <c r="A706" s="13">
        <v>43918.708333333336</v>
      </c>
      <c r="B706" s="12" t="s">
        <v>22</v>
      </c>
      <c r="C706" s="82">
        <v>14</v>
      </c>
      <c r="D706" s="12" t="s">
        <v>52</v>
      </c>
      <c r="E706" s="82">
        <v>4155774754</v>
      </c>
      <c r="F706" s="82">
        <v>1465916051</v>
      </c>
      <c r="G706" s="82">
        <v>26</v>
      </c>
      <c r="H706" s="82">
        <v>9</v>
      </c>
      <c r="I706" s="82">
        <v>35</v>
      </c>
      <c r="J706" s="82">
        <v>63</v>
      </c>
      <c r="K706" s="82">
        <v>98</v>
      </c>
      <c r="L706" s="82">
        <v>12</v>
      </c>
      <c r="M706" s="82">
        <v>14</v>
      </c>
      <c r="N706" s="82">
        <v>16</v>
      </c>
      <c r="O706" s="82">
        <v>9</v>
      </c>
      <c r="P706" s="82">
        <v>123</v>
      </c>
      <c r="Q706" s="82">
        <v>807</v>
      </c>
      <c r="R706" s="12" t="s">
        <v>25</v>
      </c>
      <c r="S706" s="12" t="s">
        <v>25</v>
      </c>
      <c r="T706" s="12" t="s">
        <v>25</v>
      </c>
    </row>
    <row r="707" spans="1:20" x14ac:dyDescent="0.3">
      <c r="A707" s="13">
        <v>43918.708333333336</v>
      </c>
      <c r="B707" s="12" t="s">
        <v>22</v>
      </c>
      <c r="C707" s="82">
        <v>1</v>
      </c>
      <c r="D707" s="12" t="s">
        <v>53</v>
      </c>
      <c r="E707" s="82">
        <v>450732745</v>
      </c>
      <c r="F707" s="82">
        <v>7680687483</v>
      </c>
      <c r="G707" s="82">
        <v>3094</v>
      </c>
      <c r="H707" s="82">
        <v>439</v>
      </c>
      <c r="I707" s="82">
        <v>3533</v>
      </c>
      <c r="J707" s="82">
        <v>3318</v>
      </c>
      <c r="K707" s="82">
        <v>6851</v>
      </c>
      <c r="L707" s="82">
        <v>504</v>
      </c>
      <c r="M707" s="82">
        <v>579</v>
      </c>
      <c r="N707" s="82">
        <v>203</v>
      </c>
      <c r="O707" s="82">
        <v>617</v>
      </c>
      <c r="P707" s="82">
        <v>7671</v>
      </c>
      <c r="Q707" s="82">
        <v>21511</v>
      </c>
      <c r="R707" s="12" t="s">
        <v>25</v>
      </c>
      <c r="S707" s="12" t="s">
        <v>25</v>
      </c>
      <c r="T707" s="12" t="s">
        <v>25</v>
      </c>
    </row>
    <row r="708" spans="1:20" x14ac:dyDescent="0.3">
      <c r="A708" s="13">
        <v>43918.708333333336</v>
      </c>
      <c r="B708" s="12" t="s">
        <v>22</v>
      </c>
      <c r="C708" s="82">
        <v>16</v>
      </c>
      <c r="D708" s="12" t="s">
        <v>54</v>
      </c>
      <c r="E708" s="82">
        <v>4112559576</v>
      </c>
      <c r="F708" s="82">
        <v>1686736689</v>
      </c>
      <c r="G708" s="82">
        <v>563</v>
      </c>
      <c r="H708" s="82">
        <v>98</v>
      </c>
      <c r="I708" s="82">
        <v>661</v>
      </c>
      <c r="J708" s="82">
        <v>697</v>
      </c>
      <c r="K708" s="82">
        <v>1358</v>
      </c>
      <c r="L708" s="82">
        <v>122</v>
      </c>
      <c r="M708" s="82">
        <v>124</v>
      </c>
      <c r="N708" s="82">
        <v>29</v>
      </c>
      <c r="O708" s="82">
        <v>71</v>
      </c>
      <c r="P708" s="82">
        <v>1458</v>
      </c>
      <c r="Q708" s="82">
        <v>11500</v>
      </c>
      <c r="R708" s="12" t="s">
        <v>25</v>
      </c>
      <c r="S708" s="12" t="s">
        <v>25</v>
      </c>
      <c r="T708" s="12" t="s">
        <v>25</v>
      </c>
    </row>
    <row r="709" spans="1:20" x14ac:dyDescent="0.3">
      <c r="A709" s="13">
        <v>43918.708333333336</v>
      </c>
      <c r="B709" s="12" t="s">
        <v>22</v>
      </c>
      <c r="C709" s="82">
        <v>20</v>
      </c>
      <c r="D709" s="12" t="s">
        <v>55</v>
      </c>
      <c r="E709" s="82">
        <v>3921531192</v>
      </c>
      <c r="F709" s="82">
        <v>9110616306</v>
      </c>
      <c r="G709" s="82">
        <v>95</v>
      </c>
      <c r="H709" s="82">
        <v>22</v>
      </c>
      <c r="I709" s="82">
        <v>117</v>
      </c>
      <c r="J709" s="82">
        <v>452</v>
      </c>
      <c r="K709" s="82">
        <v>569</v>
      </c>
      <c r="L709" s="82">
        <v>73</v>
      </c>
      <c r="M709" s="82">
        <v>94</v>
      </c>
      <c r="N709" s="82">
        <v>29</v>
      </c>
      <c r="O709" s="82">
        <v>26</v>
      </c>
      <c r="P709" s="82">
        <v>624</v>
      </c>
      <c r="Q709" s="82">
        <v>4225</v>
      </c>
      <c r="R709" s="12" t="s">
        <v>25</v>
      </c>
      <c r="S709" s="12" t="s">
        <v>25</v>
      </c>
      <c r="T709" s="12" t="s">
        <v>25</v>
      </c>
    </row>
    <row r="710" spans="1:20" x14ac:dyDescent="0.3">
      <c r="A710" s="13">
        <v>43918.708333333336</v>
      </c>
      <c r="B710" s="12" t="s">
        <v>22</v>
      </c>
      <c r="C710" s="82">
        <v>19</v>
      </c>
      <c r="D710" s="12" t="s">
        <v>56</v>
      </c>
      <c r="E710" s="82">
        <v>3811569725</v>
      </c>
      <c r="F710" s="82">
        <v>133623567</v>
      </c>
      <c r="G710" s="82">
        <v>441</v>
      </c>
      <c r="H710" s="82">
        <v>71</v>
      </c>
      <c r="I710" s="82">
        <v>512</v>
      </c>
      <c r="J710" s="82">
        <v>730</v>
      </c>
      <c r="K710" s="82">
        <v>1242</v>
      </c>
      <c r="L710" s="82">
        <v>84</v>
      </c>
      <c r="M710" s="82">
        <v>109</v>
      </c>
      <c r="N710" s="82">
        <v>60</v>
      </c>
      <c r="O710" s="82">
        <v>57</v>
      </c>
      <c r="P710" s="82">
        <v>1359</v>
      </c>
      <c r="Q710" s="82">
        <v>13096</v>
      </c>
      <c r="R710" s="12" t="s">
        <v>25</v>
      </c>
      <c r="S710" s="12" t="s">
        <v>25</v>
      </c>
      <c r="T710" s="12" t="s">
        <v>25</v>
      </c>
    </row>
    <row r="711" spans="1:20" x14ac:dyDescent="0.3">
      <c r="A711" s="13">
        <v>43918.708333333336</v>
      </c>
      <c r="B711" s="12" t="s">
        <v>22</v>
      </c>
      <c r="C711" s="82">
        <v>9</v>
      </c>
      <c r="D711" s="12" t="s">
        <v>57</v>
      </c>
      <c r="E711" s="82">
        <v>4376923077</v>
      </c>
      <c r="F711" s="82">
        <v>1125588885</v>
      </c>
      <c r="G711" s="82">
        <v>1093</v>
      </c>
      <c r="H711" s="82">
        <v>277</v>
      </c>
      <c r="I711" s="82">
        <v>1370</v>
      </c>
      <c r="J711" s="82">
        <v>2141</v>
      </c>
      <c r="K711" s="82">
        <v>3511</v>
      </c>
      <c r="L711" s="82">
        <v>341</v>
      </c>
      <c r="M711" s="82">
        <v>367</v>
      </c>
      <c r="N711" s="82">
        <v>108</v>
      </c>
      <c r="O711" s="82">
        <v>198</v>
      </c>
      <c r="P711" s="82">
        <v>3817</v>
      </c>
      <c r="Q711" s="82">
        <v>25613</v>
      </c>
      <c r="R711" s="12" t="s">
        <v>25</v>
      </c>
      <c r="S711" s="12" t="s">
        <v>25</v>
      </c>
      <c r="T711" s="12" t="s">
        <v>25</v>
      </c>
    </row>
    <row r="712" spans="1:20" x14ac:dyDescent="0.3">
      <c r="A712" s="13">
        <v>43918.708333333336</v>
      </c>
      <c r="B712" s="12" t="s">
        <v>22</v>
      </c>
      <c r="C712" s="82">
        <v>4</v>
      </c>
      <c r="D712" s="12" t="s">
        <v>58</v>
      </c>
      <c r="E712" s="82">
        <v>4606893511</v>
      </c>
      <c r="F712" s="82">
        <v>1112123097</v>
      </c>
      <c r="G712" s="82">
        <v>351</v>
      </c>
      <c r="H712" s="82">
        <v>72</v>
      </c>
      <c r="I712" s="82">
        <v>423</v>
      </c>
      <c r="J712" s="82">
        <v>811</v>
      </c>
      <c r="K712" s="82">
        <v>1234</v>
      </c>
      <c r="L712" s="82">
        <v>70</v>
      </c>
      <c r="M712" s="82">
        <v>114</v>
      </c>
      <c r="N712" s="82">
        <v>151</v>
      </c>
      <c r="O712" s="82">
        <v>120</v>
      </c>
      <c r="P712" s="82">
        <v>1505</v>
      </c>
      <c r="Q712" s="82">
        <v>5561</v>
      </c>
      <c r="R712" s="12" t="s">
        <v>25</v>
      </c>
      <c r="S712" s="12" t="s">
        <v>25</v>
      </c>
      <c r="T712" s="12" t="s">
        <v>25</v>
      </c>
    </row>
    <row r="713" spans="1:20" x14ac:dyDescent="0.3">
      <c r="A713" s="13">
        <v>43918.708333333336</v>
      </c>
      <c r="B713" s="12" t="s">
        <v>22</v>
      </c>
      <c r="C713" s="82">
        <v>10</v>
      </c>
      <c r="D713" s="12" t="s">
        <v>59</v>
      </c>
      <c r="E713" s="82">
        <v>4310675841</v>
      </c>
      <c r="F713" s="82">
        <v>1238824698</v>
      </c>
      <c r="G713" s="82">
        <v>159</v>
      </c>
      <c r="H713" s="82">
        <v>44</v>
      </c>
      <c r="I713" s="82">
        <v>203</v>
      </c>
      <c r="J713" s="82">
        <v>695</v>
      </c>
      <c r="K713" s="82">
        <v>898</v>
      </c>
      <c r="L713" s="82">
        <v>74</v>
      </c>
      <c r="M713" s="82">
        <v>85</v>
      </c>
      <c r="N713" s="82">
        <v>43</v>
      </c>
      <c r="O713" s="82">
        <v>28</v>
      </c>
      <c r="P713" s="82">
        <v>969</v>
      </c>
      <c r="Q713" s="82">
        <v>7028</v>
      </c>
      <c r="R713" s="12" t="s">
        <v>25</v>
      </c>
      <c r="S713" s="12" t="s">
        <v>25</v>
      </c>
      <c r="T713" s="12" t="s">
        <v>25</v>
      </c>
    </row>
    <row r="714" spans="1:20" x14ac:dyDescent="0.3">
      <c r="A714" s="13">
        <v>43918.708333333336</v>
      </c>
      <c r="B714" s="12" t="s">
        <v>22</v>
      </c>
      <c r="C714" s="82">
        <v>2</v>
      </c>
      <c r="D714" s="12" t="s">
        <v>60</v>
      </c>
      <c r="E714" s="82">
        <v>4573750286</v>
      </c>
      <c r="F714" s="82">
        <v>7320149366</v>
      </c>
      <c r="G714" s="82">
        <v>90</v>
      </c>
      <c r="H714" s="82">
        <v>26</v>
      </c>
      <c r="I714" s="82">
        <v>116</v>
      </c>
      <c r="J714" s="82">
        <v>352</v>
      </c>
      <c r="K714" s="82">
        <v>468</v>
      </c>
      <c r="L714" s="82">
        <v>55</v>
      </c>
      <c r="M714" s="82">
        <v>59</v>
      </c>
      <c r="N714" s="82">
        <v>2</v>
      </c>
      <c r="O714" s="82">
        <v>41</v>
      </c>
      <c r="P714" s="82">
        <v>511</v>
      </c>
      <c r="Q714" s="82">
        <v>1380</v>
      </c>
      <c r="R714" s="12" t="s">
        <v>25</v>
      </c>
      <c r="S714" s="12" t="s">
        <v>25</v>
      </c>
      <c r="T714" s="12" t="s">
        <v>25</v>
      </c>
    </row>
    <row r="715" spans="1:20" x14ac:dyDescent="0.3">
      <c r="A715" s="13">
        <v>43918.708333333336</v>
      </c>
      <c r="B715" s="12" t="s">
        <v>22</v>
      </c>
      <c r="C715" s="82">
        <v>5</v>
      </c>
      <c r="D715" s="12" t="s">
        <v>61</v>
      </c>
      <c r="E715" s="82">
        <v>4543490485</v>
      </c>
      <c r="F715" s="82">
        <v>1233845213</v>
      </c>
      <c r="G715" s="82">
        <v>1559</v>
      </c>
      <c r="H715" s="82">
        <v>344</v>
      </c>
      <c r="I715" s="82">
        <v>1903</v>
      </c>
      <c r="J715" s="82">
        <v>5010</v>
      </c>
      <c r="K715" s="82">
        <v>6913</v>
      </c>
      <c r="L715" s="82">
        <v>265</v>
      </c>
      <c r="M715" s="82">
        <v>433</v>
      </c>
      <c r="N715" s="82">
        <v>655</v>
      </c>
      <c r="O715" s="82">
        <v>362</v>
      </c>
      <c r="P715" s="82">
        <v>7930</v>
      </c>
      <c r="Q715" s="82">
        <v>89380</v>
      </c>
      <c r="R715" s="12" t="s">
        <v>25</v>
      </c>
      <c r="S715" s="12" t="s">
        <v>25</v>
      </c>
      <c r="T715" s="12" t="s">
        <v>25</v>
      </c>
    </row>
    <row r="716" spans="1:20" x14ac:dyDescent="0.3">
      <c r="A716" s="13">
        <v>43919.708333333336</v>
      </c>
      <c r="B716" s="12" t="s">
        <v>22</v>
      </c>
      <c r="C716" s="82">
        <v>13</v>
      </c>
      <c r="D716" s="12" t="s">
        <v>42</v>
      </c>
      <c r="E716" s="82">
        <v>4235122196</v>
      </c>
      <c r="F716" s="82">
        <v>1339843823</v>
      </c>
      <c r="G716" s="82">
        <v>329</v>
      </c>
      <c r="H716" s="82">
        <v>68</v>
      </c>
      <c r="I716" s="82">
        <v>397</v>
      </c>
      <c r="J716" s="82">
        <v>772</v>
      </c>
      <c r="K716" s="82">
        <v>1169</v>
      </c>
      <c r="L716" s="82">
        <v>142</v>
      </c>
      <c r="M716" s="82">
        <v>160</v>
      </c>
      <c r="N716" s="82">
        <v>36</v>
      </c>
      <c r="O716" s="82">
        <v>88</v>
      </c>
      <c r="P716" s="82">
        <v>1293</v>
      </c>
      <c r="Q716" s="82">
        <v>7730</v>
      </c>
      <c r="R716" s="12" t="s">
        <v>25</v>
      </c>
      <c r="S716" s="12" t="s">
        <v>25</v>
      </c>
      <c r="T716" s="12" t="s">
        <v>25</v>
      </c>
    </row>
    <row r="717" spans="1:20" x14ac:dyDescent="0.3">
      <c r="A717" s="13">
        <v>43919.708333333336</v>
      </c>
      <c r="B717" s="12" t="s">
        <v>22</v>
      </c>
      <c r="C717" s="82">
        <v>17</v>
      </c>
      <c r="D717" s="12" t="s">
        <v>43</v>
      </c>
      <c r="E717" s="82">
        <v>4063947052</v>
      </c>
      <c r="F717" s="82">
        <v>1580514834</v>
      </c>
      <c r="G717" s="82">
        <v>32</v>
      </c>
      <c r="H717" s="82">
        <v>18</v>
      </c>
      <c r="I717" s="82">
        <v>50</v>
      </c>
      <c r="J717" s="82">
        <v>147</v>
      </c>
      <c r="K717" s="82">
        <v>197</v>
      </c>
      <c r="L717" s="82">
        <v>19</v>
      </c>
      <c r="M717" s="82">
        <v>20</v>
      </c>
      <c r="N717" s="82">
        <v>1</v>
      </c>
      <c r="O717" s="82">
        <v>4</v>
      </c>
      <c r="P717" s="82">
        <v>202</v>
      </c>
      <c r="Q717" s="82">
        <v>1585</v>
      </c>
      <c r="R717" s="12" t="s">
        <v>25</v>
      </c>
      <c r="S717" s="12" t="s">
        <v>25</v>
      </c>
      <c r="T717" s="12" t="s">
        <v>25</v>
      </c>
    </row>
    <row r="718" spans="1:20" x14ac:dyDescent="0.3">
      <c r="A718" s="13">
        <v>43919.708333333336</v>
      </c>
      <c r="B718" s="12" t="s">
        <v>22</v>
      </c>
      <c r="C718" s="82">
        <v>4</v>
      </c>
      <c r="D718" s="12" t="s">
        <v>44</v>
      </c>
      <c r="E718" s="82">
        <v>4649933453</v>
      </c>
      <c r="F718" s="82">
        <v>1135662422</v>
      </c>
      <c r="G718" s="82">
        <v>234</v>
      </c>
      <c r="H718" s="82">
        <v>56</v>
      </c>
      <c r="I718" s="82">
        <v>290</v>
      </c>
      <c r="J718" s="82">
        <v>744</v>
      </c>
      <c r="K718" s="82">
        <v>1034</v>
      </c>
      <c r="L718" s="82">
        <v>105</v>
      </c>
      <c r="M718" s="82">
        <v>105</v>
      </c>
      <c r="N718" s="82">
        <v>116</v>
      </c>
      <c r="O718" s="82">
        <v>64</v>
      </c>
      <c r="P718" s="82">
        <v>1214</v>
      </c>
      <c r="Q718" s="82">
        <v>10137</v>
      </c>
      <c r="R718" s="12" t="s">
        <v>25</v>
      </c>
      <c r="S718" s="12" t="s">
        <v>25</v>
      </c>
      <c r="T718" s="12" t="s">
        <v>25</v>
      </c>
    </row>
    <row r="719" spans="1:20" x14ac:dyDescent="0.3">
      <c r="A719" s="13">
        <v>43919.708333333336</v>
      </c>
      <c r="B719" s="12" t="s">
        <v>22</v>
      </c>
      <c r="C719" s="82">
        <v>18</v>
      </c>
      <c r="D719" s="12" t="s">
        <v>45</v>
      </c>
      <c r="E719" s="82">
        <v>3890597598</v>
      </c>
      <c r="F719" s="82">
        <v>1659440194</v>
      </c>
      <c r="G719" s="82">
        <v>124</v>
      </c>
      <c r="H719" s="82">
        <v>19</v>
      </c>
      <c r="I719" s="82">
        <v>143</v>
      </c>
      <c r="J719" s="82">
        <v>434</v>
      </c>
      <c r="K719" s="82">
        <v>577</v>
      </c>
      <c r="L719" s="82">
        <v>54</v>
      </c>
      <c r="M719" s="82">
        <v>59</v>
      </c>
      <c r="N719" s="82">
        <v>12</v>
      </c>
      <c r="O719" s="82">
        <v>25</v>
      </c>
      <c r="P719" s="82">
        <v>614</v>
      </c>
      <c r="Q719" s="82">
        <v>8485</v>
      </c>
      <c r="R719" s="12" t="s">
        <v>25</v>
      </c>
      <c r="S719" s="12" t="s">
        <v>25</v>
      </c>
      <c r="T719" s="12" t="s">
        <v>25</v>
      </c>
    </row>
    <row r="720" spans="1:20" x14ac:dyDescent="0.3">
      <c r="A720" s="13">
        <v>43919.708333333336</v>
      </c>
      <c r="B720" s="12" t="s">
        <v>22</v>
      </c>
      <c r="C720" s="82">
        <v>15</v>
      </c>
      <c r="D720" s="12" t="s">
        <v>46</v>
      </c>
      <c r="E720" s="82">
        <v>4083956555</v>
      </c>
      <c r="F720" s="82">
        <v>1425084984</v>
      </c>
      <c r="G720" s="82">
        <v>476</v>
      </c>
      <c r="H720" s="82">
        <v>135</v>
      </c>
      <c r="I720" s="82">
        <v>611</v>
      </c>
      <c r="J720" s="82">
        <v>945</v>
      </c>
      <c r="K720" s="82">
        <v>1556</v>
      </c>
      <c r="L720" s="82">
        <v>149</v>
      </c>
      <c r="M720" s="82">
        <v>167</v>
      </c>
      <c r="N720" s="82">
        <v>86</v>
      </c>
      <c r="O720" s="82">
        <v>117</v>
      </c>
      <c r="P720" s="82">
        <v>1759</v>
      </c>
      <c r="Q720" s="82">
        <v>11805</v>
      </c>
      <c r="R720" s="12" t="s">
        <v>25</v>
      </c>
      <c r="S720" s="12" t="s">
        <v>25</v>
      </c>
      <c r="T720" s="12" t="s">
        <v>25</v>
      </c>
    </row>
    <row r="721" spans="1:20" x14ac:dyDescent="0.3">
      <c r="A721" s="13">
        <v>43919.708333333336</v>
      </c>
      <c r="B721" s="12" t="s">
        <v>22</v>
      </c>
      <c r="C721" s="82">
        <v>8</v>
      </c>
      <c r="D721" s="12" t="s">
        <v>95</v>
      </c>
      <c r="E721" s="82">
        <v>4449436681</v>
      </c>
      <c r="F721" s="82">
        <v>113417208</v>
      </c>
      <c r="G721" s="82">
        <v>3769</v>
      </c>
      <c r="H721" s="82">
        <v>333</v>
      </c>
      <c r="I721" s="82">
        <v>4102</v>
      </c>
      <c r="J721" s="82">
        <v>6433</v>
      </c>
      <c r="K721" s="82">
        <v>10535</v>
      </c>
      <c r="L721" s="82">
        <v>571</v>
      </c>
      <c r="M721" s="82">
        <v>736</v>
      </c>
      <c r="N721" s="82">
        <v>1141</v>
      </c>
      <c r="O721" s="82">
        <v>1443</v>
      </c>
      <c r="P721" s="82">
        <v>13119</v>
      </c>
      <c r="Q721" s="82">
        <v>52991</v>
      </c>
      <c r="R721" s="12" t="s">
        <v>25</v>
      </c>
      <c r="S721" s="12" t="s">
        <v>96</v>
      </c>
      <c r="T721" s="12" t="s">
        <v>97</v>
      </c>
    </row>
    <row r="722" spans="1:20" x14ac:dyDescent="0.3">
      <c r="A722" s="13">
        <v>43919.708333333336</v>
      </c>
      <c r="B722" s="12" t="s">
        <v>22</v>
      </c>
      <c r="C722" s="82">
        <v>6</v>
      </c>
      <c r="D722" s="12" t="s">
        <v>47</v>
      </c>
      <c r="E722" s="82">
        <v>456494354</v>
      </c>
      <c r="F722" s="82">
        <v>1376813649</v>
      </c>
      <c r="G722" s="82">
        <v>236</v>
      </c>
      <c r="H722" s="82">
        <v>60</v>
      </c>
      <c r="I722" s="82">
        <v>296</v>
      </c>
      <c r="J722" s="82">
        <v>845</v>
      </c>
      <c r="K722" s="82">
        <v>1141</v>
      </c>
      <c r="L722" s="82">
        <v>21</v>
      </c>
      <c r="M722" s="82">
        <v>44</v>
      </c>
      <c r="N722" s="82">
        <v>241</v>
      </c>
      <c r="O722" s="82">
        <v>98</v>
      </c>
      <c r="P722" s="82">
        <v>1480</v>
      </c>
      <c r="Q722" s="82">
        <v>13397</v>
      </c>
      <c r="R722" s="12" t="s">
        <v>25</v>
      </c>
      <c r="S722" s="12" t="s">
        <v>25</v>
      </c>
      <c r="T722" s="12" t="s">
        <v>25</v>
      </c>
    </row>
    <row r="723" spans="1:20" x14ac:dyDescent="0.3">
      <c r="A723" s="13">
        <v>43919.708333333336</v>
      </c>
      <c r="B723" s="12" t="s">
        <v>22</v>
      </c>
      <c r="C723" s="82">
        <v>12</v>
      </c>
      <c r="D723" s="12" t="s">
        <v>48</v>
      </c>
      <c r="E723" s="82">
        <v>4189277044</v>
      </c>
      <c r="F723" s="82">
        <v>1248366722</v>
      </c>
      <c r="G723" s="82">
        <v>1062</v>
      </c>
      <c r="H723" s="82">
        <v>133</v>
      </c>
      <c r="I723" s="82">
        <v>1195</v>
      </c>
      <c r="J723" s="82">
        <v>1167</v>
      </c>
      <c r="K723" s="82">
        <v>2362</v>
      </c>
      <c r="L723" s="82">
        <v>181</v>
      </c>
      <c r="M723" s="82">
        <v>201</v>
      </c>
      <c r="N723" s="82">
        <v>208</v>
      </c>
      <c r="O723" s="82">
        <v>136</v>
      </c>
      <c r="P723" s="82">
        <v>2706</v>
      </c>
      <c r="Q723" s="82">
        <v>27744</v>
      </c>
      <c r="R723" s="12" t="s">
        <v>25</v>
      </c>
      <c r="S723" s="12" t="s">
        <v>25</v>
      </c>
      <c r="T723" s="12" t="s">
        <v>25</v>
      </c>
    </row>
    <row r="724" spans="1:20" x14ac:dyDescent="0.3">
      <c r="A724" s="13">
        <v>43919.708333333336</v>
      </c>
      <c r="B724" s="12" t="s">
        <v>22</v>
      </c>
      <c r="C724" s="82">
        <v>7</v>
      </c>
      <c r="D724" s="12" t="s">
        <v>49</v>
      </c>
      <c r="E724" s="82">
        <v>4441149315</v>
      </c>
      <c r="F724" s="82">
        <v>89326992</v>
      </c>
      <c r="G724" s="82">
        <v>1077</v>
      </c>
      <c r="H724" s="82">
        <v>166</v>
      </c>
      <c r="I724" s="82">
        <v>1243</v>
      </c>
      <c r="J724" s="82">
        <v>1036</v>
      </c>
      <c r="K724" s="82">
        <v>2279</v>
      </c>
      <c r="L724" s="82">
        <v>193</v>
      </c>
      <c r="M724" s="82">
        <v>254</v>
      </c>
      <c r="N724" s="82">
        <v>420</v>
      </c>
      <c r="O724" s="82">
        <v>377</v>
      </c>
      <c r="P724" s="82">
        <v>3076</v>
      </c>
      <c r="Q724" s="82">
        <v>9100</v>
      </c>
      <c r="R724" s="12" t="s">
        <v>25</v>
      </c>
      <c r="S724" s="12" t="s">
        <v>25</v>
      </c>
      <c r="T724" s="12" t="s">
        <v>25</v>
      </c>
    </row>
    <row r="725" spans="1:20" x14ac:dyDescent="0.3">
      <c r="A725" s="13">
        <v>43919.708333333336</v>
      </c>
      <c r="B725" s="12" t="s">
        <v>22</v>
      </c>
      <c r="C725" s="82">
        <v>3</v>
      </c>
      <c r="D725" s="12" t="s">
        <v>50</v>
      </c>
      <c r="E725" s="82">
        <v>4546679409</v>
      </c>
      <c r="F725" s="82">
        <v>9190347404</v>
      </c>
      <c r="G725" s="82">
        <v>11613</v>
      </c>
      <c r="H725" s="82">
        <v>1328</v>
      </c>
      <c r="I725" s="82">
        <v>12941</v>
      </c>
      <c r="J725" s="82">
        <v>12451</v>
      </c>
      <c r="K725" s="82">
        <v>25392</v>
      </c>
      <c r="L725" s="82">
        <v>883</v>
      </c>
      <c r="M725" s="82">
        <v>1592</v>
      </c>
      <c r="N725" s="82">
        <v>9255</v>
      </c>
      <c r="O725" s="82">
        <v>6360</v>
      </c>
      <c r="P725" s="82">
        <v>41007</v>
      </c>
      <c r="Q725" s="82">
        <v>107398</v>
      </c>
      <c r="R725" s="12" t="s">
        <v>25</v>
      </c>
      <c r="S725" s="12" t="s">
        <v>25</v>
      </c>
      <c r="T725" s="12" t="s">
        <v>25</v>
      </c>
    </row>
    <row r="726" spans="1:20" x14ac:dyDescent="0.3">
      <c r="A726" s="13">
        <v>43919.708333333336</v>
      </c>
      <c r="B726" s="12" t="s">
        <v>22</v>
      </c>
      <c r="C726" s="82">
        <v>11</v>
      </c>
      <c r="D726" s="12" t="s">
        <v>51</v>
      </c>
      <c r="E726" s="82">
        <v>4361675973</v>
      </c>
      <c r="F726" s="82">
        <v>135188753</v>
      </c>
      <c r="G726" s="82">
        <v>1000</v>
      </c>
      <c r="H726" s="82">
        <v>168</v>
      </c>
      <c r="I726" s="82">
        <v>1168</v>
      </c>
      <c r="J726" s="82">
        <v>1992</v>
      </c>
      <c r="K726" s="82">
        <v>3160</v>
      </c>
      <c r="L726" s="82">
        <v>161</v>
      </c>
      <c r="M726" s="82">
        <v>185</v>
      </c>
      <c r="N726" s="82">
        <v>12</v>
      </c>
      <c r="O726" s="82">
        <v>386</v>
      </c>
      <c r="P726" s="82">
        <v>3558</v>
      </c>
      <c r="Q726" s="82">
        <v>10431</v>
      </c>
      <c r="R726" s="12" t="s">
        <v>25</v>
      </c>
      <c r="S726" s="12" t="s">
        <v>25</v>
      </c>
      <c r="T726" s="12" t="s">
        <v>25</v>
      </c>
    </row>
    <row r="727" spans="1:20" x14ac:dyDescent="0.3">
      <c r="A727" s="13">
        <v>43919.708333333336</v>
      </c>
      <c r="B727" s="12" t="s">
        <v>22</v>
      </c>
      <c r="C727" s="82">
        <v>14</v>
      </c>
      <c r="D727" s="12" t="s">
        <v>52</v>
      </c>
      <c r="E727" s="82">
        <v>4155774754</v>
      </c>
      <c r="F727" s="82">
        <v>1465916051</v>
      </c>
      <c r="G727" s="82">
        <v>25</v>
      </c>
      <c r="H727" s="82">
        <v>9</v>
      </c>
      <c r="I727" s="82">
        <v>34</v>
      </c>
      <c r="J727" s="82">
        <v>66</v>
      </c>
      <c r="K727" s="82">
        <v>100</v>
      </c>
      <c r="L727" s="82">
        <v>2</v>
      </c>
      <c r="M727" s="82">
        <v>4</v>
      </c>
      <c r="N727" s="82">
        <v>18</v>
      </c>
      <c r="O727" s="82">
        <v>9</v>
      </c>
      <c r="P727" s="82">
        <v>127</v>
      </c>
      <c r="Q727" s="82">
        <v>918</v>
      </c>
      <c r="R727" s="12" t="s">
        <v>25</v>
      </c>
      <c r="S727" s="12" t="s">
        <v>25</v>
      </c>
      <c r="T727" s="12" t="s">
        <v>25</v>
      </c>
    </row>
    <row r="728" spans="1:20" x14ac:dyDescent="0.3">
      <c r="A728" s="13">
        <v>43919.708333333336</v>
      </c>
      <c r="B728" s="12" t="s">
        <v>22</v>
      </c>
      <c r="C728" s="82">
        <v>1</v>
      </c>
      <c r="D728" s="12" t="s">
        <v>53</v>
      </c>
      <c r="E728" s="82">
        <v>450732745</v>
      </c>
      <c r="F728" s="82">
        <v>7680687483</v>
      </c>
      <c r="G728" s="82">
        <v>2985</v>
      </c>
      <c r="H728" s="82">
        <v>443</v>
      </c>
      <c r="I728" s="82">
        <v>3428</v>
      </c>
      <c r="J728" s="82">
        <v>3840</v>
      </c>
      <c r="K728" s="82">
        <v>7268</v>
      </c>
      <c r="L728" s="82">
        <v>417</v>
      </c>
      <c r="M728" s="82">
        <v>535</v>
      </c>
      <c r="N728" s="82">
        <v>254</v>
      </c>
      <c r="O728" s="82">
        <v>684</v>
      </c>
      <c r="P728" s="82">
        <v>8206</v>
      </c>
      <c r="Q728" s="82">
        <v>24058</v>
      </c>
      <c r="R728" s="12" t="s">
        <v>25</v>
      </c>
      <c r="S728" s="12" t="s">
        <v>25</v>
      </c>
      <c r="T728" s="12" t="s">
        <v>25</v>
      </c>
    </row>
    <row r="729" spans="1:20" x14ac:dyDescent="0.3">
      <c r="A729" s="13">
        <v>43919.708333333336</v>
      </c>
      <c r="B729" s="12" t="s">
        <v>22</v>
      </c>
      <c r="C729" s="82">
        <v>16</v>
      </c>
      <c r="D729" s="12" t="s">
        <v>54</v>
      </c>
      <c r="E729" s="82">
        <v>4112559576</v>
      </c>
      <c r="F729" s="82">
        <v>1686736689</v>
      </c>
      <c r="G729" s="82">
        <v>559</v>
      </c>
      <c r="H729" s="82">
        <v>99</v>
      </c>
      <c r="I729" s="82">
        <v>658</v>
      </c>
      <c r="J729" s="82">
        <v>774</v>
      </c>
      <c r="K729" s="82">
        <v>1432</v>
      </c>
      <c r="L729" s="82">
        <v>74</v>
      </c>
      <c r="M729" s="82">
        <v>91</v>
      </c>
      <c r="N729" s="82">
        <v>31</v>
      </c>
      <c r="O729" s="82">
        <v>86</v>
      </c>
      <c r="P729" s="82">
        <v>1549</v>
      </c>
      <c r="Q729" s="82">
        <v>12361</v>
      </c>
      <c r="R729" s="12" t="s">
        <v>25</v>
      </c>
      <c r="S729" s="12" t="s">
        <v>25</v>
      </c>
      <c r="T729" s="12" t="s">
        <v>25</v>
      </c>
    </row>
    <row r="730" spans="1:20" x14ac:dyDescent="0.3">
      <c r="A730" s="13">
        <v>43919.708333333336</v>
      </c>
      <c r="B730" s="12" t="s">
        <v>22</v>
      </c>
      <c r="C730" s="82">
        <v>20</v>
      </c>
      <c r="D730" s="12" t="s">
        <v>55</v>
      </c>
      <c r="E730" s="82">
        <v>3921531192</v>
      </c>
      <c r="F730" s="82">
        <v>9110616306</v>
      </c>
      <c r="G730" s="82">
        <v>105</v>
      </c>
      <c r="H730" s="82">
        <v>23</v>
      </c>
      <c r="I730" s="82">
        <v>128</v>
      </c>
      <c r="J730" s="82">
        <v>454</v>
      </c>
      <c r="K730" s="82">
        <v>582</v>
      </c>
      <c r="L730" s="82">
        <v>13</v>
      </c>
      <c r="M730" s="82">
        <v>14</v>
      </c>
      <c r="N730" s="82">
        <v>29</v>
      </c>
      <c r="O730" s="82">
        <v>27</v>
      </c>
      <c r="P730" s="82">
        <v>638</v>
      </c>
      <c r="Q730" s="82">
        <v>4598</v>
      </c>
      <c r="R730" s="12" t="s">
        <v>25</v>
      </c>
      <c r="S730" s="12" t="s">
        <v>25</v>
      </c>
      <c r="T730" s="12" t="s">
        <v>25</v>
      </c>
    </row>
    <row r="731" spans="1:20" x14ac:dyDescent="0.3">
      <c r="A731" s="13">
        <v>43919.708333333336</v>
      </c>
      <c r="B731" s="12" t="s">
        <v>22</v>
      </c>
      <c r="C731" s="82">
        <v>19</v>
      </c>
      <c r="D731" s="12" t="s">
        <v>56</v>
      </c>
      <c r="E731" s="82">
        <v>3811569725</v>
      </c>
      <c r="F731" s="82">
        <v>133623567</v>
      </c>
      <c r="G731" s="82">
        <v>451</v>
      </c>
      <c r="H731" s="82">
        <v>71</v>
      </c>
      <c r="I731" s="82">
        <v>522</v>
      </c>
      <c r="J731" s="82">
        <v>808</v>
      </c>
      <c r="K731" s="82">
        <v>1330</v>
      </c>
      <c r="L731" s="82">
        <v>88</v>
      </c>
      <c r="M731" s="82">
        <v>101</v>
      </c>
      <c r="N731" s="82">
        <v>65</v>
      </c>
      <c r="O731" s="82">
        <v>65</v>
      </c>
      <c r="P731" s="82">
        <v>1460</v>
      </c>
      <c r="Q731" s="82">
        <v>13814</v>
      </c>
      <c r="R731" s="12" t="s">
        <v>25</v>
      </c>
      <c r="S731" s="12" t="s">
        <v>25</v>
      </c>
      <c r="T731" s="12" t="s">
        <v>25</v>
      </c>
    </row>
    <row r="732" spans="1:20" x14ac:dyDescent="0.3">
      <c r="A732" s="13">
        <v>43919.708333333336</v>
      </c>
      <c r="B732" s="12" t="s">
        <v>22</v>
      </c>
      <c r="C732" s="82">
        <v>9</v>
      </c>
      <c r="D732" s="12" t="s">
        <v>57</v>
      </c>
      <c r="E732" s="82">
        <v>4376923077</v>
      </c>
      <c r="F732" s="82">
        <v>1125588885</v>
      </c>
      <c r="G732" s="82">
        <v>1111</v>
      </c>
      <c r="H732" s="82">
        <v>275</v>
      </c>
      <c r="I732" s="82">
        <v>1386</v>
      </c>
      <c r="J732" s="82">
        <v>2400</v>
      </c>
      <c r="K732" s="82">
        <v>3786</v>
      </c>
      <c r="L732" s="82">
        <v>275</v>
      </c>
      <c r="M732" s="82">
        <v>305</v>
      </c>
      <c r="N732" s="82">
        <v>121</v>
      </c>
      <c r="O732" s="82">
        <v>215</v>
      </c>
      <c r="P732" s="82">
        <v>4122</v>
      </c>
      <c r="Q732" s="82">
        <v>27579</v>
      </c>
      <c r="R732" s="12" t="s">
        <v>25</v>
      </c>
      <c r="S732" s="12" t="s">
        <v>25</v>
      </c>
      <c r="T732" s="12" t="s">
        <v>25</v>
      </c>
    </row>
    <row r="733" spans="1:20" x14ac:dyDescent="0.3">
      <c r="A733" s="13">
        <v>43919.708333333336</v>
      </c>
      <c r="B733" s="12" t="s">
        <v>22</v>
      </c>
      <c r="C733" s="82">
        <v>4</v>
      </c>
      <c r="D733" s="12" t="s">
        <v>58</v>
      </c>
      <c r="E733" s="82">
        <v>4606893511</v>
      </c>
      <c r="F733" s="82">
        <v>1112123097</v>
      </c>
      <c r="G733" s="82">
        <v>356</v>
      </c>
      <c r="H733" s="82">
        <v>75</v>
      </c>
      <c r="I733" s="82">
        <v>431</v>
      </c>
      <c r="J733" s="82">
        <v>862</v>
      </c>
      <c r="K733" s="82">
        <v>1293</v>
      </c>
      <c r="L733" s="82">
        <v>59</v>
      </c>
      <c r="M733" s="82">
        <v>89</v>
      </c>
      <c r="N733" s="82">
        <v>172</v>
      </c>
      <c r="O733" s="82">
        <v>129</v>
      </c>
      <c r="P733" s="82">
        <v>1594</v>
      </c>
      <c r="Q733" s="82">
        <v>5950</v>
      </c>
      <c r="R733" s="12" t="s">
        <v>25</v>
      </c>
      <c r="S733" s="12" t="s">
        <v>25</v>
      </c>
      <c r="T733" s="12" t="s">
        <v>25</v>
      </c>
    </row>
    <row r="734" spans="1:20" x14ac:dyDescent="0.3">
      <c r="A734" s="13">
        <v>43919.708333333336</v>
      </c>
      <c r="B734" s="12" t="s">
        <v>22</v>
      </c>
      <c r="C734" s="82">
        <v>10</v>
      </c>
      <c r="D734" s="12" t="s">
        <v>59</v>
      </c>
      <c r="E734" s="82">
        <v>4310675841</v>
      </c>
      <c r="F734" s="82">
        <v>1238824698</v>
      </c>
      <c r="G734" s="82">
        <v>166</v>
      </c>
      <c r="H734" s="82">
        <v>46</v>
      </c>
      <c r="I734" s="82">
        <v>212</v>
      </c>
      <c r="J734" s="82">
        <v>685</v>
      </c>
      <c r="K734" s="82">
        <v>897</v>
      </c>
      <c r="L734" s="82">
        <v>-1</v>
      </c>
      <c r="M734" s="82">
        <v>54</v>
      </c>
      <c r="N734" s="82">
        <v>95</v>
      </c>
      <c r="O734" s="82">
        <v>31</v>
      </c>
      <c r="P734" s="82">
        <v>1023</v>
      </c>
      <c r="Q734" s="82">
        <v>7685</v>
      </c>
      <c r="R734" s="12" t="s">
        <v>25</v>
      </c>
      <c r="S734" s="12" t="s">
        <v>25</v>
      </c>
      <c r="T734" s="12" t="s">
        <v>25</v>
      </c>
    </row>
    <row r="735" spans="1:20" x14ac:dyDescent="0.3">
      <c r="A735" s="13">
        <v>43919.708333333336</v>
      </c>
      <c r="B735" s="12" t="s">
        <v>22</v>
      </c>
      <c r="C735" s="82">
        <v>2</v>
      </c>
      <c r="D735" s="12" t="s">
        <v>60</v>
      </c>
      <c r="E735" s="82">
        <v>4573750286</v>
      </c>
      <c r="F735" s="82">
        <v>7320149366</v>
      </c>
      <c r="G735" s="82">
        <v>90</v>
      </c>
      <c r="H735" s="82">
        <v>26</v>
      </c>
      <c r="I735" s="82">
        <v>116</v>
      </c>
      <c r="J735" s="82">
        <v>423</v>
      </c>
      <c r="K735" s="82">
        <v>539</v>
      </c>
      <c r="L735" s="82">
        <v>71</v>
      </c>
      <c r="M735" s="82">
        <v>73</v>
      </c>
      <c r="N735" s="82">
        <v>2</v>
      </c>
      <c r="O735" s="82">
        <v>43</v>
      </c>
      <c r="P735" s="82">
        <v>584</v>
      </c>
      <c r="Q735" s="82">
        <v>1480</v>
      </c>
      <c r="R735" s="12" t="s">
        <v>25</v>
      </c>
      <c r="S735" s="12" t="s">
        <v>25</v>
      </c>
      <c r="T735" s="12" t="s">
        <v>25</v>
      </c>
    </row>
    <row r="736" spans="1:20" x14ac:dyDescent="0.3">
      <c r="A736" s="13">
        <v>43919.708333333336</v>
      </c>
      <c r="B736" s="12" t="s">
        <v>22</v>
      </c>
      <c r="C736" s="82">
        <v>5</v>
      </c>
      <c r="D736" s="12" t="s">
        <v>61</v>
      </c>
      <c r="E736" s="82">
        <v>4543490485</v>
      </c>
      <c r="F736" s="82">
        <v>1233845213</v>
      </c>
      <c r="G736" s="82">
        <v>1586</v>
      </c>
      <c r="H736" s="82">
        <v>355</v>
      </c>
      <c r="I736" s="82">
        <v>1941</v>
      </c>
      <c r="J736" s="82">
        <v>5310</v>
      </c>
      <c r="K736" s="82">
        <v>7251</v>
      </c>
      <c r="L736" s="82">
        <v>338</v>
      </c>
      <c r="M736" s="82">
        <v>428</v>
      </c>
      <c r="N736" s="82">
        <v>715</v>
      </c>
      <c r="O736" s="82">
        <v>392</v>
      </c>
      <c r="P736" s="82">
        <v>8358</v>
      </c>
      <c r="Q736" s="82">
        <v>94784</v>
      </c>
      <c r="R736" s="12" t="s">
        <v>25</v>
      </c>
      <c r="S736" s="12" t="s">
        <v>25</v>
      </c>
      <c r="T736" s="12" t="s">
        <v>25</v>
      </c>
    </row>
    <row r="737" spans="1:20" x14ac:dyDescent="0.3">
      <c r="A737" s="13">
        <v>43920.708333333336</v>
      </c>
      <c r="B737" s="12" t="s">
        <v>22</v>
      </c>
      <c r="C737" s="82">
        <v>13</v>
      </c>
      <c r="D737" s="12" t="s">
        <v>42</v>
      </c>
      <c r="E737" s="82">
        <v>4235122196</v>
      </c>
      <c r="F737" s="82">
        <v>1339843823</v>
      </c>
      <c r="G737" s="82">
        <v>322</v>
      </c>
      <c r="H737" s="82">
        <v>69</v>
      </c>
      <c r="I737" s="82">
        <v>391</v>
      </c>
      <c r="J737" s="82">
        <v>778</v>
      </c>
      <c r="K737" s="82">
        <v>1169</v>
      </c>
      <c r="L737" s="82">
        <v>0</v>
      </c>
      <c r="M737" s="82">
        <v>52</v>
      </c>
      <c r="N737" s="82">
        <v>74</v>
      </c>
      <c r="O737" s="82">
        <v>102</v>
      </c>
      <c r="P737" s="82">
        <v>1345</v>
      </c>
      <c r="Q737" s="82">
        <v>7948</v>
      </c>
      <c r="R737" s="12" t="s">
        <v>25</v>
      </c>
      <c r="S737" s="12" t="s">
        <v>25</v>
      </c>
      <c r="T737" s="12" t="s">
        <v>25</v>
      </c>
    </row>
    <row r="738" spans="1:20" x14ac:dyDescent="0.3">
      <c r="A738" s="13">
        <v>43920.708333333336</v>
      </c>
      <c r="B738" s="12" t="s">
        <v>22</v>
      </c>
      <c r="C738" s="82">
        <v>17</v>
      </c>
      <c r="D738" s="12" t="s">
        <v>43</v>
      </c>
      <c r="E738" s="82">
        <v>4063947052</v>
      </c>
      <c r="F738" s="82">
        <v>1580514834</v>
      </c>
      <c r="G738" s="82">
        <v>36</v>
      </c>
      <c r="H738" s="82">
        <v>18</v>
      </c>
      <c r="I738" s="82">
        <v>54</v>
      </c>
      <c r="J738" s="82">
        <v>154</v>
      </c>
      <c r="K738" s="82">
        <v>208</v>
      </c>
      <c r="L738" s="82">
        <v>11</v>
      </c>
      <c r="M738" s="82">
        <v>12</v>
      </c>
      <c r="N738" s="82">
        <v>1</v>
      </c>
      <c r="O738" s="82">
        <v>5</v>
      </c>
      <c r="P738" s="82">
        <v>214</v>
      </c>
      <c r="Q738" s="82">
        <v>1833</v>
      </c>
      <c r="R738" s="12" t="s">
        <v>25</v>
      </c>
      <c r="S738" s="12" t="s">
        <v>25</v>
      </c>
      <c r="T738" s="12" t="s">
        <v>25</v>
      </c>
    </row>
    <row r="739" spans="1:20" x14ac:dyDescent="0.3">
      <c r="A739" s="13">
        <v>43920.708333333336</v>
      </c>
      <c r="B739" s="12" t="s">
        <v>22</v>
      </c>
      <c r="C739" s="82">
        <v>4</v>
      </c>
      <c r="D739" s="12" t="s">
        <v>44</v>
      </c>
      <c r="E739" s="82">
        <v>4649933453</v>
      </c>
      <c r="F739" s="82">
        <v>1135662422</v>
      </c>
      <c r="G739" s="82">
        <v>231</v>
      </c>
      <c r="H739" s="82">
        <v>62</v>
      </c>
      <c r="I739" s="82">
        <v>293</v>
      </c>
      <c r="J739" s="82">
        <v>805</v>
      </c>
      <c r="K739" s="82">
        <v>1098</v>
      </c>
      <c r="L739" s="82">
        <v>64</v>
      </c>
      <c r="M739" s="82">
        <v>111</v>
      </c>
      <c r="N739" s="82">
        <v>153</v>
      </c>
      <c r="O739" s="82">
        <v>74</v>
      </c>
      <c r="P739" s="82">
        <v>1325</v>
      </c>
      <c r="Q739" s="82">
        <v>10640</v>
      </c>
      <c r="R739" s="12" t="s">
        <v>25</v>
      </c>
      <c r="S739" s="12" t="s">
        <v>25</v>
      </c>
      <c r="T739" s="12" t="s">
        <v>25</v>
      </c>
    </row>
    <row r="740" spans="1:20" x14ac:dyDescent="0.3">
      <c r="A740" s="13">
        <v>43920.708333333336</v>
      </c>
      <c r="B740" s="12" t="s">
        <v>22</v>
      </c>
      <c r="C740" s="82">
        <v>18</v>
      </c>
      <c r="D740" s="12" t="s">
        <v>45</v>
      </c>
      <c r="E740" s="82">
        <v>3890597598</v>
      </c>
      <c r="F740" s="82">
        <v>1659440194</v>
      </c>
      <c r="G740" s="82">
        <v>130</v>
      </c>
      <c r="H740" s="82">
        <v>18</v>
      </c>
      <c r="I740" s="82">
        <v>148</v>
      </c>
      <c r="J740" s="82">
        <v>454</v>
      </c>
      <c r="K740" s="82">
        <v>602</v>
      </c>
      <c r="L740" s="82">
        <v>25</v>
      </c>
      <c r="M740" s="82">
        <v>33</v>
      </c>
      <c r="N740" s="82">
        <v>14</v>
      </c>
      <c r="O740" s="82">
        <v>31</v>
      </c>
      <c r="P740" s="82">
        <v>647</v>
      </c>
      <c r="Q740" s="82">
        <v>9013</v>
      </c>
      <c r="R740" s="12" t="s">
        <v>25</v>
      </c>
      <c r="S740" s="12" t="s">
        <v>25</v>
      </c>
      <c r="T740" s="12" t="s">
        <v>25</v>
      </c>
    </row>
    <row r="741" spans="1:20" x14ac:dyDescent="0.3">
      <c r="A741" s="13">
        <v>43920.708333333336</v>
      </c>
      <c r="B741" s="12" t="s">
        <v>22</v>
      </c>
      <c r="C741" s="82">
        <v>15</v>
      </c>
      <c r="D741" s="12" t="s">
        <v>46</v>
      </c>
      <c r="E741" s="82">
        <v>4083956555</v>
      </c>
      <c r="F741" s="82">
        <v>1425084984</v>
      </c>
      <c r="G741" s="82">
        <v>468</v>
      </c>
      <c r="H741" s="82">
        <v>126</v>
      </c>
      <c r="I741" s="82">
        <v>594</v>
      </c>
      <c r="J741" s="82">
        <v>1145</v>
      </c>
      <c r="K741" s="82">
        <v>1739</v>
      </c>
      <c r="L741" s="82">
        <v>183</v>
      </c>
      <c r="M741" s="82">
        <v>193</v>
      </c>
      <c r="N741" s="82">
        <v>88</v>
      </c>
      <c r="O741" s="82">
        <v>125</v>
      </c>
      <c r="P741" s="82">
        <v>1952</v>
      </c>
      <c r="Q741" s="82">
        <v>12969</v>
      </c>
      <c r="R741" s="12" t="s">
        <v>25</v>
      </c>
      <c r="S741" s="12" t="s">
        <v>25</v>
      </c>
      <c r="T741" s="12" t="s">
        <v>25</v>
      </c>
    </row>
    <row r="742" spans="1:20" x14ac:dyDescent="0.3">
      <c r="A742" s="13">
        <v>43920.708333333336</v>
      </c>
      <c r="B742" s="12" t="s">
        <v>22</v>
      </c>
      <c r="C742" s="82">
        <v>8</v>
      </c>
      <c r="D742" s="12" t="s">
        <v>95</v>
      </c>
      <c r="E742" s="82">
        <v>4449436681</v>
      </c>
      <c r="F742" s="82">
        <v>113417208</v>
      </c>
      <c r="G742" s="82">
        <v>3779</v>
      </c>
      <c r="H742" s="82">
        <v>351</v>
      </c>
      <c r="I742" s="82">
        <v>4130</v>
      </c>
      <c r="J742" s="82">
        <v>6636</v>
      </c>
      <c r="K742" s="82">
        <v>10766</v>
      </c>
      <c r="L742" s="82">
        <v>231</v>
      </c>
      <c r="M742" s="82">
        <v>412</v>
      </c>
      <c r="N742" s="82">
        <v>1227</v>
      </c>
      <c r="O742" s="82">
        <v>1538</v>
      </c>
      <c r="P742" s="82">
        <v>13531</v>
      </c>
      <c r="Q742" s="82">
        <v>50990</v>
      </c>
      <c r="R742" s="12" t="s">
        <v>25</v>
      </c>
      <c r="S742" s="12" t="s">
        <v>25</v>
      </c>
      <c r="T742" s="12" t="s">
        <v>25</v>
      </c>
    </row>
    <row r="743" spans="1:20" x14ac:dyDescent="0.3">
      <c r="A743" s="13">
        <v>43920.708333333336</v>
      </c>
      <c r="B743" s="12" t="s">
        <v>22</v>
      </c>
      <c r="C743" s="82">
        <v>6</v>
      </c>
      <c r="D743" s="12" t="s">
        <v>47</v>
      </c>
      <c r="E743" s="82">
        <v>456494354</v>
      </c>
      <c r="F743" s="82">
        <v>1376813649</v>
      </c>
      <c r="G743" s="82">
        <v>229</v>
      </c>
      <c r="H743" s="82">
        <v>60</v>
      </c>
      <c r="I743" s="82">
        <v>289</v>
      </c>
      <c r="J743" s="82">
        <v>820</v>
      </c>
      <c r="K743" s="82">
        <v>1109</v>
      </c>
      <c r="L743" s="82">
        <v>-32</v>
      </c>
      <c r="M743" s="82">
        <v>21</v>
      </c>
      <c r="N743" s="82">
        <v>285</v>
      </c>
      <c r="O743" s="82">
        <v>107</v>
      </c>
      <c r="P743" s="82">
        <v>1501</v>
      </c>
      <c r="Q743" s="82">
        <v>14003</v>
      </c>
      <c r="R743" s="12" t="s">
        <v>25</v>
      </c>
      <c r="S743" s="12" t="s">
        <v>25</v>
      </c>
      <c r="T743" s="12" t="s">
        <v>25</v>
      </c>
    </row>
    <row r="744" spans="1:20" x14ac:dyDescent="0.3">
      <c r="A744" s="13">
        <v>43920.708333333336</v>
      </c>
      <c r="B744" s="12" t="s">
        <v>22</v>
      </c>
      <c r="C744" s="82">
        <v>12</v>
      </c>
      <c r="D744" s="12" t="s">
        <v>48</v>
      </c>
      <c r="E744" s="82">
        <v>4189277044</v>
      </c>
      <c r="F744" s="82">
        <v>1248366722</v>
      </c>
      <c r="G744" s="82">
        <v>1079</v>
      </c>
      <c r="H744" s="82">
        <v>154</v>
      </c>
      <c r="I744" s="82">
        <v>1233</v>
      </c>
      <c r="J744" s="82">
        <v>1264</v>
      </c>
      <c r="K744" s="82">
        <v>2497</v>
      </c>
      <c r="L744" s="82">
        <v>135</v>
      </c>
      <c r="M744" s="82">
        <v>208</v>
      </c>
      <c r="N744" s="82">
        <v>267</v>
      </c>
      <c r="O744" s="82">
        <v>150</v>
      </c>
      <c r="P744" s="82">
        <v>2914</v>
      </c>
      <c r="Q744" s="82">
        <v>32846</v>
      </c>
      <c r="R744" s="12" t="s">
        <v>25</v>
      </c>
      <c r="S744" s="12" t="s">
        <v>25</v>
      </c>
      <c r="T744" s="12" t="s">
        <v>25</v>
      </c>
    </row>
    <row r="745" spans="1:20" x14ac:dyDescent="0.3">
      <c r="A745" s="13">
        <v>43920.708333333336</v>
      </c>
      <c r="B745" s="12" t="s">
        <v>22</v>
      </c>
      <c r="C745" s="82">
        <v>7</v>
      </c>
      <c r="D745" s="12" t="s">
        <v>49</v>
      </c>
      <c r="E745" s="82">
        <v>4441149315</v>
      </c>
      <c r="F745" s="82">
        <v>89326992</v>
      </c>
      <c r="G745" s="82">
        <v>1142</v>
      </c>
      <c r="H745" s="82">
        <v>175</v>
      </c>
      <c r="I745" s="82">
        <v>1317</v>
      </c>
      <c r="J745" s="82">
        <v>1066</v>
      </c>
      <c r="K745" s="82">
        <v>2383</v>
      </c>
      <c r="L745" s="82">
        <v>104</v>
      </c>
      <c r="M745" s="82">
        <v>141</v>
      </c>
      <c r="N745" s="82">
        <v>437</v>
      </c>
      <c r="O745" s="82">
        <v>397</v>
      </c>
      <c r="P745" s="82">
        <v>3217</v>
      </c>
      <c r="Q745" s="82">
        <v>9677</v>
      </c>
      <c r="R745" s="12" t="s">
        <v>25</v>
      </c>
      <c r="S745" s="12" t="s">
        <v>25</v>
      </c>
      <c r="T745" s="12" t="s">
        <v>25</v>
      </c>
    </row>
    <row r="746" spans="1:20" x14ac:dyDescent="0.3">
      <c r="A746" s="13">
        <v>43920.708333333336</v>
      </c>
      <c r="B746" s="12" t="s">
        <v>22</v>
      </c>
      <c r="C746" s="82">
        <v>3</v>
      </c>
      <c r="D746" s="12" t="s">
        <v>50</v>
      </c>
      <c r="E746" s="82">
        <v>4546679409</v>
      </c>
      <c r="F746" s="82">
        <v>9190347404</v>
      </c>
      <c r="G746" s="82">
        <v>11815</v>
      </c>
      <c r="H746" s="82">
        <v>1330</v>
      </c>
      <c r="I746" s="82">
        <v>13145</v>
      </c>
      <c r="J746" s="82">
        <v>11861</v>
      </c>
      <c r="K746" s="82">
        <v>25006</v>
      </c>
      <c r="L746" s="82">
        <v>-386</v>
      </c>
      <c r="M746" s="82">
        <v>1154</v>
      </c>
      <c r="N746" s="82">
        <v>10337</v>
      </c>
      <c r="O746" s="82">
        <v>6818</v>
      </c>
      <c r="P746" s="82">
        <v>42161</v>
      </c>
      <c r="Q746" s="82">
        <v>111057</v>
      </c>
      <c r="R746" s="12" t="s">
        <v>25</v>
      </c>
      <c r="S746" s="12" t="s">
        <v>25</v>
      </c>
      <c r="T746" s="12" t="s">
        <v>25</v>
      </c>
    </row>
    <row r="747" spans="1:20" x14ac:dyDescent="0.3">
      <c r="A747" s="13">
        <v>43920.708333333336</v>
      </c>
      <c r="B747" s="12" t="s">
        <v>22</v>
      </c>
      <c r="C747" s="82">
        <v>11</v>
      </c>
      <c r="D747" s="12" t="s">
        <v>51</v>
      </c>
      <c r="E747" s="82">
        <v>4361675973</v>
      </c>
      <c r="F747" s="82">
        <v>135188753</v>
      </c>
      <c r="G747" s="82">
        <v>998</v>
      </c>
      <c r="H747" s="82">
        <v>167</v>
      </c>
      <c r="I747" s="82">
        <v>1165</v>
      </c>
      <c r="J747" s="82">
        <v>2086</v>
      </c>
      <c r="K747" s="82">
        <v>3251</v>
      </c>
      <c r="L747" s="82">
        <v>91</v>
      </c>
      <c r="M747" s="82">
        <v>126</v>
      </c>
      <c r="N747" s="82">
        <v>16</v>
      </c>
      <c r="O747" s="82">
        <v>417</v>
      </c>
      <c r="P747" s="82">
        <v>3684</v>
      </c>
      <c r="Q747" s="82">
        <v>10979</v>
      </c>
      <c r="R747" s="12" t="s">
        <v>25</v>
      </c>
      <c r="S747" s="12" t="s">
        <v>25</v>
      </c>
      <c r="T747" s="12" t="s">
        <v>25</v>
      </c>
    </row>
    <row r="748" spans="1:20" x14ac:dyDescent="0.3">
      <c r="A748" s="13">
        <v>43920.708333333336</v>
      </c>
      <c r="B748" s="12" t="s">
        <v>22</v>
      </c>
      <c r="C748" s="82">
        <v>14</v>
      </c>
      <c r="D748" s="12" t="s">
        <v>52</v>
      </c>
      <c r="E748" s="82">
        <v>4155774754</v>
      </c>
      <c r="F748" s="82">
        <v>1465916051</v>
      </c>
      <c r="G748" s="82">
        <v>27</v>
      </c>
      <c r="H748" s="82">
        <v>8</v>
      </c>
      <c r="I748" s="82">
        <v>35</v>
      </c>
      <c r="J748" s="82">
        <v>72</v>
      </c>
      <c r="K748" s="82">
        <v>107</v>
      </c>
      <c r="L748" s="82">
        <v>7</v>
      </c>
      <c r="M748" s="82">
        <v>7</v>
      </c>
      <c r="N748" s="82">
        <v>18</v>
      </c>
      <c r="O748" s="82">
        <v>9</v>
      </c>
      <c r="P748" s="82">
        <v>134</v>
      </c>
      <c r="Q748" s="82">
        <v>955</v>
      </c>
      <c r="R748" s="12" t="s">
        <v>25</v>
      </c>
      <c r="S748" s="12" t="s">
        <v>25</v>
      </c>
      <c r="T748" s="12" t="s">
        <v>25</v>
      </c>
    </row>
    <row r="749" spans="1:20" x14ac:dyDescent="0.3">
      <c r="A749" s="13">
        <v>43920.708333333336</v>
      </c>
      <c r="B749" s="12" t="s">
        <v>22</v>
      </c>
      <c r="C749" s="82">
        <v>1</v>
      </c>
      <c r="D749" s="12" t="s">
        <v>53</v>
      </c>
      <c r="E749" s="82">
        <v>450732745</v>
      </c>
      <c r="F749" s="82">
        <v>7680687483</v>
      </c>
      <c r="G749" s="82">
        <v>2985</v>
      </c>
      <c r="H749" s="82">
        <v>452</v>
      </c>
      <c r="I749" s="82">
        <v>3437</v>
      </c>
      <c r="J749" s="82">
        <v>4218</v>
      </c>
      <c r="K749" s="82">
        <v>7655</v>
      </c>
      <c r="L749" s="82">
        <v>387</v>
      </c>
      <c r="M749" s="82">
        <v>506</v>
      </c>
      <c r="N749" s="82">
        <v>308</v>
      </c>
      <c r="O749" s="82">
        <v>749</v>
      </c>
      <c r="P749" s="82">
        <v>8712</v>
      </c>
      <c r="Q749" s="82">
        <v>25478</v>
      </c>
      <c r="R749" s="12" t="s">
        <v>25</v>
      </c>
      <c r="S749" s="12" t="s">
        <v>25</v>
      </c>
      <c r="T749" s="12" t="s">
        <v>25</v>
      </c>
    </row>
    <row r="750" spans="1:20" x14ac:dyDescent="0.3">
      <c r="A750" s="13">
        <v>43920.708333333336</v>
      </c>
      <c r="B750" s="12" t="s">
        <v>22</v>
      </c>
      <c r="C750" s="82">
        <v>16</v>
      </c>
      <c r="D750" s="12" t="s">
        <v>54</v>
      </c>
      <c r="E750" s="82">
        <v>4112559576</v>
      </c>
      <c r="F750" s="82">
        <v>1686736689</v>
      </c>
      <c r="G750" s="82">
        <v>590</v>
      </c>
      <c r="H750" s="82">
        <v>106</v>
      </c>
      <c r="I750" s="82">
        <v>696</v>
      </c>
      <c r="J750" s="82">
        <v>889</v>
      </c>
      <c r="K750" s="82">
        <v>1585</v>
      </c>
      <c r="L750" s="82">
        <v>153</v>
      </c>
      <c r="M750" s="82">
        <v>163</v>
      </c>
      <c r="N750" s="82">
        <v>36</v>
      </c>
      <c r="O750" s="82">
        <v>91</v>
      </c>
      <c r="P750" s="82">
        <v>1712</v>
      </c>
      <c r="Q750" s="82">
        <v>13117</v>
      </c>
      <c r="R750" s="12" t="s">
        <v>25</v>
      </c>
      <c r="S750" s="12" t="s">
        <v>25</v>
      </c>
      <c r="T750" s="12" t="s">
        <v>25</v>
      </c>
    </row>
    <row r="751" spans="1:20" x14ac:dyDescent="0.3">
      <c r="A751" s="13">
        <v>43920.708333333336</v>
      </c>
      <c r="B751" s="12" t="s">
        <v>22</v>
      </c>
      <c r="C751" s="82">
        <v>20</v>
      </c>
      <c r="D751" s="12" t="s">
        <v>55</v>
      </c>
      <c r="E751" s="82">
        <v>3921531192</v>
      </c>
      <c r="F751" s="82">
        <v>9110616306</v>
      </c>
      <c r="G751" s="82">
        <v>113</v>
      </c>
      <c r="H751" s="82">
        <v>24</v>
      </c>
      <c r="I751" s="82">
        <v>137</v>
      </c>
      <c r="J751" s="82">
        <v>485</v>
      </c>
      <c r="K751" s="82">
        <v>622</v>
      </c>
      <c r="L751" s="82">
        <v>40</v>
      </c>
      <c r="M751" s="82">
        <v>44</v>
      </c>
      <c r="N751" s="82">
        <v>32</v>
      </c>
      <c r="O751" s="82">
        <v>28</v>
      </c>
      <c r="P751" s="82">
        <v>682</v>
      </c>
      <c r="Q751" s="82">
        <v>4993</v>
      </c>
      <c r="R751" s="12" t="s">
        <v>25</v>
      </c>
      <c r="S751" s="12" t="s">
        <v>25</v>
      </c>
      <c r="T751" s="12" t="s">
        <v>25</v>
      </c>
    </row>
    <row r="752" spans="1:20" x14ac:dyDescent="0.3">
      <c r="A752" s="13">
        <v>43920.708333333336</v>
      </c>
      <c r="B752" s="12" t="s">
        <v>22</v>
      </c>
      <c r="C752" s="82">
        <v>19</v>
      </c>
      <c r="D752" s="12" t="s">
        <v>56</v>
      </c>
      <c r="E752" s="82">
        <v>3811569725</v>
      </c>
      <c r="F752" s="82">
        <v>133623567</v>
      </c>
      <c r="G752" s="82">
        <v>484</v>
      </c>
      <c r="H752" s="82">
        <v>75</v>
      </c>
      <c r="I752" s="82">
        <v>559</v>
      </c>
      <c r="J752" s="82">
        <v>849</v>
      </c>
      <c r="K752" s="82">
        <v>1408</v>
      </c>
      <c r="L752" s="82">
        <v>78</v>
      </c>
      <c r="M752" s="82">
        <v>95</v>
      </c>
      <c r="N752" s="82">
        <v>71</v>
      </c>
      <c r="O752" s="82">
        <v>76</v>
      </c>
      <c r="P752" s="82">
        <v>1555</v>
      </c>
      <c r="Q752" s="82">
        <v>14758</v>
      </c>
      <c r="R752" s="12" t="s">
        <v>25</v>
      </c>
      <c r="S752" s="12" t="s">
        <v>25</v>
      </c>
      <c r="T752" s="12" t="s">
        <v>25</v>
      </c>
    </row>
    <row r="753" spans="1:20" x14ac:dyDescent="0.3">
      <c r="A753" s="13">
        <v>43920.708333333336</v>
      </c>
      <c r="B753" s="12" t="s">
        <v>22</v>
      </c>
      <c r="C753" s="82">
        <v>9</v>
      </c>
      <c r="D753" s="12" t="s">
        <v>57</v>
      </c>
      <c r="E753" s="82">
        <v>4376923077</v>
      </c>
      <c r="F753" s="82">
        <v>1125588885</v>
      </c>
      <c r="G753" s="82">
        <v>1116</v>
      </c>
      <c r="H753" s="82">
        <v>279</v>
      </c>
      <c r="I753" s="82">
        <v>1395</v>
      </c>
      <c r="J753" s="82">
        <v>2655</v>
      </c>
      <c r="K753" s="82">
        <v>4050</v>
      </c>
      <c r="L753" s="82">
        <v>264</v>
      </c>
      <c r="M753" s="82">
        <v>290</v>
      </c>
      <c r="N753" s="82">
        <v>131</v>
      </c>
      <c r="O753" s="82">
        <v>231</v>
      </c>
      <c r="P753" s="82">
        <v>4412</v>
      </c>
      <c r="Q753" s="82">
        <v>30099</v>
      </c>
      <c r="R753" s="12" t="s">
        <v>25</v>
      </c>
      <c r="S753" s="12" t="s">
        <v>25</v>
      </c>
      <c r="T753" s="12" t="s">
        <v>25</v>
      </c>
    </row>
    <row r="754" spans="1:20" x14ac:dyDescent="0.3">
      <c r="A754" s="13">
        <v>43920.708333333336</v>
      </c>
      <c r="B754" s="12" t="s">
        <v>22</v>
      </c>
      <c r="C754" s="82">
        <v>4</v>
      </c>
      <c r="D754" s="12" t="s">
        <v>58</v>
      </c>
      <c r="E754" s="82">
        <v>4606893511</v>
      </c>
      <c r="F754" s="82">
        <v>1112123097</v>
      </c>
      <c r="G754" s="82">
        <v>353</v>
      </c>
      <c r="H754" s="82">
        <v>78</v>
      </c>
      <c r="I754" s="82">
        <v>431</v>
      </c>
      <c r="J754" s="82">
        <v>926</v>
      </c>
      <c r="K754" s="82">
        <v>1357</v>
      </c>
      <c r="L754" s="82">
        <v>64</v>
      </c>
      <c r="M754" s="82">
        <v>88</v>
      </c>
      <c r="N754" s="82">
        <v>178</v>
      </c>
      <c r="O754" s="82">
        <v>147</v>
      </c>
      <c r="P754" s="82">
        <v>1682</v>
      </c>
      <c r="Q754" s="82">
        <v>6377</v>
      </c>
      <c r="R754" s="12" t="s">
        <v>25</v>
      </c>
      <c r="S754" s="12" t="s">
        <v>25</v>
      </c>
      <c r="T754" s="12" t="s">
        <v>25</v>
      </c>
    </row>
    <row r="755" spans="1:20" x14ac:dyDescent="0.3">
      <c r="A755" s="13">
        <v>43920.708333333336</v>
      </c>
      <c r="B755" s="12" t="s">
        <v>22</v>
      </c>
      <c r="C755" s="82">
        <v>10</v>
      </c>
      <c r="D755" s="12" t="s">
        <v>59</v>
      </c>
      <c r="E755" s="82">
        <v>4310675841</v>
      </c>
      <c r="F755" s="82">
        <v>1238824698</v>
      </c>
      <c r="G755" s="82">
        <v>173</v>
      </c>
      <c r="H755" s="82">
        <v>47</v>
      </c>
      <c r="I755" s="82">
        <v>220</v>
      </c>
      <c r="J755" s="82">
        <v>614</v>
      </c>
      <c r="K755" s="82">
        <v>834</v>
      </c>
      <c r="L755" s="82">
        <v>-63</v>
      </c>
      <c r="M755" s="82">
        <v>28</v>
      </c>
      <c r="N755" s="82">
        <v>184</v>
      </c>
      <c r="O755" s="82">
        <v>33</v>
      </c>
      <c r="P755" s="82">
        <v>1051</v>
      </c>
      <c r="Q755" s="82">
        <v>8150</v>
      </c>
      <c r="R755" s="12" t="s">
        <v>25</v>
      </c>
      <c r="S755" s="12" t="s">
        <v>25</v>
      </c>
      <c r="T755" s="12" t="s">
        <v>25</v>
      </c>
    </row>
    <row r="756" spans="1:20" x14ac:dyDescent="0.3">
      <c r="A756" s="13">
        <v>43920.708333333336</v>
      </c>
      <c r="B756" s="12" t="s">
        <v>22</v>
      </c>
      <c r="C756" s="82">
        <v>2</v>
      </c>
      <c r="D756" s="12" t="s">
        <v>60</v>
      </c>
      <c r="E756" s="82">
        <v>4573750286</v>
      </c>
      <c r="F756" s="82">
        <v>7320149366</v>
      </c>
      <c r="G756" s="82">
        <v>92</v>
      </c>
      <c r="H756" s="82">
        <v>26</v>
      </c>
      <c r="I756" s="82">
        <v>118</v>
      </c>
      <c r="J756" s="82">
        <v>400</v>
      </c>
      <c r="K756" s="82">
        <v>518</v>
      </c>
      <c r="L756" s="82">
        <v>-21</v>
      </c>
      <c r="M756" s="82">
        <v>0</v>
      </c>
      <c r="N756" s="82">
        <v>16</v>
      </c>
      <c r="O756" s="82">
        <v>50</v>
      </c>
      <c r="P756" s="82">
        <v>584</v>
      </c>
      <c r="Q756" s="82">
        <v>1536</v>
      </c>
      <c r="R756" s="12" t="s">
        <v>25</v>
      </c>
      <c r="S756" s="12" t="s">
        <v>25</v>
      </c>
      <c r="T756" s="12" t="s">
        <v>25</v>
      </c>
    </row>
    <row r="757" spans="1:20" x14ac:dyDescent="0.3">
      <c r="A757" s="13">
        <v>43920.708333333336</v>
      </c>
      <c r="B757" s="12" t="s">
        <v>22</v>
      </c>
      <c r="C757" s="82">
        <v>5</v>
      </c>
      <c r="D757" s="12" t="s">
        <v>61</v>
      </c>
      <c r="E757" s="82">
        <v>4543490485</v>
      </c>
      <c r="F757" s="82">
        <v>1233845213</v>
      </c>
      <c r="G757" s="82">
        <v>1633</v>
      </c>
      <c r="H757" s="82">
        <v>356</v>
      </c>
      <c r="I757" s="82">
        <v>1989</v>
      </c>
      <c r="J757" s="82">
        <v>5575</v>
      </c>
      <c r="K757" s="82">
        <v>7564</v>
      </c>
      <c r="L757" s="82">
        <v>313</v>
      </c>
      <c r="M757" s="82">
        <v>366</v>
      </c>
      <c r="N757" s="82">
        <v>747</v>
      </c>
      <c r="O757" s="82">
        <v>413</v>
      </c>
      <c r="P757" s="82">
        <v>8724</v>
      </c>
      <c r="Q757" s="82">
        <v>99941</v>
      </c>
      <c r="R757" s="12" t="s">
        <v>25</v>
      </c>
      <c r="S757" s="12" t="s">
        <v>25</v>
      </c>
      <c r="T757" s="12" t="s">
        <v>25</v>
      </c>
    </row>
    <row r="758" spans="1:20" x14ac:dyDescent="0.3">
      <c r="A758" s="13">
        <v>43921.708333333336</v>
      </c>
      <c r="B758" s="12" t="s">
        <v>22</v>
      </c>
      <c r="C758" s="82">
        <v>13</v>
      </c>
      <c r="D758" s="12" t="s">
        <v>42</v>
      </c>
      <c r="E758" s="82">
        <v>4235122196</v>
      </c>
      <c r="F758" s="82">
        <v>1339843823</v>
      </c>
      <c r="G758" s="82">
        <v>335</v>
      </c>
      <c r="H758" s="82">
        <v>73</v>
      </c>
      <c r="I758" s="82">
        <v>408</v>
      </c>
      <c r="J758" s="82">
        <v>783</v>
      </c>
      <c r="K758" s="82">
        <v>1191</v>
      </c>
      <c r="L758" s="82">
        <v>22</v>
      </c>
      <c r="M758" s="82">
        <v>56</v>
      </c>
      <c r="N758" s="82">
        <v>95</v>
      </c>
      <c r="O758" s="82">
        <v>115</v>
      </c>
      <c r="P758" s="82">
        <v>1401</v>
      </c>
      <c r="Q758" s="82">
        <v>8758</v>
      </c>
      <c r="R758" s="12" t="s">
        <v>25</v>
      </c>
      <c r="S758" s="12" t="s">
        <v>25</v>
      </c>
      <c r="T758" s="12" t="s">
        <v>25</v>
      </c>
    </row>
    <row r="759" spans="1:20" x14ac:dyDescent="0.3">
      <c r="A759" s="13">
        <v>43921.708333333336</v>
      </c>
      <c r="B759" s="12" t="s">
        <v>22</v>
      </c>
      <c r="C759" s="82">
        <v>17</v>
      </c>
      <c r="D759" s="12" t="s">
        <v>43</v>
      </c>
      <c r="E759" s="82">
        <v>4063947052</v>
      </c>
      <c r="F759" s="82">
        <v>1580514834</v>
      </c>
      <c r="G759" s="82">
        <v>37</v>
      </c>
      <c r="H759" s="82">
        <v>17</v>
      </c>
      <c r="I759" s="82">
        <v>54</v>
      </c>
      <c r="J759" s="82">
        <v>162</v>
      </c>
      <c r="K759" s="82">
        <v>216</v>
      </c>
      <c r="L759" s="82">
        <v>8</v>
      </c>
      <c r="M759" s="82">
        <v>12</v>
      </c>
      <c r="N759" s="82">
        <v>3</v>
      </c>
      <c r="O759" s="82">
        <v>7</v>
      </c>
      <c r="P759" s="82">
        <v>226</v>
      </c>
      <c r="Q759" s="82">
        <v>2043</v>
      </c>
      <c r="R759" s="12" t="s">
        <v>25</v>
      </c>
      <c r="S759" s="12" t="s">
        <v>25</v>
      </c>
      <c r="T759" s="12" t="s">
        <v>25</v>
      </c>
    </row>
    <row r="760" spans="1:20" x14ac:dyDescent="0.3">
      <c r="A760" s="13">
        <v>43921.708333333336</v>
      </c>
      <c r="B760" s="12" t="s">
        <v>22</v>
      </c>
      <c r="C760" s="82">
        <v>4</v>
      </c>
      <c r="D760" s="12" t="s">
        <v>44</v>
      </c>
      <c r="E760" s="82">
        <v>4649933453</v>
      </c>
      <c r="F760" s="82">
        <v>1135662422</v>
      </c>
      <c r="G760" s="82">
        <v>249</v>
      </c>
      <c r="H760" s="82">
        <v>62</v>
      </c>
      <c r="I760" s="82">
        <v>311</v>
      </c>
      <c r="J760" s="82">
        <v>831</v>
      </c>
      <c r="K760" s="82">
        <v>1142</v>
      </c>
      <c r="L760" s="82">
        <v>44</v>
      </c>
      <c r="M760" s="82">
        <v>46</v>
      </c>
      <c r="N760" s="82">
        <v>153</v>
      </c>
      <c r="O760" s="82">
        <v>76</v>
      </c>
      <c r="P760" s="82">
        <v>1371</v>
      </c>
      <c r="Q760" s="82">
        <v>11275</v>
      </c>
      <c r="R760" s="12" t="s">
        <v>25</v>
      </c>
      <c r="S760" s="12" t="s">
        <v>25</v>
      </c>
      <c r="T760" s="12" t="s">
        <v>25</v>
      </c>
    </row>
    <row r="761" spans="1:20" x14ac:dyDescent="0.3">
      <c r="A761" s="13">
        <v>43921.708333333336</v>
      </c>
      <c r="B761" s="12" t="s">
        <v>22</v>
      </c>
      <c r="C761" s="82">
        <v>18</v>
      </c>
      <c r="D761" s="12" t="s">
        <v>45</v>
      </c>
      <c r="E761" s="82">
        <v>3890597598</v>
      </c>
      <c r="F761" s="82">
        <v>1659440194</v>
      </c>
      <c r="G761" s="82">
        <v>132</v>
      </c>
      <c r="H761" s="82">
        <v>17</v>
      </c>
      <c r="I761" s="82">
        <v>149</v>
      </c>
      <c r="J761" s="82">
        <v>457</v>
      </c>
      <c r="K761" s="82">
        <v>606</v>
      </c>
      <c r="L761" s="82">
        <v>4</v>
      </c>
      <c r="M761" s="82">
        <v>12</v>
      </c>
      <c r="N761" s="82">
        <v>17</v>
      </c>
      <c r="O761" s="82">
        <v>36</v>
      </c>
      <c r="P761" s="82">
        <v>659</v>
      </c>
      <c r="Q761" s="82">
        <v>9327</v>
      </c>
      <c r="R761" s="12" t="s">
        <v>25</v>
      </c>
      <c r="S761" s="12" t="s">
        <v>25</v>
      </c>
      <c r="T761" s="12" t="s">
        <v>25</v>
      </c>
    </row>
    <row r="762" spans="1:20" x14ac:dyDescent="0.3">
      <c r="A762" s="13">
        <v>43921.708333333336</v>
      </c>
      <c r="B762" s="12" t="s">
        <v>22</v>
      </c>
      <c r="C762" s="82">
        <v>15</v>
      </c>
      <c r="D762" s="12" t="s">
        <v>46</v>
      </c>
      <c r="E762" s="82">
        <v>4083956555</v>
      </c>
      <c r="F762" s="82">
        <v>1425084984</v>
      </c>
      <c r="G762" s="82">
        <v>501</v>
      </c>
      <c r="H762" s="82">
        <v>133</v>
      </c>
      <c r="I762" s="82">
        <v>634</v>
      </c>
      <c r="J762" s="82">
        <v>1237</v>
      </c>
      <c r="K762" s="82">
        <v>1871</v>
      </c>
      <c r="L762" s="82">
        <v>132</v>
      </c>
      <c r="M762" s="82">
        <v>140</v>
      </c>
      <c r="N762" s="82">
        <v>88</v>
      </c>
      <c r="O762" s="82">
        <v>133</v>
      </c>
      <c r="P762" s="82">
        <v>2092</v>
      </c>
      <c r="Q762" s="82">
        <v>14403</v>
      </c>
      <c r="R762" s="12" t="s">
        <v>25</v>
      </c>
      <c r="S762" s="12" t="s">
        <v>25</v>
      </c>
      <c r="T762" s="12" t="s">
        <v>25</v>
      </c>
    </row>
    <row r="763" spans="1:20" x14ac:dyDescent="0.3">
      <c r="A763" s="13">
        <v>43921.708333333336</v>
      </c>
      <c r="B763" s="12" t="s">
        <v>22</v>
      </c>
      <c r="C763" s="82">
        <v>8</v>
      </c>
      <c r="D763" s="12" t="s">
        <v>95</v>
      </c>
      <c r="E763" s="82">
        <v>4449436681</v>
      </c>
      <c r="F763" s="82">
        <v>113417208</v>
      </c>
      <c r="G763" s="82">
        <v>3765</v>
      </c>
      <c r="H763" s="82">
        <v>353</v>
      </c>
      <c r="I763" s="82">
        <v>4118</v>
      </c>
      <c r="J763" s="82">
        <v>6835</v>
      </c>
      <c r="K763" s="82">
        <v>10953</v>
      </c>
      <c r="L763" s="82">
        <v>187</v>
      </c>
      <c r="M763" s="82">
        <v>543</v>
      </c>
      <c r="N763" s="82">
        <v>1477</v>
      </c>
      <c r="O763" s="82">
        <v>1644</v>
      </c>
      <c r="P763" s="82">
        <v>14074</v>
      </c>
      <c r="Q763" s="82">
        <v>54532</v>
      </c>
      <c r="R763" s="12" t="s">
        <v>25</v>
      </c>
      <c r="S763" s="12" t="s">
        <v>25</v>
      </c>
      <c r="T763" s="12" t="s">
        <v>25</v>
      </c>
    </row>
    <row r="764" spans="1:20" x14ac:dyDescent="0.3">
      <c r="A764" s="13">
        <v>43921.708333333336</v>
      </c>
      <c r="B764" s="12" t="s">
        <v>22</v>
      </c>
      <c r="C764" s="82">
        <v>6</v>
      </c>
      <c r="D764" s="12" t="s">
        <v>47</v>
      </c>
      <c r="E764" s="82">
        <v>456494354</v>
      </c>
      <c r="F764" s="82">
        <v>1376813649</v>
      </c>
      <c r="G764" s="82">
        <v>215</v>
      </c>
      <c r="H764" s="82">
        <v>60</v>
      </c>
      <c r="I764" s="82">
        <v>275</v>
      </c>
      <c r="J764" s="82">
        <v>885</v>
      </c>
      <c r="K764" s="82">
        <v>1160</v>
      </c>
      <c r="L764" s="82">
        <v>51</v>
      </c>
      <c r="M764" s="82">
        <v>92</v>
      </c>
      <c r="N764" s="82">
        <v>320</v>
      </c>
      <c r="O764" s="82">
        <v>113</v>
      </c>
      <c r="P764" s="82">
        <v>1593</v>
      </c>
      <c r="Q764" s="82">
        <v>14899</v>
      </c>
      <c r="R764" s="12" t="s">
        <v>25</v>
      </c>
      <c r="S764" s="12" t="s">
        <v>25</v>
      </c>
      <c r="T764" s="12" t="s">
        <v>25</v>
      </c>
    </row>
    <row r="765" spans="1:20" x14ac:dyDescent="0.3">
      <c r="A765" s="13">
        <v>43921.708333333336</v>
      </c>
      <c r="B765" s="12" t="s">
        <v>22</v>
      </c>
      <c r="C765" s="82">
        <v>12</v>
      </c>
      <c r="D765" s="12" t="s">
        <v>48</v>
      </c>
      <c r="E765" s="82">
        <v>4189277044</v>
      </c>
      <c r="F765" s="82">
        <v>1248366722</v>
      </c>
      <c r="G765" s="82">
        <v>1127</v>
      </c>
      <c r="H765" s="82">
        <v>173</v>
      </c>
      <c r="I765" s="82">
        <v>1300</v>
      </c>
      <c r="J765" s="82">
        <v>1342</v>
      </c>
      <c r="K765" s="82">
        <v>2642</v>
      </c>
      <c r="L765" s="82">
        <v>145</v>
      </c>
      <c r="M765" s="82">
        <v>181</v>
      </c>
      <c r="N765" s="82">
        <v>291</v>
      </c>
      <c r="O765" s="82">
        <v>162</v>
      </c>
      <c r="P765" s="82">
        <v>3095</v>
      </c>
      <c r="Q765" s="82">
        <v>34677</v>
      </c>
      <c r="R765" s="12" t="s">
        <v>25</v>
      </c>
      <c r="S765" s="12" t="s">
        <v>25</v>
      </c>
      <c r="T765" s="12" t="s">
        <v>25</v>
      </c>
    </row>
    <row r="766" spans="1:20" x14ac:dyDescent="0.3">
      <c r="A766" s="13">
        <v>43921.708333333336</v>
      </c>
      <c r="B766" s="12" t="s">
        <v>22</v>
      </c>
      <c r="C766" s="82">
        <v>7</v>
      </c>
      <c r="D766" s="12" t="s">
        <v>49</v>
      </c>
      <c r="E766" s="82">
        <v>4441149315</v>
      </c>
      <c r="F766" s="82">
        <v>89326992</v>
      </c>
      <c r="G766" s="82">
        <v>1153</v>
      </c>
      <c r="H766" s="82">
        <v>179</v>
      </c>
      <c r="I766" s="82">
        <v>1332</v>
      </c>
      <c r="J766" s="82">
        <v>1176</v>
      </c>
      <c r="K766" s="82">
        <v>2508</v>
      </c>
      <c r="L766" s="82">
        <v>125</v>
      </c>
      <c r="M766" s="82">
        <v>199</v>
      </c>
      <c r="N766" s="82">
        <v>480</v>
      </c>
      <c r="O766" s="82">
        <v>428</v>
      </c>
      <c r="P766" s="82">
        <v>3416</v>
      </c>
      <c r="Q766" s="82">
        <v>10376</v>
      </c>
      <c r="R766" s="12" t="s">
        <v>25</v>
      </c>
      <c r="S766" s="12" t="s">
        <v>25</v>
      </c>
      <c r="T766" s="12" t="s">
        <v>25</v>
      </c>
    </row>
    <row r="767" spans="1:20" x14ac:dyDescent="0.3">
      <c r="A767" s="13">
        <v>43921.708333333336</v>
      </c>
      <c r="B767" s="12" t="s">
        <v>22</v>
      </c>
      <c r="C767" s="82">
        <v>3</v>
      </c>
      <c r="D767" s="12" t="s">
        <v>50</v>
      </c>
      <c r="E767" s="82">
        <v>4546679409</v>
      </c>
      <c r="F767" s="82">
        <v>9190347404</v>
      </c>
      <c r="G767" s="82">
        <v>11883</v>
      </c>
      <c r="H767" s="82">
        <v>1324</v>
      </c>
      <c r="I767" s="82">
        <v>13207</v>
      </c>
      <c r="J767" s="82">
        <v>11917</v>
      </c>
      <c r="K767" s="82">
        <v>25124</v>
      </c>
      <c r="L767" s="82">
        <v>118</v>
      </c>
      <c r="M767" s="82">
        <v>1047</v>
      </c>
      <c r="N767" s="82">
        <v>10885</v>
      </c>
      <c r="O767" s="82">
        <v>7199</v>
      </c>
      <c r="P767" s="82">
        <v>43208</v>
      </c>
      <c r="Q767" s="82">
        <v>114640</v>
      </c>
      <c r="R767" s="12" t="s">
        <v>25</v>
      </c>
      <c r="S767" s="12" t="s">
        <v>25</v>
      </c>
      <c r="T767" s="12" t="s">
        <v>25</v>
      </c>
    </row>
    <row r="768" spans="1:20" x14ac:dyDescent="0.3">
      <c r="A768" s="13">
        <v>43921.708333333336</v>
      </c>
      <c r="B768" s="12" t="s">
        <v>22</v>
      </c>
      <c r="C768" s="82">
        <v>11</v>
      </c>
      <c r="D768" s="12" t="s">
        <v>51</v>
      </c>
      <c r="E768" s="82">
        <v>4361675973</v>
      </c>
      <c r="F768" s="82">
        <v>135188753</v>
      </c>
      <c r="G768" s="82">
        <v>946</v>
      </c>
      <c r="H768" s="82">
        <v>169</v>
      </c>
      <c r="I768" s="82">
        <v>1115</v>
      </c>
      <c r="J768" s="82">
        <v>2237</v>
      </c>
      <c r="K768" s="82">
        <v>3352</v>
      </c>
      <c r="L768" s="82">
        <v>101</v>
      </c>
      <c r="M768" s="82">
        <v>141</v>
      </c>
      <c r="N768" s="82">
        <v>21</v>
      </c>
      <c r="O768" s="82">
        <v>452</v>
      </c>
      <c r="P768" s="82">
        <v>3825</v>
      </c>
      <c r="Q768" s="82">
        <v>11724</v>
      </c>
      <c r="R768" s="12" t="s">
        <v>25</v>
      </c>
      <c r="S768" s="12" t="s">
        <v>25</v>
      </c>
      <c r="T768" s="12" t="s">
        <v>25</v>
      </c>
    </row>
    <row r="769" spans="1:20" x14ac:dyDescent="0.3">
      <c r="A769" s="13">
        <v>43921.708333333336</v>
      </c>
      <c r="B769" s="12" t="s">
        <v>22</v>
      </c>
      <c r="C769" s="82">
        <v>14</v>
      </c>
      <c r="D769" s="12" t="s">
        <v>52</v>
      </c>
      <c r="E769" s="82">
        <v>4155774754</v>
      </c>
      <c r="F769" s="82">
        <v>1465916051</v>
      </c>
      <c r="G769" s="82">
        <v>29</v>
      </c>
      <c r="H769" s="82">
        <v>8</v>
      </c>
      <c r="I769" s="82">
        <v>37</v>
      </c>
      <c r="J769" s="82">
        <v>80</v>
      </c>
      <c r="K769" s="82">
        <v>117</v>
      </c>
      <c r="L769" s="82">
        <v>10</v>
      </c>
      <c r="M769" s="82">
        <v>10</v>
      </c>
      <c r="N769" s="82">
        <v>18</v>
      </c>
      <c r="O769" s="82">
        <v>9</v>
      </c>
      <c r="P769" s="82">
        <v>144</v>
      </c>
      <c r="Q769" s="82">
        <v>1049</v>
      </c>
      <c r="R769" s="12" t="s">
        <v>25</v>
      </c>
      <c r="S769" s="12" t="s">
        <v>25</v>
      </c>
      <c r="T769" s="12" t="s">
        <v>25</v>
      </c>
    </row>
    <row r="770" spans="1:20" x14ac:dyDescent="0.3">
      <c r="A770" s="13">
        <v>43921.708333333336</v>
      </c>
      <c r="B770" s="12" t="s">
        <v>22</v>
      </c>
      <c r="C770" s="82">
        <v>1</v>
      </c>
      <c r="D770" s="12" t="s">
        <v>53</v>
      </c>
      <c r="E770" s="82">
        <v>450732745</v>
      </c>
      <c r="F770" s="82">
        <v>7680687483</v>
      </c>
      <c r="G770" s="82">
        <v>3174</v>
      </c>
      <c r="H770" s="82">
        <v>452</v>
      </c>
      <c r="I770" s="82">
        <v>3626</v>
      </c>
      <c r="J770" s="82">
        <v>4456</v>
      </c>
      <c r="K770" s="82">
        <v>8082</v>
      </c>
      <c r="L770" s="82">
        <v>427</v>
      </c>
      <c r="M770" s="82">
        <v>589</v>
      </c>
      <c r="N770" s="82">
        <v>365</v>
      </c>
      <c r="O770" s="82">
        <v>854</v>
      </c>
      <c r="P770" s="82">
        <v>9301</v>
      </c>
      <c r="Q770" s="82">
        <v>27658</v>
      </c>
      <c r="R770" s="12" t="s">
        <v>25</v>
      </c>
      <c r="S770" s="12" t="s">
        <v>25</v>
      </c>
      <c r="T770" s="12" t="s">
        <v>25</v>
      </c>
    </row>
    <row r="771" spans="1:20" x14ac:dyDescent="0.3">
      <c r="A771" s="13">
        <v>43921.708333333336</v>
      </c>
      <c r="B771" s="12" t="s">
        <v>22</v>
      </c>
      <c r="C771" s="82">
        <v>16</v>
      </c>
      <c r="D771" s="12" t="s">
        <v>54</v>
      </c>
      <c r="E771" s="82">
        <v>4112559576</v>
      </c>
      <c r="F771" s="82">
        <v>1686736689</v>
      </c>
      <c r="G771" s="82">
        <v>609</v>
      </c>
      <c r="H771" s="82">
        <v>105</v>
      </c>
      <c r="I771" s="82">
        <v>714</v>
      </c>
      <c r="J771" s="82">
        <v>940</v>
      </c>
      <c r="K771" s="82">
        <v>1654</v>
      </c>
      <c r="L771" s="82">
        <v>69</v>
      </c>
      <c r="M771" s="82">
        <v>91</v>
      </c>
      <c r="N771" s="82">
        <v>39</v>
      </c>
      <c r="O771" s="82">
        <v>110</v>
      </c>
      <c r="P771" s="82">
        <v>1803</v>
      </c>
      <c r="Q771" s="82">
        <v>14073</v>
      </c>
      <c r="R771" s="12" t="s">
        <v>25</v>
      </c>
      <c r="S771" s="12" t="s">
        <v>25</v>
      </c>
      <c r="T771" s="12" t="s">
        <v>25</v>
      </c>
    </row>
    <row r="772" spans="1:20" x14ac:dyDescent="0.3">
      <c r="A772" s="13">
        <v>43921.708333333336</v>
      </c>
      <c r="B772" s="12" t="s">
        <v>22</v>
      </c>
      <c r="C772" s="82">
        <v>20</v>
      </c>
      <c r="D772" s="12" t="s">
        <v>55</v>
      </c>
      <c r="E772" s="82">
        <v>3921531192</v>
      </c>
      <c r="F772" s="82">
        <v>9110616306</v>
      </c>
      <c r="G772" s="82">
        <v>113</v>
      </c>
      <c r="H772" s="82">
        <v>28</v>
      </c>
      <c r="I772" s="82">
        <v>141</v>
      </c>
      <c r="J772" s="82">
        <v>516</v>
      </c>
      <c r="K772" s="82">
        <v>657</v>
      </c>
      <c r="L772" s="82">
        <v>35</v>
      </c>
      <c r="M772" s="82">
        <v>40</v>
      </c>
      <c r="N772" s="82">
        <v>34</v>
      </c>
      <c r="O772" s="82">
        <v>31</v>
      </c>
      <c r="P772" s="82">
        <v>722</v>
      </c>
      <c r="Q772" s="82">
        <v>5257</v>
      </c>
      <c r="R772" s="12" t="s">
        <v>25</v>
      </c>
      <c r="S772" s="12" t="s">
        <v>25</v>
      </c>
      <c r="T772" s="12" t="s">
        <v>25</v>
      </c>
    </row>
    <row r="773" spans="1:20" x14ac:dyDescent="0.3">
      <c r="A773" s="13">
        <v>43921.708333333336</v>
      </c>
      <c r="B773" s="12" t="s">
        <v>22</v>
      </c>
      <c r="C773" s="82">
        <v>19</v>
      </c>
      <c r="D773" s="12" t="s">
        <v>56</v>
      </c>
      <c r="E773" s="82">
        <v>3811569725</v>
      </c>
      <c r="F773" s="82">
        <v>133623567</v>
      </c>
      <c r="G773" s="82">
        <v>503</v>
      </c>
      <c r="H773" s="82">
        <v>72</v>
      </c>
      <c r="I773" s="82">
        <v>575</v>
      </c>
      <c r="J773" s="82">
        <v>917</v>
      </c>
      <c r="K773" s="82">
        <v>1492</v>
      </c>
      <c r="L773" s="82">
        <v>84</v>
      </c>
      <c r="M773" s="82">
        <v>92</v>
      </c>
      <c r="N773" s="82">
        <v>74</v>
      </c>
      <c r="O773" s="82">
        <v>81</v>
      </c>
      <c r="P773" s="82">
        <v>1647</v>
      </c>
      <c r="Q773" s="82">
        <v>15634</v>
      </c>
      <c r="R773" s="12" t="s">
        <v>25</v>
      </c>
      <c r="S773" s="12" t="s">
        <v>25</v>
      </c>
      <c r="T773" s="12" t="s">
        <v>25</v>
      </c>
    </row>
    <row r="774" spans="1:20" x14ac:dyDescent="0.3">
      <c r="A774" s="13">
        <v>43921.708333333336</v>
      </c>
      <c r="B774" s="12" t="s">
        <v>22</v>
      </c>
      <c r="C774" s="82">
        <v>9</v>
      </c>
      <c r="D774" s="12" t="s">
        <v>57</v>
      </c>
      <c r="E774" s="82">
        <v>4376923077</v>
      </c>
      <c r="F774" s="82">
        <v>1125588885</v>
      </c>
      <c r="G774" s="82">
        <v>1120</v>
      </c>
      <c r="H774" s="82">
        <v>293</v>
      </c>
      <c r="I774" s="82">
        <v>1413</v>
      </c>
      <c r="J774" s="82">
        <v>2813</v>
      </c>
      <c r="K774" s="82">
        <v>4226</v>
      </c>
      <c r="L774" s="82">
        <v>176</v>
      </c>
      <c r="M774" s="82">
        <v>196</v>
      </c>
      <c r="N774" s="82">
        <v>138</v>
      </c>
      <c r="O774" s="82">
        <v>244</v>
      </c>
      <c r="P774" s="82">
        <v>4608</v>
      </c>
      <c r="Q774" s="82">
        <v>33165</v>
      </c>
      <c r="R774" s="12" t="s">
        <v>25</v>
      </c>
      <c r="S774" s="12" t="s">
        <v>25</v>
      </c>
      <c r="T774" s="12" t="s">
        <v>25</v>
      </c>
    </row>
    <row r="775" spans="1:20" x14ac:dyDescent="0.3">
      <c r="A775" s="13">
        <v>43921.708333333336</v>
      </c>
      <c r="B775" s="12" t="s">
        <v>22</v>
      </c>
      <c r="C775" s="82">
        <v>4</v>
      </c>
      <c r="D775" s="12" t="s">
        <v>58</v>
      </c>
      <c r="E775" s="82">
        <v>4606893511</v>
      </c>
      <c r="F775" s="82">
        <v>1112123097</v>
      </c>
      <c r="G775" s="82">
        <v>354</v>
      </c>
      <c r="H775" s="82">
        <v>80</v>
      </c>
      <c r="I775" s="82">
        <v>434</v>
      </c>
      <c r="J775" s="82">
        <v>955</v>
      </c>
      <c r="K775" s="82">
        <v>1389</v>
      </c>
      <c r="L775" s="82">
        <v>32</v>
      </c>
      <c r="M775" s="82">
        <v>64</v>
      </c>
      <c r="N775" s="82">
        <v>193</v>
      </c>
      <c r="O775" s="82">
        <v>164</v>
      </c>
      <c r="P775" s="82">
        <v>1746</v>
      </c>
      <c r="Q775" s="82">
        <v>6973</v>
      </c>
      <c r="R775" s="12" t="s">
        <v>25</v>
      </c>
      <c r="S775" s="12" t="s">
        <v>25</v>
      </c>
      <c r="T775" s="12" t="s">
        <v>25</v>
      </c>
    </row>
    <row r="776" spans="1:20" x14ac:dyDescent="0.3">
      <c r="A776" s="13">
        <v>43921.708333333336</v>
      </c>
      <c r="B776" s="12" t="s">
        <v>22</v>
      </c>
      <c r="C776" s="82">
        <v>10</v>
      </c>
      <c r="D776" s="12" t="s">
        <v>59</v>
      </c>
      <c r="E776" s="82">
        <v>4310675841</v>
      </c>
      <c r="F776" s="82">
        <v>1238824698</v>
      </c>
      <c r="G776" s="82">
        <v>176</v>
      </c>
      <c r="H776" s="82">
        <v>43</v>
      </c>
      <c r="I776" s="82">
        <v>219</v>
      </c>
      <c r="J776" s="82">
        <v>632</v>
      </c>
      <c r="K776" s="82">
        <v>851</v>
      </c>
      <c r="L776" s="82">
        <v>17</v>
      </c>
      <c r="M776" s="82">
        <v>27</v>
      </c>
      <c r="N776" s="82">
        <v>190</v>
      </c>
      <c r="O776" s="82">
        <v>37</v>
      </c>
      <c r="P776" s="82">
        <v>1078</v>
      </c>
      <c r="Q776" s="82">
        <v>8685</v>
      </c>
      <c r="R776" s="12" t="s">
        <v>25</v>
      </c>
      <c r="S776" s="12" t="s">
        <v>25</v>
      </c>
      <c r="T776" s="12" t="s">
        <v>25</v>
      </c>
    </row>
    <row r="777" spans="1:20" x14ac:dyDescent="0.3">
      <c r="A777" s="13">
        <v>43921.708333333336</v>
      </c>
      <c r="B777" s="12" t="s">
        <v>22</v>
      </c>
      <c r="C777" s="82">
        <v>2</v>
      </c>
      <c r="D777" s="12" t="s">
        <v>60</v>
      </c>
      <c r="E777" s="82">
        <v>4573750286</v>
      </c>
      <c r="F777" s="82">
        <v>7320149366</v>
      </c>
      <c r="G777" s="82">
        <v>91</v>
      </c>
      <c r="H777" s="82">
        <v>26</v>
      </c>
      <c r="I777" s="82">
        <v>117</v>
      </c>
      <c r="J777" s="82">
        <v>435</v>
      </c>
      <c r="K777" s="82">
        <v>552</v>
      </c>
      <c r="L777" s="82">
        <v>34</v>
      </c>
      <c r="M777" s="82">
        <v>44</v>
      </c>
      <c r="N777" s="82">
        <v>20</v>
      </c>
      <c r="O777" s="82">
        <v>56</v>
      </c>
      <c r="P777" s="82">
        <v>628</v>
      </c>
      <c r="Q777" s="82">
        <v>1582</v>
      </c>
      <c r="R777" s="12" t="s">
        <v>25</v>
      </c>
      <c r="S777" s="12" t="s">
        <v>25</v>
      </c>
      <c r="T777" s="12" t="s">
        <v>25</v>
      </c>
    </row>
    <row r="778" spans="1:20" x14ac:dyDescent="0.3">
      <c r="A778" s="13">
        <v>43921.708333333336</v>
      </c>
      <c r="B778" s="12" t="s">
        <v>22</v>
      </c>
      <c r="C778" s="82">
        <v>5</v>
      </c>
      <c r="D778" s="12" t="s">
        <v>61</v>
      </c>
      <c r="E778" s="82">
        <v>4543490485</v>
      </c>
      <c r="F778" s="82">
        <v>1233845213</v>
      </c>
      <c r="G778" s="82">
        <v>1680</v>
      </c>
      <c r="H778" s="82">
        <v>356</v>
      </c>
      <c r="I778" s="82">
        <v>2036</v>
      </c>
      <c r="J778" s="82">
        <v>5814</v>
      </c>
      <c r="K778" s="82">
        <v>7850</v>
      </c>
      <c r="L778" s="82">
        <v>286</v>
      </c>
      <c r="M778" s="82">
        <v>431</v>
      </c>
      <c r="N778" s="82">
        <v>828</v>
      </c>
      <c r="O778" s="82">
        <v>477</v>
      </c>
      <c r="P778" s="82">
        <v>9155</v>
      </c>
      <c r="Q778" s="82">
        <v>106238</v>
      </c>
      <c r="R778" s="12" t="s">
        <v>25</v>
      </c>
      <c r="S778" s="12" t="s">
        <v>25</v>
      </c>
      <c r="T778" s="12" t="s">
        <v>25</v>
      </c>
    </row>
    <row r="779" spans="1:20" x14ac:dyDescent="0.3">
      <c r="A779" s="13">
        <v>43922.708333333336</v>
      </c>
      <c r="B779" s="12" t="s">
        <v>22</v>
      </c>
      <c r="C779" s="82">
        <v>13</v>
      </c>
      <c r="D779" s="12" t="s">
        <v>42</v>
      </c>
      <c r="E779" s="82">
        <v>4235122196</v>
      </c>
      <c r="F779" s="82">
        <v>1339843823</v>
      </c>
      <c r="G779" s="82">
        <v>342</v>
      </c>
      <c r="H779" s="82">
        <v>71</v>
      </c>
      <c r="I779" s="82">
        <v>413</v>
      </c>
      <c r="J779" s="82">
        <v>798</v>
      </c>
      <c r="K779" s="82">
        <v>1211</v>
      </c>
      <c r="L779" s="82">
        <v>20</v>
      </c>
      <c r="M779" s="82">
        <v>35</v>
      </c>
      <c r="N779" s="82">
        <v>102</v>
      </c>
      <c r="O779" s="82">
        <v>123</v>
      </c>
      <c r="P779" s="82">
        <v>1436</v>
      </c>
      <c r="Q779" s="82">
        <v>9610</v>
      </c>
      <c r="R779" s="12" t="s">
        <v>25</v>
      </c>
      <c r="S779" s="12" t="s">
        <v>25</v>
      </c>
      <c r="T779" s="12" t="s">
        <v>25</v>
      </c>
    </row>
    <row r="780" spans="1:20" x14ac:dyDescent="0.3">
      <c r="A780" s="13">
        <v>43922.708333333336</v>
      </c>
      <c r="B780" s="12" t="s">
        <v>22</v>
      </c>
      <c r="C780" s="82">
        <v>17</v>
      </c>
      <c r="D780" s="12" t="s">
        <v>43</v>
      </c>
      <c r="E780" s="82">
        <v>4063947052</v>
      </c>
      <c r="F780" s="82">
        <v>1580514834</v>
      </c>
      <c r="G780" s="82">
        <v>39</v>
      </c>
      <c r="H780" s="82">
        <v>15</v>
      </c>
      <c r="I780" s="82">
        <v>54</v>
      </c>
      <c r="J780" s="82">
        <v>171</v>
      </c>
      <c r="K780" s="82">
        <v>225</v>
      </c>
      <c r="L780" s="82">
        <v>9</v>
      </c>
      <c r="M780" s="82">
        <v>11</v>
      </c>
      <c r="N780" s="82">
        <v>3</v>
      </c>
      <c r="O780" s="82">
        <v>9</v>
      </c>
      <c r="P780" s="82">
        <v>237</v>
      </c>
      <c r="Q780" s="82">
        <v>2262</v>
      </c>
      <c r="R780" s="12" t="s">
        <v>25</v>
      </c>
      <c r="S780" s="12" t="s">
        <v>25</v>
      </c>
      <c r="T780" s="12" t="s">
        <v>25</v>
      </c>
    </row>
    <row r="781" spans="1:20" x14ac:dyDescent="0.3">
      <c r="A781" s="13">
        <v>43922.708333333336</v>
      </c>
      <c r="B781" s="12" t="s">
        <v>22</v>
      </c>
      <c r="C781" s="82">
        <v>4</v>
      </c>
      <c r="D781" s="12" t="s">
        <v>44</v>
      </c>
      <c r="E781" s="82">
        <v>4649933453</v>
      </c>
      <c r="F781" s="82">
        <v>1135662422</v>
      </c>
      <c r="G781" s="82">
        <v>269</v>
      </c>
      <c r="H781" s="82">
        <v>57</v>
      </c>
      <c r="I781" s="82">
        <v>326</v>
      </c>
      <c r="J781" s="82">
        <v>786</v>
      </c>
      <c r="K781" s="82">
        <v>1112</v>
      </c>
      <c r="L781" s="82">
        <v>-30</v>
      </c>
      <c r="M781" s="82">
        <v>47</v>
      </c>
      <c r="N781" s="82">
        <v>190</v>
      </c>
      <c r="O781" s="82">
        <v>116</v>
      </c>
      <c r="P781" s="82">
        <v>1418</v>
      </c>
      <c r="Q781" s="82">
        <v>11951</v>
      </c>
      <c r="R781" s="12" t="s">
        <v>25</v>
      </c>
      <c r="S781" s="12" t="s">
        <v>25</v>
      </c>
      <c r="T781" s="12" t="s">
        <v>25</v>
      </c>
    </row>
    <row r="782" spans="1:20" x14ac:dyDescent="0.3">
      <c r="A782" s="13">
        <v>43922.708333333336</v>
      </c>
      <c r="B782" s="12" t="s">
        <v>22</v>
      </c>
      <c r="C782" s="82">
        <v>18</v>
      </c>
      <c r="D782" s="12" t="s">
        <v>45</v>
      </c>
      <c r="E782" s="82">
        <v>3890597598</v>
      </c>
      <c r="F782" s="82">
        <v>1659440194</v>
      </c>
      <c r="G782" s="82">
        <v>144</v>
      </c>
      <c r="H782" s="82">
        <v>16</v>
      </c>
      <c r="I782" s="82">
        <v>160</v>
      </c>
      <c r="J782" s="82">
        <v>450</v>
      </c>
      <c r="K782" s="82">
        <v>610</v>
      </c>
      <c r="L782" s="82">
        <v>4</v>
      </c>
      <c r="M782" s="82">
        <v>10</v>
      </c>
      <c r="N782" s="82">
        <v>21</v>
      </c>
      <c r="O782" s="82">
        <v>38</v>
      </c>
      <c r="P782" s="82">
        <v>669</v>
      </c>
      <c r="Q782" s="82">
        <v>9983</v>
      </c>
      <c r="R782" s="12" t="s">
        <v>25</v>
      </c>
      <c r="S782" s="12" t="s">
        <v>25</v>
      </c>
      <c r="T782" s="12" t="s">
        <v>25</v>
      </c>
    </row>
    <row r="783" spans="1:20" x14ac:dyDescent="0.3">
      <c r="A783" s="13">
        <v>43922.708333333336</v>
      </c>
      <c r="B783" s="12" t="s">
        <v>22</v>
      </c>
      <c r="C783" s="82">
        <v>15</v>
      </c>
      <c r="D783" s="12" t="s">
        <v>46</v>
      </c>
      <c r="E783" s="82">
        <v>4083956555</v>
      </c>
      <c r="F783" s="82">
        <v>1425084984</v>
      </c>
      <c r="G783" s="82">
        <v>478</v>
      </c>
      <c r="H783" s="82">
        <v>129</v>
      </c>
      <c r="I783" s="82">
        <v>607</v>
      </c>
      <c r="J783" s="82">
        <v>1369</v>
      </c>
      <c r="K783" s="82">
        <v>1976</v>
      </c>
      <c r="L783" s="82">
        <v>105</v>
      </c>
      <c r="M783" s="82">
        <v>139</v>
      </c>
      <c r="N783" s="82">
        <v>107</v>
      </c>
      <c r="O783" s="82">
        <v>148</v>
      </c>
      <c r="P783" s="82">
        <v>2231</v>
      </c>
      <c r="Q783" s="82">
        <v>15728</v>
      </c>
      <c r="R783" s="12" t="s">
        <v>25</v>
      </c>
      <c r="S783" s="12" t="s">
        <v>25</v>
      </c>
      <c r="T783" s="12" t="s">
        <v>25</v>
      </c>
    </row>
    <row r="784" spans="1:20" x14ac:dyDescent="0.3">
      <c r="A784" s="13">
        <v>43922.708333333336</v>
      </c>
      <c r="B784" s="12" t="s">
        <v>22</v>
      </c>
      <c r="C784" s="82">
        <v>8</v>
      </c>
      <c r="D784" s="12" t="s">
        <v>95</v>
      </c>
      <c r="E784" s="82">
        <v>4449436681</v>
      </c>
      <c r="F784" s="82">
        <v>113417208</v>
      </c>
      <c r="G784" s="82">
        <v>3898</v>
      </c>
      <c r="H784" s="82">
        <v>359</v>
      </c>
      <c r="I784" s="82">
        <v>4257</v>
      </c>
      <c r="J784" s="82">
        <v>7232</v>
      </c>
      <c r="K784" s="82">
        <v>11489</v>
      </c>
      <c r="L784" s="82">
        <v>536</v>
      </c>
      <c r="M784" s="82">
        <v>713</v>
      </c>
      <c r="N784" s="82">
        <v>1566</v>
      </c>
      <c r="O784" s="82">
        <v>1732</v>
      </c>
      <c r="P784" s="82">
        <v>14787</v>
      </c>
      <c r="Q784" s="82">
        <v>58457</v>
      </c>
      <c r="R784" s="12" t="s">
        <v>25</v>
      </c>
      <c r="S784" s="12" t="s">
        <v>25</v>
      </c>
      <c r="T784" s="12" t="s">
        <v>25</v>
      </c>
    </row>
    <row r="785" spans="1:20" x14ac:dyDescent="0.3">
      <c r="A785" s="13">
        <v>43922.708333333336</v>
      </c>
      <c r="B785" s="12" t="s">
        <v>22</v>
      </c>
      <c r="C785" s="82">
        <v>6</v>
      </c>
      <c r="D785" s="12" t="s">
        <v>47</v>
      </c>
      <c r="E785" s="82">
        <v>456494354</v>
      </c>
      <c r="F785" s="82">
        <v>1376813649</v>
      </c>
      <c r="G785" s="82">
        <v>206</v>
      </c>
      <c r="H785" s="82">
        <v>60</v>
      </c>
      <c r="I785" s="82">
        <v>266</v>
      </c>
      <c r="J785" s="82">
        <v>940</v>
      </c>
      <c r="K785" s="82">
        <v>1206</v>
      </c>
      <c r="L785" s="82">
        <v>46</v>
      </c>
      <c r="M785" s="82">
        <v>92</v>
      </c>
      <c r="N785" s="82">
        <v>357</v>
      </c>
      <c r="O785" s="82">
        <v>122</v>
      </c>
      <c r="P785" s="82">
        <v>1685</v>
      </c>
      <c r="Q785" s="82">
        <v>15987</v>
      </c>
      <c r="R785" s="12" t="s">
        <v>25</v>
      </c>
      <c r="S785" s="12" t="s">
        <v>25</v>
      </c>
      <c r="T785" s="12" t="s">
        <v>25</v>
      </c>
    </row>
    <row r="786" spans="1:20" x14ac:dyDescent="0.3">
      <c r="A786" s="13">
        <v>43922.708333333336</v>
      </c>
      <c r="B786" s="12" t="s">
        <v>22</v>
      </c>
      <c r="C786" s="82">
        <v>12</v>
      </c>
      <c r="D786" s="12" t="s">
        <v>48</v>
      </c>
      <c r="E786" s="82">
        <v>4189277044</v>
      </c>
      <c r="F786" s="82">
        <v>1248366722</v>
      </c>
      <c r="G786" s="82">
        <v>1131</v>
      </c>
      <c r="H786" s="82">
        <v>177</v>
      </c>
      <c r="I786" s="82">
        <v>1308</v>
      </c>
      <c r="J786" s="82">
        <v>1450</v>
      </c>
      <c r="K786" s="82">
        <v>2758</v>
      </c>
      <c r="L786" s="82">
        <v>116</v>
      </c>
      <c r="M786" s="82">
        <v>169</v>
      </c>
      <c r="N786" s="82">
        <v>337</v>
      </c>
      <c r="O786" s="82">
        <v>169</v>
      </c>
      <c r="P786" s="82">
        <v>3264</v>
      </c>
      <c r="Q786" s="82">
        <v>35810</v>
      </c>
      <c r="R786" s="12" t="s">
        <v>25</v>
      </c>
      <c r="S786" s="12" t="s">
        <v>25</v>
      </c>
      <c r="T786" s="12" t="s">
        <v>25</v>
      </c>
    </row>
    <row r="787" spans="1:20" x14ac:dyDescent="0.3">
      <c r="A787" s="13">
        <v>43922.708333333336</v>
      </c>
      <c r="B787" s="12" t="s">
        <v>22</v>
      </c>
      <c r="C787" s="82">
        <v>7</v>
      </c>
      <c r="D787" s="12" t="s">
        <v>49</v>
      </c>
      <c r="E787" s="82">
        <v>4441149315</v>
      </c>
      <c r="F787" s="82">
        <v>89326992</v>
      </c>
      <c r="G787" s="82">
        <v>1114</v>
      </c>
      <c r="H787" s="82">
        <v>179</v>
      </c>
      <c r="I787" s="82">
        <v>1293</v>
      </c>
      <c r="J787" s="82">
        <v>1352</v>
      </c>
      <c r="K787" s="82">
        <v>2645</v>
      </c>
      <c r="L787" s="82">
        <v>137</v>
      </c>
      <c r="M787" s="82">
        <v>244</v>
      </c>
      <c r="N787" s="82">
        <v>555</v>
      </c>
      <c r="O787" s="82">
        <v>460</v>
      </c>
      <c r="P787" s="82">
        <v>3660</v>
      </c>
      <c r="Q787" s="82">
        <v>11334</v>
      </c>
      <c r="R787" s="12" t="s">
        <v>25</v>
      </c>
      <c r="S787" s="12" t="s">
        <v>25</v>
      </c>
      <c r="T787" s="12" t="s">
        <v>25</v>
      </c>
    </row>
    <row r="788" spans="1:20" x14ac:dyDescent="0.3">
      <c r="A788" s="13">
        <v>43922.708333333336</v>
      </c>
      <c r="B788" s="12" t="s">
        <v>22</v>
      </c>
      <c r="C788" s="82">
        <v>3</v>
      </c>
      <c r="D788" s="12" t="s">
        <v>50</v>
      </c>
      <c r="E788" s="82">
        <v>4546679409</v>
      </c>
      <c r="F788" s="82">
        <v>9190347404</v>
      </c>
      <c r="G788" s="82">
        <v>11927</v>
      </c>
      <c r="H788" s="82">
        <v>1342</v>
      </c>
      <c r="I788" s="82">
        <v>13269</v>
      </c>
      <c r="J788" s="82">
        <v>12496</v>
      </c>
      <c r="K788" s="82">
        <v>25765</v>
      </c>
      <c r="L788" s="82">
        <v>641</v>
      </c>
      <c r="M788" s="82">
        <v>1565</v>
      </c>
      <c r="N788" s="82">
        <v>11415</v>
      </c>
      <c r="O788" s="82">
        <v>7593</v>
      </c>
      <c r="P788" s="82">
        <v>44773</v>
      </c>
      <c r="Q788" s="82">
        <v>121449</v>
      </c>
      <c r="R788" s="12" t="s">
        <v>25</v>
      </c>
      <c r="S788" s="12" t="s">
        <v>25</v>
      </c>
      <c r="T788" s="12" t="s">
        <v>25</v>
      </c>
    </row>
    <row r="789" spans="1:20" x14ac:dyDescent="0.3">
      <c r="A789" s="13">
        <v>43922.708333333336</v>
      </c>
      <c r="B789" s="12" t="s">
        <v>22</v>
      </c>
      <c r="C789" s="82">
        <v>11</v>
      </c>
      <c r="D789" s="12" t="s">
        <v>51</v>
      </c>
      <c r="E789" s="82">
        <v>4361675973</v>
      </c>
      <c r="F789" s="82">
        <v>135188753</v>
      </c>
      <c r="G789" s="82">
        <v>984</v>
      </c>
      <c r="H789" s="82">
        <v>168</v>
      </c>
      <c r="I789" s="82">
        <v>1152</v>
      </c>
      <c r="J789" s="82">
        <v>2304</v>
      </c>
      <c r="K789" s="82">
        <v>3456</v>
      </c>
      <c r="L789" s="82">
        <v>104</v>
      </c>
      <c r="M789" s="82">
        <v>137</v>
      </c>
      <c r="N789" s="82">
        <v>29</v>
      </c>
      <c r="O789" s="82">
        <v>477</v>
      </c>
      <c r="P789" s="82">
        <v>3962</v>
      </c>
      <c r="Q789" s="82">
        <v>12296</v>
      </c>
      <c r="R789" s="12" t="s">
        <v>25</v>
      </c>
      <c r="S789" s="12" t="s">
        <v>25</v>
      </c>
      <c r="T789" s="12" t="s">
        <v>25</v>
      </c>
    </row>
    <row r="790" spans="1:20" x14ac:dyDescent="0.3">
      <c r="A790" s="13">
        <v>43922.708333333336</v>
      </c>
      <c r="B790" s="12" t="s">
        <v>22</v>
      </c>
      <c r="C790" s="82">
        <v>14</v>
      </c>
      <c r="D790" s="12" t="s">
        <v>52</v>
      </c>
      <c r="E790" s="82">
        <v>4155774754</v>
      </c>
      <c r="F790" s="82">
        <v>1465916051</v>
      </c>
      <c r="G790" s="82">
        <v>32</v>
      </c>
      <c r="H790" s="82">
        <v>8</v>
      </c>
      <c r="I790" s="82">
        <v>40</v>
      </c>
      <c r="J790" s="82">
        <v>91</v>
      </c>
      <c r="K790" s="82">
        <v>131</v>
      </c>
      <c r="L790" s="82">
        <v>14</v>
      </c>
      <c r="M790" s="82">
        <v>16</v>
      </c>
      <c r="N790" s="82">
        <v>19</v>
      </c>
      <c r="O790" s="82">
        <v>10</v>
      </c>
      <c r="P790" s="82">
        <v>160</v>
      </c>
      <c r="Q790" s="82">
        <v>1157</v>
      </c>
      <c r="R790" s="12" t="s">
        <v>25</v>
      </c>
      <c r="S790" s="12" t="s">
        <v>25</v>
      </c>
      <c r="T790" s="12" t="s">
        <v>25</v>
      </c>
    </row>
    <row r="791" spans="1:20" x14ac:dyDescent="0.3">
      <c r="A791" s="13">
        <v>43922.708333333336</v>
      </c>
      <c r="B791" s="12" t="s">
        <v>22</v>
      </c>
      <c r="C791" s="82">
        <v>1</v>
      </c>
      <c r="D791" s="12" t="s">
        <v>53</v>
      </c>
      <c r="E791" s="82">
        <v>450732745</v>
      </c>
      <c r="F791" s="82">
        <v>7680687483</v>
      </c>
      <c r="G791" s="82">
        <v>3146</v>
      </c>
      <c r="H791" s="82">
        <v>453</v>
      </c>
      <c r="I791" s="82">
        <v>3599</v>
      </c>
      <c r="J791" s="82">
        <v>4871</v>
      </c>
      <c r="K791" s="82">
        <v>8470</v>
      </c>
      <c r="L791" s="82">
        <v>388</v>
      </c>
      <c r="M791" s="82">
        <v>494</v>
      </c>
      <c r="N791" s="82">
        <v>439</v>
      </c>
      <c r="O791" s="82">
        <v>886</v>
      </c>
      <c r="P791" s="82">
        <v>9795</v>
      </c>
      <c r="Q791" s="82">
        <v>30060</v>
      </c>
      <c r="R791" s="12" t="s">
        <v>25</v>
      </c>
      <c r="S791" s="12" t="s">
        <v>25</v>
      </c>
      <c r="T791" s="12" t="s">
        <v>25</v>
      </c>
    </row>
    <row r="792" spans="1:20" x14ac:dyDescent="0.3">
      <c r="A792" s="13">
        <v>43922.708333333336</v>
      </c>
      <c r="B792" s="12" t="s">
        <v>22</v>
      </c>
      <c r="C792" s="82">
        <v>16</v>
      </c>
      <c r="D792" s="12" t="s">
        <v>54</v>
      </c>
      <c r="E792" s="82">
        <v>4112559576</v>
      </c>
      <c r="F792" s="82">
        <v>1686736689</v>
      </c>
      <c r="G792" s="82">
        <v>637</v>
      </c>
      <c r="H792" s="82">
        <v>107</v>
      </c>
      <c r="I792" s="82">
        <v>744</v>
      </c>
      <c r="J792" s="82">
        <v>1012</v>
      </c>
      <c r="K792" s="82">
        <v>1756</v>
      </c>
      <c r="L792" s="82">
        <v>102</v>
      </c>
      <c r="M792" s="82">
        <v>143</v>
      </c>
      <c r="N792" s="82">
        <v>61</v>
      </c>
      <c r="O792" s="82">
        <v>129</v>
      </c>
      <c r="P792" s="82">
        <v>1946</v>
      </c>
      <c r="Q792" s="82">
        <v>15209</v>
      </c>
      <c r="R792" s="12" t="s">
        <v>25</v>
      </c>
      <c r="S792" s="12" t="s">
        <v>25</v>
      </c>
      <c r="T792" s="12" t="s">
        <v>25</v>
      </c>
    </row>
    <row r="793" spans="1:20" x14ac:dyDescent="0.3">
      <c r="A793" s="13">
        <v>43922.708333333336</v>
      </c>
      <c r="B793" s="12" t="s">
        <v>22</v>
      </c>
      <c r="C793" s="82">
        <v>20</v>
      </c>
      <c r="D793" s="12" t="s">
        <v>55</v>
      </c>
      <c r="E793" s="82">
        <v>3921531192</v>
      </c>
      <c r="F793" s="82">
        <v>9110616306</v>
      </c>
      <c r="G793" s="82">
        <v>119</v>
      </c>
      <c r="H793" s="82">
        <v>27</v>
      </c>
      <c r="I793" s="82">
        <v>146</v>
      </c>
      <c r="J793" s="82">
        <v>529</v>
      </c>
      <c r="K793" s="82">
        <v>675</v>
      </c>
      <c r="L793" s="82">
        <v>18</v>
      </c>
      <c r="M793" s="82">
        <v>23</v>
      </c>
      <c r="N793" s="82">
        <v>36</v>
      </c>
      <c r="O793" s="82">
        <v>34</v>
      </c>
      <c r="P793" s="82">
        <v>745</v>
      </c>
      <c r="Q793" s="82">
        <v>5501</v>
      </c>
      <c r="R793" s="12" t="s">
        <v>25</v>
      </c>
      <c r="S793" s="12" t="s">
        <v>25</v>
      </c>
      <c r="T793" s="12" t="s">
        <v>25</v>
      </c>
    </row>
    <row r="794" spans="1:20" x14ac:dyDescent="0.3">
      <c r="A794" s="13">
        <v>43922.708333333336</v>
      </c>
      <c r="B794" s="12" t="s">
        <v>22</v>
      </c>
      <c r="C794" s="82">
        <v>19</v>
      </c>
      <c r="D794" s="12" t="s">
        <v>56</v>
      </c>
      <c r="E794" s="82">
        <v>3811569725</v>
      </c>
      <c r="F794" s="82">
        <v>133623567</v>
      </c>
      <c r="G794" s="82">
        <v>496</v>
      </c>
      <c r="H794" s="82">
        <v>72</v>
      </c>
      <c r="I794" s="82">
        <v>568</v>
      </c>
      <c r="J794" s="82">
        <v>976</v>
      </c>
      <c r="K794" s="82">
        <v>1544</v>
      </c>
      <c r="L794" s="82">
        <v>52</v>
      </c>
      <c r="M794" s="82">
        <v>71</v>
      </c>
      <c r="N794" s="82">
        <v>86</v>
      </c>
      <c r="O794" s="82">
        <v>88</v>
      </c>
      <c r="P794" s="82">
        <v>1718</v>
      </c>
      <c r="Q794" s="82">
        <v>16836</v>
      </c>
      <c r="R794" s="12" t="s">
        <v>25</v>
      </c>
      <c r="S794" s="12" t="s">
        <v>25</v>
      </c>
      <c r="T794" s="12" t="s">
        <v>25</v>
      </c>
    </row>
    <row r="795" spans="1:20" x14ac:dyDescent="0.3">
      <c r="A795" s="13">
        <v>43922.708333333336</v>
      </c>
      <c r="B795" s="12" t="s">
        <v>22</v>
      </c>
      <c r="C795" s="82">
        <v>9</v>
      </c>
      <c r="D795" s="12" t="s">
        <v>57</v>
      </c>
      <c r="E795" s="82">
        <v>4376923077</v>
      </c>
      <c r="F795" s="82">
        <v>1125588885</v>
      </c>
      <c r="G795" s="82">
        <v>1120</v>
      </c>
      <c r="H795" s="82">
        <v>297</v>
      </c>
      <c r="I795" s="82">
        <v>1417</v>
      </c>
      <c r="J795" s="82">
        <v>3015</v>
      </c>
      <c r="K795" s="82">
        <v>4432</v>
      </c>
      <c r="L795" s="82">
        <v>206</v>
      </c>
      <c r="M795" s="82">
        <v>259</v>
      </c>
      <c r="N795" s="82">
        <v>182</v>
      </c>
      <c r="O795" s="82">
        <v>253</v>
      </c>
      <c r="P795" s="82">
        <v>4867</v>
      </c>
      <c r="Q795" s="82">
        <v>36575</v>
      </c>
      <c r="R795" s="12" t="s">
        <v>25</v>
      </c>
      <c r="S795" s="12" t="s">
        <v>25</v>
      </c>
      <c r="T795" s="12" t="s">
        <v>25</v>
      </c>
    </row>
    <row r="796" spans="1:20" x14ac:dyDescent="0.3">
      <c r="A796" s="13">
        <v>43922.708333333336</v>
      </c>
      <c r="B796" s="12" t="s">
        <v>22</v>
      </c>
      <c r="C796" s="82">
        <v>4</v>
      </c>
      <c r="D796" s="12" t="s">
        <v>58</v>
      </c>
      <c r="E796" s="82">
        <v>4606893511</v>
      </c>
      <c r="F796" s="82">
        <v>1112123097</v>
      </c>
      <c r="G796" s="82">
        <v>345</v>
      </c>
      <c r="H796" s="82">
        <v>76</v>
      </c>
      <c r="I796" s="82">
        <v>421</v>
      </c>
      <c r="J796" s="82">
        <v>1062</v>
      </c>
      <c r="K796" s="82">
        <v>1483</v>
      </c>
      <c r="L796" s="82">
        <v>94</v>
      </c>
      <c r="M796" s="82">
        <v>124</v>
      </c>
      <c r="N796" s="82">
        <v>214</v>
      </c>
      <c r="O796" s="82">
        <v>173</v>
      </c>
      <c r="P796" s="82">
        <v>1870</v>
      </c>
      <c r="Q796" s="82">
        <v>7675</v>
      </c>
      <c r="R796" s="12" t="s">
        <v>25</v>
      </c>
      <c r="S796" s="12" t="s">
        <v>25</v>
      </c>
      <c r="T796" s="12" t="s">
        <v>25</v>
      </c>
    </row>
    <row r="797" spans="1:20" x14ac:dyDescent="0.3">
      <c r="A797" s="13">
        <v>43922.708333333336</v>
      </c>
      <c r="B797" s="12" t="s">
        <v>22</v>
      </c>
      <c r="C797" s="82">
        <v>10</v>
      </c>
      <c r="D797" s="12" t="s">
        <v>59</v>
      </c>
      <c r="E797" s="82">
        <v>4310675841</v>
      </c>
      <c r="F797" s="82">
        <v>1238824698</v>
      </c>
      <c r="G797" s="82">
        <v>173</v>
      </c>
      <c r="H797" s="82">
        <v>45</v>
      </c>
      <c r="I797" s="82">
        <v>218</v>
      </c>
      <c r="J797" s="82">
        <v>646</v>
      </c>
      <c r="K797" s="82">
        <v>864</v>
      </c>
      <c r="L797" s="82">
        <v>13</v>
      </c>
      <c r="M797" s="82">
        <v>17</v>
      </c>
      <c r="N797" s="82">
        <v>194</v>
      </c>
      <c r="O797" s="82">
        <v>37</v>
      </c>
      <c r="P797" s="82">
        <v>1095</v>
      </c>
      <c r="Q797" s="82">
        <v>9080</v>
      </c>
      <c r="R797" s="12" t="s">
        <v>25</v>
      </c>
      <c r="S797" s="12" t="s">
        <v>25</v>
      </c>
      <c r="T797" s="12" t="s">
        <v>25</v>
      </c>
    </row>
    <row r="798" spans="1:20" x14ac:dyDescent="0.3">
      <c r="A798" s="13">
        <v>43922.708333333336</v>
      </c>
      <c r="B798" s="12" t="s">
        <v>22</v>
      </c>
      <c r="C798" s="82">
        <v>2</v>
      </c>
      <c r="D798" s="12" t="s">
        <v>60</v>
      </c>
      <c r="E798" s="82">
        <v>4573750286</v>
      </c>
      <c r="F798" s="82">
        <v>7320149366</v>
      </c>
      <c r="G798" s="82">
        <v>85</v>
      </c>
      <c r="H798" s="82">
        <v>27</v>
      </c>
      <c r="I798" s="82">
        <v>112</v>
      </c>
      <c r="J798" s="82">
        <v>428</v>
      </c>
      <c r="K798" s="82">
        <v>540</v>
      </c>
      <c r="L798" s="82">
        <v>-12</v>
      </c>
      <c r="M798" s="82">
        <v>3</v>
      </c>
      <c r="N798" s="82">
        <v>32</v>
      </c>
      <c r="O798" s="82">
        <v>59</v>
      </c>
      <c r="P798" s="82">
        <v>631</v>
      </c>
      <c r="Q798" s="82">
        <v>1717</v>
      </c>
      <c r="R798" s="12" t="s">
        <v>25</v>
      </c>
      <c r="S798" s="12" t="s">
        <v>25</v>
      </c>
      <c r="T798" s="12" t="s">
        <v>25</v>
      </c>
    </row>
    <row r="799" spans="1:20" x14ac:dyDescent="0.3">
      <c r="A799" s="13">
        <v>43922.708333333336</v>
      </c>
      <c r="B799" s="12" t="s">
        <v>22</v>
      </c>
      <c r="C799" s="82">
        <v>5</v>
      </c>
      <c r="D799" s="12" t="s">
        <v>61</v>
      </c>
      <c r="E799" s="82">
        <v>4543490485</v>
      </c>
      <c r="F799" s="82">
        <v>1233845213</v>
      </c>
      <c r="G799" s="82">
        <v>1718</v>
      </c>
      <c r="H799" s="82">
        <v>350</v>
      </c>
      <c r="I799" s="82">
        <v>2068</v>
      </c>
      <c r="J799" s="82">
        <v>6156</v>
      </c>
      <c r="K799" s="82">
        <v>8224</v>
      </c>
      <c r="L799" s="82">
        <v>374</v>
      </c>
      <c r="M799" s="82">
        <v>470</v>
      </c>
      <c r="N799" s="82">
        <v>902</v>
      </c>
      <c r="O799" s="82">
        <v>499</v>
      </c>
      <c r="P799" s="82">
        <v>9625</v>
      </c>
      <c r="Q799" s="82">
        <v>112746</v>
      </c>
      <c r="R799" s="12" t="s">
        <v>25</v>
      </c>
      <c r="S799" s="12" t="s">
        <v>25</v>
      </c>
      <c r="T799" s="12" t="s">
        <v>25</v>
      </c>
    </row>
    <row r="800" spans="1:20" x14ac:dyDescent="0.3">
      <c r="A800" s="13">
        <v>43923.708333333336</v>
      </c>
      <c r="B800" s="12" t="s">
        <v>22</v>
      </c>
      <c r="C800" s="82">
        <v>13</v>
      </c>
      <c r="D800" s="12" t="s">
        <v>42</v>
      </c>
      <c r="E800" s="82">
        <v>4235122196</v>
      </c>
      <c r="F800" s="82">
        <v>1339843823</v>
      </c>
      <c r="G800" s="82">
        <v>341</v>
      </c>
      <c r="H800" s="82">
        <v>75</v>
      </c>
      <c r="I800" s="82">
        <v>416</v>
      </c>
      <c r="J800" s="82">
        <v>835</v>
      </c>
      <c r="K800" s="82">
        <v>1251</v>
      </c>
      <c r="L800" s="82">
        <v>40</v>
      </c>
      <c r="M800" s="82">
        <v>61</v>
      </c>
      <c r="N800" s="82">
        <v>113</v>
      </c>
      <c r="O800" s="82">
        <v>133</v>
      </c>
      <c r="P800" s="82">
        <v>1497</v>
      </c>
      <c r="Q800" s="82">
        <v>10647</v>
      </c>
      <c r="R800" s="12" t="s">
        <v>25</v>
      </c>
      <c r="S800" s="12" t="s">
        <v>25</v>
      </c>
      <c r="T800" s="12" t="s">
        <v>25</v>
      </c>
    </row>
    <row r="801" spans="1:20" x14ac:dyDescent="0.3">
      <c r="A801" s="13">
        <v>43923.708333333336</v>
      </c>
      <c r="B801" s="12" t="s">
        <v>22</v>
      </c>
      <c r="C801" s="82">
        <v>17</v>
      </c>
      <c r="D801" s="12" t="s">
        <v>43</v>
      </c>
      <c r="E801" s="82">
        <v>4063947052</v>
      </c>
      <c r="F801" s="82">
        <v>1580514834</v>
      </c>
      <c r="G801" s="82">
        <v>38</v>
      </c>
      <c r="H801" s="82">
        <v>19</v>
      </c>
      <c r="I801" s="82">
        <v>57</v>
      </c>
      <c r="J801" s="82">
        <v>176</v>
      </c>
      <c r="K801" s="82">
        <v>233</v>
      </c>
      <c r="L801" s="82">
        <v>8</v>
      </c>
      <c r="M801" s="82">
        <v>9</v>
      </c>
      <c r="N801" s="82">
        <v>3</v>
      </c>
      <c r="O801" s="82">
        <v>10</v>
      </c>
      <c r="P801" s="82">
        <v>246</v>
      </c>
      <c r="Q801" s="82">
        <v>2427</v>
      </c>
      <c r="R801" s="12" t="s">
        <v>25</v>
      </c>
      <c r="S801" s="12" t="s">
        <v>25</v>
      </c>
      <c r="T801" s="12" t="s">
        <v>25</v>
      </c>
    </row>
    <row r="802" spans="1:20" x14ac:dyDescent="0.3">
      <c r="A802" s="13">
        <v>43923.708333333336</v>
      </c>
      <c r="B802" s="12" t="s">
        <v>22</v>
      </c>
      <c r="C802" s="82">
        <v>4</v>
      </c>
      <c r="D802" s="12" t="s">
        <v>44</v>
      </c>
      <c r="E802" s="82">
        <v>4649933453</v>
      </c>
      <c r="F802" s="82">
        <v>1135662422</v>
      </c>
      <c r="G802" s="82">
        <v>279</v>
      </c>
      <c r="H802" s="82">
        <v>60</v>
      </c>
      <c r="I802" s="82">
        <v>339</v>
      </c>
      <c r="J802" s="82">
        <v>821</v>
      </c>
      <c r="K802" s="82">
        <v>1160</v>
      </c>
      <c r="L802" s="82">
        <v>48</v>
      </c>
      <c r="M802" s="82">
        <v>61</v>
      </c>
      <c r="N802" s="82">
        <v>190</v>
      </c>
      <c r="O802" s="82">
        <v>129</v>
      </c>
      <c r="P802" s="82">
        <v>1479</v>
      </c>
      <c r="Q802" s="82">
        <v>12677</v>
      </c>
      <c r="R802" s="12" t="s">
        <v>25</v>
      </c>
      <c r="S802" s="12" t="s">
        <v>25</v>
      </c>
      <c r="T802" s="12" t="s">
        <v>25</v>
      </c>
    </row>
    <row r="803" spans="1:20" x14ac:dyDescent="0.3">
      <c r="A803" s="13">
        <v>43923.708333333336</v>
      </c>
      <c r="B803" s="12" t="s">
        <v>22</v>
      </c>
      <c r="C803" s="82">
        <v>18</v>
      </c>
      <c r="D803" s="12" t="s">
        <v>45</v>
      </c>
      <c r="E803" s="82">
        <v>3890597598</v>
      </c>
      <c r="F803" s="82">
        <v>1659440194</v>
      </c>
      <c r="G803" s="82">
        <v>163</v>
      </c>
      <c r="H803" s="82">
        <v>19</v>
      </c>
      <c r="I803" s="82">
        <v>182</v>
      </c>
      <c r="J803" s="82">
        <v>445</v>
      </c>
      <c r="K803" s="82">
        <v>627</v>
      </c>
      <c r="L803" s="82">
        <v>17</v>
      </c>
      <c r="M803" s="82">
        <v>22</v>
      </c>
      <c r="N803" s="82">
        <v>23</v>
      </c>
      <c r="O803" s="82">
        <v>41</v>
      </c>
      <c r="P803" s="82">
        <v>691</v>
      </c>
      <c r="Q803" s="82">
        <v>10679</v>
      </c>
      <c r="R803" s="12" t="s">
        <v>25</v>
      </c>
      <c r="S803" s="12" t="s">
        <v>25</v>
      </c>
      <c r="T803" s="12" t="s">
        <v>25</v>
      </c>
    </row>
    <row r="804" spans="1:20" x14ac:dyDescent="0.3">
      <c r="A804" s="13">
        <v>43923.708333333336</v>
      </c>
      <c r="B804" s="12" t="s">
        <v>22</v>
      </c>
      <c r="C804" s="82">
        <v>15</v>
      </c>
      <c r="D804" s="12" t="s">
        <v>46</v>
      </c>
      <c r="E804" s="82">
        <v>4083956555</v>
      </c>
      <c r="F804" s="82">
        <v>1425084984</v>
      </c>
      <c r="G804" s="82">
        <v>503</v>
      </c>
      <c r="H804" s="82">
        <v>120</v>
      </c>
      <c r="I804" s="82">
        <v>623</v>
      </c>
      <c r="J804" s="82">
        <v>1517</v>
      </c>
      <c r="K804" s="82">
        <v>2140</v>
      </c>
      <c r="L804" s="82">
        <v>164</v>
      </c>
      <c r="M804" s="82">
        <v>225</v>
      </c>
      <c r="N804" s="82">
        <v>149</v>
      </c>
      <c r="O804" s="82">
        <v>167</v>
      </c>
      <c r="P804" s="82">
        <v>2456</v>
      </c>
      <c r="Q804" s="82">
        <v>17404</v>
      </c>
      <c r="R804" s="12" t="s">
        <v>25</v>
      </c>
      <c r="S804" s="12" t="s">
        <v>25</v>
      </c>
      <c r="T804" s="12" t="s">
        <v>25</v>
      </c>
    </row>
    <row r="805" spans="1:20" x14ac:dyDescent="0.3">
      <c r="A805" s="13">
        <v>43923.708333333336</v>
      </c>
      <c r="B805" s="12" t="s">
        <v>22</v>
      </c>
      <c r="C805" s="82">
        <v>8</v>
      </c>
      <c r="D805" s="12" t="s">
        <v>95</v>
      </c>
      <c r="E805" s="82">
        <v>4449436681</v>
      </c>
      <c r="F805" s="82">
        <v>113417208</v>
      </c>
      <c r="G805" s="82">
        <v>3944</v>
      </c>
      <c r="H805" s="82">
        <v>366</v>
      </c>
      <c r="I805" s="82">
        <v>4310</v>
      </c>
      <c r="J805" s="82">
        <v>7549</v>
      </c>
      <c r="K805" s="82">
        <v>11859</v>
      </c>
      <c r="L805" s="82">
        <v>370</v>
      </c>
      <c r="M805" s="82">
        <v>546</v>
      </c>
      <c r="N805" s="82">
        <v>1663</v>
      </c>
      <c r="O805" s="82">
        <v>1811</v>
      </c>
      <c r="P805" s="82">
        <v>15333</v>
      </c>
      <c r="Q805" s="82">
        <v>60507</v>
      </c>
      <c r="R805" s="12" t="s">
        <v>25</v>
      </c>
      <c r="S805" s="12" t="s">
        <v>25</v>
      </c>
      <c r="T805" s="12" t="s">
        <v>25</v>
      </c>
    </row>
    <row r="806" spans="1:20" x14ac:dyDescent="0.3">
      <c r="A806" s="13">
        <v>43923.708333333336</v>
      </c>
      <c r="B806" s="12" t="s">
        <v>22</v>
      </c>
      <c r="C806" s="82">
        <v>6</v>
      </c>
      <c r="D806" s="12" t="s">
        <v>47</v>
      </c>
      <c r="E806" s="82">
        <v>456494354</v>
      </c>
      <c r="F806" s="82">
        <v>1376813649</v>
      </c>
      <c r="G806" s="82">
        <v>199</v>
      </c>
      <c r="H806" s="82">
        <v>60</v>
      </c>
      <c r="I806" s="82">
        <v>259</v>
      </c>
      <c r="J806" s="82">
        <v>1035</v>
      </c>
      <c r="K806" s="82">
        <v>1294</v>
      </c>
      <c r="L806" s="82">
        <v>88</v>
      </c>
      <c r="M806" s="82">
        <v>114</v>
      </c>
      <c r="N806" s="82">
        <v>376</v>
      </c>
      <c r="O806" s="82">
        <v>129</v>
      </c>
      <c r="P806" s="82">
        <v>1799</v>
      </c>
      <c r="Q806" s="82">
        <v>17121</v>
      </c>
      <c r="R806" s="12" t="s">
        <v>25</v>
      </c>
      <c r="S806" s="12" t="s">
        <v>25</v>
      </c>
      <c r="T806" s="12" t="s">
        <v>25</v>
      </c>
    </row>
    <row r="807" spans="1:20" x14ac:dyDescent="0.3">
      <c r="A807" s="13">
        <v>43923.708333333336</v>
      </c>
      <c r="B807" s="12" t="s">
        <v>22</v>
      </c>
      <c r="C807" s="82">
        <v>12</v>
      </c>
      <c r="D807" s="12" t="s">
        <v>48</v>
      </c>
      <c r="E807" s="82">
        <v>4189277044</v>
      </c>
      <c r="F807" s="82">
        <v>1248366722</v>
      </c>
      <c r="G807" s="82">
        <v>1169</v>
      </c>
      <c r="H807" s="82">
        <v>181</v>
      </c>
      <c r="I807" s="82">
        <v>1350</v>
      </c>
      <c r="J807" s="82">
        <v>1529</v>
      </c>
      <c r="K807" s="82">
        <v>2879</v>
      </c>
      <c r="L807" s="82">
        <v>121</v>
      </c>
      <c r="M807" s="82">
        <v>169</v>
      </c>
      <c r="N807" s="82">
        <v>369</v>
      </c>
      <c r="O807" s="82">
        <v>185</v>
      </c>
      <c r="P807" s="82">
        <v>3433</v>
      </c>
      <c r="Q807" s="82">
        <v>41575</v>
      </c>
      <c r="R807" s="12" t="s">
        <v>25</v>
      </c>
      <c r="S807" s="12" t="s">
        <v>25</v>
      </c>
      <c r="T807" s="12" t="s">
        <v>25</v>
      </c>
    </row>
    <row r="808" spans="1:20" x14ac:dyDescent="0.3">
      <c r="A808" s="13">
        <v>43923.708333333336</v>
      </c>
      <c r="B808" s="12" t="s">
        <v>22</v>
      </c>
      <c r="C808" s="82">
        <v>7</v>
      </c>
      <c r="D808" s="12" t="s">
        <v>49</v>
      </c>
      <c r="E808" s="82">
        <v>4441149315</v>
      </c>
      <c r="F808" s="82">
        <v>89326992</v>
      </c>
      <c r="G808" s="82">
        <v>1120</v>
      </c>
      <c r="H808" s="82">
        <v>172</v>
      </c>
      <c r="I808" s="82">
        <v>1292</v>
      </c>
      <c r="J808" s="82">
        <v>1368</v>
      </c>
      <c r="K808" s="82">
        <v>2660</v>
      </c>
      <c r="L808" s="82">
        <v>15</v>
      </c>
      <c r="M808" s="82">
        <v>122</v>
      </c>
      <c r="N808" s="82">
        <v>634</v>
      </c>
      <c r="O808" s="82">
        <v>488</v>
      </c>
      <c r="P808" s="82">
        <v>3782</v>
      </c>
      <c r="Q808" s="82">
        <v>12069</v>
      </c>
      <c r="R808" s="12" t="s">
        <v>25</v>
      </c>
      <c r="S808" s="12" t="s">
        <v>25</v>
      </c>
      <c r="T808" s="12" t="s">
        <v>25</v>
      </c>
    </row>
    <row r="809" spans="1:20" x14ac:dyDescent="0.3">
      <c r="A809" s="13">
        <v>43923.708333333336</v>
      </c>
      <c r="B809" s="12" t="s">
        <v>22</v>
      </c>
      <c r="C809" s="82">
        <v>3</v>
      </c>
      <c r="D809" s="12" t="s">
        <v>50</v>
      </c>
      <c r="E809" s="82">
        <v>4546679409</v>
      </c>
      <c r="F809" s="82">
        <v>9190347404</v>
      </c>
      <c r="G809" s="82">
        <v>11762</v>
      </c>
      <c r="H809" s="82">
        <v>1351</v>
      </c>
      <c r="I809" s="82">
        <v>13113</v>
      </c>
      <c r="J809" s="82">
        <v>12763</v>
      </c>
      <c r="K809" s="82">
        <v>25876</v>
      </c>
      <c r="L809" s="82">
        <v>111</v>
      </c>
      <c r="M809" s="82">
        <v>1292</v>
      </c>
      <c r="N809" s="82">
        <v>12229</v>
      </c>
      <c r="O809" s="82">
        <v>7960</v>
      </c>
      <c r="P809" s="82">
        <v>46065</v>
      </c>
      <c r="Q809" s="82">
        <v>128286</v>
      </c>
      <c r="R809" s="12" t="s">
        <v>25</v>
      </c>
      <c r="S809" s="12" t="s">
        <v>25</v>
      </c>
      <c r="T809" s="12" t="s">
        <v>25</v>
      </c>
    </row>
    <row r="810" spans="1:20" x14ac:dyDescent="0.3">
      <c r="A810" s="13">
        <v>43923.708333333336</v>
      </c>
      <c r="B810" s="12" t="s">
        <v>22</v>
      </c>
      <c r="C810" s="82">
        <v>11</v>
      </c>
      <c r="D810" s="12" t="s">
        <v>51</v>
      </c>
      <c r="E810" s="82">
        <v>4361675973</v>
      </c>
      <c r="F810" s="82">
        <v>135188753</v>
      </c>
      <c r="G810" s="82">
        <v>986</v>
      </c>
      <c r="H810" s="82">
        <v>164</v>
      </c>
      <c r="I810" s="82">
        <v>1150</v>
      </c>
      <c r="J810" s="82">
        <v>2405</v>
      </c>
      <c r="K810" s="82">
        <v>3555</v>
      </c>
      <c r="L810" s="82">
        <v>99</v>
      </c>
      <c r="M810" s="82">
        <v>136</v>
      </c>
      <c r="N810" s="82">
        <v>40</v>
      </c>
      <c r="O810" s="82">
        <v>503</v>
      </c>
      <c r="P810" s="82">
        <v>4098</v>
      </c>
      <c r="Q810" s="82">
        <v>12943</v>
      </c>
      <c r="R810" s="12" t="s">
        <v>25</v>
      </c>
      <c r="S810" s="12" t="s">
        <v>25</v>
      </c>
      <c r="T810" s="12" t="s">
        <v>25</v>
      </c>
    </row>
    <row r="811" spans="1:20" x14ac:dyDescent="0.3">
      <c r="A811" s="13">
        <v>43923.708333333336</v>
      </c>
      <c r="B811" s="12" t="s">
        <v>22</v>
      </c>
      <c r="C811" s="82">
        <v>14</v>
      </c>
      <c r="D811" s="12" t="s">
        <v>52</v>
      </c>
      <c r="E811" s="82">
        <v>4155774754</v>
      </c>
      <c r="F811" s="82">
        <v>1465916051</v>
      </c>
      <c r="G811" s="82">
        <v>30</v>
      </c>
      <c r="H811" s="82">
        <v>8</v>
      </c>
      <c r="I811" s="82">
        <v>38</v>
      </c>
      <c r="J811" s="82">
        <v>95</v>
      </c>
      <c r="K811" s="82">
        <v>133</v>
      </c>
      <c r="L811" s="82">
        <v>2</v>
      </c>
      <c r="M811" s="82">
        <v>5</v>
      </c>
      <c r="N811" s="82">
        <v>21</v>
      </c>
      <c r="O811" s="82">
        <v>11</v>
      </c>
      <c r="P811" s="82">
        <v>165</v>
      </c>
      <c r="Q811" s="82">
        <v>1229</v>
      </c>
      <c r="R811" s="12" t="s">
        <v>25</v>
      </c>
      <c r="S811" s="12" t="s">
        <v>25</v>
      </c>
      <c r="T811" s="12" t="s">
        <v>25</v>
      </c>
    </row>
    <row r="812" spans="1:20" x14ac:dyDescent="0.3">
      <c r="A812" s="13">
        <v>43923.708333333336</v>
      </c>
      <c r="B812" s="12" t="s">
        <v>22</v>
      </c>
      <c r="C812" s="82">
        <v>1</v>
      </c>
      <c r="D812" s="12" t="s">
        <v>53</v>
      </c>
      <c r="E812" s="82">
        <v>450732745</v>
      </c>
      <c r="F812" s="82">
        <v>7680687483</v>
      </c>
      <c r="G812" s="82">
        <v>3341</v>
      </c>
      <c r="H812" s="82">
        <v>453</v>
      </c>
      <c r="I812" s="82">
        <v>3794</v>
      </c>
      <c r="J812" s="82">
        <v>5005</v>
      </c>
      <c r="K812" s="82">
        <v>8799</v>
      </c>
      <c r="L812" s="82">
        <v>329</v>
      </c>
      <c r="M812" s="82">
        <v>558</v>
      </c>
      <c r="N812" s="82">
        <v>571</v>
      </c>
      <c r="O812" s="82">
        <v>983</v>
      </c>
      <c r="P812" s="82">
        <v>10353</v>
      </c>
      <c r="Q812" s="82">
        <v>32100</v>
      </c>
      <c r="R812" s="12" t="s">
        <v>25</v>
      </c>
      <c r="S812" s="12" t="s">
        <v>25</v>
      </c>
      <c r="T812" s="12" t="s">
        <v>25</v>
      </c>
    </row>
    <row r="813" spans="1:20" x14ac:dyDescent="0.3">
      <c r="A813" s="13">
        <v>43923.708333333336</v>
      </c>
      <c r="B813" s="12" t="s">
        <v>22</v>
      </c>
      <c r="C813" s="82">
        <v>16</v>
      </c>
      <c r="D813" s="12" t="s">
        <v>54</v>
      </c>
      <c r="E813" s="82">
        <v>4112559576</v>
      </c>
      <c r="F813" s="82">
        <v>1686736689</v>
      </c>
      <c r="G813" s="82">
        <v>645</v>
      </c>
      <c r="H813" s="82">
        <v>118</v>
      </c>
      <c r="I813" s="82">
        <v>763</v>
      </c>
      <c r="J813" s="82">
        <v>1101</v>
      </c>
      <c r="K813" s="82">
        <v>1864</v>
      </c>
      <c r="L813" s="82">
        <v>108</v>
      </c>
      <c r="M813" s="82">
        <v>131</v>
      </c>
      <c r="N813" s="82">
        <v>69</v>
      </c>
      <c r="O813" s="82">
        <v>144</v>
      </c>
      <c r="P813" s="82">
        <v>2077</v>
      </c>
      <c r="Q813" s="82">
        <v>16554</v>
      </c>
      <c r="R813" s="12" t="s">
        <v>25</v>
      </c>
      <c r="S813" s="12" t="s">
        <v>25</v>
      </c>
      <c r="T813" s="12" t="s">
        <v>25</v>
      </c>
    </row>
    <row r="814" spans="1:20" x14ac:dyDescent="0.3">
      <c r="A814" s="13">
        <v>43923.708333333336</v>
      </c>
      <c r="B814" s="12" t="s">
        <v>22</v>
      </c>
      <c r="C814" s="82">
        <v>20</v>
      </c>
      <c r="D814" s="12" t="s">
        <v>55</v>
      </c>
      <c r="E814" s="82">
        <v>3921531192</v>
      </c>
      <c r="F814" s="82">
        <v>9110616306</v>
      </c>
      <c r="G814" s="82">
        <v>117</v>
      </c>
      <c r="H814" s="82">
        <v>24</v>
      </c>
      <c r="I814" s="82">
        <v>141</v>
      </c>
      <c r="J814" s="82">
        <v>577</v>
      </c>
      <c r="K814" s="82">
        <v>718</v>
      </c>
      <c r="L814" s="82">
        <v>43</v>
      </c>
      <c r="M814" s="82">
        <v>49</v>
      </c>
      <c r="N814" s="82">
        <v>36</v>
      </c>
      <c r="O814" s="82">
        <v>40</v>
      </c>
      <c r="P814" s="82">
        <v>794</v>
      </c>
      <c r="Q814" s="82">
        <v>5970</v>
      </c>
      <c r="R814" s="12" t="s">
        <v>25</v>
      </c>
      <c r="S814" s="12" t="s">
        <v>25</v>
      </c>
      <c r="T814" s="12" t="s">
        <v>25</v>
      </c>
    </row>
    <row r="815" spans="1:20" x14ac:dyDescent="0.3">
      <c r="A815" s="13">
        <v>43923.708333333336</v>
      </c>
      <c r="B815" s="12" t="s">
        <v>22</v>
      </c>
      <c r="C815" s="82">
        <v>19</v>
      </c>
      <c r="D815" s="12" t="s">
        <v>56</v>
      </c>
      <c r="E815" s="82">
        <v>3811569725</v>
      </c>
      <c r="F815" s="82">
        <v>133623567</v>
      </c>
      <c r="G815" s="82">
        <v>503</v>
      </c>
      <c r="H815" s="82">
        <v>73</v>
      </c>
      <c r="I815" s="82">
        <v>576</v>
      </c>
      <c r="J815" s="82">
        <v>1030</v>
      </c>
      <c r="K815" s="82">
        <v>1606</v>
      </c>
      <c r="L815" s="82">
        <v>62</v>
      </c>
      <c r="M815" s="82">
        <v>73</v>
      </c>
      <c r="N815" s="82">
        <v>92</v>
      </c>
      <c r="O815" s="82">
        <v>93</v>
      </c>
      <c r="P815" s="82">
        <v>1791</v>
      </c>
      <c r="Q815" s="82">
        <v>17833</v>
      </c>
      <c r="R815" s="12" t="s">
        <v>25</v>
      </c>
      <c r="S815" s="12" t="s">
        <v>25</v>
      </c>
      <c r="T815" s="12" t="s">
        <v>25</v>
      </c>
    </row>
    <row r="816" spans="1:20" x14ac:dyDescent="0.3">
      <c r="A816" s="13">
        <v>43923.708333333336</v>
      </c>
      <c r="B816" s="12" t="s">
        <v>22</v>
      </c>
      <c r="C816" s="82">
        <v>9</v>
      </c>
      <c r="D816" s="12" t="s">
        <v>57</v>
      </c>
      <c r="E816" s="82">
        <v>4376923077</v>
      </c>
      <c r="F816" s="82">
        <v>1125588885</v>
      </c>
      <c r="G816" s="82">
        <v>1135</v>
      </c>
      <c r="H816" s="82">
        <v>295</v>
      </c>
      <c r="I816" s="82">
        <v>1430</v>
      </c>
      <c r="J816" s="82">
        <v>3359</v>
      </c>
      <c r="K816" s="82">
        <v>4789</v>
      </c>
      <c r="L816" s="82">
        <v>357</v>
      </c>
      <c r="M816" s="82">
        <v>406</v>
      </c>
      <c r="N816" s="82">
        <v>216</v>
      </c>
      <c r="O816" s="82">
        <v>268</v>
      </c>
      <c r="P816" s="82">
        <v>5273</v>
      </c>
      <c r="Q816" s="82">
        <v>40724</v>
      </c>
      <c r="R816" s="12" t="s">
        <v>25</v>
      </c>
      <c r="S816" s="12" t="s">
        <v>25</v>
      </c>
      <c r="T816" s="12" t="s">
        <v>25</v>
      </c>
    </row>
    <row r="817" spans="1:20" x14ac:dyDescent="0.3">
      <c r="A817" s="13">
        <v>43923.708333333336</v>
      </c>
      <c r="B817" s="12" t="s">
        <v>22</v>
      </c>
      <c r="C817" s="82">
        <v>4</v>
      </c>
      <c r="D817" s="12" t="s">
        <v>58</v>
      </c>
      <c r="E817" s="82">
        <v>4606893511</v>
      </c>
      <c r="F817" s="82">
        <v>1112123097</v>
      </c>
      <c r="G817" s="82">
        <v>339</v>
      </c>
      <c r="H817" s="82">
        <v>78</v>
      </c>
      <c r="I817" s="82">
        <v>417</v>
      </c>
      <c r="J817" s="82">
        <v>1170</v>
      </c>
      <c r="K817" s="82">
        <v>1587</v>
      </c>
      <c r="L817" s="82">
        <v>104</v>
      </c>
      <c r="M817" s="82">
        <v>133</v>
      </c>
      <c r="N817" s="82">
        <v>229</v>
      </c>
      <c r="O817" s="82">
        <v>187</v>
      </c>
      <c r="P817" s="82">
        <v>2003</v>
      </c>
      <c r="Q817" s="82">
        <v>8496</v>
      </c>
      <c r="R817" s="12" t="s">
        <v>25</v>
      </c>
      <c r="S817" s="12" t="s">
        <v>25</v>
      </c>
      <c r="T817" s="12" t="s">
        <v>25</v>
      </c>
    </row>
    <row r="818" spans="1:20" x14ac:dyDescent="0.3">
      <c r="A818" s="13">
        <v>43923.708333333336</v>
      </c>
      <c r="B818" s="12" t="s">
        <v>22</v>
      </c>
      <c r="C818" s="82">
        <v>10</v>
      </c>
      <c r="D818" s="12" t="s">
        <v>59</v>
      </c>
      <c r="E818" s="82">
        <v>4310675841</v>
      </c>
      <c r="F818" s="82">
        <v>1238824698</v>
      </c>
      <c r="G818" s="82">
        <v>171</v>
      </c>
      <c r="H818" s="82">
        <v>47</v>
      </c>
      <c r="I818" s="82">
        <v>218</v>
      </c>
      <c r="J818" s="82">
        <v>667</v>
      </c>
      <c r="K818" s="82">
        <v>885</v>
      </c>
      <c r="L818" s="82">
        <v>21</v>
      </c>
      <c r="M818" s="82">
        <v>33</v>
      </c>
      <c r="N818" s="82">
        <v>205</v>
      </c>
      <c r="O818" s="82">
        <v>38</v>
      </c>
      <c r="P818" s="82">
        <v>1128</v>
      </c>
      <c r="Q818" s="82">
        <v>9737</v>
      </c>
      <c r="R818" s="12" t="s">
        <v>25</v>
      </c>
      <c r="S818" s="12" t="s">
        <v>25</v>
      </c>
      <c r="T818" s="12" t="s">
        <v>25</v>
      </c>
    </row>
    <row r="819" spans="1:20" x14ac:dyDescent="0.3">
      <c r="A819" s="13">
        <v>43923.708333333336</v>
      </c>
      <c r="B819" s="12" t="s">
        <v>22</v>
      </c>
      <c r="C819" s="82">
        <v>2</v>
      </c>
      <c r="D819" s="12" t="s">
        <v>60</v>
      </c>
      <c r="E819" s="82">
        <v>4573750286</v>
      </c>
      <c r="F819" s="82">
        <v>7320149366</v>
      </c>
      <c r="G819" s="82">
        <v>85</v>
      </c>
      <c r="H819" s="82">
        <v>25</v>
      </c>
      <c r="I819" s="82">
        <v>110</v>
      </c>
      <c r="J819" s="82">
        <v>446</v>
      </c>
      <c r="K819" s="82">
        <v>556</v>
      </c>
      <c r="L819" s="82">
        <v>16</v>
      </c>
      <c r="M819" s="82">
        <v>37</v>
      </c>
      <c r="N819" s="82">
        <v>49</v>
      </c>
      <c r="O819" s="82">
        <v>63</v>
      </c>
      <c r="P819" s="82">
        <v>668</v>
      </c>
      <c r="Q819" s="82">
        <v>1934</v>
      </c>
      <c r="R819" s="12" t="s">
        <v>25</v>
      </c>
      <c r="S819" s="12" t="s">
        <v>25</v>
      </c>
      <c r="T819" s="12" t="s">
        <v>25</v>
      </c>
    </row>
    <row r="820" spans="1:20" x14ac:dyDescent="0.3">
      <c r="A820" s="13">
        <v>43923.708333333336</v>
      </c>
      <c r="B820" s="12" t="s">
        <v>22</v>
      </c>
      <c r="C820" s="82">
        <v>5</v>
      </c>
      <c r="D820" s="12" t="s">
        <v>61</v>
      </c>
      <c r="E820" s="82">
        <v>4543490485</v>
      </c>
      <c r="F820" s="82">
        <v>1233845213</v>
      </c>
      <c r="G820" s="82">
        <v>1670</v>
      </c>
      <c r="H820" s="82">
        <v>345</v>
      </c>
      <c r="I820" s="82">
        <v>2015</v>
      </c>
      <c r="J820" s="82">
        <v>6563</v>
      </c>
      <c r="K820" s="82">
        <v>8578</v>
      </c>
      <c r="L820" s="82">
        <v>354</v>
      </c>
      <c r="M820" s="82">
        <v>486</v>
      </c>
      <c r="N820" s="82">
        <v>1001</v>
      </c>
      <c r="O820" s="82">
        <v>532</v>
      </c>
      <c r="P820" s="82">
        <v>10111</v>
      </c>
      <c r="Q820" s="82">
        <v>120320</v>
      </c>
      <c r="R820" s="12" t="s">
        <v>25</v>
      </c>
      <c r="S820" s="12" t="s">
        <v>25</v>
      </c>
      <c r="T820" s="12" t="s">
        <v>25</v>
      </c>
    </row>
    <row r="821" spans="1:20" x14ac:dyDescent="0.3">
      <c r="A821" s="13">
        <v>43924.708333333336</v>
      </c>
      <c r="B821" s="12" t="s">
        <v>22</v>
      </c>
      <c r="C821" s="82">
        <v>13</v>
      </c>
      <c r="D821" s="12" t="s">
        <v>42</v>
      </c>
      <c r="E821" s="82">
        <v>4235122196</v>
      </c>
      <c r="F821" s="82">
        <v>1339843823</v>
      </c>
      <c r="G821" s="82">
        <v>361</v>
      </c>
      <c r="H821" s="82">
        <v>76</v>
      </c>
      <c r="I821" s="82">
        <v>437</v>
      </c>
      <c r="J821" s="82">
        <v>864</v>
      </c>
      <c r="K821" s="82">
        <v>1301</v>
      </c>
      <c r="L821" s="82">
        <v>50</v>
      </c>
      <c r="M821" s="82">
        <v>66</v>
      </c>
      <c r="N821" s="82">
        <v>116</v>
      </c>
      <c r="O821" s="82">
        <v>146</v>
      </c>
      <c r="P821" s="82">
        <v>1563</v>
      </c>
      <c r="Q821" s="82">
        <v>11890</v>
      </c>
      <c r="R821" s="12" t="s">
        <v>25</v>
      </c>
      <c r="S821" s="12" t="s">
        <v>25</v>
      </c>
      <c r="T821" s="12" t="s">
        <v>25</v>
      </c>
    </row>
    <row r="822" spans="1:20" x14ac:dyDescent="0.3">
      <c r="A822" s="13">
        <v>43924.708333333336</v>
      </c>
      <c r="B822" s="12" t="s">
        <v>22</v>
      </c>
      <c r="C822" s="82">
        <v>17</v>
      </c>
      <c r="D822" s="12" t="s">
        <v>43</v>
      </c>
      <c r="E822" s="82">
        <v>4063947052</v>
      </c>
      <c r="F822" s="82">
        <v>1580514834</v>
      </c>
      <c r="G822" s="82">
        <v>41</v>
      </c>
      <c r="H822" s="82">
        <v>19</v>
      </c>
      <c r="I822" s="82">
        <v>60</v>
      </c>
      <c r="J822" s="82">
        <v>187</v>
      </c>
      <c r="K822" s="82">
        <v>247</v>
      </c>
      <c r="L822" s="82">
        <v>14</v>
      </c>
      <c r="M822" s="82">
        <v>15</v>
      </c>
      <c r="N822" s="82">
        <v>3</v>
      </c>
      <c r="O822" s="82">
        <v>11</v>
      </c>
      <c r="P822" s="82">
        <v>261</v>
      </c>
      <c r="Q822" s="82">
        <v>2622</v>
      </c>
      <c r="R822" s="12" t="s">
        <v>25</v>
      </c>
      <c r="S822" s="12" t="s">
        <v>25</v>
      </c>
      <c r="T822" s="12" t="s">
        <v>25</v>
      </c>
    </row>
    <row r="823" spans="1:20" x14ac:dyDescent="0.3">
      <c r="A823" s="13">
        <v>43924.708333333336</v>
      </c>
      <c r="B823" s="12" t="s">
        <v>22</v>
      </c>
      <c r="C823" s="82">
        <v>4</v>
      </c>
      <c r="D823" s="12" t="s">
        <v>44</v>
      </c>
      <c r="E823" s="82">
        <v>4649933453</v>
      </c>
      <c r="F823" s="82">
        <v>1135662422</v>
      </c>
      <c r="G823" s="82">
        <v>291</v>
      </c>
      <c r="H823" s="82">
        <v>60</v>
      </c>
      <c r="I823" s="82">
        <v>351</v>
      </c>
      <c r="J823" s="82">
        <v>858</v>
      </c>
      <c r="K823" s="82">
        <v>1209</v>
      </c>
      <c r="L823" s="82">
        <v>49</v>
      </c>
      <c r="M823" s="82">
        <v>80</v>
      </c>
      <c r="N823" s="82">
        <v>211</v>
      </c>
      <c r="O823" s="82">
        <v>139</v>
      </c>
      <c r="P823" s="82">
        <v>1559</v>
      </c>
      <c r="Q823" s="82">
        <v>13976</v>
      </c>
      <c r="R823" s="12" t="s">
        <v>25</v>
      </c>
      <c r="S823" s="12" t="s">
        <v>25</v>
      </c>
      <c r="T823" s="12" t="s">
        <v>25</v>
      </c>
    </row>
    <row r="824" spans="1:20" x14ac:dyDescent="0.3">
      <c r="A824" s="13">
        <v>43924.708333333336</v>
      </c>
      <c r="B824" s="12" t="s">
        <v>22</v>
      </c>
      <c r="C824" s="82">
        <v>18</v>
      </c>
      <c r="D824" s="12" t="s">
        <v>45</v>
      </c>
      <c r="E824" s="82">
        <v>3890597598</v>
      </c>
      <c r="F824" s="82">
        <v>1659440194</v>
      </c>
      <c r="G824" s="82">
        <v>183</v>
      </c>
      <c r="H824" s="82">
        <v>17</v>
      </c>
      <c r="I824" s="82">
        <v>200</v>
      </c>
      <c r="J824" s="82">
        <v>462</v>
      </c>
      <c r="K824" s="82">
        <v>662</v>
      </c>
      <c r="L824" s="82">
        <v>35</v>
      </c>
      <c r="M824" s="82">
        <v>42</v>
      </c>
      <c r="N824" s="82">
        <v>26</v>
      </c>
      <c r="O824" s="82">
        <v>45</v>
      </c>
      <c r="P824" s="82">
        <v>733</v>
      </c>
      <c r="Q824" s="82">
        <v>11608</v>
      </c>
      <c r="R824" s="12" t="s">
        <v>25</v>
      </c>
      <c r="S824" s="12" t="s">
        <v>25</v>
      </c>
      <c r="T824" s="12" t="s">
        <v>25</v>
      </c>
    </row>
    <row r="825" spans="1:20" x14ac:dyDescent="0.3">
      <c r="A825" s="13">
        <v>43924.708333333336</v>
      </c>
      <c r="B825" s="12" t="s">
        <v>22</v>
      </c>
      <c r="C825" s="82">
        <v>15</v>
      </c>
      <c r="D825" s="12" t="s">
        <v>46</v>
      </c>
      <c r="E825" s="82">
        <v>4083956555</v>
      </c>
      <c r="F825" s="82">
        <v>1425084984</v>
      </c>
      <c r="G825" s="82">
        <v>532</v>
      </c>
      <c r="H825" s="82">
        <v>115</v>
      </c>
      <c r="I825" s="82">
        <v>647</v>
      </c>
      <c r="J825" s="82">
        <v>1705</v>
      </c>
      <c r="K825" s="82">
        <v>2352</v>
      </c>
      <c r="L825" s="82">
        <v>212</v>
      </c>
      <c r="M825" s="82">
        <v>221</v>
      </c>
      <c r="N825" s="82">
        <v>144</v>
      </c>
      <c r="O825" s="82">
        <v>181</v>
      </c>
      <c r="P825" s="82">
        <v>2677</v>
      </c>
      <c r="Q825" s="82">
        <v>19237</v>
      </c>
      <c r="R825" s="12" t="s">
        <v>25</v>
      </c>
      <c r="S825" s="12" t="s">
        <v>25</v>
      </c>
      <c r="T825" s="12" t="s">
        <v>25</v>
      </c>
    </row>
    <row r="826" spans="1:20" x14ac:dyDescent="0.3">
      <c r="A826" s="13">
        <v>43924.708333333336</v>
      </c>
      <c r="B826" s="12" t="s">
        <v>22</v>
      </c>
      <c r="C826" s="82">
        <v>8</v>
      </c>
      <c r="D826" s="12" t="s">
        <v>95</v>
      </c>
      <c r="E826" s="82">
        <v>4449436681</v>
      </c>
      <c r="F826" s="82">
        <v>113417208</v>
      </c>
      <c r="G826" s="82">
        <v>3915</v>
      </c>
      <c r="H826" s="82">
        <v>364</v>
      </c>
      <c r="I826" s="82">
        <v>4279</v>
      </c>
      <c r="J826" s="82">
        <v>7899</v>
      </c>
      <c r="K826" s="82">
        <v>12178</v>
      </c>
      <c r="L826" s="82">
        <v>319</v>
      </c>
      <c r="M826" s="82">
        <v>599</v>
      </c>
      <c r="N826" s="82">
        <v>1852</v>
      </c>
      <c r="O826" s="82">
        <v>1902</v>
      </c>
      <c r="P826" s="82">
        <v>15932</v>
      </c>
      <c r="Q826" s="82">
        <v>63682</v>
      </c>
      <c r="R826" s="12" t="s">
        <v>25</v>
      </c>
      <c r="S826" s="12" t="s">
        <v>25</v>
      </c>
      <c r="T826" s="12" t="s">
        <v>25</v>
      </c>
    </row>
    <row r="827" spans="1:20" x14ac:dyDescent="0.3">
      <c r="A827" s="13">
        <v>43924.708333333336</v>
      </c>
      <c r="B827" s="12" t="s">
        <v>22</v>
      </c>
      <c r="C827" s="82">
        <v>6</v>
      </c>
      <c r="D827" s="12" t="s">
        <v>47</v>
      </c>
      <c r="E827" s="82">
        <v>456494354</v>
      </c>
      <c r="F827" s="82">
        <v>1376813649</v>
      </c>
      <c r="G827" s="82">
        <v>201</v>
      </c>
      <c r="H827" s="82">
        <v>61</v>
      </c>
      <c r="I827" s="82">
        <v>262</v>
      </c>
      <c r="J827" s="82">
        <v>1062</v>
      </c>
      <c r="K827" s="82">
        <v>1324</v>
      </c>
      <c r="L827" s="82">
        <v>30</v>
      </c>
      <c r="M827" s="82">
        <v>80</v>
      </c>
      <c r="N827" s="82">
        <v>419</v>
      </c>
      <c r="O827" s="82">
        <v>136</v>
      </c>
      <c r="P827" s="82">
        <v>1879</v>
      </c>
      <c r="Q827" s="82">
        <v>19985</v>
      </c>
      <c r="R827" s="12" t="s">
        <v>25</v>
      </c>
      <c r="S827" s="12" t="s">
        <v>25</v>
      </c>
      <c r="T827" s="12" t="s">
        <v>25</v>
      </c>
    </row>
    <row r="828" spans="1:20" x14ac:dyDescent="0.3">
      <c r="A828" s="13">
        <v>43924.708333333336</v>
      </c>
      <c r="B828" s="12" t="s">
        <v>22</v>
      </c>
      <c r="C828" s="82">
        <v>12</v>
      </c>
      <c r="D828" s="12" t="s">
        <v>48</v>
      </c>
      <c r="E828" s="82">
        <v>4189277044</v>
      </c>
      <c r="F828" s="82">
        <v>1248366722</v>
      </c>
      <c r="G828" s="82">
        <v>1194</v>
      </c>
      <c r="H828" s="82">
        <v>188</v>
      </c>
      <c r="I828" s="82">
        <v>1382</v>
      </c>
      <c r="J828" s="82">
        <v>1627</v>
      </c>
      <c r="K828" s="82">
        <v>3009</v>
      </c>
      <c r="L828" s="82">
        <v>130</v>
      </c>
      <c r="M828" s="82">
        <v>167</v>
      </c>
      <c r="N828" s="82">
        <v>392</v>
      </c>
      <c r="O828" s="82">
        <v>199</v>
      </c>
      <c r="P828" s="82">
        <v>3600</v>
      </c>
      <c r="Q828" s="82">
        <v>43776</v>
      </c>
      <c r="R828" s="12" t="s">
        <v>25</v>
      </c>
      <c r="S828" s="12" t="s">
        <v>25</v>
      </c>
      <c r="T828" s="12" t="s">
        <v>25</v>
      </c>
    </row>
    <row r="829" spans="1:20" x14ac:dyDescent="0.3">
      <c r="A829" s="13">
        <v>43924.708333333336</v>
      </c>
      <c r="B829" s="12" t="s">
        <v>22</v>
      </c>
      <c r="C829" s="82">
        <v>7</v>
      </c>
      <c r="D829" s="12" t="s">
        <v>49</v>
      </c>
      <c r="E829" s="82">
        <v>4441149315</v>
      </c>
      <c r="F829" s="82">
        <v>89326992</v>
      </c>
      <c r="G829" s="82">
        <v>1147</v>
      </c>
      <c r="H829" s="82">
        <v>173</v>
      </c>
      <c r="I829" s="82">
        <v>1320</v>
      </c>
      <c r="J829" s="82">
        <v>1426</v>
      </c>
      <c r="K829" s="82">
        <v>2746</v>
      </c>
      <c r="L829" s="82">
        <v>86</v>
      </c>
      <c r="M829" s="82">
        <v>183</v>
      </c>
      <c r="N829" s="82">
        <v>700</v>
      </c>
      <c r="O829" s="82">
        <v>519</v>
      </c>
      <c r="P829" s="82">
        <v>3965</v>
      </c>
      <c r="Q829" s="82">
        <v>12934</v>
      </c>
      <c r="R829" s="12" t="s">
        <v>25</v>
      </c>
      <c r="S829" s="12" t="s">
        <v>25</v>
      </c>
      <c r="T829" s="12" t="s">
        <v>25</v>
      </c>
    </row>
    <row r="830" spans="1:20" x14ac:dyDescent="0.3">
      <c r="A830" s="13">
        <v>43924.708333333336</v>
      </c>
      <c r="B830" s="12" t="s">
        <v>22</v>
      </c>
      <c r="C830" s="82">
        <v>3</v>
      </c>
      <c r="D830" s="12" t="s">
        <v>50</v>
      </c>
      <c r="E830" s="82">
        <v>4546679409</v>
      </c>
      <c r="F830" s="82">
        <v>9190347404</v>
      </c>
      <c r="G830" s="82">
        <v>11802</v>
      </c>
      <c r="H830" s="82">
        <v>1381</v>
      </c>
      <c r="I830" s="82">
        <v>13183</v>
      </c>
      <c r="J830" s="82">
        <v>13006</v>
      </c>
      <c r="K830" s="82">
        <v>26189</v>
      </c>
      <c r="L830" s="82">
        <v>313</v>
      </c>
      <c r="M830" s="82">
        <v>1455</v>
      </c>
      <c r="N830" s="82">
        <v>13020</v>
      </c>
      <c r="O830" s="82">
        <v>8311</v>
      </c>
      <c r="P830" s="82">
        <v>47520</v>
      </c>
      <c r="Q830" s="82">
        <v>135051</v>
      </c>
      <c r="R830" s="12" t="s">
        <v>25</v>
      </c>
      <c r="S830" s="12" t="s">
        <v>25</v>
      </c>
      <c r="T830" s="12" t="s">
        <v>25</v>
      </c>
    </row>
    <row r="831" spans="1:20" x14ac:dyDescent="0.3">
      <c r="A831" s="13">
        <v>43924.708333333336</v>
      </c>
      <c r="B831" s="12" t="s">
        <v>22</v>
      </c>
      <c r="C831" s="82">
        <v>11</v>
      </c>
      <c r="D831" s="12" t="s">
        <v>51</v>
      </c>
      <c r="E831" s="82">
        <v>4361675973</v>
      </c>
      <c r="F831" s="82">
        <v>135188753</v>
      </c>
      <c r="G831" s="82">
        <v>982</v>
      </c>
      <c r="H831" s="82">
        <v>158</v>
      </c>
      <c r="I831" s="82">
        <v>1140</v>
      </c>
      <c r="J831" s="82">
        <v>2491</v>
      </c>
      <c r="K831" s="82">
        <v>3631</v>
      </c>
      <c r="L831" s="82">
        <v>76</v>
      </c>
      <c r="M831" s="82">
        <v>132</v>
      </c>
      <c r="N831" s="82">
        <v>42</v>
      </c>
      <c r="O831" s="82">
        <v>557</v>
      </c>
      <c r="P831" s="82">
        <v>4230</v>
      </c>
      <c r="Q831" s="82">
        <v>13678</v>
      </c>
      <c r="R831" s="12" t="s">
        <v>25</v>
      </c>
      <c r="S831" s="12" t="s">
        <v>25</v>
      </c>
      <c r="T831" s="12" t="s">
        <v>25</v>
      </c>
    </row>
    <row r="832" spans="1:20" x14ac:dyDescent="0.3">
      <c r="A832" s="13">
        <v>43924.708333333336</v>
      </c>
      <c r="B832" s="12" t="s">
        <v>22</v>
      </c>
      <c r="C832" s="82">
        <v>14</v>
      </c>
      <c r="D832" s="12" t="s">
        <v>52</v>
      </c>
      <c r="E832" s="82">
        <v>4155774754</v>
      </c>
      <c r="F832" s="82">
        <v>1465916051</v>
      </c>
      <c r="G832" s="82">
        <v>31</v>
      </c>
      <c r="H832" s="82">
        <v>8</v>
      </c>
      <c r="I832" s="82">
        <v>39</v>
      </c>
      <c r="J832" s="82">
        <v>105</v>
      </c>
      <c r="K832" s="82">
        <v>144</v>
      </c>
      <c r="L832" s="82">
        <v>11</v>
      </c>
      <c r="M832" s="82">
        <v>11</v>
      </c>
      <c r="N832" s="82">
        <v>21</v>
      </c>
      <c r="O832" s="82">
        <v>11</v>
      </c>
      <c r="P832" s="82">
        <v>176</v>
      </c>
      <c r="Q832" s="82">
        <v>1378</v>
      </c>
      <c r="R832" s="12" t="s">
        <v>25</v>
      </c>
      <c r="S832" s="12" t="s">
        <v>25</v>
      </c>
      <c r="T832" s="12" t="s">
        <v>25</v>
      </c>
    </row>
    <row r="833" spans="1:20" x14ac:dyDescent="0.3">
      <c r="A833" s="13">
        <v>43924.708333333336</v>
      </c>
      <c r="B833" s="12" t="s">
        <v>22</v>
      </c>
      <c r="C833" s="82">
        <v>1</v>
      </c>
      <c r="D833" s="12" t="s">
        <v>53</v>
      </c>
      <c r="E833" s="82">
        <v>450732745</v>
      </c>
      <c r="F833" s="82">
        <v>7680687483</v>
      </c>
      <c r="G833" s="82">
        <v>3300</v>
      </c>
      <c r="H833" s="82">
        <v>452</v>
      </c>
      <c r="I833" s="82">
        <v>3752</v>
      </c>
      <c r="J833" s="82">
        <v>5378</v>
      </c>
      <c r="K833" s="82">
        <v>9130</v>
      </c>
      <c r="L833" s="82">
        <v>331</v>
      </c>
      <c r="M833" s="82">
        <v>543</v>
      </c>
      <c r="N833" s="82">
        <v>723</v>
      </c>
      <c r="O833" s="82">
        <v>1043</v>
      </c>
      <c r="P833" s="82">
        <v>10896</v>
      </c>
      <c r="Q833" s="82">
        <v>34281</v>
      </c>
      <c r="R833" s="12" t="s">
        <v>25</v>
      </c>
      <c r="S833" s="12" t="s">
        <v>25</v>
      </c>
      <c r="T833" s="12" t="s">
        <v>25</v>
      </c>
    </row>
    <row r="834" spans="1:20" x14ac:dyDescent="0.3">
      <c r="A834" s="13">
        <v>43924.708333333336</v>
      </c>
      <c r="B834" s="12" t="s">
        <v>22</v>
      </c>
      <c r="C834" s="82">
        <v>16</v>
      </c>
      <c r="D834" s="12" t="s">
        <v>54</v>
      </c>
      <c r="E834" s="82">
        <v>4112559576</v>
      </c>
      <c r="F834" s="82">
        <v>1686736689</v>
      </c>
      <c r="G834" s="82">
        <v>648</v>
      </c>
      <c r="H834" s="82">
        <v>123</v>
      </c>
      <c r="I834" s="82">
        <v>771</v>
      </c>
      <c r="J834" s="82">
        <v>1178</v>
      </c>
      <c r="K834" s="82">
        <v>1949</v>
      </c>
      <c r="L834" s="82">
        <v>85</v>
      </c>
      <c r="M834" s="82">
        <v>105</v>
      </c>
      <c r="N834" s="82">
        <v>69</v>
      </c>
      <c r="O834" s="82">
        <v>164</v>
      </c>
      <c r="P834" s="82">
        <v>2182</v>
      </c>
      <c r="Q834" s="82">
        <v>17924</v>
      </c>
      <c r="R834" s="12" t="s">
        <v>25</v>
      </c>
      <c r="S834" s="12" t="s">
        <v>25</v>
      </c>
      <c r="T834" s="12" t="s">
        <v>25</v>
      </c>
    </row>
    <row r="835" spans="1:20" x14ac:dyDescent="0.3">
      <c r="A835" s="13">
        <v>43924.708333333336</v>
      </c>
      <c r="B835" s="12" t="s">
        <v>22</v>
      </c>
      <c r="C835" s="82">
        <v>20</v>
      </c>
      <c r="D835" s="12" t="s">
        <v>55</v>
      </c>
      <c r="E835" s="82">
        <v>3921531192</v>
      </c>
      <c r="F835" s="82">
        <v>9110616306</v>
      </c>
      <c r="G835" s="82">
        <v>122</v>
      </c>
      <c r="H835" s="82">
        <v>24</v>
      </c>
      <c r="I835" s="82">
        <v>146</v>
      </c>
      <c r="J835" s="82">
        <v>598</v>
      </c>
      <c r="K835" s="82">
        <v>744</v>
      </c>
      <c r="L835" s="82">
        <v>26</v>
      </c>
      <c r="M835" s="82">
        <v>31</v>
      </c>
      <c r="N835" s="82">
        <v>40</v>
      </c>
      <c r="O835" s="82">
        <v>41</v>
      </c>
      <c r="P835" s="82">
        <v>825</v>
      </c>
      <c r="Q835" s="82">
        <v>6478</v>
      </c>
      <c r="R835" s="12" t="s">
        <v>25</v>
      </c>
      <c r="S835" s="12" t="s">
        <v>25</v>
      </c>
      <c r="T835" s="12" t="s">
        <v>25</v>
      </c>
    </row>
    <row r="836" spans="1:20" x14ac:dyDescent="0.3">
      <c r="A836" s="13">
        <v>43924.708333333336</v>
      </c>
      <c r="B836" s="12" t="s">
        <v>22</v>
      </c>
      <c r="C836" s="82">
        <v>19</v>
      </c>
      <c r="D836" s="12" t="s">
        <v>56</v>
      </c>
      <c r="E836" s="82">
        <v>3811569725</v>
      </c>
      <c r="F836" s="82">
        <v>133623567</v>
      </c>
      <c r="G836" s="82">
        <v>535</v>
      </c>
      <c r="H836" s="82">
        <v>73</v>
      </c>
      <c r="I836" s="82">
        <v>608</v>
      </c>
      <c r="J836" s="82">
        <v>1056</v>
      </c>
      <c r="K836" s="82">
        <v>1664</v>
      </c>
      <c r="L836" s="82">
        <v>58</v>
      </c>
      <c r="M836" s="82">
        <v>68</v>
      </c>
      <c r="N836" s="82">
        <v>94</v>
      </c>
      <c r="O836" s="82">
        <v>101</v>
      </c>
      <c r="P836" s="82">
        <v>1859</v>
      </c>
      <c r="Q836" s="82">
        <v>18686</v>
      </c>
      <c r="R836" s="12" t="s">
        <v>25</v>
      </c>
      <c r="S836" s="12" t="s">
        <v>25</v>
      </c>
      <c r="T836" s="12" t="s">
        <v>25</v>
      </c>
    </row>
    <row r="837" spans="1:20" x14ac:dyDescent="0.3">
      <c r="A837" s="13">
        <v>43924.708333333336</v>
      </c>
      <c r="B837" s="12" t="s">
        <v>22</v>
      </c>
      <c r="C837" s="82">
        <v>9</v>
      </c>
      <c r="D837" s="12" t="s">
        <v>57</v>
      </c>
      <c r="E837" s="82">
        <v>4376923077</v>
      </c>
      <c r="F837" s="82">
        <v>1125588885</v>
      </c>
      <c r="G837" s="82">
        <v>1149</v>
      </c>
      <c r="H837" s="82">
        <v>288</v>
      </c>
      <c r="I837" s="82">
        <v>1437</v>
      </c>
      <c r="J837" s="82">
        <v>3472</v>
      </c>
      <c r="K837" s="82">
        <v>4909</v>
      </c>
      <c r="L837" s="82">
        <v>120</v>
      </c>
      <c r="M837" s="82">
        <v>226</v>
      </c>
      <c r="N837" s="82">
        <v>300</v>
      </c>
      <c r="O837" s="82">
        <v>290</v>
      </c>
      <c r="P837" s="82">
        <v>5499</v>
      </c>
      <c r="Q837" s="82">
        <v>44460</v>
      </c>
      <c r="R837" s="12" t="s">
        <v>25</v>
      </c>
      <c r="S837" s="12" t="s">
        <v>25</v>
      </c>
      <c r="T837" s="12" t="s">
        <v>25</v>
      </c>
    </row>
    <row r="838" spans="1:20" x14ac:dyDescent="0.3">
      <c r="A838" s="13">
        <v>43924.708333333336</v>
      </c>
      <c r="B838" s="12" t="s">
        <v>22</v>
      </c>
      <c r="C838" s="82">
        <v>4</v>
      </c>
      <c r="D838" s="12" t="s">
        <v>58</v>
      </c>
      <c r="E838" s="82">
        <v>4606893511</v>
      </c>
      <c r="F838" s="82">
        <v>1112123097</v>
      </c>
      <c r="G838" s="82">
        <v>343</v>
      </c>
      <c r="H838" s="82">
        <v>80</v>
      </c>
      <c r="I838" s="82">
        <v>423</v>
      </c>
      <c r="J838" s="82">
        <v>1236</v>
      </c>
      <c r="K838" s="82">
        <v>1659</v>
      </c>
      <c r="L838" s="82">
        <v>72</v>
      </c>
      <c r="M838" s="82">
        <v>106</v>
      </c>
      <c r="N838" s="82">
        <v>246</v>
      </c>
      <c r="O838" s="82">
        <v>204</v>
      </c>
      <c r="P838" s="82">
        <v>2109</v>
      </c>
      <c r="Q838" s="82">
        <v>8993</v>
      </c>
      <c r="R838" s="12" t="s">
        <v>25</v>
      </c>
      <c r="S838" s="12" t="s">
        <v>25</v>
      </c>
      <c r="T838" s="12" t="s">
        <v>25</v>
      </c>
    </row>
    <row r="839" spans="1:20" x14ac:dyDescent="0.3">
      <c r="A839" s="13">
        <v>43924.708333333336</v>
      </c>
      <c r="B839" s="12" t="s">
        <v>22</v>
      </c>
      <c r="C839" s="82">
        <v>10</v>
      </c>
      <c r="D839" s="12" t="s">
        <v>59</v>
      </c>
      <c r="E839" s="82">
        <v>4310675841</v>
      </c>
      <c r="F839" s="82">
        <v>1238824698</v>
      </c>
      <c r="G839" s="82">
        <v>165</v>
      </c>
      <c r="H839" s="82">
        <v>48</v>
      </c>
      <c r="I839" s="82">
        <v>213</v>
      </c>
      <c r="J839" s="82">
        <v>707</v>
      </c>
      <c r="K839" s="82">
        <v>920</v>
      </c>
      <c r="L839" s="82">
        <v>35</v>
      </c>
      <c r="M839" s="82">
        <v>51</v>
      </c>
      <c r="N839" s="82">
        <v>220</v>
      </c>
      <c r="O839" s="82">
        <v>39</v>
      </c>
      <c r="P839" s="82">
        <v>1179</v>
      </c>
      <c r="Q839" s="82">
        <v>10614</v>
      </c>
      <c r="R839" s="12" t="s">
        <v>25</v>
      </c>
      <c r="S839" s="12" t="s">
        <v>25</v>
      </c>
      <c r="T839" s="12" t="s">
        <v>25</v>
      </c>
    </row>
    <row r="840" spans="1:20" x14ac:dyDescent="0.3">
      <c r="A840" s="13">
        <v>43924.708333333336</v>
      </c>
      <c r="B840" s="12" t="s">
        <v>22</v>
      </c>
      <c r="C840" s="82">
        <v>2</v>
      </c>
      <c r="D840" s="12" t="s">
        <v>60</v>
      </c>
      <c r="E840" s="82">
        <v>4573750286</v>
      </c>
      <c r="F840" s="82">
        <v>7320149366</v>
      </c>
      <c r="G840" s="82">
        <v>85</v>
      </c>
      <c r="H840" s="82">
        <v>25</v>
      </c>
      <c r="I840" s="82">
        <v>110</v>
      </c>
      <c r="J840" s="82">
        <v>450</v>
      </c>
      <c r="K840" s="82">
        <v>560</v>
      </c>
      <c r="L840" s="82">
        <v>4</v>
      </c>
      <c r="M840" s="82">
        <v>51</v>
      </c>
      <c r="N840" s="82">
        <v>89</v>
      </c>
      <c r="O840" s="82">
        <v>70</v>
      </c>
      <c r="P840" s="82">
        <v>719</v>
      </c>
      <c r="Q840" s="82">
        <v>2106</v>
      </c>
      <c r="R840" s="12" t="s">
        <v>25</v>
      </c>
      <c r="S840" s="12" t="s">
        <v>25</v>
      </c>
      <c r="T840" s="12" t="s">
        <v>25</v>
      </c>
    </row>
    <row r="841" spans="1:20" x14ac:dyDescent="0.3">
      <c r="A841" s="13">
        <v>43924.708333333336</v>
      </c>
      <c r="B841" s="12" t="s">
        <v>22</v>
      </c>
      <c r="C841" s="82">
        <v>5</v>
      </c>
      <c r="D841" s="12" t="s">
        <v>61</v>
      </c>
      <c r="E841" s="82">
        <v>4543490485</v>
      </c>
      <c r="F841" s="82">
        <v>1233845213</v>
      </c>
      <c r="G841" s="82">
        <v>1714</v>
      </c>
      <c r="H841" s="82">
        <v>335</v>
      </c>
      <c r="I841" s="82">
        <v>2049</v>
      </c>
      <c r="J841" s="82">
        <v>6812</v>
      </c>
      <c r="K841" s="82">
        <v>8861</v>
      </c>
      <c r="L841" s="82">
        <v>283</v>
      </c>
      <c r="M841" s="82">
        <v>353</v>
      </c>
      <c r="N841" s="82">
        <v>1031</v>
      </c>
      <c r="O841" s="82">
        <v>572</v>
      </c>
      <c r="P841" s="82">
        <v>10464</v>
      </c>
      <c r="Q841" s="82">
        <v>126490</v>
      </c>
      <c r="R841" s="12" t="s">
        <v>25</v>
      </c>
      <c r="S841" s="12" t="s">
        <v>25</v>
      </c>
      <c r="T841" s="12" t="s">
        <v>25</v>
      </c>
    </row>
    <row r="842" spans="1:20" x14ac:dyDescent="0.3">
      <c r="A842" s="13">
        <v>43925.708333333336</v>
      </c>
      <c r="B842" s="12" t="s">
        <v>22</v>
      </c>
      <c r="C842" s="82">
        <v>13</v>
      </c>
      <c r="D842" s="12" t="s">
        <v>42</v>
      </c>
      <c r="E842" s="82">
        <v>4235122196</v>
      </c>
      <c r="F842" s="82">
        <v>1339843823</v>
      </c>
      <c r="G842" s="82">
        <v>354</v>
      </c>
      <c r="H842" s="82">
        <v>71</v>
      </c>
      <c r="I842" s="82">
        <v>425</v>
      </c>
      <c r="J842" s="82">
        <v>931</v>
      </c>
      <c r="K842" s="82">
        <v>1356</v>
      </c>
      <c r="L842" s="82">
        <v>55</v>
      </c>
      <c r="M842" s="82">
        <v>65</v>
      </c>
      <c r="N842" s="82">
        <v>119</v>
      </c>
      <c r="O842" s="82">
        <v>153</v>
      </c>
      <c r="P842" s="82">
        <v>1628</v>
      </c>
      <c r="Q842" s="82">
        <v>12837</v>
      </c>
      <c r="R842" s="12" t="s">
        <v>25</v>
      </c>
      <c r="S842" s="12" t="s">
        <v>25</v>
      </c>
      <c r="T842" s="12" t="s">
        <v>25</v>
      </c>
    </row>
    <row r="843" spans="1:20" x14ac:dyDescent="0.3">
      <c r="A843" s="13">
        <v>43925.708333333336</v>
      </c>
      <c r="B843" s="12" t="s">
        <v>22</v>
      </c>
      <c r="C843" s="82">
        <v>17</v>
      </c>
      <c r="D843" s="12" t="s">
        <v>43</v>
      </c>
      <c r="E843" s="82">
        <v>4063947052</v>
      </c>
      <c r="F843" s="82">
        <v>1580514834</v>
      </c>
      <c r="G843" s="82">
        <v>44</v>
      </c>
      <c r="H843" s="82">
        <v>19</v>
      </c>
      <c r="I843" s="82">
        <v>63</v>
      </c>
      <c r="J843" s="82">
        <v>181</v>
      </c>
      <c r="K843" s="82">
        <v>244</v>
      </c>
      <c r="L843" s="82">
        <v>-3</v>
      </c>
      <c r="M843" s="82">
        <v>3</v>
      </c>
      <c r="N843" s="82">
        <v>9</v>
      </c>
      <c r="O843" s="82">
        <v>11</v>
      </c>
      <c r="P843" s="82">
        <v>264</v>
      </c>
      <c r="Q843" s="82">
        <v>2765</v>
      </c>
      <c r="R843" s="12" t="s">
        <v>25</v>
      </c>
      <c r="S843" s="12" t="s">
        <v>25</v>
      </c>
      <c r="T843" s="12" t="s">
        <v>25</v>
      </c>
    </row>
    <row r="844" spans="1:20" x14ac:dyDescent="0.3">
      <c r="A844" s="13">
        <v>43925.708333333336</v>
      </c>
      <c r="B844" s="12" t="s">
        <v>22</v>
      </c>
      <c r="C844" s="82">
        <v>4</v>
      </c>
      <c r="D844" s="12" t="s">
        <v>44</v>
      </c>
      <c r="E844" s="82">
        <v>4649933453</v>
      </c>
      <c r="F844" s="82">
        <v>1135662422</v>
      </c>
      <c r="G844" s="82">
        <v>291</v>
      </c>
      <c r="H844" s="82">
        <v>61</v>
      </c>
      <c r="I844" s="82">
        <v>352</v>
      </c>
      <c r="J844" s="82">
        <v>849</v>
      </c>
      <c r="K844" s="82">
        <v>1201</v>
      </c>
      <c r="L844" s="82">
        <v>-8</v>
      </c>
      <c r="M844" s="82">
        <v>33</v>
      </c>
      <c r="N844" s="82">
        <v>245</v>
      </c>
      <c r="O844" s="82">
        <v>146</v>
      </c>
      <c r="P844" s="82">
        <v>1592</v>
      </c>
      <c r="Q844" s="82">
        <v>15045</v>
      </c>
      <c r="R844" s="12" t="s">
        <v>25</v>
      </c>
      <c r="S844" s="12" t="s">
        <v>25</v>
      </c>
      <c r="T844" s="12" t="s">
        <v>25</v>
      </c>
    </row>
    <row r="845" spans="1:20" x14ac:dyDescent="0.3">
      <c r="A845" s="13">
        <v>43925.708333333336</v>
      </c>
      <c r="B845" s="12" t="s">
        <v>22</v>
      </c>
      <c r="C845" s="82">
        <v>18</v>
      </c>
      <c r="D845" s="12" t="s">
        <v>45</v>
      </c>
      <c r="E845" s="82">
        <v>3890597598</v>
      </c>
      <c r="F845" s="82">
        <v>1659440194</v>
      </c>
      <c r="G845" s="82">
        <v>178</v>
      </c>
      <c r="H845" s="82">
        <v>15</v>
      </c>
      <c r="I845" s="82">
        <v>193</v>
      </c>
      <c r="J845" s="82">
        <v>469</v>
      </c>
      <c r="K845" s="82">
        <v>662</v>
      </c>
      <c r="L845" s="82">
        <v>0</v>
      </c>
      <c r="M845" s="82">
        <v>8</v>
      </c>
      <c r="N845" s="82">
        <v>30</v>
      </c>
      <c r="O845" s="82">
        <v>49</v>
      </c>
      <c r="P845" s="82">
        <v>741</v>
      </c>
      <c r="Q845" s="82">
        <v>12314</v>
      </c>
      <c r="R845" s="12" t="s">
        <v>25</v>
      </c>
      <c r="S845" s="12" t="s">
        <v>25</v>
      </c>
      <c r="T845" s="12" t="s">
        <v>25</v>
      </c>
    </row>
    <row r="846" spans="1:20" x14ac:dyDescent="0.3">
      <c r="A846" s="13">
        <v>43925.708333333336</v>
      </c>
      <c r="B846" s="12" t="s">
        <v>22</v>
      </c>
      <c r="C846" s="82">
        <v>15</v>
      </c>
      <c r="D846" s="12" t="s">
        <v>46</v>
      </c>
      <c r="E846" s="82">
        <v>4083956555</v>
      </c>
      <c r="F846" s="82">
        <v>1425084984</v>
      </c>
      <c r="G846" s="82">
        <v>567</v>
      </c>
      <c r="H846" s="82">
        <v>114</v>
      </c>
      <c r="I846" s="82">
        <v>681</v>
      </c>
      <c r="J846" s="82">
        <v>1815</v>
      </c>
      <c r="K846" s="82">
        <v>2496</v>
      </c>
      <c r="L846" s="82">
        <v>144</v>
      </c>
      <c r="M846" s="82">
        <v>151</v>
      </c>
      <c r="N846" s="82">
        <v>146</v>
      </c>
      <c r="O846" s="82">
        <v>186</v>
      </c>
      <c r="P846" s="82">
        <v>2828</v>
      </c>
      <c r="Q846" s="82">
        <v>21534</v>
      </c>
      <c r="R846" s="12" t="s">
        <v>25</v>
      </c>
      <c r="S846" s="12" t="s">
        <v>25</v>
      </c>
      <c r="T846" s="12" t="s">
        <v>25</v>
      </c>
    </row>
    <row r="847" spans="1:20" x14ac:dyDescent="0.3">
      <c r="A847" s="13">
        <v>43925.708333333336</v>
      </c>
      <c r="B847" s="12" t="s">
        <v>22</v>
      </c>
      <c r="C847" s="82">
        <v>8</v>
      </c>
      <c r="D847" s="12" t="s">
        <v>95</v>
      </c>
      <c r="E847" s="82">
        <v>4449436681</v>
      </c>
      <c r="F847" s="82">
        <v>113417208</v>
      </c>
      <c r="G847" s="82">
        <v>3859</v>
      </c>
      <c r="H847" s="82">
        <v>358</v>
      </c>
      <c r="I847" s="82">
        <v>4217</v>
      </c>
      <c r="J847" s="82">
        <v>8306</v>
      </c>
      <c r="K847" s="82">
        <v>12523</v>
      </c>
      <c r="L847" s="82">
        <v>345</v>
      </c>
      <c r="M847" s="82">
        <v>608</v>
      </c>
      <c r="N847" s="82">
        <v>2040</v>
      </c>
      <c r="O847" s="82">
        <v>1977</v>
      </c>
      <c r="P847" s="82">
        <v>16540</v>
      </c>
      <c r="Q847" s="82">
        <v>67075</v>
      </c>
      <c r="R847" s="12" t="s">
        <v>25</v>
      </c>
      <c r="S847" s="12" t="s">
        <v>25</v>
      </c>
      <c r="T847" s="12" t="s">
        <v>25</v>
      </c>
    </row>
    <row r="848" spans="1:20" x14ac:dyDescent="0.3">
      <c r="A848" s="13">
        <v>43925.708333333336</v>
      </c>
      <c r="B848" s="12" t="s">
        <v>22</v>
      </c>
      <c r="C848" s="82">
        <v>6</v>
      </c>
      <c r="D848" s="12" t="s">
        <v>47</v>
      </c>
      <c r="E848" s="82">
        <v>456494354</v>
      </c>
      <c r="F848" s="82">
        <v>1376813649</v>
      </c>
      <c r="G848" s="82">
        <v>183</v>
      </c>
      <c r="H848" s="82">
        <v>50</v>
      </c>
      <c r="I848" s="82">
        <v>233</v>
      </c>
      <c r="J848" s="82">
        <v>1103</v>
      </c>
      <c r="K848" s="82">
        <v>1336</v>
      </c>
      <c r="L848" s="82">
        <v>12</v>
      </c>
      <c r="M848" s="82">
        <v>107</v>
      </c>
      <c r="N848" s="82">
        <v>505</v>
      </c>
      <c r="O848" s="82">
        <v>145</v>
      </c>
      <c r="P848" s="82">
        <v>1986</v>
      </c>
      <c r="Q848" s="82">
        <v>21126</v>
      </c>
      <c r="R848" s="12" t="s">
        <v>25</v>
      </c>
      <c r="S848" s="12" t="s">
        <v>25</v>
      </c>
      <c r="T848" s="12" t="s">
        <v>25</v>
      </c>
    </row>
    <row r="849" spans="1:20" x14ac:dyDescent="0.3">
      <c r="A849" s="13">
        <v>43925.708333333336</v>
      </c>
      <c r="B849" s="12" t="s">
        <v>22</v>
      </c>
      <c r="C849" s="82">
        <v>12</v>
      </c>
      <c r="D849" s="12" t="s">
        <v>48</v>
      </c>
      <c r="E849" s="82">
        <v>4189277044</v>
      </c>
      <c r="F849" s="82">
        <v>1248366722</v>
      </c>
      <c r="G849" s="82">
        <v>1236</v>
      </c>
      <c r="H849" s="82">
        <v>193</v>
      </c>
      <c r="I849" s="82">
        <v>1429</v>
      </c>
      <c r="J849" s="82">
        <v>1677</v>
      </c>
      <c r="K849" s="82">
        <v>3106</v>
      </c>
      <c r="L849" s="82">
        <v>97</v>
      </c>
      <c r="M849" s="82">
        <v>157</v>
      </c>
      <c r="N849" s="82">
        <v>439</v>
      </c>
      <c r="O849" s="82">
        <v>212</v>
      </c>
      <c r="P849" s="82">
        <v>3757</v>
      </c>
      <c r="Q849" s="82">
        <v>44624</v>
      </c>
      <c r="R849" s="12" t="s">
        <v>25</v>
      </c>
      <c r="S849" s="12" t="s">
        <v>25</v>
      </c>
      <c r="T849" s="12" t="s">
        <v>25</v>
      </c>
    </row>
    <row r="850" spans="1:20" x14ac:dyDescent="0.3">
      <c r="A850" s="13">
        <v>43925.708333333336</v>
      </c>
      <c r="B850" s="12" t="s">
        <v>22</v>
      </c>
      <c r="C850" s="82">
        <v>7</v>
      </c>
      <c r="D850" s="12" t="s">
        <v>49</v>
      </c>
      <c r="E850" s="82">
        <v>4441149315</v>
      </c>
      <c r="F850" s="82">
        <v>89326992</v>
      </c>
      <c r="G850" s="82">
        <v>1121</v>
      </c>
      <c r="H850" s="82">
        <v>169</v>
      </c>
      <c r="I850" s="82">
        <v>1290</v>
      </c>
      <c r="J850" s="82">
        <v>1604</v>
      </c>
      <c r="K850" s="82">
        <v>2894</v>
      </c>
      <c r="L850" s="82">
        <v>148</v>
      </c>
      <c r="M850" s="82">
        <v>238</v>
      </c>
      <c r="N850" s="82">
        <v>767</v>
      </c>
      <c r="O850" s="82">
        <v>542</v>
      </c>
      <c r="P850" s="82">
        <v>4203</v>
      </c>
      <c r="Q850" s="82">
        <v>14087</v>
      </c>
      <c r="R850" s="12" t="s">
        <v>25</v>
      </c>
      <c r="S850" s="12" t="s">
        <v>25</v>
      </c>
      <c r="T850" s="12" t="s">
        <v>25</v>
      </c>
    </row>
    <row r="851" spans="1:20" x14ac:dyDescent="0.3">
      <c r="A851" s="13">
        <v>43925.708333333336</v>
      </c>
      <c r="B851" s="12" t="s">
        <v>22</v>
      </c>
      <c r="C851" s="82">
        <v>3</v>
      </c>
      <c r="D851" s="12" t="s">
        <v>50</v>
      </c>
      <c r="E851" s="82">
        <v>4546679409</v>
      </c>
      <c r="F851" s="82">
        <v>9190347404</v>
      </c>
      <c r="G851" s="82">
        <v>12002</v>
      </c>
      <c r="H851" s="82">
        <v>1326</v>
      </c>
      <c r="I851" s="82">
        <v>13328</v>
      </c>
      <c r="J851" s="82">
        <v>13892</v>
      </c>
      <c r="K851" s="82">
        <v>27220</v>
      </c>
      <c r="L851" s="82">
        <v>1031</v>
      </c>
      <c r="M851" s="82">
        <v>1598</v>
      </c>
      <c r="N851" s="82">
        <v>13242</v>
      </c>
      <c r="O851" s="82">
        <v>8656</v>
      </c>
      <c r="P851" s="82">
        <v>49118</v>
      </c>
      <c r="Q851" s="82">
        <v>141877</v>
      </c>
      <c r="R851" s="12" t="s">
        <v>25</v>
      </c>
      <c r="S851" s="12" t="s">
        <v>25</v>
      </c>
      <c r="T851" s="12" t="s">
        <v>25</v>
      </c>
    </row>
    <row r="852" spans="1:20" x14ac:dyDescent="0.3">
      <c r="A852" s="13">
        <v>43925.708333333336</v>
      </c>
      <c r="B852" s="12" t="s">
        <v>22</v>
      </c>
      <c r="C852" s="82">
        <v>11</v>
      </c>
      <c r="D852" s="12" t="s">
        <v>51</v>
      </c>
      <c r="E852" s="82">
        <v>4361675973</v>
      </c>
      <c r="F852" s="82">
        <v>135188753</v>
      </c>
      <c r="G852" s="82">
        <v>997</v>
      </c>
      <c r="H852" s="82">
        <v>153</v>
      </c>
      <c r="I852" s="82">
        <v>1150</v>
      </c>
      <c r="J852" s="82">
        <v>2347</v>
      </c>
      <c r="K852" s="82">
        <v>3497</v>
      </c>
      <c r="L852" s="82">
        <v>-134</v>
      </c>
      <c r="M852" s="82">
        <v>111</v>
      </c>
      <c r="N852" s="82">
        <v>270</v>
      </c>
      <c r="O852" s="82">
        <v>574</v>
      </c>
      <c r="P852" s="82">
        <v>4341</v>
      </c>
      <c r="Q852" s="82">
        <v>14472</v>
      </c>
      <c r="R852" s="12" t="s">
        <v>25</v>
      </c>
      <c r="S852" s="12" t="s">
        <v>25</v>
      </c>
      <c r="T852" s="12" t="s">
        <v>25</v>
      </c>
    </row>
    <row r="853" spans="1:20" x14ac:dyDescent="0.3">
      <c r="A853" s="13">
        <v>43925.708333333336</v>
      </c>
      <c r="B853" s="12" t="s">
        <v>22</v>
      </c>
      <c r="C853" s="82">
        <v>14</v>
      </c>
      <c r="D853" s="12" t="s">
        <v>52</v>
      </c>
      <c r="E853" s="82">
        <v>4155774754</v>
      </c>
      <c r="F853" s="82">
        <v>1465916051</v>
      </c>
      <c r="G853" s="82">
        <v>31</v>
      </c>
      <c r="H853" s="82">
        <v>6</v>
      </c>
      <c r="I853" s="82">
        <v>37</v>
      </c>
      <c r="J853" s="82">
        <v>134</v>
      </c>
      <c r="K853" s="82">
        <v>171</v>
      </c>
      <c r="L853" s="82">
        <v>27</v>
      </c>
      <c r="M853" s="82">
        <v>30</v>
      </c>
      <c r="N853" s="82">
        <v>24</v>
      </c>
      <c r="O853" s="82">
        <v>11</v>
      </c>
      <c r="P853" s="82">
        <v>206</v>
      </c>
      <c r="Q853" s="82">
        <v>1504</v>
      </c>
      <c r="R853" s="12" t="s">
        <v>25</v>
      </c>
      <c r="S853" s="12" t="s">
        <v>25</v>
      </c>
      <c r="T853" s="12" t="s">
        <v>25</v>
      </c>
    </row>
    <row r="854" spans="1:20" x14ac:dyDescent="0.3">
      <c r="A854" s="13">
        <v>43925.708333333336</v>
      </c>
      <c r="B854" s="12" t="s">
        <v>22</v>
      </c>
      <c r="C854" s="82">
        <v>1</v>
      </c>
      <c r="D854" s="12" t="s">
        <v>53</v>
      </c>
      <c r="E854" s="82">
        <v>450732745</v>
      </c>
      <c r="F854" s="82">
        <v>7680687483</v>
      </c>
      <c r="G854" s="82">
        <v>3441</v>
      </c>
      <c r="H854" s="82">
        <v>450</v>
      </c>
      <c r="I854" s="82">
        <v>3891</v>
      </c>
      <c r="J854" s="82">
        <v>5802</v>
      </c>
      <c r="K854" s="82">
        <v>9693</v>
      </c>
      <c r="L854" s="82">
        <v>563</v>
      </c>
      <c r="M854" s="82">
        <v>813</v>
      </c>
      <c r="N854" s="82">
        <v>888</v>
      </c>
      <c r="O854" s="82">
        <v>1128</v>
      </c>
      <c r="P854" s="82">
        <v>11709</v>
      </c>
      <c r="Q854" s="82">
        <v>37181</v>
      </c>
      <c r="R854" s="12" t="s">
        <v>25</v>
      </c>
      <c r="S854" s="12" t="s">
        <v>25</v>
      </c>
      <c r="T854" s="12" t="s">
        <v>25</v>
      </c>
    </row>
    <row r="855" spans="1:20" x14ac:dyDescent="0.3">
      <c r="A855" s="13">
        <v>43925.708333333336</v>
      </c>
      <c r="B855" s="12" t="s">
        <v>22</v>
      </c>
      <c r="C855" s="82">
        <v>16</v>
      </c>
      <c r="D855" s="12" t="s">
        <v>54</v>
      </c>
      <c r="E855" s="82">
        <v>4112559576</v>
      </c>
      <c r="F855" s="82">
        <v>1686736689</v>
      </c>
      <c r="G855" s="82">
        <v>627</v>
      </c>
      <c r="H855" s="82">
        <v>153</v>
      </c>
      <c r="I855" s="82">
        <v>780</v>
      </c>
      <c r="J855" s="82">
        <v>1193</v>
      </c>
      <c r="K855" s="82">
        <v>1973</v>
      </c>
      <c r="L855" s="82">
        <v>24</v>
      </c>
      <c r="M855" s="82">
        <v>58</v>
      </c>
      <c r="N855" s="82">
        <v>94</v>
      </c>
      <c r="O855" s="82">
        <v>173</v>
      </c>
      <c r="P855" s="82">
        <v>2240</v>
      </c>
      <c r="Q855" s="82">
        <v>18977</v>
      </c>
      <c r="R855" s="12" t="s">
        <v>25</v>
      </c>
      <c r="S855" s="12" t="s">
        <v>25</v>
      </c>
      <c r="T855" s="12" t="s">
        <v>25</v>
      </c>
    </row>
    <row r="856" spans="1:20" x14ac:dyDescent="0.3">
      <c r="A856" s="13">
        <v>43925.708333333336</v>
      </c>
      <c r="B856" s="12" t="s">
        <v>22</v>
      </c>
      <c r="C856" s="82">
        <v>20</v>
      </c>
      <c r="D856" s="12" t="s">
        <v>55</v>
      </c>
      <c r="E856" s="82">
        <v>3921531192</v>
      </c>
      <c r="F856" s="82">
        <v>9110616306</v>
      </c>
      <c r="G856" s="82">
        <v>123</v>
      </c>
      <c r="H856" s="82">
        <v>24</v>
      </c>
      <c r="I856" s="82">
        <v>147</v>
      </c>
      <c r="J856" s="82">
        <v>642</v>
      </c>
      <c r="K856" s="82">
        <v>789</v>
      </c>
      <c r="L856" s="82">
        <v>45</v>
      </c>
      <c r="M856" s="82">
        <v>49</v>
      </c>
      <c r="N856" s="82">
        <v>44</v>
      </c>
      <c r="O856" s="82">
        <v>41</v>
      </c>
      <c r="P856" s="82">
        <v>874</v>
      </c>
      <c r="Q856" s="82">
        <v>6789</v>
      </c>
      <c r="R856" s="12" t="s">
        <v>25</v>
      </c>
      <c r="S856" s="12" t="s">
        <v>25</v>
      </c>
      <c r="T856" s="12" t="s">
        <v>25</v>
      </c>
    </row>
    <row r="857" spans="1:20" x14ac:dyDescent="0.3">
      <c r="A857" s="13">
        <v>43925.708333333336</v>
      </c>
      <c r="B857" s="12" t="s">
        <v>22</v>
      </c>
      <c r="C857" s="82">
        <v>19</v>
      </c>
      <c r="D857" s="12" t="s">
        <v>56</v>
      </c>
      <c r="E857" s="82">
        <v>3811569725</v>
      </c>
      <c r="F857" s="82">
        <v>133623567</v>
      </c>
      <c r="G857" s="82">
        <v>553</v>
      </c>
      <c r="H857" s="82">
        <v>74</v>
      </c>
      <c r="I857" s="82">
        <v>627</v>
      </c>
      <c r="J857" s="82">
        <v>1099</v>
      </c>
      <c r="K857" s="82">
        <v>1726</v>
      </c>
      <c r="L857" s="82">
        <v>62</v>
      </c>
      <c r="M857" s="82">
        <v>73</v>
      </c>
      <c r="N857" s="82">
        <v>95</v>
      </c>
      <c r="O857" s="82">
        <v>111</v>
      </c>
      <c r="P857" s="82">
        <v>1932</v>
      </c>
      <c r="Q857" s="82">
        <v>19896</v>
      </c>
      <c r="R857" s="12" t="s">
        <v>25</v>
      </c>
      <c r="S857" s="12" t="s">
        <v>25</v>
      </c>
      <c r="T857" s="12" t="s">
        <v>25</v>
      </c>
    </row>
    <row r="858" spans="1:20" x14ac:dyDescent="0.3">
      <c r="A858" s="13">
        <v>43925.708333333336</v>
      </c>
      <c r="B858" s="12" t="s">
        <v>22</v>
      </c>
      <c r="C858" s="82">
        <v>9</v>
      </c>
      <c r="D858" s="12" t="s">
        <v>57</v>
      </c>
      <c r="E858" s="82">
        <v>4376923077</v>
      </c>
      <c r="F858" s="82">
        <v>1125588885</v>
      </c>
      <c r="G858" s="82">
        <v>1129</v>
      </c>
      <c r="H858" s="82">
        <v>286</v>
      </c>
      <c r="I858" s="82">
        <v>1415</v>
      </c>
      <c r="J858" s="82">
        <v>3639</v>
      </c>
      <c r="K858" s="82">
        <v>5054</v>
      </c>
      <c r="L858" s="82">
        <v>145</v>
      </c>
      <c r="M858" s="82">
        <v>172</v>
      </c>
      <c r="N858" s="82">
        <v>310</v>
      </c>
      <c r="O858" s="82">
        <v>307</v>
      </c>
      <c r="P858" s="82">
        <v>5671</v>
      </c>
      <c r="Q858" s="82">
        <v>47886</v>
      </c>
      <c r="R858" s="12" t="s">
        <v>25</v>
      </c>
      <c r="S858" s="12" t="s">
        <v>25</v>
      </c>
      <c r="T858" s="12" t="s">
        <v>25</v>
      </c>
    </row>
    <row r="859" spans="1:20" x14ac:dyDescent="0.3">
      <c r="A859" s="13">
        <v>43925.708333333336</v>
      </c>
      <c r="B859" s="12" t="s">
        <v>22</v>
      </c>
      <c r="C859" s="82">
        <v>4</v>
      </c>
      <c r="D859" s="12" t="s">
        <v>58</v>
      </c>
      <c r="E859" s="82">
        <v>4606893511</v>
      </c>
      <c r="F859" s="82">
        <v>1112123097</v>
      </c>
      <c r="G859" s="82">
        <v>353</v>
      </c>
      <c r="H859" s="82">
        <v>81</v>
      </c>
      <c r="I859" s="82">
        <v>434</v>
      </c>
      <c r="J859" s="82">
        <v>1319</v>
      </c>
      <c r="K859" s="82">
        <v>1753</v>
      </c>
      <c r="L859" s="82">
        <v>94</v>
      </c>
      <c r="M859" s="82">
        <v>111</v>
      </c>
      <c r="N859" s="82">
        <v>257</v>
      </c>
      <c r="O859" s="82">
        <v>210</v>
      </c>
      <c r="P859" s="82">
        <v>2220</v>
      </c>
      <c r="Q859" s="82">
        <v>9863</v>
      </c>
      <c r="R859" s="12" t="s">
        <v>25</v>
      </c>
      <c r="S859" s="12" t="s">
        <v>25</v>
      </c>
      <c r="T859" s="12" t="s">
        <v>25</v>
      </c>
    </row>
    <row r="860" spans="1:20" x14ac:dyDescent="0.3">
      <c r="A860" s="13">
        <v>43925.708333333336</v>
      </c>
      <c r="B860" s="12" t="s">
        <v>22</v>
      </c>
      <c r="C860" s="82">
        <v>10</v>
      </c>
      <c r="D860" s="12" t="s">
        <v>59</v>
      </c>
      <c r="E860" s="82">
        <v>4310675841</v>
      </c>
      <c r="F860" s="82">
        <v>1238824698</v>
      </c>
      <c r="G860" s="82">
        <v>167</v>
      </c>
      <c r="H860" s="82">
        <v>44</v>
      </c>
      <c r="I860" s="82">
        <v>211</v>
      </c>
      <c r="J860" s="82">
        <v>716</v>
      </c>
      <c r="K860" s="82">
        <v>927</v>
      </c>
      <c r="L860" s="82">
        <v>7</v>
      </c>
      <c r="M860" s="82">
        <v>31</v>
      </c>
      <c r="N860" s="82">
        <v>242</v>
      </c>
      <c r="O860" s="82">
        <v>41</v>
      </c>
      <c r="P860" s="82">
        <v>1210</v>
      </c>
      <c r="Q860" s="82">
        <v>11809</v>
      </c>
      <c r="R860" s="12" t="s">
        <v>25</v>
      </c>
      <c r="S860" s="12" t="s">
        <v>25</v>
      </c>
      <c r="T860" s="12" t="s">
        <v>25</v>
      </c>
    </row>
    <row r="861" spans="1:20" x14ac:dyDescent="0.3">
      <c r="A861" s="13">
        <v>43925.708333333336</v>
      </c>
      <c r="B861" s="12" t="s">
        <v>22</v>
      </c>
      <c r="C861" s="82">
        <v>2</v>
      </c>
      <c r="D861" s="12" t="s">
        <v>60</v>
      </c>
      <c r="E861" s="82">
        <v>4573750286</v>
      </c>
      <c r="F861" s="82">
        <v>7320149366</v>
      </c>
      <c r="G861" s="82">
        <v>63</v>
      </c>
      <c r="H861" s="82">
        <v>23</v>
      </c>
      <c r="I861" s="82">
        <v>86</v>
      </c>
      <c r="J861" s="82">
        <v>474</v>
      </c>
      <c r="K861" s="82">
        <v>560</v>
      </c>
      <c r="L861" s="82">
        <v>0</v>
      </c>
      <c r="M861" s="82">
        <v>29</v>
      </c>
      <c r="N861" s="82">
        <v>106</v>
      </c>
      <c r="O861" s="82">
        <v>82</v>
      </c>
      <c r="P861" s="82">
        <v>748</v>
      </c>
      <c r="Q861" s="82">
        <v>2274</v>
      </c>
      <c r="R861" s="12" t="s">
        <v>25</v>
      </c>
      <c r="S861" s="12" t="s">
        <v>25</v>
      </c>
      <c r="T861" s="12" t="s">
        <v>25</v>
      </c>
    </row>
    <row r="862" spans="1:20" x14ac:dyDescent="0.3">
      <c r="A862" s="13">
        <v>43925.708333333336</v>
      </c>
      <c r="B862" s="12" t="s">
        <v>22</v>
      </c>
      <c r="C862" s="82">
        <v>5</v>
      </c>
      <c r="D862" s="12" t="s">
        <v>61</v>
      </c>
      <c r="E862" s="82">
        <v>4543490485</v>
      </c>
      <c r="F862" s="82">
        <v>1233845213</v>
      </c>
      <c r="G862" s="82">
        <v>1691</v>
      </c>
      <c r="H862" s="82">
        <v>324</v>
      </c>
      <c r="I862" s="82">
        <v>2015</v>
      </c>
      <c r="J862" s="82">
        <v>7078</v>
      </c>
      <c r="K862" s="82">
        <v>9093</v>
      </c>
      <c r="L862" s="82">
        <v>232</v>
      </c>
      <c r="M862" s="82">
        <v>360</v>
      </c>
      <c r="N862" s="82">
        <v>1124</v>
      </c>
      <c r="O862" s="82">
        <v>607</v>
      </c>
      <c r="P862" s="82">
        <v>10824</v>
      </c>
      <c r="Q862" s="82">
        <v>133289</v>
      </c>
      <c r="R862" s="12" t="s">
        <v>25</v>
      </c>
      <c r="S862" s="12" t="s">
        <v>25</v>
      </c>
      <c r="T862" s="12" t="s">
        <v>25</v>
      </c>
    </row>
    <row r="863" spans="1:20" x14ac:dyDescent="0.3">
      <c r="A863" s="13">
        <v>43926.708333333336</v>
      </c>
      <c r="B863" s="12" t="s">
        <v>22</v>
      </c>
      <c r="C863" s="82">
        <v>13</v>
      </c>
      <c r="D863" s="12" t="s">
        <v>42</v>
      </c>
      <c r="E863" s="82">
        <v>4235122196</v>
      </c>
      <c r="F863" s="82">
        <v>1339843823</v>
      </c>
      <c r="G863" s="82">
        <v>347</v>
      </c>
      <c r="H863" s="82">
        <v>67</v>
      </c>
      <c r="I863" s="82">
        <v>414</v>
      </c>
      <c r="J863" s="82">
        <v>1006</v>
      </c>
      <c r="K863" s="82">
        <v>1420</v>
      </c>
      <c r="L863" s="82">
        <v>64</v>
      </c>
      <c r="M863" s="82">
        <v>75</v>
      </c>
      <c r="N863" s="82">
        <v>125</v>
      </c>
      <c r="O863" s="82">
        <v>158</v>
      </c>
      <c r="P863" s="82">
        <v>1703</v>
      </c>
      <c r="Q863" s="82">
        <v>13598</v>
      </c>
      <c r="R863" s="12" t="s">
        <v>25</v>
      </c>
      <c r="S863" s="12" t="s">
        <v>25</v>
      </c>
      <c r="T863" s="12" t="s">
        <v>25</v>
      </c>
    </row>
    <row r="864" spans="1:20" x14ac:dyDescent="0.3">
      <c r="A864" s="13">
        <v>43926.708333333336</v>
      </c>
      <c r="B864" s="12" t="s">
        <v>22</v>
      </c>
      <c r="C864" s="82">
        <v>17</v>
      </c>
      <c r="D864" s="12" t="s">
        <v>43</v>
      </c>
      <c r="E864" s="82">
        <v>4063947052</v>
      </c>
      <c r="F864" s="82">
        <v>1580514834</v>
      </c>
      <c r="G864" s="82">
        <v>46</v>
      </c>
      <c r="H864" s="82">
        <v>18</v>
      </c>
      <c r="I864" s="82">
        <v>64</v>
      </c>
      <c r="J864" s="82">
        <v>190</v>
      </c>
      <c r="K864" s="82">
        <v>254</v>
      </c>
      <c r="L864" s="82">
        <v>10</v>
      </c>
      <c r="M864" s="82">
        <v>14</v>
      </c>
      <c r="N864" s="82">
        <v>11</v>
      </c>
      <c r="O864" s="82">
        <v>13</v>
      </c>
      <c r="P864" s="82">
        <v>278</v>
      </c>
      <c r="Q864" s="82">
        <v>2931</v>
      </c>
      <c r="R864" s="12" t="s">
        <v>25</v>
      </c>
      <c r="S864" s="12" t="s">
        <v>25</v>
      </c>
      <c r="T864" s="12" t="s">
        <v>25</v>
      </c>
    </row>
    <row r="865" spans="1:20" x14ac:dyDescent="0.3">
      <c r="A865" s="13">
        <v>43926.708333333336</v>
      </c>
      <c r="B865" s="12" t="s">
        <v>22</v>
      </c>
      <c r="C865" s="82">
        <v>4</v>
      </c>
      <c r="D865" s="12" t="s">
        <v>44</v>
      </c>
      <c r="E865" s="82">
        <v>4649933453</v>
      </c>
      <c r="F865" s="82">
        <v>1135662422</v>
      </c>
      <c r="G865" s="82">
        <v>239</v>
      </c>
      <c r="H865" s="82">
        <v>53</v>
      </c>
      <c r="I865" s="82">
        <v>292</v>
      </c>
      <c r="J865" s="82">
        <v>934</v>
      </c>
      <c r="K865" s="82">
        <v>1226</v>
      </c>
      <c r="L865" s="82">
        <v>25</v>
      </c>
      <c r="M865" s="82">
        <v>52</v>
      </c>
      <c r="N865" s="82">
        <v>260</v>
      </c>
      <c r="O865" s="82">
        <v>158</v>
      </c>
      <c r="P865" s="82">
        <v>1644</v>
      </c>
      <c r="Q865" s="82">
        <v>15723</v>
      </c>
      <c r="R865" s="12" t="s">
        <v>25</v>
      </c>
      <c r="S865" s="12" t="s">
        <v>25</v>
      </c>
      <c r="T865" s="12" t="s">
        <v>25</v>
      </c>
    </row>
    <row r="866" spans="1:20" x14ac:dyDescent="0.3">
      <c r="A866" s="13">
        <v>43926.708333333336</v>
      </c>
      <c r="B866" s="12" t="s">
        <v>22</v>
      </c>
      <c r="C866" s="82">
        <v>18</v>
      </c>
      <c r="D866" s="12" t="s">
        <v>45</v>
      </c>
      <c r="E866" s="82">
        <v>3890597598</v>
      </c>
      <c r="F866" s="82">
        <v>1659440194</v>
      </c>
      <c r="G866" s="82">
        <v>174</v>
      </c>
      <c r="H866" s="82">
        <v>13</v>
      </c>
      <c r="I866" s="82">
        <v>187</v>
      </c>
      <c r="J866" s="82">
        <v>519</v>
      </c>
      <c r="K866" s="82">
        <v>706</v>
      </c>
      <c r="L866" s="82">
        <v>44</v>
      </c>
      <c r="M866" s="82">
        <v>54</v>
      </c>
      <c r="N866" s="82">
        <v>33</v>
      </c>
      <c r="O866" s="82">
        <v>56</v>
      </c>
      <c r="P866" s="82">
        <v>795</v>
      </c>
      <c r="Q866" s="82">
        <v>13077</v>
      </c>
      <c r="R866" s="12" t="s">
        <v>25</v>
      </c>
      <c r="S866" s="12" t="s">
        <v>25</v>
      </c>
      <c r="T866" s="12" t="s">
        <v>25</v>
      </c>
    </row>
    <row r="867" spans="1:20" x14ac:dyDescent="0.3">
      <c r="A867" s="13">
        <v>43926.708333333336</v>
      </c>
      <c r="B867" s="12" t="s">
        <v>22</v>
      </c>
      <c r="C867" s="82">
        <v>15</v>
      </c>
      <c r="D867" s="12" t="s">
        <v>46</v>
      </c>
      <c r="E867" s="82">
        <v>4083956555</v>
      </c>
      <c r="F867" s="82">
        <v>1425084984</v>
      </c>
      <c r="G867" s="82">
        <v>609</v>
      </c>
      <c r="H867" s="82">
        <v>108</v>
      </c>
      <c r="I867" s="82">
        <v>717</v>
      </c>
      <c r="J867" s="82">
        <v>1904</v>
      </c>
      <c r="K867" s="82">
        <v>2621</v>
      </c>
      <c r="L867" s="82">
        <v>125</v>
      </c>
      <c r="M867" s="82">
        <v>132</v>
      </c>
      <c r="N867" s="82">
        <v>150</v>
      </c>
      <c r="O867" s="82">
        <v>189</v>
      </c>
      <c r="P867" s="82">
        <v>2960</v>
      </c>
      <c r="Q867" s="82">
        <v>23139</v>
      </c>
      <c r="R867" s="12" t="s">
        <v>25</v>
      </c>
      <c r="S867" s="12" t="s">
        <v>25</v>
      </c>
      <c r="T867" s="12" t="s">
        <v>25</v>
      </c>
    </row>
    <row r="868" spans="1:20" x14ac:dyDescent="0.3">
      <c r="A868" s="13">
        <v>43926.708333333336</v>
      </c>
      <c r="B868" s="12" t="s">
        <v>22</v>
      </c>
      <c r="C868" s="82">
        <v>8</v>
      </c>
      <c r="D868" s="12" t="s">
        <v>95</v>
      </c>
      <c r="E868" s="82">
        <v>4449436681</v>
      </c>
      <c r="F868" s="82">
        <v>113417208</v>
      </c>
      <c r="G868" s="82">
        <v>3839</v>
      </c>
      <c r="H868" s="82">
        <v>375</v>
      </c>
      <c r="I868" s="82">
        <v>4214</v>
      </c>
      <c r="J868" s="82">
        <v>8623</v>
      </c>
      <c r="K868" s="82">
        <v>12837</v>
      </c>
      <c r="L868" s="82">
        <v>314</v>
      </c>
      <c r="M868" s="82">
        <v>549</v>
      </c>
      <c r="N868" s="82">
        <v>2201</v>
      </c>
      <c r="O868" s="82">
        <v>2051</v>
      </c>
      <c r="P868" s="82">
        <v>17089</v>
      </c>
      <c r="Q868" s="82">
        <v>69986</v>
      </c>
      <c r="R868" s="12" t="s">
        <v>25</v>
      </c>
      <c r="S868" s="12" t="s">
        <v>25</v>
      </c>
      <c r="T868" s="12" t="s">
        <v>25</v>
      </c>
    </row>
    <row r="869" spans="1:20" x14ac:dyDescent="0.3">
      <c r="A869" s="13">
        <v>43926.708333333336</v>
      </c>
      <c r="B869" s="12" t="s">
        <v>22</v>
      </c>
      <c r="C869" s="82">
        <v>6</v>
      </c>
      <c r="D869" s="12" t="s">
        <v>47</v>
      </c>
      <c r="E869" s="82">
        <v>456494354</v>
      </c>
      <c r="F869" s="82">
        <v>1376813649</v>
      </c>
      <c r="G869" s="82">
        <v>185</v>
      </c>
      <c r="H869" s="82">
        <v>50</v>
      </c>
      <c r="I869" s="82">
        <v>235</v>
      </c>
      <c r="J869" s="82">
        <v>1128</v>
      </c>
      <c r="K869" s="82">
        <v>1363</v>
      </c>
      <c r="L869" s="82">
        <v>27</v>
      </c>
      <c r="M869" s="82">
        <v>62</v>
      </c>
      <c r="N869" s="82">
        <v>531</v>
      </c>
      <c r="O869" s="82">
        <v>154</v>
      </c>
      <c r="P869" s="82">
        <v>2048</v>
      </c>
      <c r="Q869" s="82">
        <v>21652</v>
      </c>
      <c r="R869" s="12" t="s">
        <v>25</v>
      </c>
      <c r="S869" s="12" t="s">
        <v>25</v>
      </c>
      <c r="T869" s="12" t="s">
        <v>25</v>
      </c>
    </row>
    <row r="870" spans="1:20" x14ac:dyDescent="0.3">
      <c r="A870" s="13">
        <v>43926.708333333336</v>
      </c>
      <c r="B870" s="12" t="s">
        <v>22</v>
      </c>
      <c r="C870" s="82">
        <v>12</v>
      </c>
      <c r="D870" s="12" t="s">
        <v>48</v>
      </c>
      <c r="E870" s="82">
        <v>4189277044</v>
      </c>
      <c r="F870" s="82">
        <v>1248366722</v>
      </c>
      <c r="G870" s="82">
        <v>1235</v>
      </c>
      <c r="H870" s="82">
        <v>197</v>
      </c>
      <c r="I870" s="82">
        <v>1432</v>
      </c>
      <c r="J870" s="82">
        <v>1754</v>
      </c>
      <c r="K870" s="82">
        <v>3186</v>
      </c>
      <c r="L870" s="82">
        <v>80</v>
      </c>
      <c r="M870" s="82">
        <v>123</v>
      </c>
      <c r="N870" s="82">
        <v>475</v>
      </c>
      <c r="O870" s="82">
        <v>219</v>
      </c>
      <c r="P870" s="82">
        <v>3880</v>
      </c>
      <c r="Q870" s="82">
        <v>44658</v>
      </c>
      <c r="R870" s="12" t="s">
        <v>25</v>
      </c>
      <c r="S870" s="12" t="s">
        <v>25</v>
      </c>
      <c r="T870" s="12" t="s">
        <v>25</v>
      </c>
    </row>
    <row r="871" spans="1:20" x14ac:dyDescent="0.3">
      <c r="A871" s="13">
        <v>43926.708333333336</v>
      </c>
      <c r="B871" s="12" t="s">
        <v>22</v>
      </c>
      <c r="C871" s="82">
        <v>7</v>
      </c>
      <c r="D871" s="12" t="s">
        <v>49</v>
      </c>
      <c r="E871" s="82">
        <v>4441149315</v>
      </c>
      <c r="F871" s="82">
        <v>89326992</v>
      </c>
      <c r="G871" s="82">
        <v>1126</v>
      </c>
      <c r="H871" s="82">
        <v>165</v>
      </c>
      <c r="I871" s="82">
        <v>1291</v>
      </c>
      <c r="J871" s="82">
        <v>1802</v>
      </c>
      <c r="K871" s="82">
        <v>3093</v>
      </c>
      <c r="L871" s="82">
        <v>199</v>
      </c>
      <c r="M871" s="82">
        <v>246</v>
      </c>
      <c r="N871" s="82">
        <v>800</v>
      </c>
      <c r="O871" s="82">
        <v>556</v>
      </c>
      <c r="P871" s="82">
        <v>4449</v>
      </c>
      <c r="Q871" s="82">
        <v>15047</v>
      </c>
      <c r="R871" s="12" t="s">
        <v>25</v>
      </c>
      <c r="S871" s="12" t="s">
        <v>25</v>
      </c>
      <c r="T871" s="12" t="s">
        <v>25</v>
      </c>
    </row>
    <row r="872" spans="1:20" x14ac:dyDescent="0.3">
      <c r="A872" s="13">
        <v>43926.708333333336</v>
      </c>
      <c r="B872" s="12" t="s">
        <v>22</v>
      </c>
      <c r="C872" s="82">
        <v>3</v>
      </c>
      <c r="D872" s="12" t="s">
        <v>50</v>
      </c>
      <c r="E872" s="82">
        <v>4546679409</v>
      </c>
      <c r="F872" s="82">
        <v>9190347404</v>
      </c>
      <c r="G872" s="82">
        <v>12009</v>
      </c>
      <c r="H872" s="82">
        <v>1317</v>
      </c>
      <c r="I872" s="82">
        <v>13326</v>
      </c>
      <c r="J872" s="82">
        <v>14798</v>
      </c>
      <c r="K872" s="82">
        <v>28124</v>
      </c>
      <c r="L872" s="82">
        <v>904</v>
      </c>
      <c r="M872" s="82">
        <v>1337</v>
      </c>
      <c r="N872" s="82">
        <v>13426</v>
      </c>
      <c r="O872" s="82">
        <v>8905</v>
      </c>
      <c r="P872" s="82">
        <v>50455</v>
      </c>
      <c r="Q872" s="82">
        <v>149984</v>
      </c>
      <c r="R872" s="12" t="s">
        <v>25</v>
      </c>
      <c r="S872" s="12" t="s">
        <v>25</v>
      </c>
      <c r="T872" s="12" t="s">
        <v>25</v>
      </c>
    </row>
    <row r="873" spans="1:20" x14ac:dyDescent="0.3">
      <c r="A873" s="13">
        <v>43926.708333333336</v>
      </c>
      <c r="B873" s="12" t="s">
        <v>22</v>
      </c>
      <c r="C873" s="82">
        <v>11</v>
      </c>
      <c r="D873" s="12" t="s">
        <v>51</v>
      </c>
      <c r="E873" s="82">
        <v>4361675973</v>
      </c>
      <c r="F873" s="82">
        <v>135188753</v>
      </c>
      <c r="G873" s="82">
        <v>987</v>
      </c>
      <c r="H873" s="82">
        <v>151</v>
      </c>
      <c r="I873" s="82">
        <v>1138</v>
      </c>
      <c r="J873" s="82">
        <v>2440</v>
      </c>
      <c r="K873" s="82">
        <v>3578</v>
      </c>
      <c r="L873" s="82">
        <v>81</v>
      </c>
      <c r="M873" s="82">
        <v>123</v>
      </c>
      <c r="N873" s="82">
        <v>287</v>
      </c>
      <c r="O873" s="82">
        <v>599</v>
      </c>
      <c r="P873" s="82">
        <v>4464</v>
      </c>
      <c r="Q873" s="82">
        <v>15252</v>
      </c>
      <c r="R873" s="12" t="s">
        <v>25</v>
      </c>
      <c r="S873" s="12" t="s">
        <v>25</v>
      </c>
      <c r="T873" s="12" t="s">
        <v>25</v>
      </c>
    </row>
    <row r="874" spans="1:20" x14ac:dyDescent="0.3">
      <c r="A874" s="13">
        <v>43926.708333333336</v>
      </c>
      <c r="B874" s="12" t="s">
        <v>22</v>
      </c>
      <c r="C874" s="82">
        <v>14</v>
      </c>
      <c r="D874" s="12" t="s">
        <v>52</v>
      </c>
      <c r="E874" s="82">
        <v>4155774754</v>
      </c>
      <c r="F874" s="82">
        <v>1465916051</v>
      </c>
      <c r="G874" s="82">
        <v>33</v>
      </c>
      <c r="H874" s="82">
        <v>6</v>
      </c>
      <c r="I874" s="82">
        <v>39</v>
      </c>
      <c r="J874" s="82">
        <v>148</v>
      </c>
      <c r="K874" s="82">
        <v>187</v>
      </c>
      <c r="L874" s="82">
        <v>16</v>
      </c>
      <c r="M874" s="82">
        <v>18</v>
      </c>
      <c r="N874" s="82">
        <v>24</v>
      </c>
      <c r="O874" s="82">
        <v>13</v>
      </c>
      <c r="P874" s="82">
        <v>224</v>
      </c>
      <c r="Q874" s="82">
        <v>1504</v>
      </c>
      <c r="R874" s="12" t="s">
        <v>25</v>
      </c>
      <c r="S874" s="12" t="s">
        <v>25</v>
      </c>
      <c r="T874" s="12" t="s">
        <v>25</v>
      </c>
    </row>
    <row r="875" spans="1:20" x14ac:dyDescent="0.3">
      <c r="A875" s="13">
        <v>43926.708333333336</v>
      </c>
      <c r="B875" s="12" t="s">
        <v>22</v>
      </c>
      <c r="C875" s="82">
        <v>1</v>
      </c>
      <c r="D875" s="12" t="s">
        <v>53</v>
      </c>
      <c r="E875" s="82">
        <v>450732745</v>
      </c>
      <c r="F875" s="82">
        <v>7680687483</v>
      </c>
      <c r="G875" s="82">
        <v>3472</v>
      </c>
      <c r="H875" s="82">
        <v>444</v>
      </c>
      <c r="I875" s="82">
        <v>3916</v>
      </c>
      <c r="J875" s="82">
        <v>6261</v>
      </c>
      <c r="K875" s="82">
        <v>10177</v>
      </c>
      <c r="L875" s="82">
        <v>484</v>
      </c>
      <c r="M875" s="82">
        <v>653</v>
      </c>
      <c r="N875" s="82">
        <v>1017</v>
      </c>
      <c r="O875" s="82">
        <v>1168</v>
      </c>
      <c r="P875" s="82">
        <v>12362</v>
      </c>
      <c r="Q875" s="82">
        <v>38539</v>
      </c>
      <c r="R875" s="12" t="s">
        <v>25</v>
      </c>
      <c r="S875" s="12" t="s">
        <v>25</v>
      </c>
      <c r="T875" s="12" t="s">
        <v>25</v>
      </c>
    </row>
    <row r="876" spans="1:20" x14ac:dyDescent="0.3">
      <c r="A876" s="13">
        <v>43926.708333333336</v>
      </c>
      <c r="B876" s="12" t="s">
        <v>22</v>
      </c>
      <c r="C876" s="82">
        <v>16</v>
      </c>
      <c r="D876" s="12" t="s">
        <v>54</v>
      </c>
      <c r="E876" s="82">
        <v>4112559576</v>
      </c>
      <c r="F876" s="82">
        <v>1686736689</v>
      </c>
      <c r="G876" s="82">
        <v>574</v>
      </c>
      <c r="H876" s="82">
        <v>159</v>
      </c>
      <c r="I876" s="82">
        <v>733</v>
      </c>
      <c r="J876" s="82">
        <v>1289</v>
      </c>
      <c r="K876" s="82">
        <v>2022</v>
      </c>
      <c r="L876" s="82">
        <v>49</v>
      </c>
      <c r="M876" s="82">
        <v>77</v>
      </c>
      <c r="N876" s="82">
        <v>113</v>
      </c>
      <c r="O876" s="82">
        <v>182</v>
      </c>
      <c r="P876" s="82">
        <v>2317</v>
      </c>
      <c r="Q876" s="82">
        <v>20080</v>
      </c>
      <c r="R876" s="12" t="s">
        <v>25</v>
      </c>
      <c r="S876" s="12" t="s">
        <v>25</v>
      </c>
      <c r="T876" s="12" t="s">
        <v>25</v>
      </c>
    </row>
    <row r="877" spans="1:20" x14ac:dyDescent="0.3">
      <c r="A877" s="13">
        <v>43926.708333333336</v>
      </c>
      <c r="B877" s="12" t="s">
        <v>22</v>
      </c>
      <c r="C877" s="82">
        <v>20</v>
      </c>
      <c r="D877" s="12" t="s">
        <v>55</v>
      </c>
      <c r="E877" s="82">
        <v>3921531192</v>
      </c>
      <c r="F877" s="82">
        <v>9110616306</v>
      </c>
      <c r="G877" s="82">
        <v>126</v>
      </c>
      <c r="H877" s="82">
        <v>25</v>
      </c>
      <c r="I877" s="82">
        <v>151</v>
      </c>
      <c r="J877" s="82">
        <v>664</v>
      </c>
      <c r="K877" s="82">
        <v>815</v>
      </c>
      <c r="L877" s="82">
        <v>26</v>
      </c>
      <c r="M877" s="82">
        <v>33</v>
      </c>
      <c r="N877" s="82">
        <v>49</v>
      </c>
      <c r="O877" s="82">
        <v>43</v>
      </c>
      <c r="P877" s="82">
        <v>907</v>
      </c>
      <c r="Q877" s="82">
        <v>7157</v>
      </c>
      <c r="R877" s="12" t="s">
        <v>25</v>
      </c>
      <c r="S877" s="12" t="s">
        <v>25</v>
      </c>
      <c r="T877" s="12" t="s">
        <v>25</v>
      </c>
    </row>
    <row r="878" spans="1:20" x14ac:dyDescent="0.3">
      <c r="A878" s="13">
        <v>43926.708333333336</v>
      </c>
      <c r="B878" s="12" t="s">
        <v>22</v>
      </c>
      <c r="C878" s="82">
        <v>19</v>
      </c>
      <c r="D878" s="12" t="s">
        <v>56</v>
      </c>
      <c r="E878" s="82">
        <v>3811569725</v>
      </c>
      <c r="F878" s="82">
        <v>133623567</v>
      </c>
      <c r="G878" s="82">
        <v>556</v>
      </c>
      <c r="H878" s="82">
        <v>76</v>
      </c>
      <c r="I878" s="82">
        <v>632</v>
      </c>
      <c r="J878" s="82">
        <v>1142</v>
      </c>
      <c r="K878" s="82">
        <v>1774</v>
      </c>
      <c r="L878" s="82">
        <v>48</v>
      </c>
      <c r="M878" s="82">
        <v>62</v>
      </c>
      <c r="N878" s="82">
        <v>104</v>
      </c>
      <c r="O878" s="82">
        <v>116</v>
      </c>
      <c r="P878" s="82">
        <v>1994</v>
      </c>
      <c r="Q878" s="82">
        <v>21904</v>
      </c>
      <c r="R878" s="12" t="s">
        <v>25</v>
      </c>
      <c r="S878" s="12" t="s">
        <v>25</v>
      </c>
      <c r="T878" s="12" t="s">
        <v>25</v>
      </c>
    </row>
    <row r="879" spans="1:20" x14ac:dyDescent="0.3">
      <c r="A879" s="13">
        <v>43926.708333333336</v>
      </c>
      <c r="B879" s="12" t="s">
        <v>22</v>
      </c>
      <c r="C879" s="82">
        <v>9</v>
      </c>
      <c r="D879" s="12" t="s">
        <v>57</v>
      </c>
      <c r="E879" s="82">
        <v>4376923077</v>
      </c>
      <c r="F879" s="82">
        <v>1125588885</v>
      </c>
      <c r="G879" s="82">
        <v>1111</v>
      </c>
      <c r="H879" s="82">
        <v>276</v>
      </c>
      <c r="I879" s="82">
        <v>1387</v>
      </c>
      <c r="J879" s="82">
        <v>3798</v>
      </c>
      <c r="K879" s="82">
        <v>5185</v>
      </c>
      <c r="L879" s="82">
        <v>131</v>
      </c>
      <c r="M879" s="82">
        <v>176</v>
      </c>
      <c r="N879" s="82">
        <v>337</v>
      </c>
      <c r="O879" s="82">
        <v>325</v>
      </c>
      <c r="P879" s="82">
        <v>5847</v>
      </c>
      <c r="Q879" s="82">
        <v>51006</v>
      </c>
      <c r="R879" s="12" t="s">
        <v>25</v>
      </c>
      <c r="S879" s="12" t="s">
        <v>25</v>
      </c>
      <c r="T879" s="12" t="s">
        <v>25</v>
      </c>
    </row>
    <row r="880" spans="1:20" x14ac:dyDescent="0.3">
      <c r="A880" s="13">
        <v>43926.708333333336</v>
      </c>
      <c r="B880" s="12" t="s">
        <v>22</v>
      </c>
      <c r="C880" s="82">
        <v>4</v>
      </c>
      <c r="D880" s="12" t="s">
        <v>58</v>
      </c>
      <c r="E880" s="82">
        <v>4606893511</v>
      </c>
      <c r="F880" s="82">
        <v>1112123097</v>
      </c>
      <c r="G880" s="82">
        <v>352</v>
      </c>
      <c r="H880" s="82">
        <v>80</v>
      </c>
      <c r="I880" s="82">
        <v>432</v>
      </c>
      <c r="J880" s="82">
        <v>1363</v>
      </c>
      <c r="K880" s="82">
        <v>1795</v>
      </c>
      <c r="L880" s="82">
        <v>42</v>
      </c>
      <c r="M880" s="82">
        <v>65</v>
      </c>
      <c r="N880" s="82">
        <v>273</v>
      </c>
      <c r="O880" s="82">
        <v>217</v>
      </c>
      <c r="P880" s="82">
        <v>2285</v>
      </c>
      <c r="Q880" s="82">
        <v>10476</v>
      </c>
      <c r="R880" s="12" t="s">
        <v>25</v>
      </c>
      <c r="S880" s="12" t="s">
        <v>25</v>
      </c>
      <c r="T880" s="12" t="s">
        <v>25</v>
      </c>
    </row>
    <row r="881" spans="1:20" x14ac:dyDescent="0.3">
      <c r="A881" s="13">
        <v>43926.708333333336</v>
      </c>
      <c r="B881" s="12" t="s">
        <v>22</v>
      </c>
      <c r="C881" s="82">
        <v>10</v>
      </c>
      <c r="D881" s="12" t="s">
        <v>59</v>
      </c>
      <c r="E881" s="82">
        <v>4310675841</v>
      </c>
      <c r="F881" s="82">
        <v>1238824698</v>
      </c>
      <c r="G881" s="82">
        <v>159</v>
      </c>
      <c r="H881" s="82">
        <v>45</v>
      </c>
      <c r="I881" s="82">
        <v>204</v>
      </c>
      <c r="J881" s="82">
        <v>694</v>
      </c>
      <c r="K881" s="82">
        <v>898</v>
      </c>
      <c r="L881" s="82">
        <v>-29</v>
      </c>
      <c r="M881" s="82">
        <v>29</v>
      </c>
      <c r="N881" s="82">
        <v>298</v>
      </c>
      <c r="O881" s="82">
        <v>43</v>
      </c>
      <c r="P881" s="82">
        <v>1239</v>
      </c>
      <c r="Q881" s="82">
        <v>12448</v>
      </c>
      <c r="R881" s="12" t="s">
        <v>25</v>
      </c>
      <c r="S881" s="12" t="s">
        <v>25</v>
      </c>
      <c r="T881" s="12" t="s">
        <v>25</v>
      </c>
    </row>
    <row r="882" spans="1:20" x14ac:dyDescent="0.3">
      <c r="A882" s="13">
        <v>43926.708333333336</v>
      </c>
      <c r="B882" s="12" t="s">
        <v>22</v>
      </c>
      <c r="C882" s="82">
        <v>2</v>
      </c>
      <c r="D882" s="12" t="s">
        <v>60</v>
      </c>
      <c r="E882" s="82">
        <v>4573750286</v>
      </c>
      <c r="F882" s="82">
        <v>7320149366</v>
      </c>
      <c r="G882" s="82">
        <v>96</v>
      </c>
      <c r="H882" s="82">
        <v>23</v>
      </c>
      <c r="I882" s="82">
        <v>119</v>
      </c>
      <c r="J882" s="82">
        <v>457</v>
      </c>
      <c r="K882" s="82">
        <v>576</v>
      </c>
      <c r="L882" s="82">
        <v>16</v>
      </c>
      <c r="M882" s="82">
        <v>34</v>
      </c>
      <c r="N882" s="82">
        <v>115</v>
      </c>
      <c r="O882" s="82">
        <v>91</v>
      </c>
      <c r="P882" s="82">
        <v>782</v>
      </c>
      <c r="Q882" s="82">
        <v>2390</v>
      </c>
      <c r="R882" s="12" t="s">
        <v>25</v>
      </c>
      <c r="S882" s="12" t="s">
        <v>25</v>
      </c>
      <c r="T882" s="12" t="s">
        <v>25</v>
      </c>
    </row>
    <row r="883" spans="1:20" x14ac:dyDescent="0.3">
      <c r="A883" s="13">
        <v>43926.708333333336</v>
      </c>
      <c r="B883" s="12" t="s">
        <v>22</v>
      </c>
      <c r="C883" s="82">
        <v>5</v>
      </c>
      <c r="D883" s="12" t="s">
        <v>61</v>
      </c>
      <c r="E883" s="82">
        <v>4543490485</v>
      </c>
      <c r="F883" s="82">
        <v>1233845213</v>
      </c>
      <c r="G883" s="82">
        <v>1674</v>
      </c>
      <c r="H883" s="82">
        <v>329</v>
      </c>
      <c r="I883" s="82">
        <v>2003</v>
      </c>
      <c r="J883" s="82">
        <v>7406</v>
      </c>
      <c r="K883" s="82">
        <v>9409</v>
      </c>
      <c r="L883" s="82">
        <v>316</v>
      </c>
      <c r="M883" s="82">
        <v>402</v>
      </c>
      <c r="N883" s="82">
        <v>1186</v>
      </c>
      <c r="O883" s="82">
        <v>631</v>
      </c>
      <c r="P883" s="82">
        <v>11226</v>
      </c>
      <c r="Q883" s="82">
        <v>140910</v>
      </c>
      <c r="R883" s="12" t="s">
        <v>25</v>
      </c>
      <c r="S883" s="12" t="s">
        <v>25</v>
      </c>
      <c r="T883" s="12" t="s">
        <v>25</v>
      </c>
    </row>
    <row r="884" spans="1:20" x14ac:dyDescent="0.3">
      <c r="A884" s="13">
        <v>43927.708333333336</v>
      </c>
      <c r="B884" s="12" t="s">
        <v>22</v>
      </c>
      <c r="C884" s="82">
        <v>13</v>
      </c>
      <c r="D884" s="12" t="s">
        <v>42</v>
      </c>
      <c r="E884" s="82">
        <v>4235122196</v>
      </c>
      <c r="F884" s="82">
        <v>1339843823</v>
      </c>
      <c r="G884" s="82">
        <v>340</v>
      </c>
      <c r="H884" s="82">
        <v>66</v>
      </c>
      <c r="I884" s="82">
        <v>406</v>
      </c>
      <c r="J884" s="82">
        <v>1019</v>
      </c>
      <c r="K884" s="82">
        <v>1425</v>
      </c>
      <c r="L884" s="82">
        <v>5</v>
      </c>
      <c r="M884" s="82">
        <v>18</v>
      </c>
      <c r="N884" s="82">
        <v>127</v>
      </c>
      <c r="O884" s="82">
        <v>169</v>
      </c>
      <c r="P884" s="82">
        <v>1721</v>
      </c>
      <c r="Q884" s="82">
        <v>14198</v>
      </c>
      <c r="R884" s="12" t="s">
        <v>25</v>
      </c>
      <c r="S884" s="12" t="s">
        <v>25</v>
      </c>
      <c r="T884" s="12" t="s">
        <v>25</v>
      </c>
    </row>
    <row r="885" spans="1:20" x14ac:dyDescent="0.3">
      <c r="A885" s="13">
        <v>43927.708333333336</v>
      </c>
      <c r="B885" s="12" t="s">
        <v>22</v>
      </c>
      <c r="C885" s="82">
        <v>17</v>
      </c>
      <c r="D885" s="12" t="s">
        <v>43</v>
      </c>
      <c r="E885" s="82">
        <v>4063947052</v>
      </c>
      <c r="F885" s="82">
        <v>1580514834</v>
      </c>
      <c r="G885" s="82">
        <v>46</v>
      </c>
      <c r="H885" s="82">
        <v>18</v>
      </c>
      <c r="I885" s="82">
        <v>64</v>
      </c>
      <c r="J885" s="82">
        <v>198</v>
      </c>
      <c r="K885" s="82">
        <v>262</v>
      </c>
      <c r="L885" s="82">
        <v>8</v>
      </c>
      <c r="M885" s="82">
        <v>9</v>
      </c>
      <c r="N885" s="82">
        <v>12</v>
      </c>
      <c r="O885" s="82">
        <v>13</v>
      </c>
      <c r="P885" s="82">
        <v>287</v>
      </c>
      <c r="Q885" s="82">
        <v>3061</v>
      </c>
      <c r="R885" s="12" t="s">
        <v>25</v>
      </c>
      <c r="S885" s="12" t="s">
        <v>25</v>
      </c>
      <c r="T885" s="12" t="s">
        <v>25</v>
      </c>
    </row>
    <row r="886" spans="1:20" x14ac:dyDescent="0.3">
      <c r="A886" s="13">
        <v>43927.708333333336</v>
      </c>
      <c r="B886" s="12" t="s">
        <v>22</v>
      </c>
      <c r="C886" s="82">
        <v>4</v>
      </c>
      <c r="D886" s="12" t="s">
        <v>44</v>
      </c>
      <c r="E886" s="82">
        <v>4649933453</v>
      </c>
      <c r="F886" s="82">
        <v>1135662422</v>
      </c>
      <c r="G886" s="82">
        <v>245</v>
      </c>
      <c r="H886" s="82">
        <v>52</v>
      </c>
      <c r="I886" s="82">
        <v>297</v>
      </c>
      <c r="J886" s="82">
        <v>963</v>
      </c>
      <c r="K886" s="82">
        <v>1260</v>
      </c>
      <c r="L886" s="82">
        <v>34</v>
      </c>
      <c r="M886" s="82">
        <v>78</v>
      </c>
      <c r="N886" s="82">
        <v>298</v>
      </c>
      <c r="O886" s="82">
        <v>164</v>
      </c>
      <c r="P886" s="82">
        <v>1722</v>
      </c>
      <c r="Q886" s="82">
        <v>16825</v>
      </c>
      <c r="R886" s="12" t="s">
        <v>25</v>
      </c>
      <c r="S886" s="12" t="s">
        <v>25</v>
      </c>
      <c r="T886" s="12" t="s">
        <v>25</v>
      </c>
    </row>
    <row r="887" spans="1:20" x14ac:dyDescent="0.3">
      <c r="A887" s="13">
        <v>43927.708333333336</v>
      </c>
      <c r="B887" s="12" t="s">
        <v>22</v>
      </c>
      <c r="C887" s="82">
        <v>18</v>
      </c>
      <c r="D887" s="12" t="s">
        <v>45</v>
      </c>
      <c r="E887" s="82">
        <v>3890597598</v>
      </c>
      <c r="F887" s="82">
        <v>1659440194</v>
      </c>
      <c r="G887" s="82">
        <v>170</v>
      </c>
      <c r="H887" s="82">
        <v>14</v>
      </c>
      <c r="I887" s="82">
        <v>184</v>
      </c>
      <c r="J887" s="82">
        <v>538</v>
      </c>
      <c r="K887" s="82">
        <v>722</v>
      </c>
      <c r="L887" s="82">
        <v>16</v>
      </c>
      <c r="M887" s="82">
        <v>22</v>
      </c>
      <c r="N887" s="82">
        <v>37</v>
      </c>
      <c r="O887" s="82">
        <v>58</v>
      </c>
      <c r="P887" s="82">
        <v>817</v>
      </c>
      <c r="Q887" s="82">
        <v>13633</v>
      </c>
      <c r="R887" s="12" t="s">
        <v>25</v>
      </c>
      <c r="S887" s="12" t="s">
        <v>25</v>
      </c>
      <c r="T887" s="12" t="s">
        <v>25</v>
      </c>
    </row>
    <row r="888" spans="1:20" x14ac:dyDescent="0.3">
      <c r="A888" s="13">
        <v>43927.708333333336</v>
      </c>
      <c r="B888" s="12" t="s">
        <v>22</v>
      </c>
      <c r="C888" s="82">
        <v>15</v>
      </c>
      <c r="D888" s="12" t="s">
        <v>46</v>
      </c>
      <c r="E888" s="82">
        <v>4083956555</v>
      </c>
      <c r="F888" s="82">
        <v>1425084984</v>
      </c>
      <c r="G888" s="82">
        <v>610</v>
      </c>
      <c r="H888" s="82">
        <v>101</v>
      </c>
      <c r="I888" s="82">
        <v>711</v>
      </c>
      <c r="J888" s="82">
        <v>1987</v>
      </c>
      <c r="K888" s="82">
        <v>2698</v>
      </c>
      <c r="L888" s="82">
        <v>77</v>
      </c>
      <c r="M888" s="82">
        <v>98</v>
      </c>
      <c r="N888" s="82">
        <v>156</v>
      </c>
      <c r="O888" s="82">
        <v>204</v>
      </c>
      <c r="P888" s="82">
        <v>3058</v>
      </c>
      <c r="Q888" s="82">
        <v>24526</v>
      </c>
      <c r="R888" s="12" t="s">
        <v>25</v>
      </c>
      <c r="S888" s="12" t="s">
        <v>25</v>
      </c>
      <c r="T888" s="12" t="s">
        <v>25</v>
      </c>
    </row>
    <row r="889" spans="1:20" x14ac:dyDescent="0.3">
      <c r="A889" s="13">
        <v>43927.708333333336</v>
      </c>
      <c r="B889" s="12" t="s">
        <v>22</v>
      </c>
      <c r="C889" s="82">
        <v>8</v>
      </c>
      <c r="D889" s="12" t="s">
        <v>95</v>
      </c>
      <c r="E889" s="82">
        <v>4449436681</v>
      </c>
      <c r="F889" s="82">
        <v>113417208</v>
      </c>
      <c r="G889" s="82">
        <v>3804</v>
      </c>
      <c r="H889" s="82">
        <v>372</v>
      </c>
      <c r="I889" s="82">
        <v>4176</v>
      </c>
      <c r="J889" s="82">
        <v>8875</v>
      </c>
      <c r="K889" s="82">
        <v>13051</v>
      </c>
      <c r="L889" s="82">
        <v>214</v>
      </c>
      <c r="M889" s="82">
        <v>467</v>
      </c>
      <c r="N889" s="82">
        <v>2397</v>
      </c>
      <c r="O889" s="82">
        <v>2108</v>
      </c>
      <c r="P889" s="82">
        <v>17556</v>
      </c>
      <c r="Q889" s="82">
        <v>72163</v>
      </c>
      <c r="R889" s="12" t="s">
        <v>25</v>
      </c>
      <c r="S889" s="12" t="s">
        <v>25</v>
      </c>
      <c r="T889" s="12" t="s">
        <v>25</v>
      </c>
    </row>
    <row r="890" spans="1:20" x14ac:dyDescent="0.3">
      <c r="A890" s="13">
        <v>43927.708333333336</v>
      </c>
      <c r="B890" s="12" t="s">
        <v>22</v>
      </c>
      <c r="C890" s="82">
        <v>6</v>
      </c>
      <c r="D890" s="12" t="s">
        <v>47</v>
      </c>
      <c r="E890" s="82">
        <v>456494354</v>
      </c>
      <c r="F890" s="82">
        <v>1376813649</v>
      </c>
      <c r="G890" s="82">
        <v>189</v>
      </c>
      <c r="H890" s="82">
        <v>46</v>
      </c>
      <c r="I890" s="82">
        <v>235</v>
      </c>
      <c r="J890" s="82">
        <v>1161</v>
      </c>
      <c r="K890" s="82">
        <v>1396</v>
      </c>
      <c r="L890" s="82">
        <v>33</v>
      </c>
      <c r="M890" s="82">
        <v>55</v>
      </c>
      <c r="N890" s="82">
        <v>549</v>
      </c>
      <c r="O890" s="82">
        <v>158</v>
      </c>
      <c r="P890" s="82">
        <v>2103</v>
      </c>
      <c r="Q890" s="82">
        <v>22272</v>
      </c>
      <c r="R890" s="12" t="s">
        <v>25</v>
      </c>
      <c r="S890" s="12" t="s">
        <v>25</v>
      </c>
      <c r="T890" s="12" t="s">
        <v>25</v>
      </c>
    </row>
    <row r="891" spans="1:20" x14ac:dyDescent="0.3">
      <c r="A891" s="13">
        <v>43927.708333333336</v>
      </c>
      <c r="B891" s="12" t="s">
        <v>22</v>
      </c>
      <c r="C891" s="82">
        <v>12</v>
      </c>
      <c r="D891" s="12" t="s">
        <v>48</v>
      </c>
      <c r="E891" s="82">
        <v>4189277044</v>
      </c>
      <c r="F891" s="82">
        <v>1248366722</v>
      </c>
      <c r="G891" s="82">
        <v>1235</v>
      </c>
      <c r="H891" s="82">
        <v>197</v>
      </c>
      <c r="I891" s="82">
        <v>1432</v>
      </c>
      <c r="J891" s="82">
        <v>1868</v>
      </c>
      <c r="K891" s="82">
        <v>3300</v>
      </c>
      <c r="L891" s="82">
        <v>114</v>
      </c>
      <c r="M891" s="82">
        <v>151</v>
      </c>
      <c r="N891" s="82">
        <v>502</v>
      </c>
      <c r="O891" s="82">
        <v>229</v>
      </c>
      <c r="P891" s="82">
        <v>4031</v>
      </c>
      <c r="Q891" s="82">
        <v>47470</v>
      </c>
      <c r="R891" s="12" t="s">
        <v>25</v>
      </c>
      <c r="S891" s="12" t="s">
        <v>25</v>
      </c>
      <c r="T891" s="12" t="s">
        <v>25</v>
      </c>
    </row>
    <row r="892" spans="1:20" x14ac:dyDescent="0.3">
      <c r="A892" s="13">
        <v>43927.708333333336</v>
      </c>
      <c r="B892" s="12" t="s">
        <v>22</v>
      </c>
      <c r="C892" s="82">
        <v>7</v>
      </c>
      <c r="D892" s="12" t="s">
        <v>49</v>
      </c>
      <c r="E892" s="82">
        <v>4441149315</v>
      </c>
      <c r="F892" s="82">
        <v>89326992</v>
      </c>
      <c r="G892" s="82">
        <v>1141</v>
      </c>
      <c r="H892" s="82">
        <v>162</v>
      </c>
      <c r="I892" s="82">
        <v>1303</v>
      </c>
      <c r="J892" s="82">
        <v>1814</v>
      </c>
      <c r="K892" s="82">
        <v>3117</v>
      </c>
      <c r="L892" s="82">
        <v>24</v>
      </c>
      <c r="M892" s="82">
        <v>100</v>
      </c>
      <c r="N892" s="82">
        <v>837</v>
      </c>
      <c r="O892" s="82">
        <v>595</v>
      </c>
      <c r="P892" s="82">
        <v>4549</v>
      </c>
      <c r="Q892" s="82">
        <v>15533</v>
      </c>
      <c r="R892" s="12" t="s">
        <v>25</v>
      </c>
      <c r="S892" s="12" t="s">
        <v>25</v>
      </c>
      <c r="T892" s="12" t="s">
        <v>25</v>
      </c>
    </row>
    <row r="893" spans="1:20" x14ac:dyDescent="0.3">
      <c r="A893" s="13">
        <v>43927.708333333336</v>
      </c>
      <c r="B893" s="12" t="s">
        <v>22</v>
      </c>
      <c r="C893" s="82">
        <v>3</v>
      </c>
      <c r="D893" s="12" t="s">
        <v>50</v>
      </c>
      <c r="E893" s="82">
        <v>4546679409</v>
      </c>
      <c r="F893" s="82">
        <v>9190347404</v>
      </c>
      <c r="G893" s="82">
        <v>11914</v>
      </c>
      <c r="H893" s="82">
        <v>1343</v>
      </c>
      <c r="I893" s="82">
        <v>13257</v>
      </c>
      <c r="J893" s="82">
        <v>15212</v>
      </c>
      <c r="K893" s="82">
        <v>28469</v>
      </c>
      <c r="L893" s="82">
        <v>345</v>
      </c>
      <c r="M893" s="82">
        <v>1079</v>
      </c>
      <c r="N893" s="82">
        <v>13863</v>
      </c>
      <c r="O893" s="82">
        <v>9202</v>
      </c>
      <c r="P893" s="82">
        <v>51534</v>
      </c>
      <c r="Q893" s="82">
        <v>154989</v>
      </c>
      <c r="R893" s="12" t="s">
        <v>25</v>
      </c>
      <c r="S893" s="12" t="s">
        <v>25</v>
      </c>
      <c r="T893" s="12" t="s">
        <v>25</v>
      </c>
    </row>
    <row r="894" spans="1:20" x14ac:dyDescent="0.3">
      <c r="A894" s="13">
        <v>43927.708333333336</v>
      </c>
      <c r="B894" s="12" t="s">
        <v>22</v>
      </c>
      <c r="C894" s="82">
        <v>11</v>
      </c>
      <c r="D894" s="12" t="s">
        <v>51</v>
      </c>
      <c r="E894" s="82">
        <v>4361675973</v>
      </c>
      <c r="F894" s="82">
        <v>135188753</v>
      </c>
      <c r="G894" s="82">
        <v>1001</v>
      </c>
      <c r="H894" s="82">
        <v>140</v>
      </c>
      <c r="I894" s="82">
        <v>1141</v>
      </c>
      <c r="J894" s="82">
        <v>2565</v>
      </c>
      <c r="K894" s="82">
        <v>3706</v>
      </c>
      <c r="L894" s="82">
        <v>128</v>
      </c>
      <c r="M894" s="82">
        <v>150</v>
      </c>
      <c r="N894" s="82">
        <v>296</v>
      </c>
      <c r="O894" s="82">
        <v>612</v>
      </c>
      <c r="P894" s="82">
        <v>4614</v>
      </c>
      <c r="Q894" s="82">
        <v>15919</v>
      </c>
      <c r="R894" s="12" t="s">
        <v>25</v>
      </c>
      <c r="S894" s="12" t="s">
        <v>25</v>
      </c>
      <c r="T894" s="12" t="s">
        <v>25</v>
      </c>
    </row>
    <row r="895" spans="1:20" x14ac:dyDescent="0.3">
      <c r="A895" s="13">
        <v>43927.708333333336</v>
      </c>
      <c r="B895" s="12" t="s">
        <v>22</v>
      </c>
      <c r="C895" s="82">
        <v>14</v>
      </c>
      <c r="D895" s="12" t="s">
        <v>52</v>
      </c>
      <c r="E895" s="82">
        <v>4155774754</v>
      </c>
      <c r="F895" s="82">
        <v>1465916051</v>
      </c>
      <c r="G895" s="82">
        <v>34</v>
      </c>
      <c r="H895" s="82">
        <v>5</v>
      </c>
      <c r="I895" s="82">
        <v>39</v>
      </c>
      <c r="J895" s="82">
        <v>148</v>
      </c>
      <c r="K895" s="82">
        <v>187</v>
      </c>
      <c r="L895" s="82">
        <v>0</v>
      </c>
      <c r="M895" s="82">
        <v>0</v>
      </c>
      <c r="N895" s="82">
        <v>24</v>
      </c>
      <c r="O895" s="82">
        <v>13</v>
      </c>
      <c r="P895" s="82">
        <v>224</v>
      </c>
      <c r="Q895" s="82">
        <v>1546</v>
      </c>
      <c r="R895" s="12" t="s">
        <v>25</v>
      </c>
      <c r="S895" s="12" t="s">
        <v>25</v>
      </c>
      <c r="T895" s="12" t="s">
        <v>25</v>
      </c>
    </row>
    <row r="896" spans="1:20" x14ac:dyDescent="0.3">
      <c r="A896" s="13">
        <v>43927.708333333336</v>
      </c>
      <c r="B896" s="12" t="s">
        <v>22</v>
      </c>
      <c r="C896" s="82">
        <v>1</v>
      </c>
      <c r="D896" s="12" t="s">
        <v>53</v>
      </c>
      <c r="E896" s="82">
        <v>450732745</v>
      </c>
      <c r="F896" s="82">
        <v>7680687483</v>
      </c>
      <c r="G896" s="82">
        <v>3484</v>
      </c>
      <c r="H896" s="82">
        <v>438</v>
      </c>
      <c r="I896" s="82">
        <v>3922</v>
      </c>
      <c r="J896" s="82">
        <v>6623</v>
      </c>
      <c r="K896" s="82">
        <v>10545</v>
      </c>
      <c r="L896" s="82">
        <v>368</v>
      </c>
      <c r="M896" s="82">
        <v>562</v>
      </c>
      <c r="N896" s="82">
        <v>1128</v>
      </c>
      <c r="O896" s="82">
        <v>1251</v>
      </c>
      <c r="P896" s="82">
        <v>12924</v>
      </c>
      <c r="Q896" s="82">
        <v>41123</v>
      </c>
      <c r="R896" s="12" t="s">
        <v>25</v>
      </c>
      <c r="S896" s="12" t="s">
        <v>25</v>
      </c>
      <c r="T896" s="12" t="s">
        <v>25</v>
      </c>
    </row>
    <row r="897" spans="1:20" x14ac:dyDescent="0.3">
      <c r="A897" s="13">
        <v>43927.708333333336</v>
      </c>
      <c r="B897" s="12" t="s">
        <v>22</v>
      </c>
      <c r="C897" s="82">
        <v>16</v>
      </c>
      <c r="D897" s="12" t="s">
        <v>54</v>
      </c>
      <c r="E897" s="82">
        <v>4112559576</v>
      </c>
      <c r="F897" s="82">
        <v>1686736689</v>
      </c>
      <c r="G897" s="82">
        <v>625</v>
      </c>
      <c r="H897" s="82">
        <v>97</v>
      </c>
      <c r="I897" s="82">
        <v>722</v>
      </c>
      <c r="J897" s="82">
        <v>1393</v>
      </c>
      <c r="K897" s="82">
        <v>2115</v>
      </c>
      <c r="L897" s="82">
        <v>93</v>
      </c>
      <c r="M897" s="82">
        <v>127</v>
      </c>
      <c r="N897" s="82">
        <v>134</v>
      </c>
      <c r="O897" s="82">
        <v>195</v>
      </c>
      <c r="P897" s="82">
        <v>2444</v>
      </c>
      <c r="Q897" s="82">
        <v>22059</v>
      </c>
      <c r="R897" s="12" t="s">
        <v>25</v>
      </c>
      <c r="S897" s="12" t="s">
        <v>25</v>
      </c>
      <c r="T897" s="12" t="s">
        <v>25</v>
      </c>
    </row>
    <row r="898" spans="1:20" x14ac:dyDescent="0.3">
      <c r="A898" s="13">
        <v>43927.708333333336</v>
      </c>
      <c r="B898" s="12" t="s">
        <v>22</v>
      </c>
      <c r="C898" s="82">
        <v>20</v>
      </c>
      <c r="D898" s="12" t="s">
        <v>55</v>
      </c>
      <c r="E898" s="82">
        <v>3921531192</v>
      </c>
      <c r="F898" s="82">
        <v>9110616306</v>
      </c>
      <c r="G898" s="82">
        <v>123</v>
      </c>
      <c r="H898" s="82">
        <v>26</v>
      </c>
      <c r="I898" s="82">
        <v>149</v>
      </c>
      <c r="J898" s="82">
        <v>670</v>
      </c>
      <c r="K898" s="82">
        <v>819</v>
      </c>
      <c r="L898" s="82">
        <v>4</v>
      </c>
      <c r="M898" s="82">
        <v>15</v>
      </c>
      <c r="N898" s="82">
        <v>56</v>
      </c>
      <c r="O898" s="82">
        <v>47</v>
      </c>
      <c r="P898" s="82">
        <v>922</v>
      </c>
      <c r="Q898" s="82">
        <v>7521</v>
      </c>
      <c r="R898" s="12" t="s">
        <v>25</v>
      </c>
      <c r="S898" s="12" t="s">
        <v>25</v>
      </c>
      <c r="T898" s="12" t="s">
        <v>25</v>
      </c>
    </row>
    <row r="899" spans="1:20" x14ac:dyDescent="0.3">
      <c r="A899" s="13">
        <v>43927.708333333336</v>
      </c>
      <c r="B899" s="12" t="s">
        <v>22</v>
      </c>
      <c r="C899" s="82">
        <v>19</v>
      </c>
      <c r="D899" s="12" t="s">
        <v>56</v>
      </c>
      <c r="E899" s="82">
        <v>3811569725</v>
      </c>
      <c r="F899" s="82">
        <v>133623567</v>
      </c>
      <c r="G899" s="82">
        <v>563</v>
      </c>
      <c r="H899" s="82">
        <v>74</v>
      </c>
      <c r="I899" s="82">
        <v>637</v>
      </c>
      <c r="J899" s="82">
        <v>1178</v>
      </c>
      <c r="K899" s="82">
        <v>1815</v>
      </c>
      <c r="L899" s="82">
        <v>41</v>
      </c>
      <c r="M899" s="82">
        <v>52</v>
      </c>
      <c r="N899" s="82">
        <v>108</v>
      </c>
      <c r="O899" s="82">
        <v>123</v>
      </c>
      <c r="P899" s="82">
        <v>2046</v>
      </c>
      <c r="Q899" s="82">
        <v>23464</v>
      </c>
      <c r="R899" s="12" t="s">
        <v>25</v>
      </c>
      <c r="S899" s="12" t="s">
        <v>25</v>
      </c>
      <c r="T899" s="12" t="s">
        <v>25</v>
      </c>
    </row>
    <row r="900" spans="1:20" x14ac:dyDescent="0.3">
      <c r="A900" s="13">
        <v>43927.708333333336</v>
      </c>
      <c r="B900" s="12" t="s">
        <v>22</v>
      </c>
      <c r="C900" s="82">
        <v>9</v>
      </c>
      <c r="D900" s="12" t="s">
        <v>57</v>
      </c>
      <c r="E900" s="82">
        <v>4376923077</v>
      </c>
      <c r="F900" s="82">
        <v>1125588885</v>
      </c>
      <c r="G900" s="82">
        <v>1116</v>
      </c>
      <c r="H900" s="82">
        <v>279</v>
      </c>
      <c r="I900" s="82">
        <v>1395</v>
      </c>
      <c r="J900" s="82">
        <v>3906</v>
      </c>
      <c r="K900" s="82">
        <v>5301</v>
      </c>
      <c r="L900" s="82">
        <v>116</v>
      </c>
      <c r="M900" s="82">
        <v>154</v>
      </c>
      <c r="N900" s="82">
        <v>350</v>
      </c>
      <c r="O900" s="82">
        <v>350</v>
      </c>
      <c r="P900" s="82">
        <v>6001</v>
      </c>
      <c r="Q900" s="82">
        <v>52849</v>
      </c>
      <c r="R900" s="12" t="s">
        <v>25</v>
      </c>
      <c r="S900" s="12" t="s">
        <v>25</v>
      </c>
      <c r="T900" s="12" t="s">
        <v>25</v>
      </c>
    </row>
    <row r="901" spans="1:20" x14ac:dyDescent="0.3">
      <c r="A901" s="13">
        <v>43927.708333333336</v>
      </c>
      <c r="B901" s="12" t="s">
        <v>22</v>
      </c>
      <c r="C901" s="82">
        <v>4</v>
      </c>
      <c r="D901" s="12" t="s">
        <v>58</v>
      </c>
      <c r="E901" s="82">
        <v>4606893511</v>
      </c>
      <c r="F901" s="82">
        <v>1112123097</v>
      </c>
      <c r="G901" s="82">
        <v>354</v>
      </c>
      <c r="H901" s="82">
        <v>79</v>
      </c>
      <c r="I901" s="82">
        <v>433</v>
      </c>
      <c r="J901" s="82">
        <v>1405</v>
      </c>
      <c r="K901" s="82">
        <v>1838</v>
      </c>
      <c r="L901" s="82">
        <v>43</v>
      </c>
      <c r="M901" s="82">
        <v>63</v>
      </c>
      <c r="N901" s="82">
        <v>280</v>
      </c>
      <c r="O901" s="82">
        <v>230</v>
      </c>
      <c r="P901" s="82">
        <v>2348</v>
      </c>
      <c r="Q901" s="82">
        <v>11130</v>
      </c>
      <c r="R901" s="12" t="s">
        <v>25</v>
      </c>
      <c r="S901" s="12" t="s">
        <v>25</v>
      </c>
      <c r="T901" s="12" t="s">
        <v>25</v>
      </c>
    </row>
    <row r="902" spans="1:20" x14ac:dyDescent="0.3">
      <c r="A902" s="13">
        <v>43927.708333333336</v>
      </c>
      <c r="B902" s="12" t="s">
        <v>22</v>
      </c>
      <c r="C902" s="82">
        <v>10</v>
      </c>
      <c r="D902" s="12" t="s">
        <v>59</v>
      </c>
      <c r="E902" s="82">
        <v>4310675841</v>
      </c>
      <c r="F902" s="82">
        <v>1238824698</v>
      </c>
      <c r="G902" s="82">
        <v>159</v>
      </c>
      <c r="H902" s="82">
        <v>46</v>
      </c>
      <c r="I902" s="82">
        <v>205</v>
      </c>
      <c r="J902" s="82">
        <v>667</v>
      </c>
      <c r="K902" s="82">
        <v>872</v>
      </c>
      <c r="L902" s="82">
        <v>-26</v>
      </c>
      <c r="M902" s="82">
        <v>14</v>
      </c>
      <c r="N902" s="82">
        <v>337</v>
      </c>
      <c r="O902" s="82">
        <v>44</v>
      </c>
      <c r="P902" s="82">
        <v>1253</v>
      </c>
      <c r="Q902" s="82">
        <v>12573</v>
      </c>
      <c r="R902" s="12" t="s">
        <v>25</v>
      </c>
      <c r="S902" s="12" t="s">
        <v>25</v>
      </c>
      <c r="T902" s="12" t="s">
        <v>25</v>
      </c>
    </row>
    <row r="903" spans="1:20" x14ac:dyDescent="0.3">
      <c r="A903" s="13">
        <v>43927.708333333336</v>
      </c>
      <c r="B903" s="12" t="s">
        <v>22</v>
      </c>
      <c r="C903" s="82">
        <v>2</v>
      </c>
      <c r="D903" s="12" t="s">
        <v>60</v>
      </c>
      <c r="E903" s="82">
        <v>4573750286</v>
      </c>
      <c r="F903" s="82">
        <v>7320149366</v>
      </c>
      <c r="G903" s="82">
        <v>109</v>
      </c>
      <c r="H903" s="82">
        <v>21</v>
      </c>
      <c r="I903" s="82">
        <v>130</v>
      </c>
      <c r="J903" s="82">
        <v>437</v>
      </c>
      <c r="K903" s="82">
        <v>567</v>
      </c>
      <c r="L903" s="82">
        <v>-9</v>
      </c>
      <c r="M903" s="82">
        <v>23</v>
      </c>
      <c r="N903" s="82">
        <v>142</v>
      </c>
      <c r="O903" s="82">
        <v>96</v>
      </c>
      <c r="P903" s="82">
        <v>805</v>
      </c>
      <c r="Q903" s="82">
        <v>2590</v>
      </c>
      <c r="R903" s="12" t="s">
        <v>25</v>
      </c>
      <c r="S903" s="12" t="s">
        <v>25</v>
      </c>
      <c r="T903" s="12" t="s">
        <v>25</v>
      </c>
    </row>
    <row r="904" spans="1:20" x14ac:dyDescent="0.3">
      <c r="A904" s="13">
        <v>43927.708333333336</v>
      </c>
      <c r="B904" s="12" t="s">
        <v>22</v>
      </c>
      <c r="C904" s="82">
        <v>5</v>
      </c>
      <c r="D904" s="12" t="s">
        <v>61</v>
      </c>
      <c r="E904" s="82">
        <v>4543490485</v>
      </c>
      <c r="F904" s="82">
        <v>1233845213</v>
      </c>
      <c r="G904" s="82">
        <v>1714</v>
      </c>
      <c r="H904" s="82">
        <v>322</v>
      </c>
      <c r="I904" s="82">
        <v>2036</v>
      </c>
      <c r="J904" s="82">
        <v>7686</v>
      </c>
      <c r="K904" s="82">
        <v>9722</v>
      </c>
      <c r="L904" s="82">
        <v>313</v>
      </c>
      <c r="M904" s="82">
        <v>362</v>
      </c>
      <c r="N904" s="82">
        <v>1204</v>
      </c>
      <c r="O904" s="82">
        <v>662</v>
      </c>
      <c r="P904" s="82">
        <v>11588</v>
      </c>
      <c r="Q904" s="82">
        <v>146288</v>
      </c>
      <c r="R904" s="12" t="s">
        <v>25</v>
      </c>
      <c r="S904" s="12" t="s">
        <v>25</v>
      </c>
      <c r="T904" s="12" t="s">
        <v>25</v>
      </c>
    </row>
    <row r="905" spans="1:20" x14ac:dyDescent="0.3">
      <c r="A905" s="13">
        <v>43928.708333333336</v>
      </c>
      <c r="B905" s="12" t="s">
        <v>22</v>
      </c>
      <c r="C905" s="82">
        <v>13</v>
      </c>
      <c r="D905" s="12" t="s">
        <v>42</v>
      </c>
      <c r="E905" s="82">
        <v>4235122196</v>
      </c>
      <c r="F905" s="82">
        <v>1339843823</v>
      </c>
      <c r="G905" s="82">
        <v>337</v>
      </c>
      <c r="H905" s="82">
        <v>67</v>
      </c>
      <c r="I905" s="82">
        <v>404</v>
      </c>
      <c r="J905" s="82">
        <v>1087</v>
      </c>
      <c r="K905" s="82">
        <v>1491</v>
      </c>
      <c r="L905" s="82">
        <v>66</v>
      </c>
      <c r="M905" s="82">
        <v>78</v>
      </c>
      <c r="N905" s="82">
        <v>136</v>
      </c>
      <c r="O905" s="82">
        <v>172</v>
      </c>
      <c r="P905" s="82">
        <v>1799</v>
      </c>
      <c r="Q905" s="82">
        <v>14904</v>
      </c>
      <c r="R905" s="12" t="s">
        <v>25</v>
      </c>
      <c r="S905" s="12" t="s">
        <v>25</v>
      </c>
      <c r="T905" s="12" t="s">
        <v>25</v>
      </c>
    </row>
    <row r="906" spans="1:20" x14ac:dyDescent="0.3">
      <c r="A906" s="13">
        <v>43928.708333333336</v>
      </c>
      <c r="B906" s="12" t="s">
        <v>22</v>
      </c>
      <c r="C906" s="82">
        <v>17</v>
      </c>
      <c r="D906" s="12" t="s">
        <v>43</v>
      </c>
      <c r="E906" s="82">
        <v>4063947052</v>
      </c>
      <c r="F906" s="82">
        <v>1580514834</v>
      </c>
      <c r="G906" s="82">
        <v>47</v>
      </c>
      <c r="H906" s="82">
        <v>17</v>
      </c>
      <c r="I906" s="82">
        <v>64</v>
      </c>
      <c r="J906" s="82">
        <v>201</v>
      </c>
      <c r="K906" s="82">
        <v>265</v>
      </c>
      <c r="L906" s="82">
        <v>3</v>
      </c>
      <c r="M906" s="82">
        <v>4</v>
      </c>
      <c r="N906" s="82">
        <v>12</v>
      </c>
      <c r="O906" s="82">
        <v>14</v>
      </c>
      <c r="P906" s="82">
        <v>291</v>
      </c>
      <c r="Q906" s="82">
        <v>3160</v>
      </c>
      <c r="R906" s="12" t="s">
        <v>25</v>
      </c>
      <c r="S906" s="12" t="s">
        <v>25</v>
      </c>
      <c r="T906" s="12" t="s">
        <v>25</v>
      </c>
    </row>
    <row r="907" spans="1:20" x14ac:dyDescent="0.3">
      <c r="A907" s="13">
        <v>43928.708333333336</v>
      </c>
      <c r="B907" s="12" t="s">
        <v>22</v>
      </c>
      <c r="C907" s="82">
        <v>4</v>
      </c>
      <c r="D907" s="12" t="s">
        <v>44</v>
      </c>
      <c r="E907" s="82">
        <v>4649933453</v>
      </c>
      <c r="F907" s="82">
        <v>1135662422</v>
      </c>
      <c r="G907" s="82">
        <v>325</v>
      </c>
      <c r="H907" s="82">
        <v>64</v>
      </c>
      <c r="I907" s="82">
        <v>389</v>
      </c>
      <c r="J907" s="82">
        <v>912</v>
      </c>
      <c r="K907" s="82">
        <v>1301</v>
      </c>
      <c r="L907" s="82">
        <v>41</v>
      </c>
      <c r="M907" s="82">
        <v>89</v>
      </c>
      <c r="N907" s="82">
        <v>336</v>
      </c>
      <c r="O907" s="82">
        <v>174</v>
      </c>
      <c r="P907" s="82">
        <v>1811</v>
      </c>
      <c r="Q907" s="82">
        <v>17761</v>
      </c>
      <c r="R907" s="12" t="s">
        <v>25</v>
      </c>
      <c r="S907" s="12" t="s">
        <v>25</v>
      </c>
      <c r="T907" s="12" t="s">
        <v>25</v>
      </c>
    </row>
    <row r="908" spans="1:20" x14ac:dyDescent="0.3">
      <c r="A908" s="13">
        <v>43928.708333333336</v>
      </c>
      <c r="B908" s="12" t="s">
        <v>22</v>
      </c>
      <c r="C908" s="82">
        <v>18</v>
      </c>
      <c r="D908" s="12" t="s">
        <v>45</v>
      </c>
      <c r="E908" s="82">
        <v>3890597598</v>
      </c>
      <c r="F908" s="82">
        <v>1659440194</v>
      </c>
      <c r="G908" s="82">
        <v>169</v>
      </c>
      <c r="H908" s="82">
        <v>14</v>
      </c>
      <c r="I908" s="82">
        <v>183</v>
      </c>
      <c r="J908" s="82">
        <v>550</v>
      </c>
      <c r="K908" s="82">
        <v>733</v>
      </c>
      <c r="L908" s="82">
        <v>11</v>
      </c>
      <c r="M908" s="82">
        <v>16</v>
      </c>
      <c r="N908" s="82">
        <v>40</v>
      </c>
      <c r="O908" s="82">
        <v>60</v>
      </c>
      <c r="P908" s="82">
        <v>833</v>
      </c>
      <c r="Q908" s="82">
        <v>14072</v>
      </c>
      <c r="R908" s="12" t="s">
        <v>25</v>
      </c>
      <c r="S908" s="12" t="s">
        <v>25</v>
      </c>
      <c r="T908" s="12" t="s">
        <v>25</v>
      </c>
    </row>
    <row r="909" spans="1:20" x14ac:dyDescent="0.3">
      <c r="A909" s="13">
        <v>43928.708333333336</v>
      </c>
      <c r="B909" s="12" t="s">
        <v>22</v>
      </c>
      <c r="C909" s="82">
        <v>15</v>
      </c>
      <c r="D909" s="12" t="s">
        <v>46</v>
      </c>
      <c r="E909" s="82">
        <v>4083956555</v>
      </c>
      <c r="F909" s="82">
        <v>1425084984</v>
      </c>
      <c r="G909" s="82">
        <v>603</v>
      </c>
      <c r="H909" s="82">
        <v>103</v>
      </c>
      <c r="I909" s="82">
        <v>706</v>
      </c>
      <c r="J909" s="82">
        <v>2059</v>
      </c>
      <c r="K909" s="82">
        <v>2765</v>
      </c>
      <c r="L909" s="82">
        <v>67</v>
      </c>
      <c r="M909" s="82">
        <v>90</v>
      </c>
      <c r="N909" s="82">
        <v>167</v>
      </c>
      <c r="O909" s="82">
        <v>216</v>
      </c>
      <c r="P909" s="82">
        <v>3148</v>
      </c>
      <c r="Q909" s="82">
        <v>25779</v>
      </c>
      <c r="R909" s="12" t="s">
        <v>25</v>
      </c>
      <c r="S909" s="12" t="s">
        <v>25</v>
      </c>
      <c r="T909" s="12" t="s">
        <v>25</v>
      </c>
    </row>
    <row r="910" spans="1:20" x14ac:dyDescent="0.3">
      <c r="A910" s="13">
        <v>43928.708333333336</v>
      </c>
      <c r="B910" s="12" t="s">
        <v>22</v>
      </c>
      <c r="C910" s="82">
        <v>8</v>
      </c>
      <c r="D910" s="12" t="s">
        <v>95</v>
      </c>
      <c r="E910" s="82">
        <v>4449436681</v>
      </c>
      <c r="F910" s="82">
        <v>113417208</v>
      </c>
      <c r="G910" s="82">
        <v>3750</v>
      </c>
      <c r="H910" s="82">
        <v>366</v>
      </c>
      <c r="I910" s="82">
        <v>4116</v>
      </c>
      <c r="J910" s="82">
        <v>8932</v>
      </c>
      <c r="K910" s="82">
        <v>13048</v>
      </c>
      <c r="L910" s="82">
        <v>-3</v>
      </c>
      <c r="M910" s="82">
        <v>269</v>
      </c>
      <c r="N910" s="82">
        <v>2597</v>
      </c>
      <c r="O910" s="82">
        <v>2180</v>
      </c>
      <c r="P910" s="82">
        <v>17825</v>
      </c>
      <c r="Q910" s="82">
        <v>75191</v>
      </c>
      <c r="R910" s="12" t="s">
        <v>25</v>
      </c>
      <c r="S910" s="12" t="s">
        <v>25</v>
      </c>
      <c r="T910" s="12" t="s">
        <v>25</v>
      </c>
    </row>
    <row r="911" spans="1:20" x14ac:dyDescent="0.3">
      <c r="A911" s="13">
        <v>43928.708333333336</v>
      </c>
      <c r="B911" s="12" t="s">
        <v>22</v>
      </c>
      <c r="C911" s="82">
        <v>6</v>
      </c>
      <c r="D911" s="12" t="s">
        <v>47</v>
      </c>
      <c r="E911" s="82">
        <v>456494354</v>
      </c>
      <c r="F911" s="82">
        <v>1376813649</v>
      </c>
      <c r="G911" s="82">
        <v>185</v>
      </c>
      <c r="H911" s="82">
        <v>44</v>
      </c>
      <c r="I911" s="82">
        <v>229</v>
      </c>
      <c r="J911" s="82">
        <v>1150</v>
      </c>
      <c r="K911" s="82">
        <v>1379</v>
      </c>
      <c r="L911" s="82">
        <v>-17</v>
      </c>
      <c r="M911" s="82">
        <v>50</v>
      </c>
      <c r="N911" s="82">
        <v>610</v>
      </c>
      <c r="O911" s="82">
        <v>164</v>
      </c>
      <c r="P911" s="82">
        <v>2153</v>
      </c>
      <c r="Q911" s="82">
        <v>23536</v>
      </c>
      <c r="R911" s="12" t="s">
        <v>25</v>
      </c>
      <c r="S911" s="12" t="s">
        <v>25</v>
      </c>
      <c r="T911" s="12" t="s">
        <v>25</v>
      </c>
    </row>
    <row r="912" spans="1:20" x14ac:dyDescent="0.3">
      <c r="A912" s="13">
        <v>43928.708333333336</v>
      </c>
      <c r="B912" s="12" t="s">
        <v>22</v>
      </c>
      <c r="C912" s="82">
        <v>12</v>
      </c>
      <c r="D912" s="12" t="s">
        <v>48</v>
      </c>
      <c r="E912" s="82">
        <v>4189277044</v>
      </c>
      <c r="F912" s="82">
        <v>1248366722</v>
      </c>
      <c r="G912" s="82">
        <v>1229</v>
      </c>
      <c r="H912" s="82">
        <v>192</v>
      </c>
      <c r="I912" s="82">
        <v>1421</v>
      </c>
      <c r="J912" s="82">
        <v>1944</v>
      </c>
      <c r="K912" s="82">
        <v>3365</v>
      </c>
      <c r="L912" s="82">
        <v>65</v>
      </c>
      <c r="M912" s="82">
        <v>118</v>
      </c>
      <c r="N912" s="82">
        <v>546</v>
      </c>
      <c r="O912" s="82">
        <v>238</v>
      </c>
      <c r="P912" s="82">
        <v>4149</v>
      </c>
      <c r="Q912" s="82">
        <v>48874</v>
      </c>
      <c r="R912" s="12" t="s">
        <v>25</v>
      </c>
      <c r="S912" s="12" t="s">
        <v>25</v>
      </c>
      <c r="T912" s="12" t="s">
        <v>25</v>
      </c>
    </row>
    <row r="913" spans="1:20" x14ac:dyDescent="0.3">
      <c r="A913" s="13">
        <v>43928.708333333336</v>
      </c>
      <c r="B913" s="12" t="s">
        <v>22</v>
      </c>
      <c r="C913" s="82">
        <v>7</v>
      </c>
      <c r="D913" s="12" t="s">
        <v>49</v>
      </c>
      <c r="E913" s="82">
        <v>4441149315</v>
      </c>
      <c r="F913" s="82">
        <v>89326992</v>
      </c>
      <c r="G913" s="82">
        <v>1090</v>
      </c>
      <c r="H913" s="82">
        <v>156</v>
      </c>
      <c r="I913" s="82">
        <v>1246</v>
      </c>
      <c r="J913" s="82">
        <v>1966</v>
      </c>
      <c r="K913" s="82">
        <v>3212</v>
      </c>
      <c r="L913" s="82">
        <v>95</v>
      </c>
      <c r="M913" s="82">
        <v>208</v>
      </c>
      <c r="N913" s="82">
        <v>925</v>
      </c>
      <c r="O913" s="82">
        <v>620</v>
      </c>
      <c r="P913" s="82">
        <v>4757</v>
      </c>
      <c r="Q913" s="82">
        <v>16579</v>
      </c>
      <c r="R913" s="12" t="s">
        <v>25</v>
      </c>
      <c r="S913" s="12" t="s">
        <v>25</v>
      </c>
      <c r="T913" s="12" t="s">
        <v>25</v>
      </c>
    </row>
    <row r="914" spans="1:20" x14ac:dyDescent="0.3">
      <c r="A914" s="13">
        <v>43928.708333333336</v>
      </c>
      <c r="B914" s="12" t="s">
        <v>22</v>
      </c>
      <c r="C914" s="82">
        <v>3</v>
      </c>
      <c r="D914" s="12" t="s">
        <v>50</v>
      </c>
      <c r="E914" s="82">
        <v>4546679409</v>
      </c>
      <c r="F914" s="82">
        <v>9190347404</v>
      </c>
      <c r="G914" s="82">
        <v>11833</v>
      </c>
      <c r="H914" s="82">
        <v>1305</v>
      </c>
      <c r="I914" s="82">
        <v>13138</v>
      </c>
      <c r="J914" s="82">
        <v>15205</v>
      </c>
      <c r="K914" s="82">
        <v>28343</v>
      </c>
      <c r="L914" s="82">
        <v>-126</v>
      </c>
      <c r="M914" s="82">
        <v>791</v>
      </c>
      <c r="N914" s="82">
        <v>14498</v>
      </c>
      <c r="O914" s="82">
        <v>9484</v>
      </c>
      <c r="P914" s="82">
        <v>52325</v>
      </c>
      <c r="Q914" s="82">
        <v>159331</v>
      </c>
      <c r="R914" s="12" t="s">
        <v>25</v>
      </c>
      <c r="S914" s="12" t="s">
        <v>25</v>
      </c>
      <c r="T914" s="12" t="s">
        <v>25</v>
      </c>
    </row>
    <row r="915" spans="1:20" x14ac:dyDescent="0.3">
      <c r="A915" s="13">
        <v>43928.708333333336</v>
      </c>
      <c r="B915" s="12" t="s">
        <v>22</v>
      </c>
      <c r="C915" s="82">
        <v>11</v>
      </c>
      <c r="D915" s="12" t="s">
        <v>51</v>
      </c>
      <c r="E915" s="82">
        <v>4361675973</v>
      </c>
      <c r="F915" s="82">
        <v>135188753</v>
      </c>
      <c r="G915" s="82">
        <v>962</v>
      </c>
      <c r="H915" s="82">
        <v>139</v>
      </c>
      <c r="I915" s="82">
        <v>1101</v>
      </c>
      <c r="J915" s="82">
        <v>2637</v>
      </c>
      <c r="K915" s="82">
        <v>3738</v>
      </c>
      <c r="L915" s="82">
        <v>32</v>
      </c>
      <c r="M915" s="82">
        <v>96</v>
      </c>
      <c r="N915" s="82">
        <v>342</v>
      </c>
      <c r="O915" s="82">
        <v>630</v>
      </c>
      <c r="P915" s="82">
        <v>4710</v>
      </c>
      <c r="Q915" s="82">
        <v>16619</v>
      </c>
      <c r="R915" s="12" t="s">
        <v>25</v>
      </c>
      <c r="S915" s="12" t="s">
        <v>25</v>
      </c>
      <c r="T915" s="12" t="s">
        <v>25</v>
      </c>
    </row>
    <row r="916" spans="1:20" x14ac:dyDescent="0.3">
      <c r="A916" s="13">
        <v>43928.708333333336</v>
      </c>
      <c r="B916" s="12" t="s">
        <v>22</v>
      </c>
      <c r="C916" s="82">
        <v>14</v>
      </c>
      <c r="D916" s="12" t="s">
        <v>52</v>
      </c>
      <c r="E916" s="82">
        <v>4155774754</v>
      </c>
      <c r="F916" s="82">
        <v>1465916051</v>
      </c>
      <c r="G916" s="82">
        <v>35</v>
      </c>
      <c r="H916" s="82">
        <v>5</v>
      </c>
      <c r="I916" s="82">
        <v>40</v>
      </c>
      <c r="J916" s="82">
        <v>145</v>
      </c>
      <c r="K916" s="82">
        <v>185</v>
      </c>
      <c r="L916" s="82">
        <v>-2</v>
      </c>
      <c r="M916" s="82">
        <v>0</v>
      </c>
      <c r="N916" s="82">
        <v>26</v>
      </c>
      <c r="O916" s="82">
        <v>13</v>
      </c>
      <c r="P916" s="82">
        <v>224</v>
      </c>
      <c r="Q916" s="82">
        <v>1581</v>
      </c>
      <c r="R916" s="12" t="s">
        <v>25</v>
      </c>
      <c r="S916" s="12" t="s">
        <v>25</v>
      </c>
      <c r="T916" s="12" t="s">
        <v>25</v>
      </c>
    </row>
    <row r="917" spans="1:20" x14ac:dyDescent="0.3">
      <c r="A917" s="13">
        <v>43928.708333333336</v>
      </c>
      <c r="B917" s="12" t="s">
        <v>22</v>
      </c>
      <c r="C917" s="82">
        <v>1</v>
      </c>
      <c r="D917" s="12" t="s">
        <v>53</v>
      </c>
      <c r="E917" s="82">
        <v>450732745</v>
      </c>
      <c r="F917" s="82">
        <v>7680687483</v>
      </c>
      <c r="G917" s="82">
        <v>3553</v>
      </c>
      <c r="H917" s="82">
        <v>432</v>
      </c>
      <c r="I917" s="82">
        <v>3985</v>
      </c>
      <c r="J917" s="82">
        <v>6719</v>
      </c>
      <c r="K917" s="82">
        <v>10704</v>
      </c>
      <c r="L917" s="82">
        <v>159</v>
      </c>
      <c r="M917" s="82">
        <v>419</v>
      </c>
      <c r="N917" s="82">
        <v>1320</v>
      </c>
      <c r="O917" s="82">
        <v>1319</v>
      </c>
      <c r="P917" s="82">
        <v>13343</v>
      </c>
      <c r="Q917" s="82">
        <v>44121</v>
      </c>
      <c r="R917" s="12" t="s">
        <v>25</v>
      </c>
      <c r="S917" s="12" t="s">
        <v>25</v>
      </c>
      <c r="T917" s="12" t="s">
        <v>25</v>
      </c>
    </row>
    <row r="918" spans="1:20" x14ac:dyDescent="0.3">
      <c r="A918" s="13">
        <v>43928.708333333336</v>
      </c>
      <c r="B918" s="12" t="s">
        <v>22</v>
      </c>
      <c r="C918" s="82">
        <v>16</v>
      </c>
      <c r="D918" s="12" t="s">
        <v>54</v>
      </c>
      <c r="E918" s="82">
        <v>4112559576</v>
      </c>
      <c r="F918" s="82">
        <v>1686736689</v>
      </c>
      <c r="G918" s="82">
        <v>615</v>
      </c>
      <c r="H918" s="82">
        <v>93</v>
      </c>
      <c r="I918" s="82">
        <v>708</v>
      </c>
      <c r="J918" s="82">
        <v>1429</v>
      </c>
      <c r="K918" s="82">
        <v>2137</v>
      </c>
      <c r="L918" s="82">
        <v>22</v>
      </c>
      <c r="M918" s="82">
        <v>70</v>
      </c>
      <c r="N918" s="82">
        <v>168</v>
      </c>
      <c r="O918" s="82">
        <v>209</v>
      </c>
      <c r="P918" s="82">
        <v>2514</v>
      </c>
      <c r="Q918" s="82">
        <v>23149</v>
      </c>
      <c r="R918" s="12" t="s">
        <v>25</v>
      </c>
      <c r="S918" s="12" t="s">
        <v>25</v>
      </c>
      <c r="T918" s="12" t="s">
        <v>25</v>
      </c>
    </row>
    <row r="919" spans="1:20" x14ac:dyDescent="0.3">
      <c r="A919" s="13">
        <v>43928.708333333336</v>
      </c>
      <c r="B919" s="12" t="s">
        <v>22</v>
      </c>
      <c r="C919" s="82">
        <v>20</v>
      </c>
      <c r="D919" s="12" t="s">
        <v>55</v>
      </c>
      <c r="E919" s="82">
        <v>3921531192</v>
      </c>
      <c r="F919" s="82">
        <v>9110616306</v>
      </c>
      <c r="G919" s="82">
        <v>122</v>
      </c>
      <c r="H919" s="82">
        <v>26</v>
      </c>
      <c r="I919" s="82">
        <v>148</v>
      </c>
      <c r="J919" s="82">
        <v>673</v>
      </c>
      <c r="K919" s="82">
        <v>821</v>
      </c>
      <c r="L919" s="82">
        <v>2</v>
      </c>
      <c r="M919" s="82">
        <v>13</v>
      </c>
      <c r="N919" s="82">
        <v>62</v>
      </c>
      <c r="O919" s="82">
        <v>52</v>
      </c>
      <c r="P919" s="82">
        <v>935</v>
      </c>
      <c r="Q919" s="82">
        <v>7680</v>
      </c>
      <c r="R919" s="12" t="s">
        <v>25</v>
      </c>
      <c r="S919" s="12" t="s">
        <v>25</v>
      </c>
      <c r="T919" s="12" t="s">
        <v>25</v>
      </c>
    </row>
    <row r="920" spans="1:20" x14ac:dyDescent="0.3">
      <c r="A920" s="13">
        <v>43928.708333333336</v>
      </c>
      <c r="B920" s="12" t="s">
        <v>22</v>
      </c>
      <c r="C920" s="82">
        <v>19</v>
      </c>
      <c r="D920" s="12" t="s">
        <v>56</v>
      </c>
      <c r="E920" s="82">
        <v>3811569725</v>
      </c>
      <c r="F920" s="82">
        <v>133623567</v>
      </c>
      <c r="G920" s="82">
        <v>562</v>
      </c>
      <c r="H920" s="82">
        <v>73</v>
      </c>
      <c r="I920" s="82">
        <v>635</v>
      </c>
      <c r="J920" s="82">
        <v>1224</v>
      </c>
      <c r="K920" s="82">
        <v>1859</v>
      </c>
      <c r="L920" s="82">
        <v>44</v>
      </c>
      <c r="M920" s="82">
        <v>51</v>
      </c>
      <c r="N920" s="82">
        <v>113</v>
      </c>
      <c r="O920" s="82">
        <v>125</v>
      </c>
      <c r="P920" s="82">
        <v>2097</v>
      </c>
      <c r="Q920" s="82">
        <v>24857</v>
      </c>
      <c r="R920" s="12" t="s">
        <v>25</v>
      </c>
      <c r="S920" s="12" t="s">
        <v>25</v>
      </c>
      <c r="T920" s="12" t="s">
        <v>25</v>
      </c>
    </row>
    <row r="921" spans="1:20" x14ac:dyDescent="0.3">
      <c r="A921" s="13">
        <v>43928.708333333336</v>
      </c>
      <c r="B921" s="12" t="s">
        <v>22</v>
      </c>
      <c r="C921" s="82">
        <v>9</v>
      </c>
      <c r="D921" s="12" t="s">
        <v>57</v>
      </c>
      <c r="E921" s="82">
        <v>4376923077</v>
      </c>
      <c r="F921" s="82">
        <v>1125588885</v>
      </c>
      <c r="G921" s="82">
        <v>1087</v>
      </c>
      <c r="H921" s="82">
        <v>263</v>
      </c>
      <c r="I921" s="82">
        <v>1350</v>
      </c>
      <c r="J921" s="82">
        <v>4077</v>
      </c>
      <c r="K921" s="82">
        <v>5427</v>
      </c>
      <c r="L921" s="82">
        <v>126</v>
      </c>
      <c r="M921" s="82">
        <v>172</v>
      </c>
      <c r="N921" s="82">
        <v>377</v>
      </c>
      <c r="O921" s="82">
        <v>369</v>
      </c>
      <c r="P921" s="82">
        <v>6173</v>
      </c>
      <c r="Q921" s="82">
        <v>56651</v>
      </c>
      <c r="R921" s="12" t="s">
        <v>25</v>
      </c>
      <c r="S921" s="12" t="s">
        <v>25</v>
      </c>
      <c r="T921" s="12" t="s">
        <v>25</v>
      </c>
    </row>
    <row r="922" spans="1:20" x14ac:dyDescent="0.3">
      <c r="A922" s="13">
        <v>43928.708333333336</v>
      </c>
      <c r="B922" s="12" t="s">
        <v>22</v>
      </c>
      <c r="C922" s="82">
        <v>4</v>
      </c>
      <c r="D922" s="12" t="s">
        <v>58</v>
      </c>
      <c r="E922" s="82">
        <v>4606893511</v>
      </c>
      <c r="F922" s="82">
        <v>1112123097</v>
      </c>
      <c r="G922" s="82">
        <v>360</v>
      </c>
      <c r="H922" s="82">
        <v>78</v>
      </c>
      <c r="I922" s="82">
        <v>438</v>
      </c>
      <c r="J922" s="82">
        <v>1452</v>
      </c>
      <c r="K922" s="82">
        <v>1890</v>
      </c>
      <c r="L922" s="82">
        <v>52</v>
      </c>
      <c r="M922" s="82">
        <v>128</v>
      </c>
      <c r="N922" s="82">
        <v>342</v>
      </c>
      <c r="O922" s="82">
        <v>244</v>
      </c>
      <c r="P922" s="82">
        <v>2476</v>
      </c>
      <c r="Q922" s="82">
        <v>12030</v>
      </c>
      <c r="R922" s="12" t="s">
        <v>25</v>
      </c>
      <c r="S922" s="12" t="s">
        <v>25</v>
      </c>
      <c r="T922" s="12" t="s">
        <v>25</v>
      </c>
    </row>
    <row r="923" spans="1:20" x14ac:dyDescent="0.3">
      <c r="A923" s="13">
        <v>43928.708333333336</v>
      </c>
      <c r="B923" s="12" t="s">
        <v>22</v>
      </c>
      <c r="C923" s="82">
        <v>10</v>
      </c>
      <c r="D923" s="12" t="s">
        <v>59</v>
      </c>
      <c r="E923" s="82">
        <v>4310675841</v>
      </c>
      <c r="F923" s="82">
        <v>1238824698</v>
      </c>
      <c r="G923" s="82">
        <v>157</v>
      </c>
      <c r="H923" s="82">
        <v>41</v>
      </c>
      <c r="I923" s="82">
        <v>198</v>
      </c>
      <c r="J923" s="82">
        <v>648</v>
      </c>
      <c r="K923" s="82">
        <v>846</v>
      </c>
      <c r="L923" s="82">
        <v>-26</v>
      </c>
      <c r="M923" s="82">
        <v>10</v>
      </c>
      <c r="N923" s="82">
        <v>368</v>
      </c>
      <c r="O923" s="82">
        <v>49</v>
      </c>
      <c r="P923" s="82">
        <v>1263</v>
      </c>
      <c r="Q923" s="82">
        <v>13274</v>
      </c>
      <c r="R923" s="12" t="s">
        <v>25</v>
      </c>
      <c r="S923" s="12" t="s">
        <v>25</v>
      </c>
      <c r="T923" s="12" t="s">
        <v>25</v>
      </c>
    </row>
    <row r="924" spans="1:20" x14ac:dyDescent="0.3">
      <c r="A924" s="13">
        <v>43928.708333333336</v>
      </c>
      <c r="B924" s="12" t="s">
        <v>22</v>
      </c>
      <c r="C924" s="82">
        <v>2</v>
      </c>
      <c r="D924" s="12" t="s">
        <v>60</v>
      </c>
      <c r="E924" s="82">
        <v>4573750286</v>
      </c>
      <c r="F924" s="82">
        <v>7320149366</v>
      </c>
      <c r="G924" s="82">
        <v>118</v>
      </c>
      <c r="H924" s="82">
        <v>17</v>
      </c>
      <c r="I924" s="82">
        <v>135</v>
      </c>
      <c r="J924" s="82">
        <v>458</v>
      </c>
      <c r="K924" s="82">
        <v>593</v>
      </c>
      <c r="L924" s="82">
        <v>26</v>
      </c>
      <c r="M924" s="82">
        <v>30</v>
      </c>
      <c r="N924" s="82">
        <v>142</v>
      </c>
      <c r="O924" s="82">
        <v>100</v>
      </c>
      <c r="P924" s="82">
        <v>835</v>
      </c>
      <c r="Q924" s="82">
        <v>2754</v>
      </c>
      <c r="R924" s="12" t="s">
        <v>25</v>
      </c>
      <c r="S924" s="12" t="s">
        <v>25</v>
      </c>
      <c r="T924" s="12" t="s">
        <v>25</v>
      </c>
    </row>
    <row r="925" spans="1:20" x14ac:dyDescent="0.3">
      <c r="A925" s="13">
        <v>43928.708333333336</v>
      </c>
      <c r="B925" s="12" t="s">
        <v>22</v>
      </c>
      <c r="C925" s="82">
        <v>5</v>
      </c>
      <c r="D925" s="12" t="s">
        <v>61</v>
      </c>
      <c r="E925" s="82">
        <v>4543490485</v>
      </c>
      <c r="F925" s="82">
        <v>1233845213</v>
      </c>
      <c r="G925" s="82">
        <v>1579</v>
      </c>
      <c r="H925" s="82">
        <v>297</v>
      </c>
      <c r="I925" s="82">
        <v>1876</v>
      </c>
      <c r="J925" s="82">
        <v>8089</v>
      </c>
      <c r="K925" s="82">
        <v>9965</v>
      </c>
      <c r="L925" s="82">
        <v>243</v>
      </c>
      <c r="M925" s="82">
        <v>337</v>
      </c>
      <c r="N925" s="82">
        <v>1265</v>
      </c>
      <c r="O925" s="82">
        <v>695</v>
      </c>
      <c r="P925" s="82">
        <v>11925</v>
      </c>
      <c r="Q925" s="82">
        <v>153542</v>
      </c>
      <c r="R925" s="12" t="s">
        <v>25</v>
      </c>
      <c r="S925" s="12" t="s">
        <v>25</v>
      </c>
      <c r="T925" s="12" t="s">
        <v>25</v>
      </c>
    </row>
    <row r="926" spans="1:20" x14ac:dyDescent="0.3">
      <c r="A926" s="13">
        <v>43929.708333333336</v>
      </c>
      <c r="B926" s="12" t="s">
        <v>22</v>
      </c>
      <c r="C926" s="82">
        <v>13</v>
      </c>
      <c r="D926" s="12" t="s">
        <v>42</v>
      </c>
      <c r="E926" s="82">
        <v>4235122196</v>
      </c>
      <c r="F926" s="82">
        <v>1339843823</v>
      </c>
      <c r="G926" s="82">
        <v>331</v>
      </c>
      <c r="H926" s="82">
        <v>62</v>
      </c>
      <c r="I926" s="82">
        <v>393</v>
      </c>
      <c r="J926" s="82">
        <v>1141</v>
      </c>
      <c r="K926" s="82">
        <v>1534</v>
      </c>
      <c r="L926" s="82">
        <v>43</v>
      </c>
      <c r="M926" s="82">
        <v>60</v>
      </c>
      <c r="N926" s="82">
        <v>146</v>
      </c>
      <c r="O926" s="82">
        <v>179</v>
      </c>
      <c r="P926" s="82">
        <v>1859</v>
      </c>
      <c r="Q926" s="82">
        <v>15846</v>
      </c>
      <c r="R926" s="12" t="s">
        <v>25</v>
      </c>
      <c r="S926" s="12" t="s">
        <v>25</v>
      </c>
      <c r="T926" s="12" t="s">
        <v>25</v>
      </c>
    </row>
    <row r="927" spans="1:20" x14ac:dyDescent="0.3">
      <c r="A927" s="13">
        <v>43929.708333333336</v>
      </c>
      <c r="B927" s="12" t="s">
        <v>22</v>
      </c>
      <c r="C927" s="82">
        <v>17</v>
      </c>
      <c r="D927" s="12" t="s">
        <v>43</v>
      </c>
      <c r="E927" s="82">
        <v>4063947052</v>
      </c>
      <c r="F927" s="82">
        <v>1580514834</v>
      </c>
      <c r="G927" s="82">
        <v>48</v>
      </c>
      <c r="H927" s="82">
        <v>17</v>
      </c>
      <c r="I927" s="82">
        <v>65</v>
      </c>
      <c r="J927" s="82">
        <v>205</v>
      </c>
      <c r="K927" s="82">
        <v>270</v>
      </c>
      <c r="L927" s="82">
        <v>5</v>
      </c>
      <c r="M927" s="82">
        <v>6</v>
      </c>
      <c r="N927" s="82">
        <v>13</v>
      </c>
      <c r="O927" s="82">
        <v>14</v>
      </c>
      <c r="P927" s="82">
        <v>297</v>
      </c>
      <c r="Q927" s="82">
        <v>3296</v>
      </c>
      <c r="R927" s="12" t="s">
        <v>25</v>
      </c>
      <c r="S927" s="12" t="s">
        <v>25</v>
      </c>
      <c r="T927" s="12" t="s">
        <v>25</v>
      </c>
    </row>
    <row r="928" spans="1:20" x14ac:dyDescent="0.3">
      <c r="A928" s="13">
        <v>43929.708333333336</v>
      </c>
      <c r="B928" s="12" t="s">
        <v>22</v>
      </c>
      <c r="C928" s="82">
        <v>4</v>
      </c>
      <c r="D928" s="12" t="s">
        <v>44</v>
      </c>
      <c r="E928" s="82">
        <v>4649933453</v>
      </c>
      <c r="F928" s="82">
        <v>1135662422</v>
      </c>
      <c r="G928" s="82">
        <v>268</v>
      </c>
      <c r="H928" s="82">
        <v>65</v>
      </c>
      <c r="I928" s="82">
        <v>333</v>
      </c>
      <c r="J928" s="82">
        <v>948</v>
      </c>
      <c r="K928" s="82">
        <v>1281</v>
      </c>
      <c r="L928" s="82">
        <v>-20</v>
      </c>
      <c r="M928" s="82">
        <v>24</v>
      </c>
      <c r="N928" s="82">
        <v>371</v>
      </c>
      <c r="O928" s="82">
        <v>183</v>
      </c>
      <c r="P928" s="82">
        <v>1835</v>
      </c>
      <c r="Q928" s="82">
        <v>18865</v>
      </c>
      <c r="R928" s="12" t="s">
        <v>25</v>
      </c>
      <c r="S928" s="12" t="s">
        <v>25</v>
      </c>
      <c r="T928" s="12" t="s">
        <v>25</v>
      </c>
    </row>
    <row r="929" spans="1:20" x14ac:dyDescent="0.3">
      <c r="A929" s="13">
        <v>43929.708333333336</v>
      </c>
      <c r="B929" s="12" t="s">
        <v>22</v>
      </c>
      <c r="C929" s="82">
        <v>18</v>
      </c>
      <c r="D929" s="12" t="s">
        <v>45</v>
      </c>
      <c r="E929" s="82">
        <v>3890597598</v>
      </c>
      <c r="F929" s="82">
        <v>1659440194</v>
      </c>
      <c r="G929" s="82">
        <v>170</v>
      </c>
      <c r="H929" s="82">
        <v>15</v>
      </c>
      <c r="I929" s="82">
        <v>185</v>
      </c>
      <c r="J929" s="82">
        <v>570</v>
      </c>
      <c r="K929" s="82">
        <v>755</v>
      </c>
      <c r="L929" s="82">
        <v>22</v>
      </c>
      <c r="M929" s="82">
        <v>26</v>
      </c>
      <c r="N929" s="82">
        <v>44</v>
      </c>
      <c r="O929" s="82">
        <v>60</v>
      </c>
      <c r="P929" s="82">
        <v>859</v>
      </c>
      <c r="Q929" s="82">
        <v>14977</v>
      </c>
      <c r="R929" s="12" t="s">
        <v>25</v>
      </c>
      <c r="S929" s="12" t="s">
        <v>25</v>
      </c>
      <c r="T929" s="12" t="s">
        <v>25</v>
      </c>
    </row>
    <row r="930" spans="1:20" x14ac:dyDescent="0.3">
      <c r="A930" s="13">
        <v>43929.708333333336</v>
      </c>
      <c r="B930" s="12" t="s">
        <v>22</v>
      </c>
      <c r="C930" s="82">
        <v>15</v>
      </c>
      <c r="D930" s="12" t="s">
        <v>46</v>
      </c>
      <c r="E930" s="82">
        <v>4083956555</v>
      </c>
      <c r="F930" s="82">
        <v>1425084984</v>
      </c>
      <c r="G930" s="82">
        <v>608</v>
      </c>
      <c r="H930" s="82">
        <v>97</v>
      </c>
      <c r="I930" s="82">
        <v>705</v>
      </c>
      <c r="J930" s="82">
        <v>2154</v>
      </c>
      <c r="K930" s="82">
        <v>2859</v>
      </c>
      <c r="L930" s="82">
        <v>94</v>
      </c>
      <c r="M930" s="82">
        <v>120</v>
      </c>
      <c r="N930" s="82">
        <v>188</v>
      </c>
      <c r="O930" s="82">
        <v>221</v>
      </c>
      <c r="P930" s="82">
        <v>3268</v>
      </c>
      <c r="Q930" s="82">
        <v>27784</v>
      </c>
      <c r="R930" s="12" t="s">
        <v>25</v>
      </c>
      <c r="S930" s="12" t="s">
        <v>25</v>
      </c>
      <c r="T930" s="12" t="s">
        <v>25</v>
      </c>
    </row>
    <row r="931" spans="1:20" x14ac:dyDescent="0.3">
      <c r="A931" s="13">
        <v>43929.708333333336</v>
      </c>
      <c r="B931" s="12" t="s">
        <v>22</v>
      </c>
      <c r="C931" s="82">
        <v>8</v>
      </c>
      <c r="D931" s="12" t="s">
        <v>95</v>
      </c>
      <c r="E931" s="82">
        <v>4449436681</v>
      </c>
      <c r="F931" s="82">
        <v>113417208</v>
      </c>
      <c r="G931" s="82">
        <v>3769</v>
      </c>
      <c r="H931" s="82">
        <v>361</v>
      </c>
      <c r="I931" s="82">
        <v>4130</v>
      </c>
      <c r="J931" s="82">
        <v>8980</v>
      </c>
      <c r="K931" s="82">
        <v>13110</v>
      </c>
      <c r="L931" s="82">
        <v>62</v>
      </c>
      <c r="M931" s="82">
        <v>409</v>
      </c>
      <c r="N931" s="82">
        <v>2890</v>
      </c>
      <c r="O931" s="82">
        <v>2234</v>
      </c>
      <c r="P931" s="82">
        <v>18234</v>
      </c>
      <c r="Q931" s="82">
        <v>78367</v>
      </c>
      <c r="R931" s="12" t="s">
        <v>25</v>
      </c>
      <c r="S931" s="12" t="s">
        <v>25</v>
      </c>
      <c r="T931" s="12" t="s">
        <v>25</v>
      </c>
    </row>
    <row r="932" spans="1:20" x14ac:dyDescent="0.3">
      <c r="A932" s="13">
        <v>43929.708333333336</v>
      </c>
      <c r="B932" s="12" t="s">
        <v>22</v>
      </c>
      <c r="C932" s="82">
        <v>6</v>
      </c>
      <c r="D932" s="12" t="s">
        <v>47</v>
      </c>
      <c r="E932" s="82">
        <v>456494354</v>
      </c>
      <c r="F932" s="82">
        <v>1376813649</v>
      </c>
      <c r="G932" s="82">
        <v>162</v>
      </c>
      <c r="H932" s="82">
        <v>41</v>
      </c>
      <c r="I932" s="82">
        <v>203</v>
      </c>
      <c r="J932" s="82">
        <v>1212</v>
      </c>
      <c r="K932" s="82">
        <v>1415</v>
      </c>
      <c r="L932" s="82">
        <v>36</v>
      </c>
      <c r="M932" s="82">
        <v>65</v>
      </c>
      <c r="N932" s="82">
        <v>634</v>
      </c>
      <c r="O932" s="82">
        <v>169</v>
      </c>
      <c r="P932" s="82">
        <v>2218</v>
      </c>
      <c r="Q932" s="82">
        <v>24798</v>
      </c>
      <c r="R932" s="12" t="s">
        <v>25</v>
      </c>
      <c r="S932" s="12" t="s">
        <v>25</v>
      </c>
      <c r="T932" s="12" t="s">
        <v>25</v>
      </c>
    </row>
    <row r="933" spans="1:20" x14ac:dyDescent="0.3">
      <c r="A933" s="13">
        <v>43929.708333333336</v>
      </c>
      <c r="B933" s="12" t="s">
        <v>22</v>
      </c>
      <c r="C933" s="82">
        <v>12</v>
      </c>
      <c r="D933" s="12" t="s">
        <v>48</v>
      </c>
      <c r="E933" s="82">
        <v>4189277044</v>
      </c>
      <c r="F933" s="82">
        <v>1248366722</v>
      </c>
      <c r="G933" s="82">
        <v>1241</v>
      </c>
      <c r="H933" s="82">
        <v>196</v>
      </c>
      <c r="I933" s="82">
        <v>1437</v>
      </c>
      <c r="J933" s="82">
        <v>2011</v>
      </c>
      <c r="K933" s="82">
        <v>3448</v>
      </c>
      <c r="L933" s="82">
        <v>83</v>
      </c>
      <c r="M933" s="82">
        <v>117</v>
      </c>
      <c r="N933" s="82">
        <v>574</v>
      </c>
      <c r="O933" s="82">
        <v>244</v>
      </c>
      <c r="P933" s="82">
        <v>4266</v>
      </c>
      <c r="Q933" s="82">
        <v>55113</v>
      </c>
      <c r="R933" s="12" t="s">
        <v>25</v>
      </c>
      <c r="S933" s="12" t="s">
        <v>25</v>
      </c>
      <c r="T933" s="12" t="s">
        <v>25</v>
      </c>
    </row>
    <row r="934" spans="1:20" x14ac:dyDescent="0.3">
      <c r="A934" s="13">
        <v>43929.708333333336</v>
      </c>
      <c r="B934" s="12" t="s">
        <v>22</v>
      </c>
      <c r="C934" s="82">
        <v>7</v>
      </c>
      <c r="D934" s="12" t="s">
        <v>49</v>
      </c>
      <c r="E934" s="82">
        <v>4441149315</v>
      </c>
      <c r="F934" s="82">
        <v>89326992</v>
      </c>
      <c r="G934" s="82">
        <v>1109</v>
      </c>
      <c r="H934" s="82">
        <v>153</v>
      </c>
      <c r="I934" s="82">
        <v>1262</v>
      </c>
      <c r="J934" s="82">
        <v>1983</v>
      </c>
      <c r="K934" s="82">
        <v>3245</v>
      </c>
      <c r="L934" s="82">
        <v>33</v>
      </c>
      <c r="M934" s="82">
        <v>149</v>
      </c>
      <c r="N934" s="82">
        <v>1007</v>
      </c>
      <c r="O934" s="82">
        <v>654</v>
      </c>
      <c r="P934" s="82">
        <v>4906</v>
      </c>
      <c r="Q934" s="82">
        <v>17521</v>
      </c>
      <c r="R934" s="12" t="s">
        <v>25</v>
      </c>
      <c r="S934" s="12" t="s">
        <v>25</v>
      </c>
      <c r="T934" s="12" t="s">
        <v>25</v>
      </c>
    </row>
    <row r="935" spans="1:20" x14ac:dyDescent="0.3">
      <c r="A935" s="13">
        <v>43929.708333333336</v>
      </c>
      <c r="B935" s="12" t="s">
        <v>22</v>
      </c>
      <c r="C935" s="82">
        <v>3</v>
      </c>
      <c r="D935" s="12" t="s">
        <v>50</v>
      </c>
      <c r="E935" s="82">
        <v>4546679409</v>
      </c>
      <c r="F935" s="82">
        <v>9190347404</v>
      </c>
      <c r="G935" s="82">
        <v>11719</v>
      </c>
      <c r="H935" s="82">
        <v>1257</v>
      </c>
      <c r="I935" s="82">
        <v>12976</v>
      </c>
      <c r="J935" s="82">
        <v>15569</v>
      </c>
      <c r="K935" s="82">
        <v>28545</v>
      </c>
      <c r="L935" s="82">
        <v>202</v>
      </c>
      <c r="M935" s="82">
        <v>1089</v>
      </c>
      <c r="N935" s="82">
        <v>15147</v>
      </c>
      <c r="O935" s="82">
        <v>9722</v>
      </c>
      <c r="P935" s="82">
        <v>53414</v>
      </c>
      <c r="Q935" s="82">
        <v>167557</v>
      </c>
      <c r="R935" s="12" t="s">
        <v>25</v>
      </c>
      <c r="S935" s="12" t="s">
        <v>25</v>
      </c>
      <c r="T935" s="12" t="s">
        <v>25</v>
      </c>
    </row>
    <row r="936" spans="1:20" x14ac:dyDescent="0.3">
      <c r="A936" s="13">
        <v>43929.708333333336</v>
      </c>
      <c r="B936" s="12" t="s">
        <v>22</v>
      </c>
      <c r="C936" s="82">
        <v>11</v>
      </c>
      <c r="D936" s="12" t="s">
        <v>51</v>
      </c>
      <c r="E936" s="82">
        <v>4361675973</v>
      </c>
      <c r="F936" s="82">
        <v>135188753</v>
      </c>
      <c r="G936" s="82">
        <v>974</v>
      </c>
      <c r="H936" s="82">
        <v>133</v>
      </c>
      <c r="I936" s="82">
        <v>1107</v>
      </c>
      <c r="J936" s="82">
        <v>2455</v>
      </c>
      <c r="K936" s="82">
        <v>3562</v>
      </c>
      <c r="L936" s="82">
        <v>-176</v>
      </c>
      <c r="M936" s="82">
        <v>149</v>
      </c>
      <c r="N936" s="82">
        <v>645</v>
      </c>
      <c r="O936" s="82">
        <v>652</v>
      </c>
      <c r="P936" s="82">
        <v>4859</v>
      </c>
      <c r="Q936" s="82">
        <v>17532</v>
      </c>
      <c r="R936" s="12" t="s">
        <v>25</v>
      </c>
      <c r="S936" s="12" t="s">
        <v>25</v>
      </c>
      <c r="T936" s="12" t="s">
        <v>25</v>
      </c>
    </row>
    <row r="937" spans="1:20" x14ac:dyDescent="0.3">
      <c r="A937" s="13">
        <v>43929.708333333336</v>
      </c>
      <c r="B937" s="12" t="s">
        <v>22</v>
      </c>
      <c r="C937" s="82">
        <v>14</v>
      </c>
      <c r="D937" s="12" t="s">
        <v>52</v>
      </c>
      <c r="E937" s="82">
        <v>4155774754</v>
      </c>
      <c r="F937" s="82">
        <v>1465916051</v>
      </c>
      <c r="G937" s="82">
        <v>30</v>
      </c>
      <c r="H937" s="82">
        <v>4</v>
      </c>
      <c r="I937" s="82">
        <v>34</v>
      </c>
      <c r="J937" s="82">
        <v>147</v>
      </c>
      <c r="K937" s="82">
        <v>181</v>
      </c>
      <c r="L937" s="82">
        <v>-4</v>
      </c>
      <c r="M937" s="82">
        <v>2</v>
      </c>
      <c r="N937" s="82">
        <v>32</v>
      </c>
      <c r="O937" s="82">
        <v>13</v>
      </c>
      <c r="P937" s="82">
        <v>226</v>
      </c>
      <c r="Q937" s="82">
        <v>2002</v>
      </c>
      <c r="R937" s="12" t="s">
        <v>25</v>
      </c>
      <c r="S937" s="12" t="s">
        <v>25</v>
      </c>
      <c r="T937" s="12" t="s">
        <v>25</v>
      </c>
    </row>
    <row r="938" spans="1:20" x14ac:dyDescent="0.3">
      <c r="A938" s="13">
        <v>43929.708333333336</v>
      </c>
      <c r="B938" s="12" t="s">
        <v>22</v>
      </c>
      <c r="C938" s="82">
        <v>1</v>
      </c>
      <c r="D938" s="12" t="s">
        <v>53</v>
      </c>
      <c r="E938" s="82">
        <v>450732745</v>
      </c>
      <c r="F938" s="82">
        <v>7680687483</v>
      </c>
      <c r="G938" s="82">
        <v>3493</v>
      </c>
      <c r="H938" s="82">
        <v>423</v>
      </c>
      <c r="I938" s="82">
        <v>3916</v>
      </c>
      <c r="J938" s="82">
        <v>7073</v>
      </c>
      <c r="K938" s="82">
        <v>10989</v>
      </c>
      <c r="L938" s="82">
        <v>285</v>
      </c>
      <c r="M938" s="82">
        <v>540</v>
      </c>
      <c r="N938" s="82">
        <v>1516</v>
      </c>
      <c r="O938" s="82">
        <v>1378</v>
      </c>
      <c r="P938" s="82">
        <v>13883</v>
      </c>
      <c r="Q938" s="82">
        <v>48495</v>
      </c>
      <c r="R938" s="12" t="s">
        <v>25</v>
      </c>
      <c r="S938" s="12" t="s">
        <v>25</v>
      </c>
      <c r="T938" s="12" t="s">
        <v>25</v>
      </c>
    </row>
    <row r="939" spans="1:20" x14ac:dyDescent="0.3">
      <c r="A939" s="13">
        <v>43929.708333333336</v>
      </c>
      <c r="B939" s="12" t="s">
        <v>22</v>
      </c>
      <c r="C939" s="82">
        <v>16</v>
      </c>
      <c r="D939" s="12" t="s">
        <v>54</v>
      </c>
      <c r="E939" s="82">
        <v>4112559576</v>
      </c>
      <c r="F939" s="82">
        <v>1686736689</v>
      </c>
      <c r="G939" s="82">
        <v>639</v>
      </c>
      <c r="H939" s="82">
        <v>90</v>
      </c>
      <c r="I939" s="82">
        <v>729</v>
      </c>
      <c r="J939" s="82">
        <v>1509</v>
      </c>
      <c r="K939" s="82">
        <v>2238</v>
      </c>
      <c r="L939" s="82">
        <v>101</v>
      </c>
      <c r="M939" s="82">
        <v>120</v>
      </c>
      <c r="N939" s="82">
        <v>177</v>
      </c>
      <c r="O939" s="82">
        <v>219</v>
      </c>
      <c r="P939" s="82">
        <v>2634</v>
      </c>
      <c r="Q939" s="82">
        <v>24493</v>
      </c>
      <c r="R939" s="12" t="s">
        <v>25</v>
      </c>
      <c r="S939" s="12" t="s">
        <v>25</v>
      </c>
      <c r="T939" s="12" t="s">
        <v>25</v>
      </c>
    </row>
    <row r="940" spans="1:20" x14ac:dyDescent="0.3">
      <c r="A940" s="13">
        <v>43929.708333333336</v>
      </c>
      <c r="B940" s="12" t="s">
        <v>22</v>
      </c>
      <c r="C940" s="82">
        <v>20</v>
      </c>
      <c r="D940" s="12" t="s">
        <v>55</v>
      </c>
      <c r="E940" s="82">
        <v>3921531192</v>
      </c>
      <c r="F940" s="82">
        <v>9110616306</v>
      </c>
      <c r="G940" s="82">
        <v>112</v>
      </c>
      <c r="H940" s="82">
        <v>31</v>
      </c>
      <c r="I940" s="82">
        <v>143</v>
      </c>
      <c r="J940" s="82">
        <v>697</v>
      </c>
      <c r="K940" s="82">
        <v>840</v>
      </c>
      <c r="L940" s="82">
        <v>19</v>
      </c>
      <c r="M940" s="82">
        <v>40</v>
      </c>
      <c r="N940" s="82">
        <v>76</v>
      </c>
      <c r="O940" s="82">
        <v>59</v>
      </c>
      <c r="P940" s="82">
        <v>975</v>
      </c>
      <c r="Q940" s="82">
        <v>8493</v>
      </c>
      <c r="R940" s="12" t="s">
        <v>25</v>
      </c>
      <c r="S940" s="12" t="s">
        <v>25</v>
      </c>
      <c r="T940" s="12" t="s">
        <v>25</v>
      </c>
    </row>
    <row r="941" spans="1:20" x14ac:dyDescent="0.3">
      <c r="A941" s="13">
        <v>43929.708333333336</v>
      </c>
      <c r="B941" s="12" t="s">
        <v>22</v>
      </c>
      <c r="C941" s="82">
        <v>19</v>
      </c>
      <c r="D941" s="12" t="s">
        <v>56</v>
      </c>
      <c r="E941" s="82">
        <v>3811569725</v>
      </c>
      <c r="F941" s="82">
        <v>133623567</v>
      </c>
      <c r="G941" s="82">
        <v>563</v>
      </c>
      <c r="H941" s="82">
        <v>65</v>
      </c>
      <c r="I941" s="82">
        <v>628</v>
      </c>
      <c r="J941" s="82">
        <v>1265</v>
      </c>
      <c r="K941" s="82">
        <v>1893</v>
      </c>
      <c r="L941" s="82">
        <v>34</v>
      </c>
      <c r="M941" s="82">
        <v>62</v>
      </c>
      <c r="N941" s="82">
        <v>133</v>
      </c>
      <c r="O941" s="82">
        <v>133</v>
      </c>
      <c r="P941" s="82">
        <v>2159</v>
      </c>
      <c r="Q941" s="82">
        <v>27438</v>
      </c>
      <c r="R941" s="12" t="s">
        <v>25</v>
      </c>
      <c r="S941" s="12" t="s">
        <v>25</v>
      </c>
      <c r="T941" s="12" t="s">
        <v>25</v>
      </c>
    </row>
    <row r="942" spans="1:20" x14ac:dyDescent="0.3">
      <c r="A942" s="13">
        <v>43929.708333333336</v>
      </c>
      <c r="B942" s="12" t="s">
        <v>22</v>
      </c>
      <c r="C942" s="82">
        <v>9</v>
      </c>
      <c r="D942" s="12" t="s">
        <v>57</v>
      </c>
      <c r="E942" s="82">
        <v>4376923077</v>
      </c>
      <c r="F942" s="82">
        <v>1125588885</v>
      </c>
      <c r="G942" s="82">
        <v>1066</v>
      </c>
      <c r="H942" s="82">
        <v>260</v>
      </c>
      <c r="I942" s="82">
        <v>1326</v>
      </c>
      <c r="J942" s="82">
        <v>4231</v>
      </c>
      <c r="K942" s="82">
        <v>5557</v>
      </c>
      <c r="L942" s="82">
        <v>130</v>
      </c>
      <c r="M942" s="82">
        <v>206</v>
      </c>
      <c r="N942" s="82">
        <v>430</v>
      </c>
      <c r="O942" s="82">
        <v>392</v>
      </c>
      <c r="P942" s="82">
        <v>6379</v>
      </c>
      <c r="Q942" s="82">
        <v>60985</v>
      </c>
      <c r="R942" s="12" t="s">
        <v>25</v>
      </c>
      <c r="S942" s="12" t="s">
        <v>25</v>
      </c>
      <c r="T942" s="12" t="s">
        <v>25</v>
      </c>
    </row>
    <row r="943" spans="1:20" x14ac:dyDescent="0.3">
      <c r="A943" s="13">
        <v>43929.708333333336</v>
      </c>
      <c r="B943" s="12" t="s">
        <v>22</v>
      </c>
      <c r="C943" s="82">
        <v>4</v>
      </c>
      <c r="D943" s="12" t="s">
        <v>58</v>
      </c>
      <c r="E943" s="82">
        <v>4606893511</v>
      </c>
      <c r="F943" s="82">
        <v>1112123097</v>
      </c>
      <c r="G943" s="82">
        <v>354</v>
      </c>
      <c r="H943" s="82">
        <v>77</v>
      </c>
      <c r="I943" s="82">
        <v>431</v>
      </c>
      <c r="J943" s="82">
        <v>1509</v>
      </c>
      <c r="K943" s="82">
        <v>1940</v>
      </c>
      <c r="L943" s="82">
        <v>50</v>
      </c>
      <c r="M943" s="82">
        <v>126</v>
      </c>
      <c r="N943" s="82">
        <v>407</v>
      </c>
      <c r="O943" s="82">
        <v>255</v>
      </c>
      <c r="P943" s="82">
        <v>2602</v>
      </c>
      <c r="Q943" s="82">
        <v>13258</v>
      </c>
      <c r="R943" s="12" t="s">
        <v>25</v>
      </c>
      <c r="S943" s="12" t="s">
        <v>25</v>
      </c>
      <c r="T943" s="12" t="s">
        <v>25</v>
      </c>
    </row>
    <row r="944" spans="1:20" x14ac:dyDescent="0.3">
      <c r="A944" s="13">
        <v>43929.708333333336</v>
      </c>
      <c r="B944" s="12" t="s">
        <v>22</v>
      </c>
      <c r="C944" s="82">
        <v>10</v>
      </c>
      <c r="D944" s="12" t="s">
        <v>59</v>
      </c>
      <c r="E944" s="82">
        <v>4310675841</v>
      </c>
      <c r="F944" s="82">
        <v>1238824698</v>
      </c>
      <c r="G944" s="82">
        <v>155</v>
      </c>
      <c r="H944" s="82">
        <v>41</v>
      </c>
      <c r="I944" s="82">
        <v>196</v>
      </c>
      <c r="J944" s="82">
        <v>627</v>
      </c>
      <c r="K944" s="82">
        <v>823</v>
      </c>
      <c r="L944" s="82">
        <v>-23</v>
      </c>
      <c r="M944" s="82">
        <v>26</v>
      </c>
      <c r="N944" s="82">
        <v>416</v>
      </c>
      <c r="O944" s="82">
        <v>50</v>
      </c>
      <c r="P944" s="82">
        <v>1289</v>
      </c>
      <c r="Q944" s="82">
        <v>14105</v>
      </c>
      <c r="R944" s="12" t="s">
        <v>25</v>
      </c>
      <c r="S944" s="12" t="s">
        <v>25</v>
      </c>
      <c r="T944" s="12" t="s">
        <v>25</v>
      </c>
    </row>
    <row r="945" spans="1:20" x14ac:dyDescent="0.3">
      <c r="A945" s="13">
        <v>43929.708333333336</v>
      </c>
      <c r="B945" s="12" t="s">
        <v>22</v>
      </c>
      <c r="C945" s="82">
        <v>2</v>
      </c>
      <c r="D945" s="12" t="s">
        <v>60</v>
      </c>
      <c r="E945" s="82">
        <v>4573750286</v>
      </c>
      <c r="F945" s="82">
        <v>7320149366</v>
      </c>
      <c r="G945" s="82">
        <v>120</v>
      </c>
      <c r="H945" s="82">
        <v>20</v>
      </c>
      <c r="I945" s="82">
        <v>140</v>
      </c>
      <c r="J945" s="82">
        <v>466</v>
      </c>
      <c r="K945" s="82">
        <v>606</v>
      </c>
      <c r="L945" s="82">
        <v>13</v>
      </c>
      <c r="M945" s="82">
        <v>15</v>
      </c>
      <c r="N945" s="82">
        <v>142</v>
      </c>
      <c r="O945" s="82">
        <v>102</v>
      </c>
      <c r="P945" s="82">
        <v>850</v>
      </c>
      <c r="Q945" s="82">
        <v>2953</v>
      </c>
      <c r="R945" s="12" t="s">
        <v>25</v>
      </c>
      <c r="S945" s="12" t="s">
        <v>25</v>
      </c>
      <c r="T945" s="12" t="s">
        <v>25</v>
      </c>
    </row>
    <row r="946" spans="1:20" x14ac:dyDescent="0.3">
      <c r="A946" s="13">
        <v>43929.708333333336</v>
      </c>
      <c r="B946" s="12" t="s">
        <v>22</v>
      </c>
      <c r="C946" s="82">
        <v>5</v>
      </c>
      <c r="D946" s="12" t="s">
        <v>61</v>
      </c>
      <c r="E946" s="82">
        <v>4543490485</v>
      </c>
      <c r="F946" s="82">
        <v>1233845213</v>
      </c>
      <c r="G946" s="82">
        <v>1554</v>
      </c>
      <c r="H946" s="82">
        <v>285</v>
      </c>
      <c r="I946" s="82">
        <v>1839</v>
      </c>
      <c r="J946" s="82">
        <v>8332</v>
      </c>
      <c r="K946" s="82">
        <v>10171</v>
      </c>
      <c r="L946" s="82">
        <v>206</v>
      </c>
      <c r="M946" s="82">
        <v>485</v>
      </c>
      <c r="N946" s="82">
        <v>1503</v>
      </c>
      <c r="O946" s="82">
        <v>736</v>
      </c>
      <c r="P946" s="82">
        <v>12410</v>
      </c>
      <c r="Q946" s="82">
        <v>163247</v>
      </c>
      <c r="R946" s="12" t="s">
        <v>25</v>
      </c>
      <c r="S946" s="12" t="s">
        <v>25</v>
      </c>
      <c r="T946" s="12" t="s">
        <v>25</v>
      </c>
    </row>
    <row r="947" spans="1:20" x14ac:dyDescent="0.3">
      <c r="A947" s="13">
        <v>43930.708333333336</v>
      </c>
      <c r="B947" s="12" t="s">
        <v>22</v>
      </c>
      <c r="C947" s="82">
        <v>13</v>
      </c>
      <c r="D947" s="12" t="s">
        <v>42</v>
      </c>
      <c r="E947" s="82">
        <v>4235122196</v>
      </c>
      <c r="F947" s="82">
        <v>1339843823</v>
      </c>
      <c r="G947" s="82">
        <v>306</v>
      </c>
      <c r="H947" s="82">
        <v>57</v>
      </c>
      <c r="I947" s="82">
        <v>363</v>
      </c>
      <c r="J947" s="82">
        <v>1203</v>
      </c>
      <c r="K947" s="82">
        <v>1566</v>
      </c>
      <c r="L947" s="82">
        <v>32</v>
      </c>
      <c r="M947" s="82">
        <v>72</v>
      </c>
      <c r="N947" s="82">
        <v>171</v>
      </c>
      <c r="O947" s="82">
        <v>194</v>
      </c>
      <c r="P947" s="82">
        <v>1931</v>
      </c>
      <c r="Q947" s="82">
        <v>16847</v>
      </c>
      <c r="R947" s="12" t="s">
        <v>25</v>
      </c>
      <c r="S947" s="12" t="s">
        <v>25</v>
      </c>
      <c r="T947" s="12" t="s">
        <v>25</v>
      </c>
    </row>
    <row r="948" spans="1:20" x14ac:dyDescent="0.3">
      <c r="A948" s="13">
        <v>43930.708333333336</v>
      </c>
      <c r="B948" s="12" t="s">
        <v>22</v>
      </c>
      <c r="C948" s="82">
        <v>17</v>
      </c>
      <c r="D948" s="12" t="s">
        <v>43</v>
      </c>
      <c r="E948" s="82">
        <v>4063947052</v>
      </c>
      <c r="F948" s="82">
        <v>1580514834</v>
      </c>
      <c r="G948" s="82">
        <v>50</v>
      </c>
      <c r="H948" s="82">
        <v>17</v>
      </c>
      <c r="I948" s="82">
        <v>67</v>
      </c>
      <c r="J948" s="82">
        <v>208</v>
      </c>
      <c r="K948" s="82">
        <v>275</v>
      </c>
      <c r="L948" s="82">
        <v>5</v>
      </c>
      <c r="M948" s="82">
        <v>6</v>
      </c>
      <c r="N948" s="82">
        <v>13</v>
      </c>
      <c r="O948" s="82">
        <v>15</v>
      </c>
      <c r="P948" s="82">
        <v>303</v>
      </c>
      <c r="Q948" s="82">
        <v>3474</v>
      </c>
      <c r="R948" s="12" t="s">
        <v>25</v>
      </c>
      <c r="S948" s="12" t="s">
        <v>25</v>
      </c>
      <c r="T948" s="12" t="s">
        <v>25</v>
      </c>
    </row>
    <row r="949" spans="1:20" x14ac:dyDescent="0.3">
      <c r="A949" s="13">
        <v>43930.708333333336</v>
      </c>
      <c r="B949" s="12" t="s">
        <v>22</v>
      </c>
      <c r="C949" s="82">
        <v>4</v>
      </c>
      <c r="D949" s="12" t="s">
        <v>44</v>
      </c>
      <c r="E949" s="82">
        <v>4649933453</v>
      </c>
      <c r="F949" s="82">
        <v>1135662422</v>
      </c>
      <c r="G949" s="82">
        <v>263</v>
      </c>
      <c r="H949" s="82">
        <v>64</v>
      </c>
      <c r="I949" s="82">
        <v>327</v>
      </c>
      <c r="J949" s="82">
        <v>988</v>
      </c>
      <c r="K949" s="82">
        <v>1315</v>
      </c>
      <c r="L949" s="82">
        <v>34</v>
      </c>
      <c r="M949" s="82">
        <v>68</v>
      </c>
      <c r="N949" s="82">
        <v>401</v>
      </c>
      <c r="O949" s="82">
        <v>187</v>
      </c>
      <c r="P949" s="82">
        <v>1903</v>
      </c>
      <c r="Q949" s="82">
        <v>19875</v>
      </c>
      <c r="R949" s="12" t="s">
        <v>25</v>
      </c>
      <c r="S949" s="12" t="s">
        <v>25</v>
      </c>
      <c r="T949" s="12" t="s">
        <v>25</v>
      </c>
    </row>
    <row r="950" spans="1:20" x14ac:dyDescent="0.3">
      <c r="A950" s="13">
        <v>43930.708333333336</v>
      </c>
      <c r="B950" s="12" t="s">
        <v>22</v>
      </c>
      <c r="C950" s="82">
        <v>18</v>
      </c>
      <c r="D950" s="12" t="s">
        <v>45</v>
      </c>
      <c r="E950" s="82">
        <v>3890597598</v>
      </c>
      <c r="F950" s="82">
        <v>1659440194</v>
      </c>
      <c r="G950" s="82">
        <v>168</v>
      </c>
      <c r="H950" s="82">
        <v>15</v>
      </c>
      <c r="I950" s="82">
        <v>183</v>
      </c>
      <c r="J950" s="82">
        <v>582</v>
      </c>
      <c r="K950" s="82">
        <v>765</v>
      </c>
      <c r="L950" s="82">
        <v>10</v>
      </c>
      <c r="M950" s="82">
        <v>15</v>
      </c>
      <c r="N950" s="82">
        <v>48</v>
      </c>
      <c r="O950" s="82">
        <v>61</v>
      </c>
      <c r="P950" s="82">
        <v>874</v>
      </c>
      <c r="Q950" s="82">
        <v>15698</v>
      </c>
      <c r="R950" s="12" t="s">
        <v>25</v>
      </c>
      <c r="S950" s="12" t="s">
        <v>25</v>
      </c>
      <c r="T950" s="12" t="s">
        <v>25</v>
      </c>
    </row>
    <row r="951" spans="1:20" x14ac:dyDescent="0.3">
      <c r="A951" s="13">
        <v>43930.708333333336</v>
      </c>
      <c r="B951" s="12" t="s">
        <v>22</v>
      </c>
      <c r="C951" s="82">
        <v>15</v>
      </c>
      <c r="D951" s="12" t="s">
        <v>46</v>
      </c>
      <c r="E951" s="82">
        <v>4083956555</v>
      </c>
      <c r="F951" s="82">
        <v>1425084984</v>
      </c>
      <c r="G951" s="82">
        <v>604</v>
      </c>
      <c r="H951" s="82">
        <v>94</v>
      </c>
      <c r="I951" s="82">
        <v>698</v>
      </c>
      <c r="J951" s="82">
        <v>2175</v>
      </c>
      <c r="K951" s="82">
        <v>2873</v>
      </c>
      <c r="L951" s="82">
        <v>14</v>
      </c>
      <c r="M951" s="82">
        <v>76</v>
      </c>
      <c r="N951" s="82">
        <v>244</v>
      </c>
      <c r="O951" s="82">
        <v>227</v>
      </c>
      <c r="P951" s="82">
        <v>3344</v>
      </c>
      <c r="Q951" s="82">
        <v>29664</v>
      </c>
      <c r="R951" s="12" t="s">
        <v>25</v>
      </c>
      <c r="S951" s="12" t="s">
        <v>25</v>
      </c>
      <c r="T951" s="12" t="s">
        <v>25</v>
      </c>
    </row>
    <row r="952" spans="1:20" x14ac:dyDescent="0.3">
      <c r="A952" s="13">
        <v>43930.708333333336</v>
      </c>
      <c r="B952" s="12" t="s">
        <v>22</v>
      </c>
      <c r="C952" s="82">
        <v>8</v>
      </c>
      <c r="D952" s="12" t="s">
        <v>95</v>
      </c>
      <c r="E952" s="82">
        <v>4449436681</v>
      </c>
      <c r="F952" s="82">
        <v>113417208</v>
      </c>
      <c r="G952" s="82">
        <v>3722</v>
      </c>
      <c r="H952" s="82">
        <v>355</v>
      </c>
      <c r="I952" s="82">
        <v>4077</v>
      </c>
      <c r="J952" s="82">
        <v>9181</v>
      </c>
      <c r="K952" s="82">
        <v>13258</v>
      </c>
      <c r="L952" s="82">
        <v>148</v>
      </c>
      <c r="M952" s="82">
        <v>443</v>
      </c>
      <c r="N952" s="82">
        <v>3103</v>
      </c>
      <c r="O952" s="82">
        <v>2316</v>
      </c>
      <c r="P952" s="82">
        <v>18677</v>
      </c>
      <c r="Q952" s="82">
        <v>81715</v>
      </c>
      <c r="R952" s="12" t="s">
        <v>25</v>
      </c>
      <c r="S952" s="12" t="s">
        <v>25</v>
      </c>
      <c r="T952" s="12" t="s">
        <v>25</v>
      </c>
    </row>
    <row r="953" spans="1:20" x14ac:dyDescent="0.3">
      <c r="A953" s="13">
        <v>43930.708333333336</v>
      </c>
      <c r="B953" s="12" t="s">
        <v>22</v>
      </c>
      <c r="C953" s="82">
        <v>6</v>
      </c>
      <c r="D953" s="12" t="s">
        <v>47</v>
      </c>
      <c r="E953" s="82">
        <v>456494354</v>
      </c>
      <c r="F953" s="82">
        <v>1376813649</v>
      </c>
      <c r="G953" s="82">
        <v>167</v>
      </c>
      <c r="H953" s="82">
        <v>37</v>
      </c>
      <c r="I953" s="82">
        <v>204</v>
      </c>
      <c r="J953" s="82">
        <v>1186</v>
      </c>
      <c r="K953" s="82">
        <v>1390</v>
      </c>
      <c r="L953" s="82">
        <v>-25</v>
      </c>
      <c r="M953" s="82">
        <v>81</v>
      </c>
      <c r="N953" s="82">
        <v>738</v>
      </c>
      <c r="O953" s="82">
        <v>171</v>
      </c>
      <c r="P953" s="82">
        <v>2299</v>
      </c>
      <c r="Q953" s="82">
        <v>26205</v>
      </c>
      <c r="R953" s="12" t="s">
        <v>25</v>
      </c>
      <c r="S953" s="12" t="s">
        <v>25</v>
      </c>
      <c r="T953" s="12" t="s">
        <v>25</v>
      </c>
    </row>
    <row r="954" spans="1:20" x14ac:dyDescent="0.3">
      <c r="A954" s="13">
        <v>43930.708333333336</v>
      </c>
      <c r="B954" s="12" t="s">
        <v>22</v>
      </c>
      <c r="C954" s="82">
        <v>12</v>
      </c>
      <c r="D954" s="12" t="s">
        <v>48</v>
      </c>
      <c r="E954" s="82">
        <v>4189277044</v>
      </c>
      <c r="F954" s="82">
        <v>1248366722</v>
      </c>
      <c r="G954" s="82">
        <v>1244</v>
      </c>
      <c r="H954" s="82">
        <v>198</v>
      </c>
      <c r="I954" s="82">
        <v>1442</v>
      </c>
      <c r="J954" s="82">
        <v>2090</v>
      </c>
      <c r="K954" s="82">
        <v>3532</v>
      </c>
      <c r="L954" s="82">
        <v>84</v>
      </c>
      <c r="M954" s="82">
        <v>163</v>
      </c>
      <c r="N954" s="82">
        <v>644</v>
      </c>
      <c r="O954" s="82">
        <v>253</v>
      </c>
      <c r="P954" s="82">
        <v>4429</v>
      </c>
      <c r="Q954" s="82">
        <v>58107</v>
      </c>
      <c r="R954" s="12" t="s">
        <v>25</v>
      </c>
      <c r="S954" s="12" t="s">
        <v>25</v>
      </c>
      <c r="T954" s="12" t="s">
        <v>25</v>
      </c>
    </row>
    <row r="955" spans="1:20" x14ac:dyDescent="0.3">
      <c r="A955" s="13">
        <v>43930.708333333336</v>
      </c>
      <c r="B955" s="12" t="s">
        <v>22</v>
      </c>
      <c r="C955" s="82">
        <v>7</v>
      </c>
      <c r="D955" s="12" t="s">
        <v>49</v>
      </c>
      <c r="E955" s="82">
        <v>4441149315</v>
      </c>
      <c r="F955" s="82">
        <v>89326992</v>
      </c>
      <c r="G955" s="82">
        <v>1103</v>
      </c>
      <c r="H955" s="82">
        <v>154</v>
      </c>
      <c r="I955" s="82">
        <v>1257</v>
      </c>
      <c r="J955" s="82">
        <v>1996</v>
      </c>
      <c r="K955" s="82">
        <v>3253</v>
      </c>
      <c r="L955" s="82">
        <v>8</v>
      </c>
      <c r="M955" s="82">
        <v>114</v>
      </c>
      <c r="N955" s="82">
        <v>1085</v>
      </c>
      <c r="O955" s="82">
        <v>682</v>
      </c>
      <c r="P955" s="82">
        <v>5020</v>
      </c>
      <c r="Q955" s="82">
        <v>18446</v>
      </c>
      <c r="R955" s="12" t="s">
        <v>25</v>
      </c>
      <c r="S955" s="12" t="s">
        <v>25</v>
      </c>
      <c r="T955" s="12" t="s">
        <v>25</v>
      </c>
    </row>
    <row r="956" spans="1:20" x14ac:dyDescent="0.3">
      <c r="A956" s="13">
        <v>43930.708333333336</v>
      </c>
      <c r="B956" s="12" t="s">
        <v>22</v>
      </c>
      <c r="C956" s="82">
        <v>3</v>
      </c>
      <c r="D956" s="12" t="s">
        <v>50</v>
      </c>
      <c r="E956" s="82">
        <v>4546679409</v>
      </c>
      <c r="F956" s="82">
        <v>9190347404</v>
      </c>
      <c r="G956" s="82">
        <v>11796</v>
      </c>
      <c r="H956" s="82">
        <v>1236</v>
      </c>
      <c r="I956" s="82">
        <v>13032</v>
      </c>
      <c r="J956" s="82">
        <v>16042</v>
      </c>
      <c r="K956" s="82">
        <v>29074</v>
      </c>
      <c r="L956" s="82">
        <v>529</v>
      </c>
      <c r="M956" s="82">
        <v>1388</v>
      </c>
      <c r="N956" s="82">
        <v>15706</v>
      </c>
      <c r="O956" s="82">
        <v>10022</v>
      </c>
      <c r="P956" s="82">
        <v>54802</v>
      </c>
      <c r="Q956" s="82">
        <v>176953</v>
      </c>
      <c r="R956" s="12" t="s">
        <v>25</v>
      </c>
      <c r="S956" s="12" t="s">
        <v>25</v>
      </c>
      <c r="T956" s="12" t="s">
        <v>25</v>
      </c>
    </row>
    <row r="957" spans="1:20" x14ac:dyDescent="0.3">
      <c r="A957" s="13">
        <v>43930.708333333336</v>
      </c>
      <c r="B957" s="12" t="s">
        <v>22</v>
      </c>
      <c r="C957" s="82">
        <v>11</v>
      </c>
      <c r="D957" s="12" t="s">
        <v>51</v>
      </c>
      <c r="E957" s="82">
        <v>4361675973</v>
      </c>
      <c r="F957" s="82">
        <v>135188753</v>
      </c>
      <c r="G957" s="82">
        <v>945</v>
      </c>
      <c r="H957" s="82">
        <v>133</v>
      </c>
      <c r="I957" s="82">
        <v>1078</v>
      </c>
      <c r="J957" s="82">
        <v>2323</v>
      </c>
      <c r="K957" s="82">
        <v>3401</v>
      </c>
      <c r="L957" s="82">
        <v>-161</v>
      </c>
      <c r="M957" s="82">
        <v>96</v>
      </c>
      <c r="N957" s="82">
        <v>885</v>
      </c>
      <c r="O957" s="82">
        <v>669</v>
      </c>
      <c r="P957" s="82">
        <v>4955</v>
      </c>
      <c r="Q957" s="82">
        <v>18194</v>
      </c>
      <c r="R957" s="12" t="s">
        <v>25</v>
      </c>
      <c r="S957" s="12" t="s">
        <v>25</v>
      </c>
      <c r="T957" s="12" t="s">
        <v>25</v>
      </c>
    </row>
    <row r="958" spans="1:20" x14ac:dyDescent="0.3">
      <c r="A958" s="13">
        <v>43930.708333333336</v>
      </c>
      <c r="B958" s="12" t="s">
        <v>22</v>
      </c>
      <c r="C958" s="82">
        <v>14</v>
      </c>
      <c r="D958" s="12" t="s">
        <v>52</v>
      </c>
      <c r="E958" s="82">
        <v>4155774754</v>
      </c>
      <c r="F958" s="82">
        <v>1465916051</v>
      </c>
      <c r="G958" s="82">
        <v>30</v>
      </c>
      <c r="H958" s="82">
        <v>4</v>
      </c>
      <c r="I958" s="82">
        <v>34</v>
      </c>
      <c r="J958" s="82">
        <v>155</v>
      </c>
      <c r="K958" s="82">
        <v>189</v>
      </c>
      <c r="L958" s="82">
        <v>8</v>
      </c>
      <c r="M958" s="82">
        <v>8</v>
      </c>
      <c r="N958" s="82">
        <v>32</v>
      </c>
      <c r="O958" s="82">
        <v>13</v>
      </c>
      <c r="P958" s="82">
        <v>234</v>
      </c>
      <c r="Q958" s="82">
        <v>2069</v>
      </c>
      <c r="R958" s="12" t="s">
        <v>25</v>
      </c>
      <c r="S958" s="12" t="s">
        <v>25</v>
      </c>
      <c r="T958" s="12" t="s">
        <v>25</v>
      </c>
    </row>
    <row r="959" spans="1:20" x14ac:dyDescent="0.3">
      <c r="A959" s="13">
        <v>43930.708333333336</v>
      </c>
      <c r="B959" s="12" t="s">
        <v>22</v>
      </c>
      <c r="C959" s="82">
        <v>1</v>
      </c>
      <c r="D959" s="12" t="s">
        <v>53</v>
      </c>
      <c r="E959" s="82">
        <v>450732745</v>
      </c>
      <c r="F959" s="82">
        <v>7680687483</v>
      </c>
      <c r="G959" s="82">
        <v>3514</v>
      </c>
      <c r="H959" s="82">
        <v>412</v>
      </c>
      <c r="I959" s="82">
        <v>3926</v>
      </c>
      <c r="J959" s="82">
        <v>7410</v>
      </c>
      <c r="K959" s="82">
        <v>11336</v>
      </c>
      <c r="L959" s="82">
        <v>347</v>
      </c>
      <c r="M959" s="82">
        <v>639</v>
      </c>
      <c r="N959" s="82">
        <v>1732</v>
      </c>
      <c r="O959" s="82">
        <v>1454</v>
      </c>
      <c r="P959" s="82">
        <v>14522</v>
      </c>
      <c r="Q959" s="82">
        <v>52807</v>
      </c>
      <c r="R959" s="12" t="s">
        <v>25</v>
      </c>
      <c r="S959" s="12" t="s">
        <v>25</v>
      </c>
      <c r="T959" s="12" t="s">
        <v>25</v>
      </c>
    </row>
    <row r="960" spans="1:20" x14ac:dyDescent="0.3">
      <c r="A960" s="13">
        <v>43930.708333333336</v>
      </c>
      <c r="B960" s="12" t="s">
        <v>22</v>
      </c>
      <c r="C960" s="82">
        <v>16</v>
      </c>
      <c r="D960" s="12" t="s">
        <v>54</v>
      </c>
      <c r="E960" s="82">
        <v>4112559576</v>
      </c>
      <c r="F960" s="82">
        <v>1686736689</v>
      </c>
      <c r="G960" s="82">
        <v>630</v>
      </c>
      <c r="H960" s="82">
        <v>86</v>
      </c>
      <c r="I960" s="82">
        <v>716</v>
      </c>
      <c r="J960" s="82">
        <v>1585</v>
      </c>
      <c r="K960" s="82">
        <v>2301</v>
      </c>
      <c r="L960" s="82">
        <v>63</v>
      </c>
      <c r="M960" s="82">
        <v>82</v>
      </c>
      <c r="N960" s="82">
        <v>190</v>
      </c>
      <c r="O960" s="82">
        <v>225</v>
      </c>
      <c r="P960" s="82">
        <v>2716</v>
      </c>
      <c r="Q960" s="82">
        <v>26088</v>
      </c>
      <c r="R960" s="12" t="s">
        <v>25</v>
      </c>
      <c r="S960" s="12" t="s">
        <v>25</v>
      </c>
      <c r="T960" s="12" t="s">
        <v>25</v>
      </c>
    </row>
    <row r="961" spans="1:20" x14ac:dyDescent="0.3">
      <c r="A961" s="13">
        <v>43930.708333333336</v>
      </c>
      <c r="B961" s="12" t="s">
        <v>22</v>
      </c>
      <c r="C961" s="82">
        <v>20</v>
      </c>
      <c r="D961" s="12" t="s">
        <v>55</v>
      </c>
      <c r="E961" s="82">
        <v>3921531192</v>
      </c>
      <c r="F961" s="82">
        <v>9110616306</v>
      </c>
      <c r="G961" s="82">
        <v>106</v>
      </c>
      <c r="H961" s="82">
        <v>25</v>
      </c>
      <c r="I961" s="82">
        <v>131</v>
      </c>
      <c r="J961" s="82">
        <v>745</v>
      </c>
      <c r="K961" s="82">
        <v>876</v>
      </c>
      <c r="L961" s="82">
        <v>36</v>
      </c>
      <c r="M961" s="82">
        <v>51</v>
      </c>
      <c r="N961" s="82">
        <v>86</v>
      </c>
      <c r="O961" s="82">
        <v>64</v>
      </c>
      <c r="P961" s="82">
        <v>1026</v>
      </c>
      <c r="Q961" s="82">
        <v>8918</v>
      </c>
      <c r="R961" s="12" t="s">
        <v>25</v>
      </c>
      <c r="S961" s="12" t="s">
        <v>25</v>
      </c>
      <c r="T961" s="12" t="s">
        <v>25</v>
      </c>
    </row>
    <row r="962" spans="1:20" x14ac:dyDescent="0.3">
      <c r="A962" s="13">
        <v>43930.708333333336</v>
      </c>
      <c r="B962" s="12" t="s">
        <v>22</v>
      </c>
      <c r="C962" s="82">
        <v>19</v>
      </c>
      <c r="D962" s="12" t="s">
        <v>56</v>
      </c>
      <c r="E962" s="82">
        <v>3811569725</v>
      </c>
      <c r="F962" s="82">
        <v>133623567</v>
      </c>
      <c r="G962" s="82">
        <v>566</v>
      </c>
      <c r="H962" s="82">
        <v>63</v>
      </c>
      <c r="I962" s="82">
        <v>629</v>
      </c>
      <c r="J962" s="82">
        <v>1313</v>
      </c>
      <c r="K962" s="82">
        <v>1942</v>
      </c>
      <c r="L962" s="82">
        <v>49</v>
      </c>
      <c r="M962" s="82">
        <v>73</v>
      </c>
      <c r="N962" s="82">
        <v>152</v>
      </c>
      <c r="O962" s="82">
        <v>138</v>
      </c>
      <c r="P962" s="82">
        <v>2232</v>
      </c>
      <c r="Q962" s="82">
        <v>28742</v>
      </c>
      <c r="R962" s="12" t="s">
        <v>25</v>
      </c>
      <c r="S962" s="12" t="s">
        <v>25</v>
      </c>
      <c r="T962" s="12" t="s">
        <v>25</v>
      </c>
    </row>
    <row r="963" spans="1:20" x14ac:dyDescent="0.3">
      <c r="A963" s="13">
        <v>43930.708333333336</v>
      </c>
      <c r="B963" s="12" t="s">
        <v>22</v>
      </c>
      <c r="C963" s="82">
        <v>9</v>
      </c>
      <c r="D963" s="12" t="s">
        <v>57</v>
      </c>
      <c r="E963" s="82">
        <v>4376923077</v>
      </c>
      <c r="F963" s="82">
        <v>1125588885</v>
      </c>
      <c r="G963" s="82">
        <v>1038</v>
      </c>
      <c r="H963" s="82">
        <v>256</v>
      </c>
      <c r="I963" s="82">
        <v>1294</v>
      </c>
      <c r="J963" s="82">
        <v>4409</v>
      </c>
      <c r="K963" s="82">
        <v>5703</v>
      </c>
      <c r="L963" s="82">
        <v>146</v>
      </c>
      <c r="M963" s="82">
        <v>173</v>
      </c>
      <c r="N963" s="82">
        <v>441</v>
      </c>
      <c r="O963" s="82">
        <v>408</v>
      </c>
      <c r="P963" s="82">
        <v>6552</v>
      </c>
      <c r="Q963" s="82">
        <v>65461</v>
      </c>
      <c r="R963" s="12" t="s">
        <v>25</v>
      </c>
      <c r="S963" s="12" t="s">
        <v>25</v>
      </c>
      <c r="T963" s="12" t="s">
        <v>25</v>
      </c>
    </row>
    <row r="964" spans="1:20" x14ac:dyDescent="0.3">
      <c r="A964" s="13">
        <v>43930.708333333336</v>
      </c>
      <c r="B964" s="12" t="s">
        <v>22</v>
      </c>
      <c r="C964" s="82">
        <v>4</v>
      </c>
      <c r="D964" s="12" t="s">
        <v>58</v>
      </c>
      <c r="E964" s="82">
        <v>4606893511</v>
      </c>
      <c r="F964" s="82">
        <v>1112123097</v>
      </c>
      <c r="G964" s="82">
        <v>345</v>
      </c>
      <c r="H964" s="82">
        <v>69</v>
      </c>
      <c r="I964" s="82">
        <v>414</v>
      </c>
      <c r="J964" s="82">
        <v>1564</v>
      </c>
      <c r="K964" s="82">
        <v>1978</v>
      </c>
      <c r="L964" s="82">
        <v>38</v>
      </c>
      <c r="M964" s="82">
        <v>106</v>
      </c>
      <c r="N964" s="82">
        <v>462</v>
      </c>
      <c r="O964" s="82">
        <v>268</v>
      </c>
      <c r="P964" s="82">
        <v>2708</v>
      </c>
      <c r="Q964" s="82">
        <v>14338</v>
      </c>
      <c r="R964" s="12" t="s">
        <v>25</v>
      </c>
      <c r="S964" s="12" t="s">
        <v>25</v>
      </c>
      <c r="T964" s="12" t="s">
        <v>25</v>
      </c>
    </row>
    <row r="965" spans="1:20" x14ac:dyDescent="0.3">
      <c r="A965" s="13">
        <v>43930.708333333336</v>
      </c>
      <c r="B965" s="12" t="s">
        <v>22</v>
      </c>
      <c r="C965" s="82">
        <v>10</v>
      </c>
      <c r="D965" s="12" t="s">
        <v>59</v>
      </c>
      <c r="E965" s="82">
        <v>4310675841</v>
      </c>
      <c r="F965" s="82">
        <v>1238824698</v>
      </c>
      <c r="G965" s="82">
        <v>154</v>
      </c>
      <c r="H965" s="82">
        <v>38</v>
      </c>
      <c r="I965" s="82">
        <v>192</v>
      </c>
      <c r="J965" s="82">
        <v>600</v>
      </c>
      <c r="K965" s="82">
        <v>792</v>
      </c>
      <c r="L965" s="82">
        <v>-31</v>
      </c>
      <c r="M965" s="82">
        <v>9</v>
      </c>
      <c r="N965" s="82">
        <v>455</v>
      </c>
      <c r="O965" s="82">
        <v>51</v>
      </c>
      <c r="P965" s="82">
        <v>1298</v>
      </c>
      <c r="Q965" s="82">
        <v>15170</v>
      </c>
      <c r="R965" s="12" t="s">
        <v>25</v>
      </c>
      <c r="S965" s="12" t="s">
        <v>25</v>
      </c>
      <c r="T965" s="12" t="s">
        <v>25</v>
      </c>
    </row>
    <row r="966" spans="1:20" x14ac:dyDescent="0.3">
      <c r="A966" s="13">
        <v>43930.708333333336</v>
      </c>
      <c r="B966" s="12" t="s">
        <v>22</v>
      </c>
      <c r="C966" s="82">
        <v>2</v>
      </c>
      <c r="D966" s="12" t="s">
        <v>60</v>
      </c>
      <c r="E966" s="82">
        <v>4573750286</v>
      </c>
      <c r="F966" s="82">
        <v>7320149366</v>
      </c>
      <c r="G966" s="82">
        <v>118</v>
      </c>
      <c r="H966" s="82">
        <v>18</v>
      </c>
      <c r="I966" s="82">
        <v>136</v>
      </c>
      <c r="J966" s="82">
        <v>473</v>
      </c>
      <c r="K966" s="82">
        <v>609</v>
      </c>
      <c r="L966" s="82">
        <v>3</v>
      </c>
      <c r="M966" s="82">
        <v>18</v>
      </c>
      <c r="N966" s="82">
        <v>154</v>
      </c>
      <c r="O966" s="82">
        <v>105</v>
      </c>
      <c r="P966" s="82">
        <v>868</v>
      </c>
      <c r="Q966" s="82">
        <v>3142</v>
      </c>
      <c r="R966" s="12" t="s">
        <v>25</v>
      </c>
      <c r="S966" s="12" t="s">
        <v>25</v>
      </c>
      <c r="T966" s="12" t="s">
        <v>25</v>
      </c>
    </row>
    <row r="967" spans="1:20" x14ac:dyDescent="0.3">
      <c r="A967" s="13">
        <v>43930.708333333336</v>
      </c>
      <c r="B967" s="12" t="s">
        <v>22</v>
      </c>
      <c r="C967" s="82">
        <v>5</v>
      </c>
      <c r="D967" s="12" t="s">
        <v>61</v>
      </c>
      <c r="E967" s="82">
        <v>4543490485</v>
      </c>
      <c r="F967" s="82">
        <v>1233845213</v>
      </c>
      <c r="G967" s="82">
        <v>1530</v>
      </c>
      <c r="H967" s="82">
        <v>274</v>
      </c>
      <c r="I967" s="82">
        <v>1804</v>
      </c>
      <c r="J967" s="82">
        <v>8645</v>
      </c>
      <c r="K967" s="82">
        <v>10449</v>
      </c>
      <c r="L967" s="82">
        <v>278</v>
      </c>
      <c r="M967" s="82">
        <v>523</v>
      </c>
      <c r="N967" s="82">
        <v>1728</v>
      </c>
      <c r="O967" s="82">
        <v>756</v>
      </c>
      <c r="P967" s="82">
        <v>12933</v>
      </c>
      <c r="Q967" s="82">
        <v>171456</v>
      </c>
      <c r="R967" s="12" t="s">
        <v>25</v>
      </c>
      <c r="S967" s="12" t="s">
        <v>25</v>
      </c>
      <c r="T967" s="12" t="s">
        <v>25</v>
      </c>
    </row>
    <row r="968" spans="1:20" x14ac:dyDescent="0.3">
      <c r="A968" s="13">
        <v>43931.708333333336</v>
      </c>
      <c r="B968" s="12" t="s">
        <v>22</v>
      </c>
      <c r="C968" s="82">
        <v>13</v>
      </c>
      <c r="D968" s="12" t="s">
        <v>42</v>
      </c>
      <c r="E968" s="82">
        <v>4235122196</v>
      </c>
      <c r="F968" s="82">
        <v>1339843823</v>
      </c>
      <c r="G968" s="82">
        <v>305</v>
      </c>
      <c r="H968" s="82">
        <v>53</v>
      </c>
      <c r="I968" s="82">
        <v>358</v>
      </c>
      <c r="J968" s="82">
        <v>1277</v>
      </c>
      <c r="K968" s="82">
        <v>1635</v>
      </c>
      <c r="L968" s="82">
        <v>69</v>
      </c>
      <c r="M968" s="82">
        <v>83</v>
      </c>
      <c r="N968" s="82">
        <v>181</v>
      </c>
      <c r="O968" s="82">
        <v>198</v>
      </c>
      <c r="P968" s="82">
        <v>2014</v>
      </c>
      <c r="Q968" s="82">
        <v>18088</v>
      </c>
      <c r="R968" s="12" t="s">
        <v>25</v>
      </c>
      <c r="S968" s="12" t="s">
        <v>25</v>
      </c>
      <c r="T968" s="12" t="s">
        <v>25</v>
      </c>
    </row>
    <row r="969" spans="1:20" x14ac:dyDescent="0.3">
      <c r="A969" s="13">
        <v>43931.708333333336</v>
      </c>
      <c r="B969" s="12" t="s">
        <v>22</v>
      </c>
      <c r="C969" s="82">
        <v>17</v>
      </c>
      <c r="D969" s="12" t="s">
        <v>43</v>
      </c>
      <c r="E969" s="82">
        <v>4063947052</v>
      </c>
      <c r="F969" s="82">
        <v>1580514834</v>
      </c>
      <c r="G969" s="82">
        <v>59</v>
      </c>
      <c r="H969" s="82">
        <v>15</v>
      </c>
      <c r="I969" s="82">
        <v>74</v>
      </c>
      <c r="J969" s="82">
        <v>205</v>
      </c>
      <c r="K969" s="82">
        <v>279</v>
      </c>
      <c r="L969" s="82">
        <v>4</v>
      </c>
      <c r="M969" s="82">
        <v>5</v>
      </c>
      <c r="N969" s="82">
        <v>14</v>
      </c>
      <c r="O969" s="82">
        <v>15</v>
      </c>
      <c r="P969" s="82">
        <v>308</v>
      </c>
      <c r="Q969" s="82">
        <v>3696</v>
      </c>
      <c r="R969" s="12" t="s">
        <v>25</v>
      </c>
      <c r="S969" s="12" t="s">
        <v>25</v>
      </c>
      <c r="T969" s="12" t="s">
        <v>25</v>
      </c>
    </row>
    <row r="970" spans="1:20" x14ac:dyDescent="0.3">
      <c r="A970" s="13">
        <v>43931.708333333336</v>
      </c>
      <c r="B970" s="12" t="s">
        <v>22</v>
      </c>
      <c r="C970" s="82">
        <v>4</v>
      </c>
      <c r="D970" s="12" t="s">
        <v>44</v>
      </c>
      <c r="E970" s="82">
        <v>4649933453</v>
      </c>
      <c r="F970" s="82">
        <v>1135662422</v>
      </c>
      <c r="G970" s="82">
        <v>258</v>
      </c>
      <c r="H970" s="82">
        <v>58</v>
      </c>
      <c r="I970" s="82">
        <v>316</v>
      </c>
      <c r="J970" s="82">
        <v>1001</v>
      </c>
      <c r="K970" s="82">
        <v>1317</v>
      </c>
      <c r="L970" s="82">
        <v>2</v>
      </c>
      <c r="M970" s="82">
        <v>52</v>
      </c>
      <c r="N970" s="82">
        <v>447</v>
      </c>
      <c r="O970" s="82">
        <v>191</v>
      </c>
      <c r="P970" s="82">
        <v>1955</v>
      </c>
      <c r="Q970" s="82">
        <v>20866</v>
      </c>
      <c r="R970" s="12" t="s">
        <v>25</v>
      </c>
      <c r="S970" s="12" t="s">
        <v>25</v>
      </c>
      <c r="T970" s="12" t="s">
        <v>25</v>
      </c>
    </row>
    <row r="971" spans="1:20" x14ac:dyDescent="0.3">
      <c r="A971" s="13">
        <v>43931.708333333336</v>
      </c>
      <c r="B971" s="12" t="s">
        <v>22</v>
      </c>
      <c r="C971" s="82">
        <v>18</v>
      </c>
      <c r="D971" s="12" t="s">
        <v>45</v>
      </c>
      <c r="E971" s="82">
        <v>3890597598</v>
      </c>
      <c r="F971" s="82">
        <v>1659440194</v>
      </c>
      <c r="G971" s="82">
        <v>168</v>
      </c>
      <c r="H971" s="82">
        <v>14</v>
      </c>
      <c r="I971" s="82">
        <v>182</v>
      </c>
      <c r="J971" s="82">
        <v>604</v>
      </c>
      <c r="K971" s="82">
        <v>786</v>
      </c>
      <c r="L971" s="82">
        <v>21</v>
      </c>
      <c r="M971" s="82">
        <v>27</v>
      </c>
      <c r="N971" s="82">
        <v>50</v>
      </c>
      <c r="O971" s="82">
        <v>65</v>
      </c>
      <c r="P971" s="82">
        <v>901</v>
      </c>
      <c r="Q971" s="82">
        <v>16637</v>
      </c>
      <c r="R971" s="12" t="s">
        <v>25</v>
      </c>
      <c r="S971" s="12" t="s">
        <v>25</v>
      </c>
      <c r="T971" s="12" t="s">
        <v>25</v>
      </c>
    </row>
    <row r="972" spans="1:20" x14ac:dyDescent="0.3">
      <c r="A972" s="13">
        <v>43931.708333333336</v>
      </c>
      <c r="B972" s="12" t="s">
        <v>22</v>
      </c>
      <c r="C972" s="82">
        <v>15</v>
      </c>
      <c r="D972" s="12" t="s">
        <v>46</v>
      </c>
      <c r="E972" s="82">
        <v>4083956555</v>
      </c>
      <c r="F972" s="82">
        <v>1425084984</v>
      </c>
      <c r="G972" s="82">
        <v>600</v>
      </c>
      <c r="H972" s="82">
        <v>90</v>
      </c>
      <c r="I972" s="82">
        <v>690</v>
      </c>
      <c r="J972" s="82">
        <v>2273</v>
      </c>
      <c r="K972" s="82">
        <v>2963</v>
      </c>
      <c r="L972" s="82">
        <v>90</v>
      </c>
      <c r="M972" s="82">
        <v>98</v>
      </c>
      <c r="N972" s="82">
        <v>248</v>
      </c>
      <c r="O972" s="82">
        <v>231</v>
      </c>
      <c r="P972" s="82">
        <v>3442</v>
      </c>
      <c r="Q972" s="82">
        <v>31745</v>
      </c>
      <c r="R972" s="12" t="s">
        <v>25</v>
      </c>
      <c r="S972" s="12" t="s">
        <v>25</v>
      </c>
      <c r="T972" s="12" t="s">
        <v>25</v>
      </c>
    </row>
    <row r="973" spans="1:20" x14ac:dyDescent="0.3">
      <c r="A973" s="13">
        <v>43931.708333333336</v>
      </c>
      <c r="B973" s="12" t="s">
        <v>22</v>
      </c>
      <c r="C973" s="82">
        <v>8</v>
      </c>
      <c r="D973" s="12" t="s">
        <v>95</v>
      </c>
      <c r="E973" s="82">
        <v>4449436681</v>
      </c>
      <c r="F973" s="82">
        <v>113417208</v>
      </c>
      <c r="G973" s="82">
        <v>3596</v>
      </c>
      <c r="H973" s="82">
        <v>349</v>
      </c>
      <c r="I973" s="82">
        <v>3945</v>
      </c>
      <c r="J973" s="82">
        <v>9405</v>
      </c>
      <c r="K973" s="82">
        <v>13350</v>
      </c>
      <c r="L973" s="82">
        <v>92</v>
      </c>
      <c r="M973" s="82">
        <v>451</v>
      </c>
      <c r="N973" s="82">
        <v>3381</v>
      </c>
      <c r="O973" s="82">
        <v>2397</v>
      </c>
      <c r="P973" s="82">
        <v>19128</v>
      </c>
      <c r="Q973" s="82">
        <v>85884</v>
      </c>
      <c r="R973" s="12" t="s">
        <v>25</v>
      </c>
      <c r="S973" s="12" t="s">
        <v>25</v>
      </c>
      <c r="T973" s="12" t="s">
        <v>25</v>
      </c>
    </row>
    <row r="974" spans="1:20" x14ac:dyDescent="0.3">
      <c r="A974" s="13">
        <v>43931.708333333336</v>
      </c>
      <c r="B974" s="12" t="s">
        <v>22</v>
      </c>
      <c r="C974" s="82">
        <v>6</v>
      </c>
      <c r="D974" s="12" t="s">
        <v>47</v>
      </c>
      <c r="E974" s="82">
        <v>456494354</v>
      </c>
      <c r="F974" s="82">
        <v>1376813649</v>
      </c>
      <c r="G974" s="82">
        <v>167</v>
      </c>
      <c r="H974" s="82">
        <v>33</v>
      </c>
      <c r="I974" s="82">
        <v>200</v>
      </c>
      <c r="J974" s="82">
        <v>1198</v>
      </c>
      <c r="K974" s="82">
        <v>1398</v>
      </c>
      <c r="L974" s="82">
        <v>8</v>
      </c>
      <c r="M974" s="82">
        <v>50</v>
      </c>
      <c r="N974" s="82">
        <v>772</v>
      </c>
      <c r="O974" s="82">
        <v>179</v>
      </c>
      <c r="P974" s="82">
        <v>2349</v>
      </c>
      <c r="Q974" s="82">
        <v>28097</v>
      </c>
      <c r="R974" s="12" t="s">
        <v>25</v>
      </c>
      <c r="S974" s="12" t="s">
        <v>25</v>
      </c>
      <c r="T974" s="12" t="s">
        <v>25</v>
      </c>
    </row>
    <row r="975" spans="1:20" x14ac:dyDescent="0.3">
      <c r="A975" s="13">
        <v>43931.708333333336</v>
      </c>
      <c r="B975" s="12" t="s">
        <v>22</v>
      </c>
      <c r="C975" s="82">
        <v>12</v>
      </c>
      <c r="D975" s="12" t="s">
        <v>48</v>
      </c>
      <c r="E975" s="82">
        <v>4189277044</v>
      </c>
      <c r="F975" s="82">
        <v>1248366722</v>
      </c>
      <c r="G975" s="82">
        <v>1236</v>
      </c>
      <c r="H975" s="82">
        <v>201</v>
      </c>
      <c r="I975" s="82">
        <v>1437</v>
      </c>
      <c r="J975" s="82">
        <v>2196</v>
      </c>
      <c r="K975" s="82">
        <v>3633</v>
      </c>
      <c r="L975" s="82">
        <v>101</v>
      </c>
      <c r="M975" s="82">
        <v>154</v>
      </c>
      <c r="N975" s="82">
        <v>687</v>
      </c>
      <c r="O975" s="82">
        <v>263</v>
      </c>
      <c r="P975" s="82">
        <v>4583</v>
      </c>
      <c r="Q975" s="82">
        <v>61769</v>
      </c>
      <c r="R975" s="12" t="s">
        <v>25</v>
      </c>
      <c r="S975" s="12" t="s">
        <v>25</v>
      </c>
      <c r="T975" s="12" t="s">
        <v>25</v>
      </c>
    </row>
    <row r="976" spans="1:20" x14ac:dyDescent="0.3">
      <c r="A976" s="13">
        <v>43931.708333333336</v>
      </c>
      <c r="B976" s="12" t="s">
        <v>22</v>
      </c>
      <c r="C976" s="82">
        <v>7</v>
      </c>
      <c r="D976" s="12" t="s">
        <v>49</v>
      </c>
      <c r="E976" s="82">
        <v>4441149315</v>
      </c>
      <c r="F976" s="82">
        <v>89326992</v>
      </c>
      <c r="G976" s="82">
        <v>1076</v>
      </c>
      <c r="H976" s="82">
        <v>151</v>
      </c>
      <c r="I976" s="82">
        <v>1227</v>
      </c>
      <c r="J976" s="82">
        <v>2074</v>
      </c>
      <c r="K976" s="82">
        <v>3301</v>
      </c>
      <c r="L976" s="82">
        <v>48</v>
      </c>
      <c r="M976" s="82">
        <v>171</v>
      </c>
      <c r="N976" s="82">
        <v>1181</v>
      </c>
      <c r="O976" s="82">
        <v>709</v>
      </c>
      <c r="P976" s="82">
        <v>5191</v>
      </c>
      <c r="Q976" s="82">
        <v>19514</v>
      </c>
      <c r="R976" s="12" t="s">
        <v>25</v>
      </c>
      <c r="S976" s="12" t="s">
        <v>25</v>
      </c>
      <c r="T976" s="12" t="s">
        <v>25</v>
      </c>
    </row>
    <row r="977" spans="1:20" x14ac:dyDescent="0.3">
      <c r="A977" s="13">
        <v>43931.708333333336</v>
      </c>
      <c r="B977" s="12" t="s">
        <v>22</v>
      </c>
      <c r="C977" s="82">
        <v>3</v>
      </c>
      <c r="D977" s="12" t="s">
        <v>50</v>
      </c>
      <c r="E977" s="82">
        <v>4546679409</v>
      </c>
      <c r="F977" s="82">
        <v>9190347404</v>
      </c>
      <c r="G977" s="82">
        <v>11877</v>
      </c>
      <c r="H977" s="82">
        <v>1202</v>
      </c>
      <c r="I977" s="82">
        <v>13079</v>
      </c>
      <c r="J977" s="82">
        <v>16451</v>
      </c>
      <c r="K977" s="82">
        <v>29530</v>
      </c>
      <c r="L977" s="82">
        <v>456</v>
      </c>
      <c r="M977" s="82">
        <v>1246</v>
      </c>
      <c r="N977" s="82">
        <v>16280</v>
      </c>
      <c r="O977" s="82">
        <v>10238</v>
      </c>
      <c r="P977" s="82">
        <v>56048</v>
      </c>
      <c r="Q977" s="82">
        <v>186325</v>
      </c>
      <c r="R977" s="12" t="s">
        <v>25</v>
      </c>
      <c r="S977" s="12" t="s">
        <v>25</v>
      </c>
      <c r="T977" s="12" t="s">
        <v>25</v>
      </c>
    </row>
    <row r="978" spans="1:20" x14ac:dyDescent="0.3">
      <c r="A978" s="13">
        <v>43931.708333333336</v>
      </c>
      <c r="B978" s="12" t="s">
        <v>22</v>
      </c>
      <c r="C978" s="82">
        <v>11</v>
      </c>
      <c r="D978" s="12" t="s">
        <v>51</v>
      </c>
      <c r="E978" s="82">
        <v>4361675973</v>
      </c>
      <c r="F978" s="82">
        <v>135188753</v>
      </c>
      <c r="G978" s="82">
        <v>925</v>
      </c>
      <c r="H978" s="82">
        <v>127</v>
      </c>
      <c r="I978" s="82">
        <v>1052</v>
      </c>
      <c r="J978" s="82">
        <v>2264</v>
      </c>
      <c r="K978" s="82">
        <v>3316</v>
      </c>
      <c r="L978" s="82">
        <v>-85</v>
      </c>
      <c r="M978" s="82">
        <v>129</v>
      </c>
      <c r="N978" s="82">
        <v>1086</v>
      </c>
      <c r="O978" s="82">
        <v>682</v>
      </c>
      <c r="P978" s="82">
        <v>5084</v>
      </c>
      <c r="Q978" s="82">
        <v>18970</v>
      </c>
      <c r="R978" s="12" t="s">
        <v>25</v>
      </c>
      <c r="S978" s="12" t="s">
        <v>25</v>
      </c>
      <c r="T978" s="12" t="s">
        <v>25</v>
      </c>
    </row>
    <row r="979" spans="1:20" x14ac:dyDescent="0.3">
      <c r="A979" s="13">
        <v>43931.708333333336</v>
      </c>
      <c r="B979" s="12" t="s">
        <v>22</v>
      </c>
      <c r="C979" s="82">
        <v>14</v>
      </c>
      <c r="D979" s="12" t="s">
        <v>52</v>
      </c>
      <c r="E979" s="82">
        <v>4155774754</v>
      </c>
      <c r="F979" s="82">
        <v>1465916051</v>
      </c>
      <c r="G979" s="82">
        <v>28</v>
      </c>
      <c r="H979" s="82">
        <v>4</v>
      </c>
      <c r="I979" s="82">
        <v>32</v>
      </c>
      <c r="J979" s="82">
        <v>161</v>
      </c>
      <c r="K979" s="82">
        <v>193</v>
      </c>
      <c r="L979" s="82">
        <v>4</v>
      </c>
      <c r="M979" s="82">
        <v>9</v>
      </c>
      <c r="N979" s="82">
        <v>37</v>
      </c>
      <c r="O979" s="82">
        <v>13</v>
      </c>
      <c r="P979" s="82">
        <v>243</v>
      </c>
      <c r="Q979" s="82">
        <v>2069</v>
      </c>
      <c r="R979" s="12" t="s">
        <v>25</v>
      </c>
      <c r="S979" s="12" t="s">
        <v>111</v>
      </c>
      <c r="T979" s="12" t="s">
        <v>112</v>
      </c>
    </row>
    <row r="980" spans="1:20" x14ac:dyDescent="0.3">
      <c r="A980" s="13">
        <v>43931.708333333336</v>
      </c>
      <c r="B980" s="12" t="s">
        <v>22</v>
      </c>
      <c r="C980" s="82">
        <v>1</v>
      </c>
      <c r="D980" s="12" t="s">
        <v>53</v>
      </c>
      <c r="E980" s="82">
        <v>450732745</v>
      </c>
      <c r="F980" s="82">
        <v>7680687483</v>
      </c>
      <c r="G980" s="82">
        <v>3497</v>
      </c>
      <c r="H980" s="82">
        <v>394</v>
      </c>
      <c r="I980" s="82">
        <v>3891</v>
      </c>
      <c r="J980" s="82">
        <v>7685</v>
      </c>
      <c r="K980" s="82">
        <v>11576</v>
      </c>
      <c r="L980" s="82">
        <v>240</v>
      </c>
      <c r="M980" s="82">
        <v>490</v>
      </c>
      <c r="N980" s="82">
        <v>1904</v>
      </c>
      <c r="O980" s="82">
        <v>1532</v>
      </c>
      <c r="P980" s="82">
        <v>15012</v>
      </c>
      <c r="Q980" s="82">
        <v>57457</v>
      </c>
      <c r="R980" s="12" t="s">
        <v>25</v>
      </c>
      <c r="S980" s="12" t="s">
        <v>25</v>
      </c>
      <c r="T980" s="12" t="s">
        <v>25</v>
      </c>
    </row>
    <row r="981" spans="1:20" x14ac:dyDescent="0.3">
      <c r="A981" s="13">
        <v>43931.708333333336</v>
      </c>
      <c r="B981" s="12" t="s">
        <v>22</v>
      </c>
      <c r="C981" s="82">
        <v>16</v>
      </c>
      <c r="D981" s="12" t="s">
        <v>54</v>
      </c>
      <c r="E981" s="82">
        <v>4112559576</v>
      </c>
      <c r="F981" s="82">
        <v>1686736689</v>
      </c>
      <c r="G981" s="82">
        <v>631</v>
      </c>
      <c r="H981" s="82">
        <v>80</v>
      </c>
      <c r="I981" s="82">
        <v>711</v>
      </c>
      <c r="J981" s="82">
        <v>1625</v>
      </c>
      <c r="K981" s="82">
        <v>2336</v>
      </c>
      <c r="L981" s="82">
        <v>35</v>
      </c>
      <c r="M981" s="82">
        <v>93</v>
      </c>
      <c r="N981" s="82">
        <v>235</v>
      </c>
      <c r="O981" s="82">
        <v>238</v>
      </c>
      <c r="P981" s="82">
        <v>2809</v>
      </c>
      <c r="Q981" s="82">
        <v>27812</v>
      </c>
      <c r="R981" s="12" t="s">
        <v>25</v>
      </c>
      <c r="S981" s="12" t="s">
        <v>25</v>
      </c>
      <c r="T981" s="12" t="s">
        <v>25</v>
      </c>
    </row>
    <row r="982" spans="1:20" x14ac:dyDescent="0.3">
      <c r="A982" s="13">
        <v>43931.708333333336</v>
      </c>
      <c r="B982" s="12" t="s">
        <v>22</v>
      </c>
      <c r="C982" s="82">
        <v>20</v>
      </c>
      <c r="D982" s="12" t="s">
        <v>55</v>
      </c>
      <c r="E982" s="82">
        <v>3921531192</v>
      </c>
      <c r="F982" s="82">
        <v>9110616306</v>
      </c>
      <c r="G982" s="82">
        <v>107</v>
      </c>
      <c r="H982" s="82">
        <v>26</v>
      </c>
      <c r="I982" s="82">
        <v>133</v>
      </c>
      <c r="J982" s="82">
        <v>743</v>
      </c>
      <c r="K982" s="82">
        <v>876</v>
      </c>
      <c r="L982" s="82">
        <v>0</v>
      </c>
      <c r="M982" s="82">
        <v>37</v>
      </c>
      <c r="N982" s="82">
        <v>118</v>
      </c>
      <c r="O982" s="82">
        <v>69</v>
      </c>
      <c r="P982" s="82">
        <v>1063</v>
      </c>
      <c r="Q982" s="82">
        <v>9444</v>
      </c>
      <c r="R982" s="12" t="s">
        <v>25</v>
      </c>
      <c r="S982" s="12" t="s">
        <v>25</v>
      </c>
      <c r="T982" s="12" t="s">
        <v>25</v>
      </c>
    </row>
    <row r="983" spans="1:20" x14ac:dyDescent="0.3">
      <c r="A983" s="13">
        <v>43931.708333333336</v>
      </c>
      <c r="B983" s="12" t="s">
        <v>22</v>
      </c>
      <c r="C983" s="82">
        <v>19</v>
      </c>
      <c r="D983" s="12" t="s">
        <v>56</v>
      </c>
      <c r="E983" s="82">
        <v>3811569725</v>
      </c>
      <c r="F983" s="82">
        <v>133623567</v>
      </c>
      <c r="G983" s="82">
        <v>568</v>
      </c>
      <c r="H983" s="82">
        <v>62</v>
      </c>
      <c r="I983" s="82">
        <v>630</v>
      </c>
      <c r="J983" s="82">
        <v>1337</v>
      </c>
      <c r="K983" s="82">
        <v>1967</v>
      </c>
      <c r="L983" s="82">
        <v>25</v>
      </c>
      <c r="M983" s="82">
        <v>70</v>
      </c>
      <c r="N983" s="82">
        <v>187</v>
      </c>
      <c r="O983" s="82">
        <v>148</v>
      </c>
      <c r="P983" s="82">
        <v>2302</v>
      </c>
      <c r="Q983" s="82">
        <v>31156</v>
      </c>
      <c r="R983" s="12" t="s">
        <v>25</v>
      </c>
      <c r="S983" s="12" t="s">
        <v>25</v>
      </c>
      <c r="T983" s="12" t="s">
        <v>25</v>
      </c>
    </row>
    <row r="984" spans="1:20" x14ac:dyDescent="0.3">
      <c r="A984" s="13">
        <v>43931.708333333336</v>
      </c>
      <c r="B984" s="12" t="s">
        <v>22</v>
      </c>
      <c r="C984" s="82">
        <v>9</v>
      </c>
      <c r="D984" s="12" t="s">
        <v>57</v>
      </c>
      <c r="E984" s="82">
        <v>4376923077</v>
      </c>
      <c r="F984" s="82">
        <v>1125588885</v>
      </c>
      <c r="G984" s="82">
        <v>1011</v>
      </c>
      <c r="H984" s="82">
        <v>256</v>
      </c>
      <c r="I984" s="82">
        <v>1267</v>
      </c>
      <c r="J984" s="82">
        <v>4555</v>
      </c>
      <c r="K984" s="82">
        <v>5822</v>
      </c>
      <c r="L984" s="82">
        <v>119</v>
      </c>
      <c r="M984" s="82">
        <v>175</v>
      </c>
      <c r="N984" s="82">
        <v>451</v>
      </c>
      <c r="O984" s="82">
        <v>454</v>
      </c>
      <c r="P984" s="82">
        <v>6727</v>
      </c>
      <c r="Q984" s="82">
        <v>72001</v>
      </c>
      <c r="R984" s="12" t="s">
        <v>25</v>
      </c>
      <c r="S984" s="12" t="s">
        <v>25</v>
      </c>
      <c r="T984" s="12" t="s">
        <v>25</v>
      </c>
    </row>
    <row r="985" spans="1:20" x14ac:dyDescent="0.3">
      <c r="A985" s="13">
        <v>43931.708333333336</v>
      </c>
      <c r="B985" s="12" t="s">
        <v>22</v>
      </c>
      <c r="C985" s="82">
        <v>4</v>
      </c>
      <c r="D985" s="12" t="s">
        <v>58</v>
      </c>
      <c r="E985" s="82">
        <v>4606893511</v>
      </c>
      <c r="F985" s="82">
        <v>1112123097</v>
      </c>
      <c r="G985" s="82">
        <v>335</v>
      </c>
      <c r="H985" s="82">
        <v>70</v>
      </c>
      <c r="I985" s="82">
        <v>405</v>
      </c>
      <c r="J985" s="82">
        <v>1589</v>
      </c>
      <c r="K985" s="82">
        <v>1994</v>
      </c>
      <c r="L985" s="82">
        <v>16</v>
      </c>
      <c r="M985" s="82">
        <v>108</v>
      </c>
      <c r="N985" s="82">
        <v>547</v>
      </c>
      <c r="O985" s="82">
        <v>275</v>
      </c>
      <c r="P985" s="82">
        <v>2816</v>
      </c>
      <c r="Q985" s="82">
        <v>14981</v>
      </c>
      <c r="R985" s="12" t="s">
        <v>25</v>
      </c>
      <c r="S985" s="12" t="s">
        <v>25</v>
      </c>
      <c r="T985" s="12" t="s">
        <v>25</v>
      </c>
    </row>
    <row r="986" spans="1:20" x14ac:dyDescent="0.3">
      <c r="A986" s="13">
        <v>43931.708333333336</v>
      </c>
      <c r="B986" s="12" t="s">
        <v>22</v>
      </c>
      <c r="C986" s="82">
        <v>10</v>
      </c>
      <c r="D986" s="12" t="s">
        <v>59</v>
      </c>
      <c r="E986" s="82">
        <v>4310675841</v>
      </c>
      <c r="F986" s="82">
        <v>1238824698</v>
      </c>
      <c r="G986" s="82">
        <v>146</v>
      </c>
      <c r="H986" s="82">
        <v>39</v>
      </c>
      <c r="I986" s="82">
        <v>185</v>
      </c>
      <c r="J986" s="82">
        <v>567</v>
      </c>
      <c r="K986" s="82">
        <v>752</v>
      </c>
      <c r="L986" s="82">
        <v>-40</v>
      </c>
      <c r="M986" s="82">
        <v>4</v>
      </c>
      <c r="N986" s="82">
        <v>498</v>
      </c>
      <c r="O986" s="82">
        <v>52</v>
      </c>
      <c r="P986" s="82">
        <v>1302</v>
      </c>
      <c r="Q986" s="82">
        <v>16325</v>
      </c>
      <c r="R986" s="12" t="s">
        <v>25</v>
      </c>
      <c r="S986" s="12" t="s">
        <v>25</v>
      </c>
      <c r="T986" s="12" t="s">
        <v>25</v>
      </c>
    </row>
    <row r="987" spans="1:20" x14ac:dyDescent="0.3">
      <c r="A987" s="13">
        <v>43931.708333333336</v>
      </c>
      <c r="B987" s="12" t="s">
        <v>22</v>
      </c>
      <c r="C987" s="82">
        <v>2</v>
      </c>
      <c r="D987" s="12" t="s">
        <v>60</v>
      </c>
      <c r="E987" s="82">
        <v>4573750286</v>
      </c>
      <c r="F987" s="82">
        <v>7320149366</v>
      </c>
      <c r="G987" s="82">
        <v>131</v>
      </c>
      <c r="H987" s="82">
        <v>16</v>
      </c>
      <c r="I987" s="82">
        <v>147</v>
      </c>
      <c r="J987" s="82">
        <v>455</v>
      </c>
      <c r="K987" s="82">
        <v>602</v>
      </c>
      <c r="L987" s="82">
        <v>-7</v>
      </c>
      <c r="M987" s="82">
        <v>11</v>
      </c>
      <c r="N987" s="82">
        <v>170</v>
      </c>
      <c r="O987" s="82">
        <v>107</v>
      </c>
      <c r="P987" s="82">
        <v>879</v>
      </c>
      <c r="Q987" s="82">
        <v>3328</v>
      </c>
      <c r="R987" s="12" t="s">
        <v>25</v>
      </c>
      <c r="S987" s="12" t="s">
        <v>25</v>
      </c>
      <c r="T987" s="12" t="s">
        <v>25</v>
      </c>
    </row>
    <row r="988" spans="1:20" x14ac:dyDescent="0.3">
      <c r="A988" s="13">
        <v>43931.708333333336</v>
      </c>
      <c r="B988" s="12" t="s">
        <v>22</v>
      </c>
      <c r="C988" s="82">
        <v>5</v>
      </c>
      <c r="D988" s="12" t="s">
        <v>61</v>
      </c>
      <c r="E988" s="82">
        <v>4543490485</v>
      </c>
      <c r="F988" s="82">
        <v>1233845213</v>
      </c>
      <c r="G988" s="82">
        <v>1521</v>
      </c>
      <c r="H988" s="82">
        <v>257</v>
      </c>
      <c r="I988" s="82">
        <v>1778</v>
      </c>
      <c r="J988" s="82">
        <v>8869</v>
      </c>
      <c r="K988" s="82">
        <v>10647</v>
      </c>
      <c r="L988" s="82">
        <v>198</v>
      </c>
      <c r="M988" s="82">
        <v>488</v>
      </c>
      <c r="N988" s="82">
        <v>1981</v>
      </c>
      <c r="O988" s="82">
        <v>793</v>
      </c>
      <c r="P988" s="82">
        <v>13421</v>
      </c>
      <c r="Q988" s="82">
        <v>180700</v>
      </c>
      <c r="R988" s="12" t="s">
        <v>25</v>
      </c>
      <c r="S988" s="12" t="s">
        <v>25</v>
      </c>
      <c r="T988" s="12" t="s">
        <v>25</v>
      </c>
    </row>
    <row r="989" spans="1:20" x14ac:dyDescent="0.3">
      <c r="A989" s="13">
        <v>43932.708333333336</v>
      </c>
      <c r="B989" s="12" t="s">
        <v>22</v>
      </c>
      <c r="C989" s="82">
        <v>13</v>
      </c>
      <c r="D989" s="12" t="s">
        <v>42</v>
      </c>
      <c r="E989" s="82">
        <v>4235122196</v>
      </c>
      <c r="F989" s="82">
        <v>1339843823</v>
      </c>
      <c r="G989" s="82">
        <v>315</v>
      </c>
      <c r="H989" s="82">
        <v>54</v>
      </c>
      <c r="I989" s="82">
        <v>369</v>
      </c>
      <c r="J989" s="82">
        <v>1355</v>
      </c>
      <c r="K989" s="82">
        <v>1724</v>
      </c>
      <c r="L989" s="82">
        <v>89</v>
      </c>
      <c r="M989" s="82">
        <v>106</v>
      </c>
      <c r="N989" s="82">
        <v>190</v>
      </c>
      <c r="O989" s="82">
        <v>206</v>
      </c>
      <c r="P989" s="82">
        <v>2120</v>
      </c>
      <c r="Q989" s="82">
        <v>19441</v>
      </c>
      <c r="R989" s="12" t="s">
        <v>25</v>
      </c>
      <c r="S989" s="12" t="s">
        <v>25</v>
      </c>
      <c r="T989" s="12" t="s">
        <v>25</v>
      </c>
    </row>
    <row r="990" spans="1:20" x14ac:dyDescent="0.3">
      <c r="A990" s="13">
        <v>43932.708333333336</v>
      </c>
      <c r="B990" s="12" t="s">
        <v>22</v>
      </c>
      <c r="C990" s="82">
        <v>17</v>
      </c>
      <c r="D990" s="12" t="s">
        <v>43</v>
      </c>
      <c r="E990" s="82">
        <v>4063947052</v>
      </c>
      <c r="F990" s="82">
        <v>1580514834</v>
      </c>
      <c r="G990" s="82">
        <v>60</v>
      </c>
      <c r="H990" s="82">
        <v>12</v>
      </c>
      <c r="I990" s="82">
        <v>72</v>
      </c>
      <c r="J990" s="82">
        <v>209</v>
      </c>
      <c r="K990" s="82">
        <v>281</v>
      </c>
      <c r="L990" s="82">
        <v>2</v>
      </c>
      <c r="M990" s="82">
        <v>4</v>
      </c>
      <c r="N990" s="82">
        <v>14</v>
      </c>
      <c r="O990" s="82">
        <v>17</v>
      </c>
      <c r="P990" s="82">
        <v>312</v>
      </c>
      <c r="Q990" s="82">
        <v>4050</v>
      </c>
      <c r="R990" s="12" t="s">
        <v>25</v>
      </c>
      <c r="S990" s="12" t="s">
        <v>25</v>
      </c>
      <c r="T990" s="12" t="s">
        <v>25</v>
      </c>
    </row>
    <row r="991" spans="1:20" x14ac:dyDescent="0.3">
      <c r="A991" s="13">
        <v>43932.708333333336</v>
      </c>
      <c r="B991" s="12" t="s">
        <v>22</v>
      </c>
      <c r="C991" s="82">
        <v>4</v>
      </c>
      <c r="D991" s="12" t="s">
        <v>44</v>
      </c>
      <c r="E991" s="82">
        <v>4649933453</v>
      </c>
      <c r="F991" s="82">
        <v>1135662422</v>
      </c>
      <c r="G991" s="82">
        <v>246</v>
      </c>
      <c r="H991" s="82">
        <v>56</v>
      </c>
      <c r="I991" s="82">
        <v>302</v>
      </c>
      <c r="J991" s="82">
        <v>967</v>
      </c>
      <c r="K991" s="82">
        <v>1269</v>
      </c>
      <c r="L991" s="82">
        <v>-48</v>
      </c>
      <c r="M991" s="82">
        <v>2</v>
      </c>
      <c r="N991" s="82">
        <v>488</v>
      </c>
      <c r="O991" s="82">
        <v>200</v>
      </c>
      <c r="P991" s="82">
        <v>1957</v>
      </c>
      <c r="Q991" s="82">
        <v>22186</v>
      </c>
      <c r="R991" s="12" t="s">
        <v>25</v>
      </c>
      <c r="S991" s="12" t="s">
        <v>25</v>
      </c>
      <c r="T991" s="12" t="s">
        <v>25</v>
      </c>
    </row>
    <row r="992" spans="1:20" x14ac:dyDescent="0.3">
      <c r="A992" s="13">
        <v>43932.708333333336</v>
      </c>
      <c r="B992" s="12" t="s">
        <v>22</v>
      </c>
      <c r="C992" s="82">
        <v>18</v>
      </c>
      <c r="D992" s="12" t="s">
        <v>45</v>
      </c>
      <c r="E992" s="82">
        <v>3890597598</v>
      </c>
      <c r="F992" s="82">
        <v>1659440194</v>
      </c>
      <c r="G992" s="82">
        <v>169</v>
      </c>
      <c r="H992" s="82">
        <v>15</v>
      </c>
      <c r="I992" s="82">
        <v>184</v>
      </c>
      <c r="J992" s="82">
        <v>608</v>
      </c>
      <c r="K992" s="82">
        <v>792</v>
      </c>
      <c r="L992" s="82">
        <v>6</v>
      </c>
      <c r="M992" s="82">
        <v>14</v>
      </c>
      <c r="N992" s="82">
        <v>57</v>
      </c>
      <c r="O992" s="82">
        <v>66</v>
      </c>
      <c r="P992" s="82">
        <v>915</v>
      </c>
      <c r="Q992" s="82">
        <v>17493</v>
      </c>
      <c r="R992" s="12" t="s">
        <v>25</v>
      </c>
      <c r="S992" s="12" t="s">
        <v>25</v>
      </c>
      <c r="T992" s="12" t="s">
        <v>25</v>
      </c>
    </row>
    <row r="993" spans="1:20" x14ac:dyDescent="0.3">
      <c r="A993" s="13">
        <v>43932.708333333336</v>
      </c>
      <c r="B993" s="12" t="s">
        <v>22</v>
      </c>
      <c r="C993" s="82">
        <v>15</v>
      </c>
      <c r="D993" s="12" t="s">
        <v>46</v>
      </c>
      <c r="E993" s="82">
        <v>4083956555</v>
      </c>
      <c r="F993" s="82">
        <v>1425084984</v>
      </c>
      <c r="G993" s="82">
        <v>582</v>
      </c>
      <c r="H993" s="82">
        <v>85</v>
      </c>
      <c r="I993" s="82">
        <v>667</v>
      </c>
      <c r="J993" s="82">
        <v>2335</v>
      </c>
      <c r="K993" s="82">
        <v>3002</v>
      </c>
      <c r="L993" s="82">
        <v>39</v>
      </c>
      <c r="M993" s="82">
        <v>75</v>
      </c>
      <c r="N993" s="82">
        <v>277</v>
      </c>
      <c r="O993" s="82">
        <v>238</v>
      </c>
      <c r="P993" s="82">
        <v>3517</v>
      </c>
      <c r="Q993" s="82">
        <v>33781</v>
      </c>
      <c r="R993" s="12" t="s">
        <v>25</v>
      </c>
      <c r="S993" s="12" t="s">
        <v>25</v>
      </c>
      <c r="T993" s="12" t="s">
        <v>25</v>
      </c>
    </row>
    <row r="994" spans="1:20" x14ac:dyDescent="0.3">
      <c r="A994" s="13">
        <v>43932.708333333336</v>
      </c>
      <c r="B994" s="12" t="s">
        <v>22</v>
      </c>
      <c r="C994" s="82">
        <v>8</v>
      </c>
      <c r="D994" s="12" t="s">
        <v>95</v>
      </c>
      <c r="E994" s="82">
        <v>4449436681</v>
      </c>
      <c r="F994" s="82">
        <v>113417208</v>
      </c>
      <c r="G994" s="82">
        <v>3530</v>
      </c>
      <c r="H994" s="82">
        <v>341</v>
      </c>
      <c r="I994" s="82">
        <v>3871</v>
      </c>
      <c r="J994" s="82">
        <v>9624</v>
      </c>
      <c r="K994" s="82">
        <v>13495</v>
      </c>
      <c r="L994" s="82">
        <v>145</v>
      </c>
      <c r="M994" s="82">
        <v>507</v>
      </c>
      <c r="N994" s="82">
        <v>3659</v>
      </c>
      <c r="O994" s="82">
        <v>2481</v>
      </c>
      <c r="P994" s="82">
        <v>19635</v>
      </c>
      <c r="Q994" s="82">
        <v>91759</v>
      </c>
      <c r="R994" s="12" t="s">
        <v>25</v>
      </c>
      <c r="S994" s="12" t="s">
        <v>25</v>
      </c>
      <c r="T994" s="12" t="s">
        <v>25</v>
      </c>
    </row>
    <row r="995" spans="1:20" x14ac:dyDescent="0.3">
      <c r="A995" s="13">
        <v>43932.708333333336</v>
      </c>
      <c r="B995" s="12" t="s">
        <v>22</v>
      </c>
      <c r="C995" s="82">
        <v>6</v>
      </c>
      <c r="D995" s="12" t="s">
        <v>47</v>
      </c>
      <c r="E995" s="82">
        <v>456494354</v>
      </c>
      <c r="F995" s="82">
        <v>1376813649</v>
      </c>
      <c r="G995" s="82">
        <v>172</v>
      </c>
      <c r="H995" s="82">
        <v>28</v>
      </c>
      <c r="I995" s="82">
        <v>200</v>
      </c>
      <c r="J995" s="82">
        <v>1182</v>
      </c>
      <c r="K995" s="82">
        <v>1382</v>
      </c>
      <c r="L995" s="82">
        <v>-16</v>
      </c>
      <c r="M995" s="82">
        <v>44</v>
      </c>
      <c r="N995" s="82">
        <v>826</v>
      </c>
      <c r="O995" s="82">
        <v>185</v>
      </c>
      <c r="P995" s="82">
        <v>2393</v>
      </c>
      <c r="Q995" s="82">
        <v>29685</v>
      </c>
      <c r="R995" s="12" t="s">
        <v>25</v>
      </c>
      <c r="S995" s="12" t="s">
        <v>25</v>
      </c>
      <c r="T995" s="12" t="s">
        <v>25</v>
      </c>
    </row>
    <row r="996" spans="1:20" x14ac:dyDescent="0.3">
      <c r="A996" s="13">
        <v>43932.708333333336</v>
      </c>
      <c r="B996" s="12" t="s">
        <v>22</v>
      </c>
      <c r="C996" s="82">
        <v>12</v>
      </c>
      <c r="D996" s="12" t="s">
        <v>48</v>
      </c>
      <c r="E996" s="82">
        <v>4189277044</v>
      </c>
      <c r="F996" s="82">
        <v>1248366722</v>
      </c>
      <c r="G996" s="82">
        <v>1264</v>
      </c>
      <c r="H996" s="82">
        <v>203</v>
      </c>
      <c r="I996" s="82">
        <v>1467</v>
      </c>
      <c r="J996" s="82">
        <v>2263</v>
      </c>
      <c r="K996" s="82">
        <v>3730</v>
      </c>
      <c r="L996" s="82">
        <v>97</v>
      </c>
      <c r="M996" s="82">
        <v>140</v>
      </c>
      <c r="N996" s="82">
        <v>720</v>
      </c>
      <c r="O996" s="82">
        <v>273</v>
      </c>
      <c r="P996" s="82">
        <v>4723</v>
      </c>
      <c r="Q996" s="82">
        <v>65241</v>
      </c>
      <c r="R996" s="12" t="s">
        <v>25</v>
      </c>
      <c r="S996" s="12" t="s">
        <v>25</v>
      </c>
      <c r="T996" s="12" t="s">
        <v>25</v>
      </c>
    </row>
    <row r="997" spans="1:20" x14ac:dyDescent="0.3">
      <c r="A997" s="13">
        <v>43932.708333333336</v>
      </c>
      <c r="B997" s="12" t="s">
        <v>22</v>
      </c>
      <c r="C997" s="82">
        <v>7</v>
      </c>
      <c r="D997" s="12" t="s">
        <v>49</v>
      </c>
      <c r="E997" s="82">
        <v>4441149315</v>
      </c>
      <c r="F997" s="82">
        <v>89326992</v>
      </c>
      <c r="G997" s="82">
        <v>1003</v>
      </c>
      <c r="H997" s="82">
        <v>146</v>
      </c>
      <c r="I997" s="82">
        <v>1149</v>
      </c>
      <c r="J997" s="82">
        <v>2184</v>
      </c>
      <c r="K997" s="82">
        <v>3333</v>
      </c>
      <c r="L997" s="82">
        <v>32</v>
      </c>
      <c r="M997" s="82">
        <v>185</v>
      </c>
      <c r="N997" s="82">
        <v>1309</v>
      </c>
      <c r="O997" s="82">
        <v>734</v>
      </c>
      <c r="P997" s="82">
        <v>5376</v>
      </c>
      <c r="Q997" s="82">
        <v>20888</v>
      </c>
      <c r="R997" s="12" t="s">
        <v>25</v>
      </c>
      <c r="S997" s="12" t="s">
        <v>25</v>
      </c>
      <c r="T997" s="12" t="s">
        <v>25</v>
      </c>
    </row>
    <row r="998" spans="1:20" x14ac:dyDescent="0.3">
      <c r="A998" s="13">
        <v>43932.708333333336</v>
      </c>
      <c r="B998" s="12" t="s">
        <v>22</v>
      </c>
      <c r="C998" s="82">
        <v>3</v>
      </c>
      <c r="D998" s="12" t="s">
        <v>50</v>
      </c>
      <c r="E998" s="82">
        <v>4546679409</v>
      </c>
      <c r="F998" s="82">
        <v>9190347404</v>
      </c>
      <c r="G998" s="82">
        <v>12026</v>
      </c>
      <c r="H998" s="82">
        <v>1174</v>
      </c>
      <c r="I998" s="82">
        <v>13200</v>
      </c>
      <c r="J998" s="82">
        <v>17058</v>
      </c>
      <c r="K998" s="82">
        <v>30258</v>
      </c>
      <c r="L998" s="82">
        <v>728</v>
      </c>
      <c r="M998" s="82">
        <v>1544</v>
      </c>
      <c r="N998" s="82">
        <v>16823</v>
      </c>
      <c r="O998" s="82">
        <v>10511</v>
      </c>
      <c r="P998" s="82">
        <v>57592</v>
      </c>
      <c r="Q998" s="82">
        <v>196302</v>
      </c>
      <c r="R998" s="12" t="s">
        <v>25</v>
      </c>
      <c r="S998" s="12" t="s">
        <v>25</v>
      </c>
      <c r="T998" s="12" t="s">
        <v>25</v>
      </c>
    </row>
    <row r="999" spans="1:20" x14ac:dyDescent="0.3">
      <c r="A999" s="13">
        <v>43932.708333333336</v>
      </c>
      <c r="B999" s="12" t="s">
        <v>22</v>
      </c>
      <c r="C999" s="82">
        <v>11</v>
      </c>
      <c r="D999" s="12" t="s">
        <v>51</v>
      </c>
      <c r="E999" s="82">
        <v>4361675973</v>
      </c>
      <c r="F999" s="82">
        <v>135188753</v>
      </c>
      <c r="G999" s="82">
        <v>960</v>
      </c>
      <c r="H999" s="82">
        <v>118</v>
      </c>
      <c r="I999" s="82">
        <v>1078</v>
      </c>
      <c r="J999" s="82">
        <v>2153</v>
      </c>
      <c r="K999" s="82">
        <v>3231</v>
      </c>
      <c r="L999" s="82">
        <v>-85</v>
      </c>
      <c r="M999" s="82">
        <v>127</v>
      </c>
      <c r="N999" s="82">
        <v>1291</v>
      </c>
      <c r="O999" s="82">
        <v>689</v>
      </c>
      <c r="P999" s="82">
        <v>5211</v>
      </c>
      <c r="Q999" s="82">
        <v>20060</v>
      </c>
      <c r="R999" s="12" t="s">
        <v>25</v>
      </c>
      <c r="S999" s="12" t="s">
        <v>25</v>
      </c>
      <c r="T999" s="12" t="s">
        <v>25</v>
      </c>
    </row>
    <row r="1000" spans="1:20" x14ac:dyDescent="0.3">
      <c r="A1000" s="13">
        <v>43932.708333333336</v>
      </c>
      <c r="B1000" s="12" t="s">
        <v>22</v>
      </c>
      <c r="C1000" s="82">
        <v>14</v>
      </c>
      <c r="D1000" s="12" t="s">
        <v>52</v>
      </c>
      <c r="E1000" s="82">
        <v>4155774754</v>
      </c>
      <c r="F1000" s="82">
        <v>1465916051</v>
      </c>
      <c r="G1000" s="82">
        <v>28</v>
      </c>
      <c r="H1000" s="82">
        <v>4</v>
      </c>
      <c r="I1000" s="82">
        <v>32</v>
      </c>
      <c r="J1000" s="82">
        <v>161</v>
      </c>
      <c r="K1000" s="82">
        <v>193</v>
      </c>
      <c r="L1000" s="82">
        <v>0</v>
      </c>
      <c r="M1000" s="82">
        <v>3</v>
      </c>
      <c r="N1000" s="82">
        <v>39</v>
      </c>
      <c r="O1000" s="82">
        <v>14</v>
      </c>
      <c r="P1000" s="82">
        <v>246</v>
      </c>
      <c r="Q1000" s="82">
        <v>2201</v>
      </c>
      <c r="R1000" s="12" t="s">
        <v>25</v>
      </c>
      <c r="S1000" s="12" t="s">
        <v>25</v>
      </c>
      <c r="T1000" s="12" t="s">
        <v>25</v>
      </c>
    </row>
    <row r="1001" spans="1:20" x14ac:dyDescent="0.3">
      <c r="A1001" s="13">
        <v>43932.708333333336</v>
      </c>
      <c r="B1001" s="12" t="s">
        <v>22</v>
      </c>
      <c r="C1001" s="82">
        <v>1</v>
      </c>
      <c r="D1001" s="12" t="s">
        <v>53</v>
      </c>
      <c r="E1001" s="82">
        <v>450732745</v>
      </c>
      <c r="F1001" s="82">
        <v>7680687483</v>
      </c>
      <c r="G1001" s="82">
        <v>3435</v>
      </c>
      <c r="H1001" s="82">
        <v>384</v>
      </c>
      <c r="I1001" s="82">
        <v>3819</v>
      </c>
      <c r="J1001" s="82">
        <v>8351</v>
      </c>
      <c r="K1001" s="82">
        <v>12170</v>
      </c>
      <c r="L1001" s="82">
        <v>594</v>
      </c>
      <c r="M1001" s="82">
        <v>996</v>
      </c>
      <c r="N1001" s="82">
        <v>2205</v>
      </c>
      <c r="O1001" s="82">
        <v>1633</v>
      </c>
      <c r="P1001" s="82">
        <v>16008</v>
      </c>
      <c r="Q1001" s="82">
        <v>62577</v>
      </c>
      <c r="R1001" s="12" t="s">
        <v>25</v>
      </c>
      <c r="S1001" s="12" t="s">
        <v>25</v>
      </c>
      <c r="T1001" s="12" t="s">
        <v>25</v>
      </c>
    </row>
    <row r="1002" spans="1:20" x14ac:dyDescent="0.3">
      <c r="A1002" s="13">
        <v>43932.708333333336</v>
      </c>
      <c r="B1002" s="12" t="s">
        <v>22</v>
      </c>
      <c r="C1002" s="82">
        <v>16</v>
      </c>
      <c r="D1002" s="12" t="s">
        <v>54</v>
      </c>
      <c r="E1002" s="82">
        <v>4112559576</v>
      </c>
      <c r="F1002" s="82">
        <v>1686736689</v>
      </c>
      <c r="G1002" s="82">
        <v>627</v>
      </c>
      <c r="H1002" s="82">
        <v>73</v>
      </c>
      <c r="I1002" s="82">
        <v>700</v>
      </c>
      <c r="J1002" s="82">
        <v>1702</v>
      </c>
      <c r="K1002" s="82">
        <v>2402</v>
      </c>
      <c r="L1002" s="82">
        <v>66</v>
      </c>
      <c r="M1002" s="82">
        <v>95</v>
      </c>
      <c r="N1002" s="82">
        <v>249</v>
      </c>
      <c r="O1002" s="82">
        <v>253</v>
      </c>
      <c r="P1002" s="82">
        <v>2904</v>
      </c>
      <c r="Q1002" s="82">
        <v>29463</v>
      </c>
      <c r="R1002" s="12" t="s">
        <v>25</v>
      </c>
      <c r="S1002" s="12" t="s">
        <v>25</v>
      </c>
      <c r="T1002" s="12" t="s">
        <v>25</v>
      </c>
    </row>
    <row r="1003" spans="1:20" x14ac:dyDescent="0.3">
      <c r="A1003" s="13">
        <v>43932.708333333336</v>
      </c>
      <c r="B1003" s="12" t="s">
        <v>22</v>
      </c>
      <c r="C1003" s="82">
        <v>20</v>
      </c>
      <c r="D1003" s="12" t="s">
        <v>55</v>
      </c>
      <c r="E1003" s="82">
        <v>3921531192</v>
      </c>
      <c r="F1003" s="82">
        <v>9110616306</v>
      </c>
      <c r="G1003" s="82">
        <v>113</v>
      </c>
      <c r="H1003" s="82">
        <v>24</v>
      </c>
      <c r="I1003" s="82">
        <v>137</v>
      </c>
      <c r="J1003" s="82">
        <v>751</v>
      </c>
      <c r="K1003" s="82">
        <v>888</v>
      </c>
      <c r="L1003" s="82">
        <v>12</v>
      </c>
      <c r="M1003" s="82">
        <v>28</v>
      </c>
      <c r="N1003" s="82">
        <v>130</v>
      </c>
      <c r="O1003" s="82">
        <v>73</v>
      </c>
      <c r="P1003" s="82">
        <v>1091</v>
      </c>
      <c r="Q1003" s="82">
        <v>10120</v>
      </c>
      <c r="R1003" s="12" t="s">
        <v>25</v>
      </c>
      <c r="S1003" s="12" t="s">
        <v>25</v>
      </c>
      <c r="T1003" s="12" t="s">
        <v>25</v>
      </c>
    </row>
    <row r="1004" spans="1:20" x14ac:dyDescent="0.3">
      <c r="A1004" s="13">
        <v>43932.708333333336</v>
      </c>
      <c r="B1004" s="12" t="s">
        <v>22</v>
      </c>
      <c r="C1004" s="82">
        <v>19</v>
      </c>
      <c r="D1004" s="12" t="s">
        <v>56</v>
      </c>
      <c r="E1004" s="82">
        <v>3811569725</v>
      </c>
      <c r="F1004" s="82">
        <v>133623567</v>
      </c>
      <c r="G1004" s="82">
        <v>562</v>
      </c>
      <c r="H1004" s="82">
        <v>58</v>
      </c>
      <c r="I1004" s="82">
        <v>620</v>
      </c>
      <c r="J1004" s="82">
        <v>1381</v>
      </c>
      <c r="K1004" s="82">
        <v>2001</v>
      </c>
      <c r="L1004" s="82">
        <v>34</v>
      </c>
      <c r="M1004" s="82">
        <v>62</v>
      </c>
      <c r="N1004" s="82">
        <v>209</v>
      </c>
      <c r="O1004" s="82">
        <v>154</v>
      </c>
      <c r="P1004" s="82">
        <v>2364</v>
      </c>
      <c r="Q1004" s="82">
        <v>33787</v>
      </c>
      <c r="R1004" s="12" t="s">
        <v>25</v>
      </c>
      <c r="S1004" s="12" t="s">
        <v>25</v>
      </c>
      <c r="T1004" s="12" t="s">
        <v>25</v>
      </c>
    </row>
    <row r="1005" spans="1:20" x14ac:dyDescent="0.3">
      <c r="A1005" s="13">
        <v>43932.708333333336</v>
      </c>
      <c r="B1005" s="12" t="s">
        <v>22</v>
      </c>
      <c r="C1005" s="82">
        <v>9</v>
      </c>
      <c r="D1005" s="12" t="s">
        <v>57</v>
      </c>
      <c r="E1005" s="82">
        <v>4376923077</v>
      </c>
      <c r="F1005" s="82">
        <v>1125588885</v>
      </c>
      <c r="G1005" s="82">
        <v>997</v>
      </c>
      <c r="H1005" s="82">
        <v>237</v>
      </c>
      <c r="I1005" s="82">
        <v>1234</v>
      </c>
      <c r="J1005" s="82">
        <v>4758</v>
      </c>
      <c r="K1005" s="82">
        <v>5992</v>
      </c>
      <c r="L1005" s="82">
        <v>170</v>
      </c>
      <c r="M1005" s="82">
        <v>231</v>
      </c>
      <c r="N1005" s="82">
        <v>499</v>
      </c>
      <c r="O1005" s="82">
        <v>467</v>
      </c>
      <c r="P1005" s="82">
        <v>6958</v>
      </c>
      <c r="Q1005" s="82">
        <v>75756</v>
      </c>
      <c r="R1005" s="12" t="s">
        <v>25</v>
      </c>
      <c r="S1005" s="12" t="s">
        <v>25</v>
      </c>
      <c r="T1005" s="12" t="s">
        <v>25</v>
      </c>
    </row>
    <row r="1006" spans="1:20" x14ac:dyDescent="0.3">
      <c r="A1006" s="13">
        <v>43932.708333333336</v>
      </c>
      <c r="B1006" s="12" t="s">
        <v>22</v>
      </c>
      <c r="C1006" s="82">
        <v>4</v>
      </c>
      <c r="D1006" s="12" t="s">
        <v>58</v>
      </c>
      <c r="E1006" s="82">
        <v>4606893511</v>
      </c>
      <c r="F1006" s="82">
        <v>1112123097</v>
      </c>
      <c r="G1006" s="82">
        <v>335</v>
      </c>
      <c r="H1006" s="82">
        <v>62</v>
      </c>
      <c r="I1006" s="82">
        <v>397</v>
      </c>
      <c r="J1006" s="82">
        <v>1667</v>
      </c>
      <c r="K1006" s="82">
        <v>2064</v>
      </c>
      <c r="L1006" s="82">
        <v>70</v>
      </c>
      <c r="M1006" s="82">
        <v>154</v>
      </c>
      <c r="N1006" s="82">
        <v>622</v>
      </c>
      <c r="O1006" s="82">
        <v>284</v>
      </c>
      <c r="P1006" s="82">
        <v>2970</v>
      </c>
      <c r="Q1006" s="82">
        <v>16646</v>
      </c>
      <c r="R1006" s="12" t="s">
        <v>25</v>
      </c>
      <c r="S1006" s="12" t="s">
        <v>25</v>
      </c>
      <c r="T1006" s="12" t="s">
        <v>25</v>
      </c>
    </row>
    <row r="1007" spans="1:20" x14ac:dyDescent="0.3">
      <c r="A1007" s="13">
        <v>43932.708333333336</v>
      </c>
      <c r="B1007" s="12" t="s">
        <v>22</v>
      </c>
      <c r="C1007" s="82">
        <v>10</v>
      </c>
      <c r="D1007" s="12" t="s">
        <v>59</v>
      </c>
      <c r="E1007" s="82">
        <v>4310675841</v>
      </c>
      <c r="F1007" s="82">
        <v>1238824698</v>
      </c>
      <c r="G1007" s="82">
        <v>137</v>
      </c>
      <c r="H1007" s="82">
        <v>39</v>
      </c>
      <c r="I1007" s="82">
        <v>176</v>
      </c>
      <c r="J1007" s="82">
        <v>547</v>
      </c>
      <c r="K1007" s="82">
        <v>723</v>
      </c>
      <c r="L1007" s="82">
        <v>-29</v>
      </c>
      <c r="M1007" s="82">
        <v>7</v>
      </c>
      <c r="N1007" s="82">
        <v>534</v>
      </c>
      <c r="O1007" s="82">
        <v>52</v>
      </c>
      <c r="P1007" s="82">
        <v>1309</v>
      </c>
      <c r="Q1007" s="82">
        <v>17661</v>
      </c>
      <c r="R1007" s="12" t="s">
        <v>25</v>
      </c>
      <c r="S1007" s="12" t="s">
        <v>25</v>
      </c>
      <c r="T1007" s="12" t="s">
        <v>25</v>
      </c>
    </row>
    <row r="1008" spans="1:20" x14ac:dyDescent="0.3">
      <c r="A1008" s="13">
        <v>43932.708333333336</v>
      </c>
      <c r="B1008" s="12" t="s">
        <v>22</v>
      </c>
      <c r="C1008" s="82">
        <v>2</v>
      </c>
      <c r="D1008" s="12" t="s">
        <v>60</v>
      </c>
      <c r="E1008" s="82">
        <v>4573750286</v>
      </c>
      <c r="F1008" s="82">
        <v>7320149366</v>
      </c>
      <c r="G1008" s="82">
        <v>118</v>
      </c>
      <c r="H1008" s="82">
        <v>17</v>
      </c>
      <c r="I1008" s="82">
        <v>135</v>
      </c>
      <c r="J1008" s="82">
        <v>455</v>
      </c>
      <c r="K1008" s="82">
        <v>590</v>
      </c>
      <c r="L1008" s="82">
        <v>-12</v>
      </c>
      <c r="M1008" s="82">
        <v>23</v>
      </c>
      <c r="N1008" s="82">
        <v>205</v>
      </c>
      <c r="O1008" s="82">
        <v>107</v>
      </c>
      <c r="P1008" s="82">
        <v>902</v>
      </c>
      <c r="Q1008" s="82">
        <v>3464</v>
      </c>
      <c r="R1008" s="12" t="s">
        <v>25</v>
      </c>
      <c r="S1008" s="12" t="s">
        <v>25</v>
      </c>
      <c r="T1008" s="12" t="s">
        <v>25</v>
      </c>
    </row>
    <row r="1009" spans="1:20" x14ac:dyDescent="0.3">
      <c r="A1009" s="13">
        <v>43932.708333333336</v>
      </c>
      <c r="B1009" s="12" t="s">
        <v>22</v>
      </c>
      <c r="C1009" s="82">
        <v>5</v>
      </c>
      <c r="D1009" s="12" t="s">
        <v>61</v>
      </c>
      <c r="E1009" s="82">
        <v>4543490485</v>
      </c>
      <c r="F1009" s="82">
        <v>1233845213</v>
      </c>
      <c r="G1009" s="82">
        <v>1465</v>
      </c>
      <c r="H1009" s="82">
        <v>251</v>
      </c>
      <c r="I1009" s="82">
        <v>1716</v>
      </c>
      <c r="J1009" s="82">
        <v>9033</v>
      </c>
      <c r="K1009" s="82">
        <v>10749</v>
      </c>
      <c r="L1009" s="82">
        <v>102</v>
      </c>
      <c r="M1009" s="82">
        <v>347</v>
      </c>
      <c r="N1009" s="82">
        <v>2188</v>
      </c>
      <c r="O1009" s="82">
        <v>831</v>
      </c>
      <c r="P1009" s="82">
        <v>13768</v>
      </c>
      <c r="Q1009" s="82">
        <v>190912</v>
      </c>
      <c r="R1009" s="12" t="s">
        <v>25</v>
      </c>
      <c r="S1009" s="12" t="s">
        <v>25</v>
      </c>
      <c r="T1009" s="12" t="s">
        <v>25</v>
      </c>
    </row>
    <row r="1010" spans="1:20" x14ac:dyDescent="0.3">
      <c r="A1010" s="13">
        <v>43933.708333333336</v>
      </c>
      <c r="B1010" s="12" t="s">
        <v>22</v>
      </c>
      <c r="C1010" s="82">
        <v>13</v>
      </c>
      <c r="D1010" s="12" t="s">
        <v>42</v>
      </c>
      <c r="E1010" s="82">
        <v>4235122196</v>
      </c>
      <c r="F1010" s="82">
        <v>1339843823</v>
      </c>
      <c r="G1010" s="82">
        <v>346</v>
      </c>
      <c r="H1010" s="82">
        <v>54</v>
      </c>
      <c r="I1010" s="82">
        <v>400</v>
      </c>
      <c r="J1010" s="82">
        <v>1342</v>
      </c>
      <c r="K1010" s="82">
        <v>1742</v>
      </c>
      <c r="L1010" s="82">
        <v>18</v>
      </c>
      <c r="M1010" s="82">
        <v>40</v>
      </c>
      <c r="N1010" s="82">
        <v>206</v>
      </c>
      <c r="O1010" s="82">
        <v>212</v>
      </c>
      <c r="P1010" s="82">
        <v>2160</v>
      </c>
      <c r="Q1010" s="82">
        <v>20594</v>
      </c>
      <c r="R1010" s="12" t="s">
        <v>25</v>
      </c>
      <c r="S1010" s="12" t="s">
        <v>25</v>
      </c>
      <c r="T1010" s="12" t="s">
        <v>25</v>
      </c>
    </row>
    <row r="1011" spans="1:20" x14ac:dyDescent="0.3">
      <c r="A1011" s="13">
        <v>43933.708333333336</v>
      </c>
      <c r="B1011" s="12" t="s">
        <v>22</v>
      </c>
      <c r="C1011" s="82">
        <v>17</v>
      </c>
      <c r="D1011" s="12" t="s">
        <v>43</v>
      </c>
      <c r="E1011" s="82">
        <v>4063947052</v>
      </c>
      <c r="F1011" s="82">
        <v>1580514834</v>
      </c>
      <c r="G1011" s="82">
        <v>61</v>
      </c>
      <c r="H1011" s="82">
        <v>12</v>
      </c>
      <c r="I1011" s="82">
        <v>73</v>
      </c>
      <c r="J1011" s="82">
        <v>204</v>
      </c>
      <c r="K1011" s="82">
        <v>277</v>
      </c>
      <c r="L1011" s="82">
        <v>-4</v>
      </c>
      <c r="M1011" s="82">
        <v>3</v>
      </c>
      <c r="N1011" s="82">
        <v>20</v>
      </c>
      <c r="O1011" s="82">
        <v>18</v>
      </c>
      <c r="P1011" s="82">
        <v>315</v>
      </c>
      <c r="Q1011" s="82">
        <v>4355</v>
      </c>
      <c r="R1011" s="12" t="s">
        <v>25</v>
      </c>
      <c r="S1011" s="12" t="s">
        <v>25</v>
      </c>
      <c r="T1011" s="12" t="s">
        <v>25</v>
      </c>
    </row>
    <row r="1012" spans="1:20" x14ac:dyDescent="0.3">
      <c r="A1012" s="13">
        <v>43933.708333333336</v>
      </c>
      <c r="B1012" s="12" t="s">
        <v>22</v>
      </c>
      <c r="C1012" s="82">
        <v>4</v>
      </c>
      <c r="D1012" s="12" t="s">
        <v>44</v>
      </c>
      <c r="E1012" s="82">
        <v>4649933453</v>
      </c>
      <c r="F1012" s="82">
        <v>1135662422</v>
      </c>
      <c r="G1012" s="82">
        <v>183</v>
      </c>
      <c r="H1012" s="82">
        <v>45</v>
      </c>
      <c r="I1012" s="82">
        <v>228</v>
      </c>
      <c r="J1012" s="82">
        <v>1287</v>
      </c>
      <c r="K1012" s="82">
        <v>1515</v>
      </c>
      <c r="L1012" s="82">
        <v>246</v>
      </c>
      <c r="M1012" s="82">
        <v>141</v>
      </c>
      <c r="N1012" s="82">
        <v>378</v>
      </c>
      <c r="O1012" s="82">
        <v>205</v>
      </c>
      <c r="P1012" s="82">
        <v>2098</v>
      </c>
      <c r="Q1012" s="82">
        <v>23246</v>
      </c>
      <c r="R1012" s="12" t="s">
        <v>25</v>
      </c>
      <c r="S1012" s="12" t="s">
        <v>113</v>
      </c>
      <c r="T1012" s="12" t="s">
        <v>114</v>
      </c>
    </row>
    <row r="1013" spans="1:20" x14ac:dyDescent="0.3">
      <c r="A1013" s="13">
        <v>43933.708333333336</v>
      </c>
      <c r="B1013" s="12" t="s">
        <v>22</v>
      </c>
      <c r="C1013" s="82">
        <v>18</v>
      </c>
      <c r="D1013" s="12" t="s">
        <v>45</v>
      </c>
      <c r="E1013" s="82">
        <v>3890597598</v>
      </c>
      <c r="F1013" s="82">
        <v>1659440194</v>
      </c>
      <c r="G1013" s="82">
        <v>165</v>
      </c>
      <c r="H1013" s="82">
        <v>14</v>
      </c>
      <c r="I1013" s="82">
        <v>179</v>
      </c>
      <c r="J1013" s="82">
        <v>616</v>
      </c>
      <c r="K1013" s="82">
        <v>795</v>
      </c>
      <c r="L1013" s="82">
        <v>3</v>
      </c>
      <c r="M1013" s="82">
        <v>8</v>
      </c>
      <c r="N1013" s="82">
        <v>62</v>
      </c>
      <c r="O1013" s="82">
        <v>66</v>
      </c>
      <c r="P1013" s="82">
        <v>923</v>
      </c>
      <c r="Q1013" s="82">
        <v>18211</v>
      </c>
      <c r="R1013" s="12" t="s">
        <v>25</v>
      </c>
      <c r="S1013" s="12" t="s">
        <v>25</v>
      </c>
      <c r="T1013" s="12" t="s">
        <v>25</v>
      </c>
    </row>
    <row r="1014" spans="1:20" x14ac:dyDescent="0.3">
      <c r="A1014" s="13">
        <v>43933.708333333336</v>
      </c>
      <c r="B1014" s="12" t="s">
        <v>22</v>
      </c>
      <c r="C1014" s="82">
        <v>15</v>
      </c>
      <c r="D1014" s="12" t="s">
        <v>46</v>
      </c>
      <c r="E1014" s="82">
        <v>4083956555</v>
      </c>
      <c r="F1014" s="82">
        <v>1425084984</v>
      </c>
      <c r="G1014" s="82">
        <v>526</v>
      </c>
      <c r="H1014" s="82">
        <v>82</v>
      </c>
      <c r="I1014" s="82">
        <v>608</v>
      </c>
      <c r="J1014" s="82">
        <v>2449</v>
      </c>
      <c r="K1014" s="82">
        <v>3057</v>
      </c>
      <c r="L1014" s="82">
        <v>55</v>
      </c>
      <c r="M1014" s="82">
        <v>87</v>
      </c>
      <c r="N1014" s="82">
        <v>305</v>
      </c>
      <c r="O1014" s="82">
        <v>242</v>
      </c>
      <c r="P1014" s="82">
        <v>3604</v>
      </c>
      <c r="Q1014" s="82">
        <v>35448</v>
      </c>
      <c r="R1014" s="12" t="s">
        <v>25</v>
      </c>
      <c r="S1014" s="12" t="s">
        <v>25</v>
      </c>
      <c r="T1014" s="12" t="s">
        <v>25</v>
      </c>
    </row>
    <row r="1015" spans="1:20" x14ac:dyDescent="0.3">
      <c r="A1015" s="13">
        <v>43933.708333333336</v>
      </c>
      <c r="B1015" s="12" t="s">
        <v>22</v>
      </c>
      <c r="C1015" s="82">
        <v>8</v>
      </c>
      <c r="D1015" s="12" t="s">
        <v>95</v>
      </c>
      <c r="E1015" s="82">
        <v>4449436681</v>
      </c>
      <c r="F1015" s="82">
        <v>113417208</v>
      </c>
      <c r="G1015" s="82">
        <v>3491</v>
      </c>
      <c r="H1015" s="82">
        <v>335</v>
      </c>
      <c r="I1015" s="82">
        <v>3826</v>
      </c>
      <c r="J1015" s="82">
        <v>9846</v>
      </c>
      <c r="K1015" s="82">
        <v>13672</v>
      </c>
      <c r="L1015" s="82">
        <v>177</v>
      </c>
      <c r="M1015" s="82">
        <v>463</v>
      </c>
      <c r="N1015" s="82">
        <v>3862</v>
      </c>
      <c r="O1015" s="82">
        <v>2564</v>
      </c>
      <c r="P1015" s="82">
        <v>20098</v>
      </c>
      <c r="Q1015" s="82">
        <v>96704</v>
      </c>
      <c r="R1015" s="12" t="s">
        <v>25</v>
      </c>
      <c r="S1015" s="12" t="s">
        <v>25</v>
      </c>
      <c r="T1015" s="12" t="s">
        <v>25</v>
      </c>
    </row>
    <row r="1016" spans="1:20" x14ac:dyDescent="0.3">
      <c r="A1016" s="13">
        <v>43933.708333333336</v>
      </c>
      <c r="B1016" s="12" t="s">
        <v>22</v>
      </c>
      <c r="C1016" s="82">
        <v>6</v>
      </c>
      <c r="D1016" s="12" t="s">
        <v>47</v>
      </c>
      <c r="E1016" s="82">
        <v>456494354</v>
      </c>
      <c r="F1016" s="82">
        <v>1376813649</v>
      </c>
      <c r="G1016" s="82">
        <v>160</v>
      </c>
      <c r="H1016" s="82">
        <v>28</v>
      </c>
      <c r="I1016" s="82">
        <v>188</v>
      </c>
      <c r="J1016" s="82">
        <v>1138</v>
      </c>
      <c r="K1016" s="82">
        <v>1326</v>
      </c>
      <c r="L1016" s="82">
        <v>-56</v>
      </c>
      <c r="M1016" s="82">
        <v>38</v>
      </c>
      <c r="N1016" s="82">
        <v>910</v>
      </c>
      <c r="O1016" s="82">
        <v>195</v>
      </c>
      <c r="P1016" s="82">
        <v>2431</v>
      </c>
      <c r="Q1016" s="82">
        <v>29988</v>
      </c>
      <c r="R1016" s="12" t="s">
        <v>25</v>
      </c>
      <c r="S1016" s="12" t="s">
        <v>25</v>
      </c>
      <c r="T1016" s="12" t="s">
        <v>25</v>
      </c>
    </row>
    <row r="1017" spans="1:20" x14ac:dyDescent="0.3">
      <c r="A1017" s="13">
        <v>43933.708333333336</v>
      </c>
      <c r="B1017" s="12" t="s">
        <v>22</v>
      </c>
      <c r="C1017" s="82">
        <v>12</v>
      </c>
      <c r="D1017" s="12" t="s">
        <v>48</v>
      </c>
      <c r="E1017" s="82">
        <v>4189277044</v>
      </c>
      <c r="F1017" s="82">
        <v>1248366722</v>
      </c>
      <c r="G1017" s="82">
        <v>1268</v>
      </c>
      <c r="H1017" s="82">
        <v>201</v>
      </c>
      <c r="I1017" s="82">
        <v>1469</v>
      </c>
      <c r="J1017" s="82">
        <v>2348</v>
      </c>
      <c r="K1017" s="82">
        <v>3817</v>
      </c>
      <c r="L1017" s="82">
        <v>87</v>
      </c>
      <c r="M1017" s="82">
        <v>122</v>
      </c>
      <c r="N1017" s="82">
        <v>749</v>
      </c>
      <c r="O1017" s="82">
        <v>279</v>
      </c>
      <c r="P1017" s="82">
        <v>4845</v>
      </c>
      <c r="Q1017" s="82">
        <v>68954</v>
      </c>
      <c r="R1017" s="12" t="s">
        <v>25</v>
      </c>
      <c r="S1017" s="12" t="s">
        <v>25</v>
      </c>
      <c r="T1017" s="12" t="s">
        <v>25</v>
      </c>
    </row>
    <row r="1018" spans="1:20" x14ac:dyDescent="0.3">
      <c r="A1018" s="13">
        <v>43933.708333333336</v>
      </c>
      <c r="B1018" s="12" t="s">
        <v>22</v>
      </c>
      <c r="C1018" s="82">
        <v>7</v>
      </c>
      <c r="D1018" s="12" t="s">
        <v>49</v>
      </c>
      <c r="E1018" s="82">
        <v>4441149315</v>
      </c>
      <c r="F1018" s="82">
        <v>89326992</v>
      </c>
      <c r="G1018" s="82">
        <v>1032</v>
      </c>
      <c r="H1018" s="82">
        <v>144</v>
      </c>
      <c r="I1018" s="82">
        <v>1176</v>
      </c>
      <c r="J1018" s="82">
        <v>2157</v>
      </c>
      <c r="K1018" s="82">
        <v>3333</v>
      </c>
      <c r="L1018" s="82">
        <v>0</v>
      </c>
      <c r="M1018" s="82">
        <v>118</v>
      </c>
      <c r="N1018" s="82">
        <v>1412</v>
      </c>
      <c r="O1018" s="82">
        <v>749</v>
      </c>
      <c r="P1018" s="82">
        <v>5494</v>
      </c>
      <c r="Q1018" s="82">
        <v>21983</v>
      </c>
      <c r="R1018" s="12" t="s">
        <v>25</v>
      </c>
      <c r="S1018" s="12" t="s">
        <v>25</v>
      </c>
      <c r="T1018" s="12" t="s">
        <v>25</v>
      </c>
    </row>
    <row r="1019" spans="1:20" x14ac:dyDescent="0.3">
      <c r="A1019" s="13">
        <v>43933.708333333336</v>
      </c>
      <c r="B1019" s="12" t="s">
        <v>22</v>
      </c>
      <c r="C1019" s="82">
        <v>3</v>
      </c>
      <c r="D1019" s="12" t="s">
        <v>50</v>
      </c>
      <c r="E1019" s="82">
        <v>4546679409</v>
      </c>
      <c r="F1019" s="82">
        <v>9190347404</v>
      </c>
      <c r="G1019" s="82">
        <v>11969</v>
      </c>
      <c r="H1019" s="82">
        <v>1176</v>
      </c>
      <c r="I1019" s="82">
        <v>13145</v>
      </c>
      <c r="J1019" s="82">
        <v>18120</v>
      </c>
      <c r="K1019" s="82">
        <v>31265</v>
      </c>
      <c r="L1019" s="82">
        <v>1007</v>
      </c>
      <c r="M1019" s="82">
        <v>1460</v>
      </c>
      <c r="N1019" s="82">
        <v>17166</v>
      </c>
      <c r="O1019" s="82">
        <v>10621</v>
      </c>
      <c r="P1019" s="82">
        <v>59052</v>
      </c>
      <c r="Q1019" s="82">
        <v>205832</v>
      </c>
      <c r="R1019" s="12" t="s">
        <v>25</v>
      </c>
      <c r="S1019" s="12" t="s">
        <v>25</v>
      </c>
      <c r="T1019" s="12" t="s">
        <v>25</v>
      </c>
    </row>
    <row r="1020" spans="1:20" x14ac:dyDescent="0.3">
      <c r="A1020" s="13">
        <v>43933.708333333336</v>
      </c>
      <c r="B1020" s="12" t="s">
        <v>22</v>
      </c>
      <c r="C1020" s="82">
        <v>11</v>
      </c>
      <c r="D1020" s="12" t="s">
        <v>51</v>
      </c>
      <c r="E1020" s="82">
        <v>4361675973</v>
      </c>
      <c r="F1020" s="82">
        <v>135188753</v>
      </c>
      <c r="G1020" s="82">
        <v>949</v>
      </c>
      <c r="H1020" s="82">
        <v>114</v>
      </c>
      <c r="I1020" s="82">
        <v>1063</v>
      </c>
      <c r="J1020" s="82">
        <v>2051</v>
      </c>
      <c r="K1020" s="82">
        <v>3114</v>
      </c>
      <c r="L1020" s="82">
        <v>-117</v>
      </c>
      <c r="M1020" s="82">
        <v>92</v>
      </c>
      <c r="N1020" s="82">
        <v>1489</v>
      </c>
      <c r="O1020" s="82">
        <v>700</v>
      </c>
      <c r="P1020" s="82">
        <v>5303</v>
      </c>
      <c r="Q1020" s="82">
        <v>21057</v>
      </c>
      <c r="R1020" s="12" t="s">
        <v>25</v>
      </c>
      <c r="S1020" s="12" t="s">
        <v>25</v>
      </c>
      <c r="T1020" s="12" t="s">
        <v>25</v>
      </c>
    </row>
    <row r="1021" spans="1:20" x14ac:dyDescent="0.3">
      <c r="A1021" s="13">
        <v>43933.708333333336</v>
      </c>
      <c r="B1021" s="12" t="s">
        <v>22</v>
      </c>
      <c r="C1021" s="82">
        <v>14</v>
      </c>
      <c r="D1021" s="12" t="s">
        <v>52</v>
      </c>
      <c r="E1021" s="82">
        <v>4155774754</v>
      </c>
      <c r="F1021" s="82">
        <v>1465916051</v>
      </c>
      <c r="G1021" s="82">
        <v>27</v>
      </c>
      <c r="H1021" s="82">
        <v>4</v>
      </c>
      <c r="I1021" s="82">
        <v>31</v>
      </c>
      <c r="J1021" s="82">
        <v>171</v>
      </c>
      <c r="K1021" s="82">
        <v>202</v>
      </c>
      <c r="L1021" s="82">
        <v>9</v>
      </c>
      <c r="M1021" s="82">
        <v>11</v>
      </c>
      <c r="N1021" s="82">
        <v>40</v>
      </c>
      <c r="O1021" s="82">
        <v>15</v>
      </c>
      <c r="P1021" s="82">
        <v>257</v>
      </c>
      <c r="Q1021" s="82">
        <v>2471</v>
      </c>
      <c r="R1021" s="12" t="s">
        <v>25</v>
      </c>
      <c r="S1021" s="12" t="s">
        <v>25</v>
      </c>
      <c r="T1021" s="12" t="s">
        <v>25</v>
      </c>
    </row>
    <row r="1022" spans="1:20" x14ac:dyDescent="0.3">
      <c r="A1022" s="13">
        <v>43933.708333333336</v>
      </c>
      <c r="B1022" s="12" t="s">
        <v>22</v>
      </c>
      <c r="C1022" s="82">
        <v>1</v>
      </c>
      <c r="D1022" s="12" t="s">
        <v>53</v>
      </c>
      <c r="E1022" s="82">
        <v>450732745</v>
      </c>
      <c r="F1022" s="82">
        <v>7680687483</v>
      </c>
      <c r="G1022" s="82">
        <v>3429</v>
      </c>
      <c r="H1022" s="82">
        <v>381</v>
      </c>
      <c r="I1022" s="82">
        <v>3810</v>
      </c>
      <c r="J1022" s="82">
        <v>8695</v>
      </c>
      <c r="K1022" s="82">
        <v>12505</v>
      </c>
      <c r="L1022" s="82">
        <v>335</v>
      </c>
      <c r="M1022" s="82">
        <v>652</v>
      </c>
      <c r="N1022" s="82">
        <v>2426</v>
      </c>
      <c r="O1022" s="82">
        <v>1729</v>
      </c>
      <c r="P1022" s="82">
        <v>16660</v>
      </c>
      <c r="Q1022" s="82">
        <v>66555</v>
      </c>
      <c r="R1022" s="12" t="s">
        <v>25</v>
      </c>
      <c r="S1022" s="12" t="s">
        <v>25</v>
      </c>
      <c r="T1022" s="12" t="s">
        <v>25</v>
      </c>
    </row>
    <row r="1023" spans="1:20" x14ac:dyDescent="0.3">
      <c r="A1023" s="13">
        <v>43933.708333333336</v>
      </c>
      <c r="B1023" s="12" t="s">
        <v>22</v>
      </c>
      <c r="C1023" s="82">
        <v>16</v>
      </c>
      <c r="D1023" s="12" t="s">
        <v>54</v>
      </c>
      <c r="E1023" s="82">
        <v>4112559576</v>
      </c>
      <c r="F1023" s="82">
        <v>1686736689</v>
      </c>
      <c r="G1023" s="82">
        <v>609</v>
      </c>
      <c r="H1023" s="82">
        <v>71</v>
      </c>
      <c r="I1023" s="82">
        <v>680</v>
      </c>
      <c r="J1023" s="82">
        <v>1772</v>
      </c>
      <c r="K1023" s="82">
        <v>2452</v>
      </c>
      <c r="L1023" s="82">
        <v>50</v>
      </c>
      <c r="M1023" s="82">
        <v>85</v>
      </c>
      <c r="N1023" s="82">
        <v>277</v>
      </c>
      <c r="O1023" s="82">
        <v>260</v>
      </c>
      <c r="P1023" s="82">
        <v>2989</v>
      </c>
      <c r="Q1023" s="82">
        <v>30973</v>
      </c>
      <c r="R1023" s="12" t="s">
        <v>25</v>
      </c>
      <c r="S1023" s="12" t="s">
        <v>25</v>
      </c>
      <c r="T1023" s="12" t="s">
        <v>25</v>
      </c>
    </row>
    <row r="1024" spans="1:20" x14ac:dyDescent="0.3">
      <c r="A1024" s="13">
        <v>43933.708333333336</v>
      </c>
      <c r="B1024" s="12" t="s">
        <v>22</v>
      </c>
      <c r="C1024" s="82">
        <v>20</v>
      </c>
      <c r="D1024" s="12" t="s">
        <v>55</v>
      </c>
      <c r="E1024" s="82">
        <v>3921531192</v>
      </c>
      <c r="F1024" s="82">
        <v>9110616306</v>
      </c>
      <c r="G1024" s="82">
        <v>109</v>
      </c>
      <c r="H1024" s="82">
        <v>26</v>
      </c>
      <c r="I1024" s="82">
        <v>135</v>
      </c>
      <c r="J1024" s="82">
        <v>768</v>
      </c>
      <c r="K1024" s="82">
        <v>903</v>
      </c>
      <c r="L1024" s="82">
        <v>15</v>
      </c>
      <c r="M1024" s="82">
        <v>22</v>
      </c>
      <c r="N1024" s="82">
        <v>137</v>
      </c>
      <c r="O1024" s="82">
        <v>73</v>
      </c>
      <c r="P1024" s="82">
        <v>1113</v>
      </c>
      <c r="Q1024" s="82">
        <v>10663</v>
      </c>
      <c r="R1024" s="12" t="s">
        <v>25</v>
      </c>
      <c r="S1024" s="12" t="s">
        <v>25</v>
      </c>
      <c r="T1024" s="12" t="s">
        <v>25</v>
      </c>
    </row>
    <row r="1025" spans="1:20" x14ac:dyDescent="0.3">
      <c r="A1025" s="13">
        <v>43933.708333333336</v>
      </c>
      <c r="B1025" s="12" t="s">
        <v>22</v>
      </c>
      <c r="C1025" s="82">
        <v>19</v>
      </c>
      <c r="D1025" s="12" t="s">
        <v>56</v>
      </c>
      <c r="E1025" s="82">
        <v>3811569725</v>
      </c>
      <c r="F1025" s="82">
        <v>133623567</v>
      </c>
      <c r="G1025" s="82">
        <v>552</v>
      </c>
      <c r="H1025" s="82">
        <v>53</v>
      </c>
      <c r="I1025" s="82">
        <v>605</v>
      </c>
      <c r="J1025" s="82">
        <v>1425</v>
      </c>
      <c r="K1025" s="82">
        <v>2030</v>
      </c>
      <c r="L1025" s="82">
        <v>29</v>
      </c>
      <c r="M1025" s="82">
        <v>52</v>
      </c>
      <c r="N1025" s="82">
        <v>223</v>
      </c>
      <c r="O1025" s="82">
        <v>163</v>
      </c>
      <c r="P1025" s="82">
        <v>2416</v>
      </c>
      <c r="Q1025" s="82">
        <v>36098</v>
      </c>
      <c r="R1025" s="12" t="s">
        <v>25</v>
      </c>
      <c r="S1025" s="12" t="s">
        <v>25</v>
      </c>
      <c r="T1025" s="12" t="s">
        <v>25</v>
      </c>
    </row>
    <row r="1026" spans="1:20" x14ac:dyDescent="0.3">
      <c r="A1026" s="13">
        <v>43933.708333333336</v>
      </c>
      <c r="B1026" s="12" t="s">
        <v>22</v>
      </c>
      <c r="C1026" s="82">
        <v>9</v>
      </c>
      <c r="D1026" s="12" t="s">
        <v>57</v>
      </c>
      <c r="E1026" s="82">
        <v>4376923077</v>
      </c>
      <c r="F1026" s="82">
        <v>1125588885</v>
      </c>
      <c r="G1026" s="82">
        <v>983</v>
      </c>
      <c r="H1026" s="82">
        <v>238</v>
      </c>
      <c r="I1026" s="82">
        <v>1221</v>
      </c>
      <c r="J1026" s="82">
        <v>4941</v>
      </c>
      <c r="K1026" s="82">
        <v>6162</v>
      </c>
      <c r="L1026" s="82">
        <v>170</v>
      </c>
      <c r="M1026" s="82">
        <v>277</v>
      </c>
      <c r="N1026" s="82">
        <v>578</v>
      </c>
      <c r="O1026" s="82">
        <v>495</v>
      </c>
      <c r="P1026" s="82">
        <v>7235</v>
      </c>
      <c r="Q1026" s="82">
        <v>78640</v>
      </c>
      <c r="R1026" s="12" t="s">
        <v>25</v>
      </c>
      <c r="S1026" s="12" t="s">
        <v>25</v>
      </c>
      <c r="T1026" s="12" t="s">
        <v>25</v>
      </c>
    </row>
    <row r="1027" spans="1:20" x14ac:dyDescent="0.3">
      <c r="A1027" s="13">
        <v>43933.708333333336</v>
      </c>
      <c r="B1027" s="12" t="s">
        <v>22</v>
      </c>
      <c r="C1027" s="82">
        <v>4</v>
      </c>
      <c r="D1027" s="12" t="s">
        <v>58</v>
      </c>
      <c r="E1027" s="82">
        <v>4606893511</v>
      </c>
      <c r="F1027" s="82">
        <v>1112123097</v>
      </c>
      <c r="G1027" s="82">
        <v>322</v>
      </c>
      <c r="H1027" s="82">
        <v>61</v>
      </c>
      <c r="I1027" s="82">
        <v>383</v>
      </c>
      <c r="J1027" s="82">
        <v>1699</v>
      </c>
      <c r="K1027" s="82">
        <v>2082</v>
      </c>
      <c r="L1027" s="82">
        <v>18</v>
      </c>
      <c r="M1027" s="82">
        <v>83</v>
      </c>
      <c r="N1027" s="82">
        <v>678</v>
      </c>
      <c r="O1027" s="82">
        <v>293</v>
      </c>
      <c r="P1027" s="82">
        <v>3053</v>
      </c>
      <c r="Q1027" s="82">
        <v>17797</v>
      </c>
      <c r="R1027" s="12" t="s">
        <v>25</v>
      </c>
      <c r="S1027" s="12" t="s">
        <v>25</v>
      </c>
      <c r="T1027" s="12" t="s">
        <v>25</v>
      </c>
    </row>
    <row r="1028" spans="1:20" x14ac:dyDescent="0.3">
      <c r="A1028" s="13">
        <v>43933.708333333336</v>
      </c>
      <c r="B1028" s="12" t="s">
        <v>22</v>
      </c>
      <c r="C1028" s="82">
        <v>10</v>
      </c>
      <c r="D1028" s="12" t="s">
        <v>59</v>
      </c>
      <c r="E1028" s="82">
        <v>4310675841</v>
      </c>
      <c r="F1028" s="82">
        <v>1238824698</v>
      </c>
      <c r="G1028" s="82">
        <v>129</v>
      </c>
      <c r="H1028" s="82">
        <v>39</v>
      </c>
      <c r="I1028" s="82">
        <v>168</v>
      </c>
      <c r="J1028" s="82">
        <v>519</v>
      </c>
      <c r="K1028" s="82">
        <v>687</v>
      </c>
      <c r="L1028" s="82">
        <v>-36</v>
      </c>
      <c r="M1028" s="82">
        <v>10</v>
      </c>
      <c r="N1028" s="82">
        <v>580</v>
      </c>
      <c r="O1028" s="82">
        <v>52</v>
      </c>
      <c r="P1028" s="82">
        <v>1319</v>
      </c>
      <c r="Q1028" s="82">
        <v>18672</v>
      </c>
      <c r="R1028" s="12" t="s">
        <v>25</v>
      </c>
      <c r="S1028" s="12" t="s">
        <v>25</v>
      </c>
      <c r="T1028" s="12" t="s">
        <v>25</v>
      </c>
    </row>
    <row r="1029" spans="1:20" x14ac:dyDescent="0.3">
      <c r="A1029" s="13">
        <v>43933.708333333336</v>
      </c>
      <c r="B1029" s="12" t="s">
        <v>22</v>
      </c>
      <c r="C1029" s="82">
        <v>2</v>
      </c>
      <c r="D1029" s="12" t="s">
        <v>60</v>
      </c>
      <c r="E1029" s="82">
        <v>4573750286</v>
      </c>
      <c r="F1029" s="82">
        <v>7320149366</v>
      </c>
      <c r="G1029" s="82">
        <v>109</v>
      </c>
      <c r="H1029" s="82">
        <v>16</v>
      </c>
      <c r="I1029" s="82">
        <v>125</v>
      </c>
      <c r="J1029" s="82">
        <v>463</v>
      </c>
      <c r="K1029" s="82">
        <v>588</v>
      </c>
      <c r="L1029" s="82">
        <v>-2</v>
      </c>
      <c r="M1029" s="82">
        <v>19</v>
      </c>
      <c r="N1029" s="82">
        <v>221</v>
      </c>
      <c r="O1029" s="82">
        <v>112</v>
      </c>
      <c r="P1029" s="82">
        <v>921</v>
      </c>
      <c r="Q1029" s="82">
        <v>3510</v>
      </c>
      <c r="R1029" s="12" t="s">
        <v>25</v>
      </c>
      <c r="S1029" s="12" t="s">
        <v>25</v>
      </c>
      <c r="T1029" s="12" t="s">
        <v>25</v>
      </c>
    </row>
    <row r="1030" spans="1:20" x14ac:dyDescent="0.3">
      <c r="A1030" s="13">
        <v>43933.708333333336</v>
      </c>
      <c r="B1030" s="12" t="s">
        <v>22</v>
      </c>
      <c r="C1030" s="82">
        <v>5</v>
      </c>
      <c r="D1030" s="12" t="s">
        <v>61</v>
      </c>
      <c r="E1030" s="82">
        <v>4543490485</v>
      </c>
      <c r="F1030" s="82">
        <v>1233845213</v>
      </c>
      <c r="G1030" s="82">
        <v>1428</v>
      </c>
      <c r="H1030" s="82">
        <v>249</v>
      </c>
      <c r="I1030" s="82">
        <v>1677</v>
      </c>
      <c r="J1030" s="82">
        <v>9052</v>
      </c>
      <c r="K1030" s="82">
        <v>10729</v>
      </c>
      <c r="L1030" s="82">
        <v>-20</v>
      </c>
      <c r="M1030" s="82">
        <v>309</v>
      </c>
      <c r="N1030" s="82">
        <v>2492</v>
      </c>
      <c r="O1030" s="82">
        <v>856</v>
      </c>
      <c r="P1030" s="82">
        <v>14077</v>
      </c>
      <c r="Q1030" s="82">
        <v>198442</v>
      </c>
      <c r="R1030" s="12" t="s">
        <v>25</v>
      </c>
      <c r="S1030" s="12" t="s">
        <v>25</v>
      </c>
      <c r="T1030" s="12" t="s">
        <v>25</v>
      </c>
    </row>
    <row r="1031" spans="1:20" x14ac:dyDescent="0.3">
      <c r="A1031" s="13">
        <v>43934.708333333336</v>
      </c>
      <c r="B1031" s="12" t="s">
        <v>22</v>
      </c>
      <c r="C1031" s="82">
        <v>13</v>
      </c>
      <c r="D1031" s="12" t="s">
        <v>42</v>
      </c>
      <c r="E1031" s="82">
        <v>4235122196</v>
      </c>
      <c r="F1031" s="82">
        <v>1339843823</v>
      </c>
      <c r="G1031" s="82">
        <v>351</v>
      </c>
      <c r="H1031" s="82">
        <v>54</v>
      </c>
      <c r="I1031" s="82">
        <v>405</v>
      </c>
      <c r="J1031" s="82">
        <v>1373</v>
      </c>
      <c r="K1031" s="82">
        <v>1778</v>
      </c>
      <c r="L1031" s="82">
        <v>36</v>
      </c>
      <c r="M1031" s="82">
        <v>53</v>
      </c>
      <c r="N1031" s="82">
        <v>211</v>
      </c>
      <c r="O1031" s="82">
        <v>224</v>
      </c>
      <c r="P1031" s="82">
        <v>2213</v>
      </c>
      <c r="Q1031" s="82">
        <v>20667</v>
      </c>
      <c r="R1031" s="12" t="s">
        <v>25</v>
      </c>
      <c r="S1031" s="12" t="s">
        <v>25</v>
      </c>
      <c r="T1031" s="12" t="s">
        <v>25</v>
      </c>
    </row>
    <row r="1032" spans="1:20" x14ac:dyDescent="0.3">
      <c r="A1032" s="13">
        <v>43934.708333333336</v>
      </c>
      <c r="B1032" s="12" t="s">
        <v>22</v>
      </c>
      <c r="C1032" s="82">
        <v>17</v>
      </c>
      <c r="D1032" s="12" t="s">
        <v>43</v>
      </c>
      <c r="E1032" s="82">
        <v>4063947052</v>
      </c>
      <c r="F1032" s="82">
        <v>1580514834</v>
      </c>
      <c r="G1032" s="82">
        <v>64</v>
      </c>
      <c r="H1032" s="82">
        <v>12</v>
      </c>
      <c r="I1032" s="82">
        <v>76</v>
      </c>
      <c r="J1032" s="82">
        <v>194</v>
      </c>
      <c r="K1032" s="82">
        <v>270</v>
      </c>
      <c r="L1032" s="82">
        <v>-7</v>
      </c>
      <c r="M1032" s="82">
        <v>4</v>
      </c>
      <c r="N1032" s="82">
        <v>31</v>
      </c>
      <c r="O1032" s="82">
        <v>18</v>
      </c>
      <c r="P1032" s="82">
        <v>319</v>
      </c>
      <c r="Q1032" s="82">
        <v>4545</v>
      </c>
      <c r="R1032" s="12" t="s">
        <v>25</v>
      </c>
      <c r="S1032" s="12" t="s">
        <v>25</v>
      </c>
      <c r="T1032" s="12" t="s">
        <v>25</v>
      </c>
    </row>
    <row r="1033" spans="1:20" x14ac:dyDescent="0.3">
      <c r="A1033" s="13">
        <v>43934.708333333336</v>
      </c>
      <c r="B1033" s="12" t="s">
        <v>22</v>
      </c>
      <c r="C1033" s="82">
        <v>4</v>
      </c>
      <c r="D1033" s="12" t="s">
        <v>44</v>
      </c>
      <c r="E1033" s="82">
        <v>4649933453</v>
      </c>
      <c r="F1033" s="82">
        <v>1135662422</v>
      </c>
      <c r="G1033" s="82">
        <v>190</v>
      </c>
      <c r="H1033" s="82">
        <v>41</v>
      </c>
      <c r="I1033" s="82">
        <v>231</v>
      </c>
      <c r="J1033" s="82">
        <v>1306</v>
      </c>
      <c r="K1033" s="82">
        <v>1537</v>
      </c>
      <c r="L1033" s="82">
        <v>22</v>
      </c>
      <c r="M1033" s="82">
        <v>51</v>
      </c>
      <c r="N1033" s="82">
        <v>400</v>
      </c>
      <c r="O1033" s="82">
        <v>212</v>
      </c>
      <c r="P1033" s="82">
        <v>2149</v>
      </c>
      <c r="Q1033" s="82">
        <v>24157</v>
      </c>
      <c r="R1033" s="12" t="s">
        <v>25</v>
      </c>
      <c r="S1033" s="12" t="s">
        <v>25</v>
      </c>
      <c r="T1033" s="12" t="s">
        <v>25</v>
      </c>
    </row>
    <row r="1034" spans="1:20" x14ac:dyDescent="0.3">
      <c r="A1034" s="13">
        <v>43934.708333333336</v>
      </c>
      <c r="B1034" s="12" t="s">
        <v>22</v>
      </c>
      <c r="C1034" s="82">
        <v>18</v>
      </c>
      <c r="D1034" s="12" t="s">
        <v>45</v>
      </c>
      <c r="E1034" s="82">
        <v>3890597598</v>
      </c>
      <c r="F1034" s="82">
        <v>1659440194</v>
      </c>
      <c r="G1034" s="82">
        <v>160</v>
      </c>
      <c r="H1034" s="82">
        <v>12</v>
      </c>
      <c r="I1034" s="82">
        <v>172</v>
      </c>
      <c r="J1034" s="82">
        <v>619</v>
      </c>
      <c r="K1034" s="82">
        <v>791</v>
      </c>
      <c r="L1034" s="82">
        <v>-4</v>
      </c>
      <c r="M1034" s="82">
        <v>5</v>
      </c>
      <c r="N1034" s="82">
        <v>70</v>
      </c>
      <c r="O1034" s="82">
        <v>67</v>
      </c>
      <c r="P1034" s="82">
        <v>928</v>
      </c>
      <c r="Q1034" s="82">
        <v>18596</v>
      </c>
      <c r="R1034" s="12" t="s">
        <v>25</v>
      </c>
      <c r="S1034" s="12" t="s">
        <v>25</v>
      </c>
      <c r="T1034" s="12" t="s">
        <v>25</v>
      </c>
    </row>
    <row r="1035" spans="1:20" x14ac:dyDescent="0.3">
      <c r="A1035" s="13">
        <v>43934.708333333336</v>
      </c>
      <c r="B1035" s="12" t="s">
        <v>22</v>
      </c>
      <c r="C1035" s="82">
        <v>15</v>
      </c>
      <c r="D1035" s="12" t="s">
        <v>46</v>
      </c>
      <c r="E1035" s="82">
        <v>4083956555</v>
      </c>
      <c r="F1035" s="82">
        <v>1425084984</v>
      </c>
      <c r="G1035" s="82">
        <v>606</v>
      </c>
      <c r="H1035" s="82">
        <v>80</v>
      </c>
      <c r="I1035" s="82">
        <v>686</v>
      </c>
      <c r="J1035" s="82">
        <v>2376</v>
      </c>
      <c r="K1035" s="82">
        <v>3062</v>
      </c>
      <c r="L1035" s="82">
        <v>5</v>
      </c>
      <c r="M1035" s="82">
        <v>66</v>
      </c>
      <c r="N1035" s="82">
        <v>360</v>
      </c>
      <c r="O1035" s="82">
        <v>248</v>
      </c>
      <c r="P1035" s="82">
        <v>3670</v>
      </c>
      <c r="Q1035" s="82">
        <v>36770</v>
      </c>
      <c r="R1035" s="12" t="s">
        <v>25</v>
      </c>
      <c r="S1035" s="12" t="s">
        <v>25</v>
      </c>
      <c r="T1035" s="12" t="s">
        <v>25</v>
      </c>
    </row>
    <row r="1036" spans="1:20" x14ac:dyDescent="0.3">
      <c r="A1036" s="13">
        <v>43934.708333333336</v>
      </c>
      <c r="B1036" s="12" t="s">
        <v>22</v>
      </c>
      <c r="C1036" s="82">
        <v>8</v>
      </c>
      <c r="D1036" s="12" t="s">
        <v>95</v>
      </c>
      <c r="E1036" s="82">
        <v>4449436681</v>
      </c>
      <c r="F1036" s="82">
        <v>113417208</v>
      </c>
      <c r="G1036" s="82">
        <v>3490</v>
      </c>
      <c r="H1036" s="82">
        <v>331</v>
      </c>
      <c r="I1036" s="82">
        <v>3821</v>
      </c>
      <c r="J1036" s="82">
        <v>9997</v>
      </c>
      <c r="K1036" s="82">
        <v>13818</v>
      </c>
      <c r="L1036" s="82">
        <v>146</v>
      </c>
      <c r="M1036" s="82">
        <v>342</v>
      </c>
      <c r="N1036" s="82">
        <v>4007</v>
      </c>
      <c r="O1036" s="82">
        <v>2615</v>
      </c>
      <c r="P1036" s="82">
        <v>20440</v>
      </c>
      <c r="Q1036" s="82">
        <v>99047</v>
      </c>
      <c r="R1036" s="12" t="s">
        <v>25</v>
      </c>
      <c r="S1036" s="12" t="s">
        <v>25</v>
      </c>
      <c r="T1036" s="12" t="s">
        <v>25</v>
      </c>
    </row>
    <row r="1037" spans="1:20" x14ac:dyDescent="0.3">
      <c r="A1037" s="13">
        <v>43934.708333333336</v>
      </c>
      <c r="B1037" s="12" t="s">
        <v>22</v>
      </c>
      <c r="C1037" s="82">
        <v>6</v>
      </c>
      <c r="D1037" s="12" t="s">
        <v>47</v>
      </c>
      <c r="E1037" s="82">
        <v>456494354</v>
      </c>
      <c r="F1037" s="82">
        <v>1376813649</v>
      </c>
      <c r="G1037" s="82">
        <v>159</v>
      </c>
      <c r="H1037" s="82">
        <v>30</v>
      </c>
      <c r="I1037" s="82">
        <v>189</v>
      </c>
      <c r="J1037" s="82">
        <v>1118</v>
      </c>
      <c r="K1037" s="82">
        <v>1307</v>
      </c>
      <c r="L1037" s="82">
        <v>-19</v>
      </c>
      <c r="M1037" s="82">
        <v>51</v>
      </c>
      <c r="N1037" s="82">
        <v>973</v>
      </c>
      <c r="O1037" s="82">
        <v>202</v>
      </c>
      <c r="P1037" s="82">
        <v>2482</v>
      </c>
      <c r="Q1037" s="82">
        <v>30941</v>
      </c>
      <c r="R1037" s="12" t="s">
        <v>25</v>
      </c>
      <c r="S1037" s="12" t="s">
        <v>25</v>
      </c>
      <c r="T1037" s="12" t="s">
        <v>25</v>
      </c>
    </row>
    <row r="1038" spans="1:20" x14ac:dyDescent="0.3">
      <c r="A1038" s="13">
        <v>43934.708333333336</v>
      </c>
      <c r="B1038" s="12" t="s">
        <v>22</v>
      </c>
      <c r="C1038" s="82">
        <v>12</v>
      </c>
      <c r="D1038" s="12" t="s">
        <v>48</v>
      </c>
      <c r="E1038" s="82">
        <v>4189277044</v>
      </c>
      <c r="F1038" s="82">
        <v>1248366722</v>
      </c>
      <c r="G1038" s="82">
        <v>1314</v>
      </c>
      <c r="H1038" s="82">
        <v>200</v>
      </c>
      <c r="I1038" s="82">
        <v>1514</v>
      </c>
      <c r="J1038" s="82">
        <v>2406</v>
      </c>
      <c r="K1038" s="82">
        <v>3920</v>
      </c>
      <c r="L1038" s="82">
        <v>103</v>
      </c>
      <c r="M1038" s="82">
        <v>123</v>
      </c>
      <c r="N1038" s="82">
        <v>764</v>
      </c>
      <c r="O1038" s="82">
        <v>284</v>
      </c>
      <c r="P1038" s="82">
        <v>4968</v>
      </c>
      <c r="Q1038" s="82">
        <v>72746</v>
      </c>
      <c r="R1038" s="12" t="s">
        <v>25</v>
      </c>
      <c r="S1038" s="12" t="s">
        <v>25</v>
      </c>
      <c r="T1038" s="12" t="s">
        <v>25</v>
      </c>
    </row>
    <row r="1039" spans="1:20" x14ac:dyDescent="0.3">
      <c r="A1039" s="13">
        <v>43934.708333333336</v>
      </c>
      <c r="B1039" s="12" t="s">
        <v>22</v>
      </c>
      <c r="C1039" s="82">
        <v>7</v>
      </c>
      <c r="D1039" s="12" t="s">
        <v>49</v>
      </c>
      <c r="E1039" s="82">
        <v>4441149315</v>
      </c>
      <c r="F1039" s="82">
        <v>89326992</v>
      </c>
      <c r="G1039" s="82">
        <v>1088</v>
      </c>
      <c r="H1039" s="82">
        <v>138</v>
      </c>
      <c r="I1039" s="82">
        <v>1226</v>
      </c>
      <c r="J1039" s="82">
        <v>2139</v>
      </c>
      <c r="K1039" s="82">
        <v>3365</v>
      </c>
      <c r="L1039" s="82">
        <v>32</v>
      </c>
      <c r="M1039" s="82">
        <v>102</v>
      </c>
      <c r="N1039" s="82">
        <v>1471</v>
      </c>
      <c r="O1039" s="82">
        <v>760</v>
      </c>
      <c r="P1039" s="82">
        <v>5596</v>
      </c>
      <c r="Q1039" s="82">
        <v>23129</v>
      </c>
      <c r="R1039" s="12" t="s">
        <v>25</v>
      </c>
      <c r="S1039" s="12" t="s">
        <v>25</v>
      </c>
      <c r="T1039" s="12" t="s">
        <v>25</v>
      </c>
    </row>
    <row r="1040" spans="1:20" x14ac:dyDescent="0.3">
      <c r="A1040" s="13">
        <v>43934.708333333336</v>
      </c>
      <c r="B1040" s="12" t="s">
        <v>22</v>
      </c>
      <c r="C1040" s="82">
        <v>3</v>
      </c>
      <c r="D1040" s="12" t="s">
        <v>50</v>
      </c>
      <c r="E1040" s="82">
        <v>4546679409</v>
      </c>
      <c r="F1040" s="82">
        <v>9190347404</v>
      </c>
      <c r="G1040" s="82">
        <v>12028</v>
      </c>
      <c r="H1040" s="82">
        <v>1143</v>
      </c>
      <c r="I1040" s="82">
        <v>13171</v>
      </c>
      <c r="J1040" s="82">
        <v>18764</v>
      </c>
      <c r="K1040" s="82">
        <v>31935</v>
      </c>
      <c r="L1040" s="82">
        <v>670</v>
      </c>
      <c r="M1040" s="82">
        <v>1262</v>
      </c>
      <c r="N1040" s="82">
        <v>17478</v>
      </c>
      <c r="O1040" s="82">
        <v>10901</v>
      </c>
      <c r="P1040" s="82">
        <v>60314</v>
      </c>
      <c r="Q1040" s="82">
        <v>211092</v>
      </c>
      <c r="R1040" s="12" t="s">
        <v>25</v>
      </c>
      <c r="S1040" s="12" t="s">
        <v>25</v>
      </c>
      <c r="T1040" s="12" t="s">
        <v>25</v>
      </c>
    </row>
    <row r="1041" spans="1:20" x14ac:dyDescent="0.3">
      <c r="A1041" s="13">
        <v>43934.708333333336</v>
      </c>
      <c r="B1041" s="12" t="s">
        <v>22</v>
      </c>
      <c r="C1041" s="82">
        <v>11</v>
      </c>
      <c r="D1041" s="12" t="s">
        <v>51</v>
      </c>
      <c r="E1041" s="82">
        <v>4361675973</v>
      </c>
      <c r="F1041" s="82">
        <v>135188753</v>
      </c>
      <c r="G1041" s="82">
        <v>959</v>
      </c>
      <c r="H1041" s="82">
        <v>108</v>
      </c>
      <c r="I1041" s="82">
        <v>1067</v>
      </c>
      <c r="J1041" s="82">
        <v>2013</v>
      </c>
      <c r="K1041" s="82">
        <v>3080</v>
      </c>
      <c r="L1041" s="82">
        <v>-34</v>
      </c>
      <c r="M1041" s="82">
        <v>78</v>
      </c>
      <c r="N1041" s="82">
        <v>1588</v>
      </c>
      <c r="O1041" s="82">
        <v>713</v>
      </c>
      <c r="P1041" s="82">
        <v>5381</v>
      </c>
      <c r="Q1041" s="82">
        <v>28379</v>
      </c>
      <c r="R1041" s="12" t="s">
        <v>25</v>
      </c>
      <c r="S1041" s="12" t="s">
        <v>25</v>
      </c>
      <c r="T1041" s="12" t="s">
        <v>25</v>
      </c>
    </row>
    <row r="1042" spans="1:20" x14ac:dyDescent="0.3">
      <c r="A1042" s="13">
        <v>43934.708333333336</v>
      </c>
      <c r="B1042" s="12" t="s">
        <v>22</v>
      </c>
      <c r="C1042" s="82">
        <v>14</v>
      </c>
      <c r="D1042" s="12" t="s">
        <v>52</v>
      </c>
      <c r="E1042" s="82">
        <v>4155774754</v>
      </c>
      <c r="F1042" s="82">
        <v>1465916051</v>
      </c>
      <c r="G1042" s="82">
        <v>28</v>
      </c>
      <c r="H1042" s="82">
        <v>4</v>
      </c>
      <c r="I1042" s="82">
        <v>32</v>
      </c>
      <c r="J1042" s="82">
        <v>170</v>
      </c>
      <c r="K1042" s="82">
        <v>202</v>
      </c>
      <c r="L1042" s="82">
        <v>0</v>
      </c>
      <c r="M1042" s="82">
        <v>0</v>
      </c>
      <c r="N1042" s="82">
        <v>40</v>
      </c>
      <c r="O1042" s="82">
        <v>15</v>
      </c>
      <c r="P1042" s="82">
        <v>257</v>
      </c>
      <c r="Q1042" s="82">
        <v>2522</v>
      </c>
      <c r="R1042" s="12" t="s">
        <v>25</v>
      </c>
      <c r="S1042" s="12" t="s">
        <v>25</v>
      </c>
      <c r="T1042" s="12" t="s">
        <v>25</v>
      </c>
    </row>
    <row r="1043" spans="1:20" x14ac:dyDescent="0.3">
      <c r="A1043" s="13">
        <v>43934.708333333336</v>
      </c>
      <c r="B1043" s="12" t="s">
        <v>22</v>
      </c>
      <c r="C1043" s="82">
        <v>1</v>
      </c>
      <c r="D1043" s="12" t="s">
        <v>53</v>
      </c>
      <c r="E1043" s="82">
        <v>450732745</v>
      </c>
      <c r="F1043" s="82">
        <v>7680687483</v>
      </c>
      <c r="G1043" s="82">
        <v>3344</v>
      </c>
      <c r="H1043" s="82">
        <v>379</v>
      </c>
      <c r="I1043" s="82">
        <v>3723</v>
      </c>
      <c r="J1043" s="82">
        <v>9042</v>
      </c>
      <c r="K1043" s="82">
        <v>12765</v>
      </c>
      <c r="L1043" s="82">
        <v>260</v>
      </c>
      <c r="M1043" s="82">
        <v>474</v>
      </c>
      <c r="N1043" s="82">
        <v>2543</v>
      </c>
      <c r="O1043" s="82">
        <v>1826</v>
      </c>
      <c r="P1043" s="82">
        <v>17134</v>
      </c>
      <c r="Q1043" s="82">
        <v>69170</v>
      </c>
      <c r="R1043" s="12" t="s">
        <v>25</v>
      </c>
      <c r="S1043" s="12" t="s">
        <v>25</v>
      </c>
      <c r="T1043" s="12" t="s">
        <v>25</v>
      </c>
    </row>
    <row r="1044" spans="1:20" x14ac:dyDescent="0.3">
      <c r="A1044" s="13">
        <v>43934.708333333336</v>
      </c>
      <c r="B1044" s="12" t="s">
        <v>22</v>
      </c>
      <c r="C1044" s="82">
        <v>16</v>
      </c>
      <c r="D1044" s="12" t="s">
        <v>54</v>
      </c>
      <c r="E1044" s="82">
        <v>4112559576</v>
      </c>
      <c r="F1044" s="82">
        <v>1686736689</v>
      </c>
      <c r="G1044" s="82">
        <v>600</v>
      </c>
      <c r="H1044" s="82">
        <v>71</v>
      </c>
      <c r="I1044" s="82">
        <v>671</v>
      </c>
      <c r="J1044" s="82">
        <v>1841</v>
      </c>
      <c r="K1044" s="82">
        <v>2512</v>
      </c>
      <c r="L1044" s="82">
        <v>60</v>
      </c>
      <c r="M1044" s="82">
        <v>76</v>
      </c>
      <c r="N1044" s="82">
        <v>286</v>
      </c>
      <c r="O1044" s="82">
        <v>267</v>
      </c>
      <c r="P1044" s="82">
        <v>3065</v>
      </c>
      <c r="Q1044" s="82">
        <v>31922</v>
      </c>
      <c r="R1044" s="12" t="s">
        <v>25</v>
      </c>
      <c r="S1044" s="12" t="s">
        <v>25</v>
      </c>
      <c r="T1044" s="12" t="s">
        <v>25</v>
      </c>
    </row>
    <row r="1045" spans="1:20" x14ac:dyDescent="0.3">
      <c r="A1045" s="13">
        <v>43934.708333333336</v>
      </c>
      <c r="B1045" s="12" t="s">
        <v>22</v>
      </c>
      <c r="C1045" s="82">
        <v>20</v>
      </c>
      <c r="D1045" s="12" t="s">
        <v>55</v>
      </c>
      <c r="E1045" s="82">
        <v>3921531192</v>
      </c>
      <c r="F1045" s="82">
        <v>9110616306</v>
      </c>
      <c r="G1045" s="82">
        <v>107</v>
      </c>
      <c r="H1045" s="82">
        <v>27</v>
      </c>
      <c r="I1045" s="82">
        <v>134</v>
      </c>
      <c r="J1045" s="82">
        <v>780</v>
      </c>
      <c r="K1045" s="82">
        <v>914</v>
      </c>
      <c r="L1045" s="82">
        <v>11</v>
      </c>
      <c r="M1045" s="82">
        <v>15</v>
      </c>
      <c r="N1045" s="82">
        <v>139</v>
      </c>
      <c r="O1045" s="82">
        <v>75</v>
      </c>
      <c r="P1045" s="82">
        <v>1128</v>
      </c>
      <c r="Q1045" s="82">
        <v>11010</v>
      </c>
      <c r="R1045" s="12" t="s">
        <v>25</v>
      </c>
      <c r="S1045" s="12" t="s">
        <v>25</v>
      </c>
      <c r="T1045" s="12" t="s">
        <v>25</v>
      </c>
    </row>
    <row r="1046" spans="1:20" x14ac:dyDescent="0.3">
      <c r="A1046" s="13">
        <v>43934.708333333336</v>
      </c>
      <c r="B1046" s="12" t="s">
        <v>22</v>
      </c>
      <c r="C1046" s="82">
        <v>19</v>
      </c>
      <c r="D1046" s="12" t="s">
        <v>56</v>
      </c>
      <c r="E1046" s="82">
        <v>3811569725</v>
      </c>
      <c r="F1046" s="82">
        <v>133623567</v>
      </c>
      <c r="G1046" s="82">
        <v>554</v>
      </c>
      <c r="H1046" s="82">
        <v>51</v>
      </c>
      <c r="I1046" s="82">
        <v>605</v>
      </c>
      <c r="J1046" s="82">
        <v>1445</v>
      </c>
      <c r="K1046" s="82">
        <v>2050</v>
      </c>
      <c r="L1046" s="82">
        <v>20</v>
      </c>
      <c r="M1046" s="82">
        <v>42</v>
      </c>
      <c r="N1046" s="82">
        <v>237</v>
      </c>
      <c r="O1046" s="82">
        <v>171</v>
      </c>
      <c r="P1046" s="82">
        <v>2458</v>
      </c>
      <c r="Q1046" s="82">
        <v>37311</v>
      </c>
      <c r="R1046" s="12" t="s">
        <v>25</v>
      </c>
      <c r="S1046" s="12" t="s">
        <v>25</v>
      </c>
      <c r="T1046" s="12" t="s">
        <v>25</v>
      </c>
    </row>
    <row r="1047" spans="1:20" x14ac:dyDescent="0.3">
      <c r="A1047" s="13">
        <v>43934.708333333336</v>
      </c>
      <c r="B1047" s="12" t="s">
        <v>22</v>
      </c>
      <c r="C1047" s="82">
        <v>9</v>
      </c>
      <c r="D1047" s="12" t="s">
        <v>57</v>
      </c>
      <c r="E1047" s="82">
        <v>4376923077</v>
      </c>
      <c r="F1047" s="82">
        <v>1125588885</v>
      </c>
      <c r="G1047" s="82">
        <v>992</v>
      </c>
      <c r="H1047" s="82">
        <v>225</v>
      </c>
      <c r="I1047" s="82">
        <v>1217</v>
      </c>
      <c r="J1047" s="82">
        <v>5040</v>
      </c>
      <c r="K1047" s="82">
        <v>6257</v>
      </c>
      <c r="L1047" s="82">
        <v>95</v>
      </c>
      <c r="M1047" s="82">
        <v>155</v>
      </c>
      <c r="N1047" s="82">
        <v>615</v>
      </c>
      <c r="O1047" s="82">
        <v>518</v>
      </c>
      <c r="P1047" s="82">
        <v>7390</v>
      </c>
      <c r="Q1047" s="82">
        <v>80889</v>
      </c>
      <c r="R1047" s="12" t="s">
        <v>25</v>
      </c>
      <c r="S1047" s="12" t="s">
        <v>25</v>
      </c>
      <c r="T1047" s="12" t="s">
        <v>25</v>
      </c>
    </row>
    <row r="1048" spans="1:20" x14ac:dyDescent="0.3">
      <c r="A1048" s="13">
        <v>43934.708333333336</v>
      </c>
      <c r="B1048" s="12" t="s">
        <v>22</v>
      </c>
      <c r="C1048" s="82">
        <v>4</v>
      </c>
      <c r="D1048" s="12" t="s">
        <v>58</v>
      </c>
      <c r="E1048" s="82">
        <v>4606893511</v>
      </c>
      <c r="F1048" s="82">
        <v>1112123097</v>
      </c>
      <c r="G1048" s="82">
        <v>326</v>
      </c>
      <c r="H1048" s="82">
        <v>56</v>
      </c>
      <c r="I1048" s="82">
        <v>382</v>
      </c>
      <c r="J1048" s="82">
        <v>1698</v>
      </c>
      <c r="K1048" s="82">
        <v>2080</v>
      </c>
      <c r="L1048" s="82">
        <v>-2</v>
      </c>
      <c r="M1048" s="82">
        <v>73</v>
      </c>
      <c r="N1048" s="82">
        <v>746</v>
      </c>
      <c r="O1048" s="82">
        <v>300</v>
      </c>
      <c r="P1048" s="82">
        <v>3126</v>
      </c>
      <c r="Q1048" s="82">
        <v>18586</v>
      </c>
      <c r="R1048" s="12" t="s">
        <v>25</v>
      </c>
      <c r="S1048" s="12" t="s">
        <v>25</v>
      </c>
      <c r="T1048" s="12" t="s">
        <v>25</v>
      </c>
    </row>
    <row r="1049" spans="1:20" x14ac:dyDescent="0.3">
      <c r="A1049" s="13">
        <v>43934.708333333336</v>
      </c>
      <c r="B1049" s="12" t="s">
        <v>22</v>
      </c>
      <c r="C1049" s="82">
        <v>10</v>
      </c>
      <c r="D1049" s="12" t="s">
        <v>59</v>
      </c>
      <c r="E1049" s="82">
        <v>4310675841</v>
      </c>
      <c r="F1049" s="82">
        <v>1238824698</v>
      </c>
      <c r="G1049" s="82">
        <v>127</v>
      </c>
      <c r="H1049" s="82">
        <v>38</v>
      </c>
      <c r="I1049" s="82">
        <v>165</v>
      </c>
      <c r="J1049" s="82">
        <v>460</v>
      </c>
      <c r="K1049" s="82">
        <v>625</v>
      </c>
      <c r="L1049" s="82">
        <v>-62</v>
      </c>
      <c r="M1049" s="82">
        <v>1</v>
      </c>
      <c r="N1049" s="82">
        <v>643</v>
      </c>
      <c r="O1049" s="82">
        <v>52</v>
      </c>
      <c r="P1049" s="82">
        <v>1320</v>
      </c>
      <c r="Q1049" s="82">
        <v>18740</v>
      </c>
      <c r="R1049" s="12" t="s">
        <v>25</v>
      </c>
      <c r="S1049" s="12" t="s">
        <v>25</v>
      </c>
      <c r="T1049" s="12" t="s">
        <v>25</v>
      </c>
    </row>
    <row r="1050" spans="1:20" x14ac:dyDescent="0.3">
      <c r="A1050" s="13">
        <v>43934.708333333336</v>
      </c>
      <c r="B1050" s="12" t="s">
        <v>22</v>
      </c>
      <c r="C1050" s="82">
        <v>2</v>
      </c>
      <c r="D1050" s="12" t="s">
        <v>60</v>
      </c>
      <c r="E1050" s="82">
        <v>4573750286</v>
      </c>
      <c r="F1050" s="82">
        <v>7320149366</v>
      </c>
      <c r="G1050" s="82">
        <v>109</v>
      </c>
      <c r="H1050" s="82">
        <v>15</v>
      </c>
      <c r="I1050" s="82">
        <v>124</v>
      </c>
      <c r="J1050" s="82">
        <v>458</v>
      </c>
      <c r="K1050" s="82">
        <v>582</v>
      </c>
      <c r="L1050" s="82">
        <v>-6</v>
      </c>
      <c r="M1050" s="82">
        <v>6</v>
      </c>
      <c r="N1050" s="82">
        <v>230</v>
      </c>
      <c r="O1050" s="82">
        <v>115</v>
      </c>
      <c r="P1050" s="82">
        <v>927</v>
      </c>
      <c r="Q1050" s="82">
        <v>3614</v>
      </c>
      <c r="R1050" s="12" t="s">
        <v>25</v>
      </c>
      <c r="S1050" s="12" t="s">
        <v>25</v>
      </c>
      <c r="T1050" s="12" t="s">
        <v>25</v>
      </c>
    </row>
    <row r="1051" spans="1:20" x14ac:dyDescent="0.3">
      <c r="A1051" s="13">
        <v>43934.708333333336</v>
      </c>
      <c r="B1051" s="12" t="s">
        <v>22</v>
      </c>
      <c r="C1051" s="82">
        <v>5</v>
      </c>
      <c r="D1051" s="12" t="s">
        <v>61</v>
      </c>
      <c r="E1051" s="82">
        <v>4543490485</v>
      </c>
      <c r="F1051" s="82">
        <v>1233845213</v>
      </c>
      <c r="G1051" s="82">
        <v>1427</v>
      </c>
      <c r="H1051" s="82">
        <v>245</v>
      </c>
      <c r="I1051" s="82">
        <v>1672</v>
      </c>
      <c r="J1051" s="82">
        <v>9094</v>
      </c>
      <c r="K1051" s="82">
        <v>10766</v>
      </c>
      <c r="L1051" s="82">
        <v>37</v>
      </c>
      <c r="M1051" s="82">
        <v>174</v>
      </c>
      <c r="N1051" s="82">
        <v>2603</v>
      </c>
      <c r="O1051" s="82">
        <v>882</v>
      </c>
      <c r="P1051" s="82">
        <v>14251</v>
      </c>
      <c r="Q1051" s="82">
        <v>203077</v>
      </c>
      <c r="R1051" s="12" t="s">
        <v>25</v>
      </c>
      <c r="S1051" s="12" t="s">
        <v>25</v>
      </c>
      <c r="T1051" s="12" t="s">
        <v>25</v>
      </c>
    </row>
    <row r="1052" spans="1:20" x14ac:dyDescent="0.3">
      <c r="A1052" s="13">
        <v>43935.708333333336</v>
      </c>
      <c r="B1052" s="12" t="s">
        <v>22</v>
      </c>
      <c r="C1052" s="82">
        <v>13</v>
      </c>
      <c r="D1052" s="12" t="s">
        <v>42</v>
      </c>
      <c r="E1052" s="82">
        <v>4235122196</v>
      </c>
      <c r="F1052" s="82">
        <v>1339843823</v>
      </c>
      <c r="G1052" s="82">
        <v>345</v>
      </c>
      <c r="H1052" s="82">
        <v>52</v>
      </c>
      <c r="I1052" s="82">
        <v>397</v>
      </c>
      <c r="J1052" s="82">
        <v>1403</v>
      </c>
      <c r="K1052" s="82">
        <v>1800</v>
      </c>
      <c r="L1052" s="82">
        <v>22</v>
      </c>
      <c r="M1052" s="82">
        <v>32</v>
      </c>
      <c r="N1052" s="82">
        <v>213</v>
      </c>
      <c r="O1052" s="82">
        <v>232</v>
      </c>
      <c r="P1052" s="82">
        <v>2245</v>
      </c>
      <c r="Q1052" s="82">
        <v>20935</v>
      </c>
      <c r="R1052" s="12" t="s">
        <v>25</v>
      </c>
      <c r="S1052" s="12" t="s">
        <v>25</v>
      </c>
      <c r="T1052" s="12" t="s">
        <v>25</v>
      </c>
    </row>
    <row r="1053" spans="1:20" x14ac:dyDescent="0.3">
      <c r="A1053" s="13">
        <v>43935.708333333336</v>
      </c>
      <c r="B1053" s="12" t="s">
        <v>22</v>
      </c>
      <c r="C1053" s="82">
        <v>17</v>
      </c>
      <c r="D1053" s="12" t="s">
        <v>43</v>
      </c>
      <c r="E1053" s="82">
        <v>4063947052</v>
      </c>
      <c r="F1053" s="82">
        <v>1580514834</v>
      </c>
      <c r="G1053" s="82">
        <v>62</v>
      </c>
      <c r="H1053" s="82">
        <v>12</v>
      </c>
      <c r="I1053" s="82">
        <v>74</v>
      </c>
      <c r="J1053" s="82">
        <v>191</v>
      </c>
      <c r="K1053" s="82">
        <v>265</v>
      </c>
      <c r="L1053" s="82">
        <v>-5</v>
      </c>
      <c r="M1053" s="82">
        <v>0</v>
      </c>
      <c r="N1053" s="82">
        <v>35</v>
      </c>
      <c r="O1053" s="82">
        <v>19</v>
      </c>
      <c r="P1053" s="82">
        <v>319</v>
      </c>
      <c r="Q1053" s="82">
        <v>4759</v>
      </c>
      <c r="R1053" s="12" t="s">
        <v>25</v>
      </c>
      <c r="S1053" s="12" t="s">
        <v>25</v>
      </c>
      <c r="T1053" s="12" t="s">
        <v>25</v>
      </c>
    </row>
    <row r="1054" spans="1:20" x14ac:dyDescent="0.3">
      <c r="A1054" s="13">
        <v>43935.708333333336</v>
      </c>
      <c r="B1054" s="12" t="s">
        <v>22</v>
      </c>
      <c r="C1054" s="82">
        <v>4</v>
      </c>
      <c r="D1054" s="12" t="s">
        <v>44</v>
      </c>
      <c r="E1054" s="82">
        <v>4649933453</v>
      </c>
      <c r="F1054" s="82">
        <v>1135662422</v>
      </c>
      <c r="G1054" s="82">
        <v>177</v>
      </c>
      <c r="H1054" s="82">
        <v>39</v>
      </c>
      <c r="I1054" s="82">
        <v>216</v>
      </c>
      <c r="J1054" s="82">
        <v>1348</v>
      </c>
      <c r="K1054" s="82">
        <v>1564</v>
      </c>
      <c r="L1054" s="82">
        <v>27</v>
      </c>
      <c r="M1054" s="82">
        <v>35</v>
      </c>
      <c r="N1054" s="82">
        <v>406</v>
      </c>
      <c r="O1054" s="82">
        <v>214</v>
      </c>
      <c r="P1054" s="82">
        <v>2184</v>
      </c>
      <c r="Q1054" s="82">
        <v>24457</v>
      </c>
      <c r="R1054" s="12" t="s">
        <v>25</v>
      </c>
      <c r="S1054" s="12" t="s">
        <v>25</v>
      </c>
      <c r="T1054" s="12" t="s">
        <v>25</v>
      </c>
    </row>
    <row r="1055" spans="1:20" x14ac:dyDescent="0.3">
      <c r="A1055" s="13">
        <v>43935.708333333336</v>
      </c>
      <c r="B1055" s="12" t="s">
        <v>22</v>
      </c>
      <c r="C1055" s="82">
        <v>18</v>
      </c>
      <c r="D1055" s="12" t="s">
        <v>45</v>
      </c>
      <c r="E1055" s="82">
        <v>3890597598</v>
      </c>
      <c r="F1055" s="82">
        <v>1659440194</v>
      </c>
      <c r="G1055" s="82">
        <v>161</v>
      </c>
      <c r="H1055" s="82">
        <v>12</v>
      </c>
      <c r="I1055" s="82">
        <v>173</v>
      </c>
      <c r="J1055" s="82">
        <v>643</v>
      </c>
      <c r="K1055" s="82">
        <v>816</v>
      </c>
      <c r="L1055" s="82">
        <v>25</v>
      </c>
      <c r="M1055" s="82">
        <v>28</v>
      </c>
      <c r="N1055" s="82">
        <v>72</v>
      </c>
      <c r="O1055" s="82">
        <v>68</v>
      </c>
      <c r="P1055" s="82">
        <v>956</v>
      </c>
      <c r="Q1055" s="82">
        <v>19014</v>
      </c>
      <c r="R1055" s="12" t="s">
        <v>25</v>
      </c>
      <c r="S1055" s="12" t="s">
        <v>25</v>
      </c>
      <c r="T1055" s="12" t="s">
        <v>25</v>
      </c>
    </row>
    <row r="1056" spans="1:20" x14ac:dyDescent="0.3">
      <c r="A1056" s="13">
        <v>43935.708333333336</v>
      </c>
      <c r="B1056" s="12" t="s">
        <v>22</v>
      </c>
      <c r="C1056" s="82">
        <v>15</v>
      </c>
      <c r="D1056" s="12" t="s">
        <v>46</v>
      </c>
      <c r="E1056" s="82">
        <v>4083956555</v>
      </c>
      <c r="F1056" s="82">
        <v>1425084984</v>
      </c>
      <c r="G1056" s="82">
        <v>618</v>
      </c>
      <c r="H1056" s="82">
        <v>82</v>
      </c>
      <c r="I1056" s="82">
        <v>700</v>
      </c>
      <c r="J1056" s="82">
        <v>2394</v>
      </c>
      <c r="K1056" s="82">
        <v>3094</v>
      </c>
      <c r="L1056" s="82">
        <v>32</v>
      </c>
      <c r="M1056" s="82">
        <v>99</v>
      </c>
      <c r="N1056" s="82">
        <v>415</v>
      </c>
      <c r="O1056" s="82">
        <v>260</v>
      </c>
      <c r="P1056" s="82">
        <v>3769</v>
      </c>
      <c r="Q1056" s="82">
        <v>38094</v>
      </c>
      <c r="R1056" s="12" t="s">
        <v>25</v>
      </c>
      <c r="S1056" s="12" t="s">
        <v>25</v>
      </c>
      <c r="T1056" s="12" t="s">
        <v>25</v>
      </c>
    </row>
    <row r="1057" spans="1:20" x14ac:dyDescent="0.3">
      <c r="A1057" s="13">
        <v>43935.708333333336</v>
      </c>
      <c r="B1057" s="12" t="s">
        <v>22</v>
      </c>
      <c r="C1057" s="82">
        <v>8</v>
      </c>
      <c r="D1057" s="12" t="s">
        <v>95</v>
      </c>
      <c r="E1057" s="82">
        <v>4449436681</v>
      </c>
      <c r="F1057" s="82">
        <v>113417208</v>
      </c>
      <c r="G1057" s="82">
        <v>3473</v>
      </c>
      <c r="H1057" s="82">
        <v>328</v>
      </c>
      <c r="I1057" s="82">
        <v>3801</v>
      </c>
      <c r="J1057" s="82">
        <v>9977</v>
      </c>
      <c r="K1057" s="82">
        <v>13778</v>
      </c>
      <c r="L1057" s="82">
        <v>-40</v>
      </c>
      <c r="M1057" s="82">
        <v>312</v>
      </c>
      <c r="N1057" s="82">
        <v>4269</v>
      </c>
      <c r="O1057" s="82">
        <v>2705</v>
      </c>
      <c r="P1057" s="82">
        <v>20752</v>
      </c>
      <c r="Q1057" s="82">
        <v>101896</v>
      </c>
      <c r="R1057" s="12" t="s">
        <v>25</v>
      </c>
      <c r="S1057" s="12" t="s">
        <v>25</v>
      </c>
      <c r="T1057" s="12" t="s">
        <v>25</v>
      </c>
    </row>
    <row r="1058" spans="1:20" x14ac:dyDescent="0.3">
      <c r="A1058" s="13">
        <v>43935.708333333336</v>
      </c>
      <c r="B1058" s="12" t="s">
        <v>22</v>
      </c>
      <c r="C1058" s="82">
        <v>6</v>
      </c>
      <c r="D1058" s="12" t="s">
        <v>47</v>
      </c>
      <c r="E1058" s="82">
        <v>456494354</v>
      </c>
      <c r="F1058" s="82">
        <v>1376813649</v>
      </c>
      <c r="G1058" s="82">
        <v>166</v>
      </c>
      <c r="H1058" s="82">
        <v>28</v>
      </c>
      <c r="I1058" s="82">
        <v>194</v>
      </c>
      <c r="J1058" s="82">
        <v>705</v>
      </c>
      <c r="K1058" s="82">
        <v>899</v>
      </c>
      <c r="L1058" s="82">
        <v>-408</v>
      </c>
      <c r="M1058" s="82">
        <v>38</v>
      </c>
      <c r="N1058" s="82">
        <v>1415</v>
      </c>
      <c r="O1058" s="82">
        <v>206</v>
      </c>
      <c r="P1058" s="82">
        <v>2520</v>
      </c>
      <c r="Q1058" s="82">
        <v>31764</v>
      </c>
      <c r="R1058" s="12" t="s">
        <v>25</v>
      </c>
      <c r="S1058" s="12" t="s">
        <v>25</v>
      </c>
      <c r="T1058" s="12" t="s">
        <v>25</v>
      </c>
    </row>
    <row r="1059" spans="1:20" x14ac:dyDescent="0.3">
      <c r="A1059" s="13">
        <v>43935.708333333336</v>
      </c>
      <c r="B1059" s="12" t="s">
        <v>22</v>
      </c>
      <c r="C1059" s="82">
        <v>12</v>
      </c>
      <c r="D1059" s="12" t="s">
        <v>48</v>
      </c>
      <c r="E1059" s="82">
        <v>4189277044</v>
      </c>
      <c r="F1059" s="82">
        <v>1248366722</v>
      </c>
      <c r="G1059" s="82">
        <v>1344</v>
      </c>
      <c r="H1059" s="82">
        <v>199</v>
      </c>
      <c r="I1059" s="82">
        <v>1543</v>
      </c>
      <c r="J1059" s="82">
        <v>2479</v>
      </c>
      <c r="K1059" s="82">
        <v>4022</v>
      </c>
      <c r="L1059" s="82">
        <v>102</v>
      </c>
      <c r="M1059" s="82">
        <v>143</v>
      </c>
      <c r="N1059" s="82">
        <v>789</v>
      </c>
      <c r="O1059" s="82">
        <v>300</v>
      </c>
      <c r="P1059" s="82">
        <v>5111</v>
      </c>
      <c r="Q1059" s="82">
        <v>74650</v>
      </c>
      <c r="R1059" s="12" t="s">
        <v>25</v>
      </c>
      <c r="S1059" s="12" t="s">
        <v>25</v>
      </c>
      <c r="T1059" s="12" t="s">
        <v>25</v>
      </c>
    </row>
    <row r="1060" spans="1:20" x14ac:dyDescent="0.3">
      <c r="A1060" s="13">
        <v>43935.708333333336</v>
      </c>
      <c r="B1060" s="12" t="s">
        <v>22</v>
      </c>
      <c r="C1060" s="82">
        <v>7</v>
      </c>
      <c r="D1060" s="12" t="s">
        <v>49</v>
      </c>
      <c r="E1060" s="82">
        <v>4441149315</v>
      </c>
      <c r="F1060" s="82">
        <v>89326992</v>
      </c>
      <c r="G1060" s="82">
        <v>967</v>
      </c>
      <c r="H1060" s="82">
        <v>133</v>
      </c>
      <c r="I1060" s="82">
        <v>1100</v>
      </c>
      <c r="J1060" s="82">
        <v>2366</v>
      </c>
      <c r="K1060" s="82">
        <v>3466</v>
      </c>
      <c r="L1060" s="82">
        <v>101</v>
      </c>
      <c r="M1060" s="82">
        <v>212</v>
      </c>
      <c r="N1060" s="82">
        <v>1549</v>
      </c>
      <c r="O1060" s="82">
        <v>793</v>
      </c>
      <c r="P1060" s="82">
        <v>5808</v>
      </c>
      <c r="Q1060" s="82">
        <v>24446</v>
      </c>
      <c r="R1060" s="12" t="s">
        <v>25</v>
      </c>
      <c r="S1060" s="12" t="s">
        <v>25</v>
      </c>
      <c r="T1060" s="12" t="s">
        <v>25</v>
      </c>
    </row>
    <row r="1061" spans="1:20" x14ac:dyDescent="0.3">
      <c r="A1061" s="13">
        <v>43935.708333333336</v>
      </c>
      <c r="B1061" s="12" t="s">
        <v>22</v>
      </c>
      <c r="C1061" s="82">
        <v>3</v>
      </c>
      <c r="D1061" s="12" t="s">
        <v>50</v>
      </c>
      <c r="E1061" s="82">
        <v>4546679409</v>
      </c>
      <c r="F1061" s="82">
        <v>9190347404</v>
      </c>
      <c r="G1061" s="82">
        <v>12077</v>
      </c>
      <c r="H1061" s="82">
        <v>1122</v>
      </c>
      <c r="I1061" s="82">
        <v>13199</v>
      </c>
      <c r="J1061" s="82">
        <v>19164</v>
      </c>
      <c r="K1061" s="82">
        <v>32363</v>
      </c>
      <c r="L1061" s="82">
        <v>428</v>
      </c>
      <c r="M1061" s="82">
        <v>1012</v>
      </c>
      <c r="N1061" s="82">
        <v>17821</v>
      </c>
      <c r="O1061" s="82">
        <v>11142</v>
      </c>
      <c r="P1061" s="82">
        <v>61326</v>
      </c>
      <c r="Q1061" s="82">
        <v>214870</v>
      </c>
      <c r="R1061" s="12" t="s">
        <v>25</v>
      </c>
      <c r="S1061" s="12" t="s">
        <v>25</v>
      </c>
      <c r="T1061" s="12" t="s">
        <v>25</v>
      </c>
    </row>
    <row r="1062" spans="1:20" x14ac:dyDescent="0.3">
      <c r="A1062" s="13">
        <v>43935.708333333336</v>
      </c>
      <c r="B1062" s="12" t="s">
        <v>22</v>
      </c>
      <c r="C1062" s="82">
        <v>11</v>
      </c>
      <c r="D1062" s="12" t="s">
        <v>51</v>
      </c>
      <c r="E1062" s="82">
        <v>4361675973</v>
      </c>
      <c r="F1062" s="82">
        <v>135188753</v>
      </c>
      <c r="G1062" s="82">
        <v>937</v>
      </c>
      <c r="H1062" s="82">
        <v>106</v>
      </c>
      <c r="I1062" s="82">
        <v>1043</v>
      </c>
      <c r="J1062" s="82">
        <v>2052</v>
      </c>
      <c r="K1062" s="82">
        <v>3095</v>
      </c>
      <c r="L1062" s="82">
        <v>15</v>
      </c>
      <c r="M1062" s="82">
        <v>45</v>
      </c>
      <c r="N1062" s="82">
        <v>1603</v>
      </c>
      <c r="O1062" s="82">
        <v>728</v>
      </c>
      <c r="P1062" s="82">
        <v>5426</v>
      </c>
      <c r="Q1062" s="82">
        <v>29160</v>
      </c>
      <c r="R1062" s="12" t="s">
        <v>25</v>
      </c>
      <c r="S1062" s="12" t="s">
        <v>25</v>
      </c>
      <c r="T1062" s="12" t="s">
        <v>25</v>
      </c>
    </row>
    <row r="1063" spans="1:20" x14ac:dyDescent="0.3">
      <c r="A1063" s="13">
        <v>43935.708333333336</v>
      </c>
      <c r="B1063" s="12" t="s">
        <v>22</v>
      </c>
      <c r="C1063" s="82">
        <v>14</v>
      </c>
      <c r="D1063" s="12" t="s">
        <v>52</v>
      </c>
      <c r="E1063" s="82">
        <v>4155774754</v>
      </c>
      <c r="F1063" s="82">
        <v>1465916051</v>
      </c>
      <c r="G1063" s="82">
        <v>26</v>
      </c>
      <c r="H1063" s="82">
        <v>4</v>
      </c>
      <c r="I1063" s="82">
        <v>30</v>
      </c>
      <c r="J1063" s="82">
        <v>170</v>
      </c>
      <c r="K1063" s="82">
        <v>200</v>
      </c>
      <c r="L1063" s="82">
        <v>-2</v>
      </c>
      <c r="M1063" s="82">
        <v>0</v>
      </c>
      <c r="N1063" s="82">
        <v>42</v>
      </c>
      <c r="O1063" s="82">
        <v>15</v>
      </c>
      <c r="P1063" s="82">
        <v>257</v>
      </c>
      <c r="Q1063" s="82">
        <v>2522</v>
      </c>
      <c r="R1063" s="12" t="s">
        <v>25</v>
      </c>
      <c r="S1063" s="12" t="s">
        <v>25</v>
      </c>
      <c r="T1063" s="12" t="s">
        <v>25</v>
      </c>
    </row>
    <row r="1064" spans="1:20" x14ac:dyDescent="0.3">
      <c r="A1064" s="13">
        <v>43935.708333333336</v>
      </c>
      <c r="B1064" s="12" t="s">
        <v>22</v>
      </c>
      <c r="C1064" s="82">
        <v>1</v>
      </c>
      <c r="D1064" s="12" t="s">
        <v>53</v>
      </c>
      <c r="E1064" s="82">
        <v>450732745</v>
      </c>
      <c r="F1064" s="82">
        <v>7680687483</v>
      </c>
      <c r="G1064" s="82">
        <v>3395</v>
      </c>
      <c r="H1064" s="82">
        <v>367</v>
      </c>
      <c r="I1064" s="82">
        <v>3762</v>
      </c>
      <c r="J1064" s="82">
        <v>9293</v>
      </c>
      <c r="K1064" s="82">
        <v>13055</v>
      </c>
      <c r="L1064" s="82">
        <v>290</v>
      </c>
      <c r="M1064" s="82">
        <v>556</v>
      </c>
      <c r="N1064" s="82">
        <v>2708</v>
      </c>
      <c r="O1064" s="82">
        <v>1927</v>
      </c>
      <c r="P1064" s="82">
        <v>17690</v>
      </c>
      <c r="Q1064" s="82">
        <v>71678</v>
      </c>
      <c r="R1064" s="12" t="s">
        <v>25</v>
      </c>
      <c r="S1064" s="12" t="s">
        <v>25</v>
      </c>
      <c r="T1064" s="12" t="s">
        <v>25</v>
      </c>
    </row>
    <row r="1065" spans="1:20" x14ac:dyDescent="0.3">
      <c r="A1065" s="13">
        <v>43935.708333333336</v>
      </c>
      <c r="B1065" s="12" t="s">
        <v>22</v>
      </c>
      <c r="C1065" s="82">
        <v>16</v>
      </c>
      <c r="D1065" s="12" t="s">
        <v>54</v>
      </c>
      <c r="E1065" s="82">
        <v>4112559576</v>
      </c>
      <c r="F1065" s="82">
        <v>1686736689</v>
      </c>
      <c r="G1065" s="82">
        <v>611</v>
      </c>
      <c r="H1065" s="82">
        <v>62</v>
      </c>
      <c r="I1065" s="82">
        <v>673</v>
      </c>
      <c r="J1065" s="82">
        <v>1879</v>
      </c>
      <c r="K1065" s="82">
        <v>2552</v>
      </c>
      <c r="L1065" s="82">
        <v>40</v>
      </c>
      <c r="M1065" s="82">
        <v>53</v>
      </c>
      <c r="N1065" s="82">
        <v>288</v>
      </c>
      <c r="O1065" s="82">
        <v>278</v>
      </c>
      <c r="P1065" s="82">
        <v>3118</v>
      </c>
      <c r="Q1065" s="82">
        <v>33071</v>
      </c>
      <c r="R1065" s="12" t="s">
        <v>25</v>
      </c>
      <c r="S1065" s="12" t="s">
        <v>25</v>
      </c>
      <c r="T1065" s="12" t="s">
        <v>25</v>
      </c>
    </row>
    <row r="1066" spans="1:20" x14ac:dyDescent="0.3">
      <c r="A1066" s="13">
        <v>43935.708333333336</v>
      </c>
      <c r="B1066" s="12" t="s">
        <v>22</v>
      </c>
      <c r="C1066" s="82">
        <v>20</v>
      </c>
      <c r="D1066" s="12" t="s">
        <v>55</v>
      </c>
      <c r="E1066" s="82">
        <v>3921531192</v>
      </c>
      <c r="F1066" s="82">
        <v>9110616306</v>
      </c>
      <c r="G1066" s="82">
        <v>107</v>
      </c>
      <c r="H1066" s="82">
        <v>24</v>
      </c>
      <c r="I1066" s="82">
        <v>131</v>
      </c>
      <c r="J1066" s="82">
        <v>769</v>
      </c>
      <c r="K1066" s="82">
        <v>900</v>
      </c>
      <c r="L1066" s="82">
        <v>-14</v>
      </c>
      <c r="M1066" s="82">
        <v>10</v>
      </c>
      <c r="N1066" s="82">
        <v>158</v>
      </c>
      <c r="O1066" s="82">
        <v>80</v>
      </c>
      <c r="P1066" s="82">
        <v>1138</v>
      </c>
      <c r="Q1066" s="82">
        <v>11893</v>
      </c>
      <c r="R1066" s="12" t="s">
        <v>25</v>
      </c>
      <c r="S1066" s="12" t="s">
        <v>25</v>
      </c>
      <c r="T1066" s="12" t="s">
        <v>25</v>
      </c>
    </row>
    <row r="1067" spans="1:20" x14ac:dyDescent="0.3">
      <c r="A1067" s="13">
        <v>43935.708333333336</v>
      </c>
      <c r="B1067" s="12" t="s">
        <v>22</v>
      </c>
      <c r="C1067" s="82">
        <v>19</v>
      </c>
      <c r="D1067" s="12" t="s">
        <v>56</v>
      </c>
      <c r="E1067" s="82">
        <v>3811569725</v>
      </c>
      <c r="F1067" s="82">
        <v>133623567</v>
      </c>
      <c r="G1067" s="82">
        <v>552</v>
      </c>
      <c r="H1067" s="82">
        <v>53</v>
      </c>
      <c r="I1067" s="82">
        <v>605</v>
      </c>
      <c r="J1067" s="82">
        <v>1466</v>
      </c>
      <c r="K1067" s="82">
        <v>2071</v>
      </c>
      <c r="L1067" s="82">
        <v>21</v>
      </c>
      <c r="M1067" s="82">
        <v>43</v>
      </c>
      <c r="N1067" s="82">
        <v>255</v>
      </c>
      <c r="O1067" s="82">
        <v>175</v>
      </c>
      <c r="P1067" s="82">
        <v>2501</v>
      </c>
      <c r="Q1067" s="82">
        <v>37877</v>
      </c>
      <c r="R1067" s="12" t="s">
        <v>25</v>
      </c>
      <c r="S1067" s="12" t="s">
        <v>25</v>
      </c>
      <c r="T1067" s="12" t="s">
        <v>25</v>
      </c>
    </row>
    <row r="1068" spans="1:20" x14ac:dyDescent="0.3">
      <c r="A1068" s="13">
        <v>43935.708333333336</v>
      </c>
      <c r="B1068" s="12" t="s">
        <v>22</v>
      </c>
      <c r="C1068" s="82">
        <v>9</v>
      </c>
      <c r="D1068" s="12" t="s">
        <v>57</v>
      </c>
      <c r="E1068" s="82">
        <v>4376923077</v>
      </c>
      <c r="F1068" s="82">
        <v>1125588885</v>
      </c>
      <c r="G1068" s="82">
        <v>1002</v>
      </c>
      <c r="H1068" s="82">
        <v>225</v>
      </c>
      <c r="I1068" s="82">
        <v>1227</v>
      </c>
      <c r="J1068" s="82">
        <v>5125</v>
      </c>
      <c r="K1068" s="82">
        <v>6352</v>
      </c>
      <c r="L1068" s="82">
        <v>95</v>
      </c>
      <c r="M1068" s="82">
        <v>137</v>
      </c>
      <c r="N1068" s="82">
        <v>637</v>
      </c>
      <c r="O1068" s="82">
        <v>538</v>
      </c>
      <c r="P1068" s="82">
        <v>7527</v>
      </c>
      <c r="Q1068" s="82">
        <v>82269</v>
      </c>
      <c r="R1068" s="12" t="s">
        <v>25</v>
      </c>
      <c r="S1068" s="12" t="s">
        <v>25</v>
      </c>
      <c r="T1068" s="12" t="s">
        <v>25</v>
      </c>
    </row>
    <row r="1069" spans="1:20" x14ac:dyDescent="0.3">
      <c r="A1069" s="13">
        <v>43935.708333333336</v>
      </c>
      <c r="B1069" s="12" t="s">
        <v>22</v>
      </c>
      <c r="C1069" s="82">
        <v>4</v>
      </c>
      <c r="D1069" s="12" t="s">
        <v>58</v>
      </c>
      <c r="E1069" s="82">
        <v>4606893511</v>
      </c>
      <c r="F1069" s="82">
        <v>1112123097</v>
      </c>
      <c r="G1069" s="82">
        <v>325</v>
      </c>
      <c r="H1069" s="82">
        <v>54</v>
      </c>
      <c r="I1069" s="82">
        <v>379</v>
      </c>
      <c r="J1069" s="82">
        <v>1703</v>
      </c>
      <c r="K1069" s="82">
        <v>2082</v>
      </c>
      <c r="L1069" s="82">
        <v>2</v>
      </c>
      <c r="M1069" s="82">
        <v>15</v>
      </c>
      <c r="N1069" s="82">
        <v>749</v>
      </c>
      <c r="O1069" s="82">
        <v>310</v>
      </c>
      <c r="P1069" s="82">
        <v>3141</v>
      </c>
      <c r="Q1069" s="82">
        <v>18774</v>
      </c>
      <c r="R1069" s="12" t="s">
        <v>25</v>
      </c>
      <c r="S1069" s="12" t="s">
        <v>25</v>
      </c>
      <c r="T1069" s="12" t="s">
        <v>25</v>
      </c>
    </row>
    <row r="1070" spans="1:20" x14ac:dyDescent="0.3">
      <c r="A1070" s="13">
        <v>43935.708333333336</v>
      </c>
      <c r="B1070" s="12" t="s">
        <v>22</v>
      </c>
      <c r="C1070" s="82">
        <v>10</v>
      </c>
      <c r="D1070" s="12" t="s">
        <v>59</v>
      </c>
      <c r="E1070" s="82">
        <v>4310675841</v>
      </c>
      <c r="F1070" s="82">
        <v>1238824698</v>
      </c>
      <c r="G1070" s="82">
        <v>127</v>
      </c>
      <c r="H1070" s="82">
        <v>37</v>
      </c>
      <c r="I1070" s="82">
        <v>164</v>
      </c>
      <c r="J1070" s="82">
        <v>458</v>
      </c>
      <c r="K1070" s="82">
        <v>622</v>
      </c>
      <c r="L1070" s="82">
        <v>-3</v>
      </c>
      <c r="M1070" s="82">
        <v>1</v>
      </c>
      <c r="N1070" s="82">
        <v>646</v>
      </c>
      <c r="O1070" s="82">
        <v>53</v>
      </c>
      <c r="P1070" s="82">
        <v>1321</v>
      </c>
      <c r="Q1070" s="82">
        <v>18956</v>
      </c>
      <c r="R1070" s="12" t="s">
        <v>25</v>
      </c>
      <c r="S1070" s="12" t="s">
        <v>25</v>
      </c>
      <c r="T1070" s="12" t="s">
        <v>25</v>
      </c>
    </row>
    <row r="1071" spans="1:20" x14ac:dyDescent="0.3">
      <c r="A1071" s="13">
        <v>43935.708333333336</v>
      </c>
      <c r="B1071" s="12" t="s">
        <v>22</v>
      </c>
      <c r="C1071" s="82">
        <v>2</v>
      </c>
      <c r="D1071" s="12" t="s">
        <v>60</v>
      </c>
      <c r="E1071" s="82">
        <v>4573750286</v>
      </c>
      <c r="F1071" s="82">
        <v>7320149366</v>
      </c>
      <c r="G1071" s="82">
        <v>112</v>
      </c>
      <c r="H1071" s="82">
        <v>14</v>
      </c>
      <c r="I1071" s="82">
        <v>126</v>
      </c>
      <c r="J1071" s="82">
        <v>433</v>
      </c>
      <c r="K1071" s="82">
        <v>559</v>
      </c>
      <c r="L1071" s="82">
        <v>-23</v>
      </c>
      <c r="M1071" s="82">
        <v>20</v>
      </c>
      <c r="N1071" s="82">
        <v>270</v>
      </c>
      <c r="O1071" s="82">
        <v>118</v>
      </c>
      <c r="P1071" s="82">
        <v>947</v>
      </c>
      <c r="Q1071" s="82">
        <v>3726</v>
      </c>
      <c r="R1071" s="12" t="s">
        <v>25</v>
      </c>
      <c r="S1071" s="12" t="s">
        <v>25</v>
      </c>
      <c r="T1071" s="12" t="s">
        <v>25</v>
      </c>
    </row>
    <row r="1072" spans="1:20" x14ac:dyDescent="0.3">
      <c r="A1072" s="13">
        <v>43935.708333333336</v>
      </c>
      <c r="B1072" s="12" t="s">
        <v>22</v>
      </c>
      <c r="C1072" s="82">
        <v>5</v>
      </c>
      <c r="D1072" s="12" t="s">
        <v>61</v>
      </c>
      <c r="E1072" s="82">
        <v>4543490485</v>
      </c>
      <c r="F1072" s="82">
        <v>1233845213</v>
      </c>
      <c r="G1072" s="82">
        <v>1427</v>
      </c>
      <c r="H1072" s="82">
        <v>233</v>
      </c>
      <c r="I1072" s="82">
        <v>1660</v>
      </c>
      <c r="J1072" s="82">
        <v>9076</v>
      </c>
      <c r="K1072" s="82">
        <v>10736</v>
      </c>
      <c r="L1072" s="82">
        <v>-30</v>
      </c>
      <c r="M1072" s="82">
        <v>181</v>
      </c>
      <c r="N1072" s="82">
        <v>2790</v>
      </c>
      <c r="O1072" s="82">
        <v>906</v>
      </c>
      <c r="P1072" s="82">
        <v>14432</v>
      </c>
      <c r="Q1072" s="82">
        <v>208878</v>
      </c>
      <c r="R1072" s="12" t="s">
        <v>25</v>
      </c>
      <c r="S1072" s="12" t="s">
        <v>25</v>
      </c>
      <c r="T1072" s="12" t="s">
        <v>25</v>
      </c>
    </row>
    <row r="1073" spans="1:20" x14ac:dyDescent="0.3">
      <c r="A1073" s="13">
        <v>43936.708333333336</v>
      </c>
      <c r="B1073" s="12" t="s">
        <v>22</v>
      </c>
      <c r="C1073" s="82">
        <v>13</v>
      </c>
      <c r="D1073" s="12" t="s">
        <v>42</v>
      </c>
      <c r="E1073" s="82">
        <v>4235122196</v>
      </c>
      <c r="F1073" s="82">
        <v>1339843823</v>
      </c>
      <c r="G1073" s="82">
        <v>341</v>
      </c>
      <c r="H1073" s="82">
        <v>44</v>
      </c>
      <c r="I1073" s="82">
        <v>385</v>
      </c>
      <c r="J1073" s="82">
        <v>1425</v>
      </c>
      <c r="K1073" s="82">
        <v>1810</v>
      </c>
      <c r="L1073" s="82">
        <v>10</v>
      </c>
      <c r="M1073" s="82">
        <v>29</v>
      </c>
      <c r="N1073" s="82">
        <v>224</v>
      </c>
      <c r="O1073" s="82">
        <v>240</v>
      </c>
      <c r="P1073" s="82">
        <v>2274</v>
      </c>
      <c r="Q1073" s="82">
        <v>22500</v>
      </c>
      <c r="R1073" s="12" t="s">
        <v>25</v>
      </c>
      <c r="S1073" s="12" t="s">
        <v>25</v>
      </c>
      <c r="T1073" s="12" t="s">
        <v>25</v>
      </c>
    </row>
    <row r="1074" spans="1:20" x14ac:dyDescent="0.3">
      <c r="A1074" s="13">
        <v>43936.708333333336</v>
      </c>
      <c r="B1074" s="12" t="s">
        <v>22</v>
      </c>
      <c r="C1074" s="82">
        <v>17</v>
      </c>
      <c r="D1074" s="12" t="s">
        <v>43</v>
      </c>
      <c r="E1074" s="82">
        <v>4063947052</v>
      </c>
      <c r="F1074" s="82">
        <v>1580514834</v>
      </c>
      <c r="G1074" s="82">
        <v>60</v>
      </c>
      <c r="H1074" s="82">
        <v>12</v>
      </c>
      <c r="I1074" s="82">
        <v>72</v>
      </c>
      <c r="J1074" s="82">
        <v>189</v>
      </c>
      <c r="K1074" s="82">
        <v>261</v>
      </c>
      <c r="L1074" s="82">
        <v>-4</v>
      </c>
      <c r="M1074" s="82">
        <v>1</v>
      </c>
      <c r="N1074" s="82">
        <v>38</v>
      </c>
      <c r="O1074" s="82">
        <v>21</v>
      </c>
      <c r="P1074" s="82">
        <v>320</v>
      </c>
      <c r="Q1074" s="82">
        <v>5037</v>
      </c>
      <c r="R1074" s="12" t="s">
        <v>25</v>
      </c>
      <c r="S1074" s="12" t="s">
        <v>25</v>
      </c>
      <c r="T1074" s="12" t="s">
        <v>25</v>
      </c>
    </row>
    <row r="1075" spans="1:20" x14ac:dyDescent="0.3">
      <c r="A1075" s="13">
        <v>43936.708333333336</v>
      </c>
      <c r="B1075" s="12" t="s">
        <v>22</v>
      </c>
      <c r="C1075" s="82">
        <v>4</v>
      </c>
      <c r="D1075" s="12" t="s">
        <v>44</v>
      </c>
      <c r="E1075" s="82">
        <v>4649933453</v>
      </c>
      <c r="F1075" s="82">
        <v>1135662422</v>
      </c>
      <c r="G1075" s="82">
        <v>166</v>
      </c>
      <c r="H1075" s="82">
        <v>32</v>
      </c>
      <c r="I1075" s="82">
        <v>198</v>
      </c>
      <c r="J1075" s="82">
        <v>1378</v>
      </c>
      <c r="K1075" s="82">
        <v>1576</v>
      </c>
      <c r="L1075" s="82">
        <v>12</v>
      </c>
      <c r="M1075" s="82">
        <v>40</v>
      </c>
      <c r="N1075" s="82">
        <v>425</v>
      </c>
      <c r="O1075" s="82">
        <v>223</v>
      </c>
      <c r="P1075" s="82">
        <v>2224</v>
      </c>
      <c r="Q1075" s="82">
        <v>25370</v>
      </c>
      <c r="R1075" s="12" t="s">
        <v>25</v>
      </c>
      <c r="S1075" s="12" t="s">
        <v>25</v>
      </c>
      <c r="T1075" s="12" t="s">
        <v>25</v>
      </c>
    </row>
    <row r="1076" spans="1:20" x14ac:dyDescent="0.3">
      <c r="A1076" s="13">
        <v>43936.708333333336</v>
      </c>
      <c r="B1076" s="12" t="s">
        <v>22</v>
      </c>
      <c r="C1076" s="82">
        <v>18</v>
      </c>
      <c r="D1076" s="12" t="s">
        <v>45</v>
      </c>
      <c r="E1076" s="82">
        <v>3890597598</v>
      </c>
      <c r="F1076" s="82">
        <v>1659440194</v>
      </c>
      <c r="G1076" s="82">
        <v>156</v>
      </c>
      <c r="H1076" s="82">
        <v>11</v>
      </c>
      <c r="I1076" s="82">
        <v>167</v>
      </c>
      <c r="J1076" s="82">
        <v>652</v>
      </c>
      <c r="K1076" s="82">
        <v>819</v>
      </c>
      <c r="L1076" s="82">
        <v>3</v>
      </c>
      <c r="M1076" s="82">
        <v>15</v>
      </c>
      <c r="N1076" s="82">
        <v>81</v>
      </c>
      <c r="O1076" s="82">
        <v>71</v>
      </c>
      <c r="P1076" s="82">
        <v>971</v>
      </c>
      <c r="Q1076" s="82">
        <v>19662</v>
      </c>
      <c r="R1076" s="12" t="s">
        <v>25</v>
      </c>
      <c r="S1076" s="12" t="s">
        <v>25</v>
      </c>
      <c r="T1076" s="12" t="s">
        <v>25</v>
      </c>
    </row>
    <row r="1077" spans="1:20" x14ac:dyDescent="0.3">
      <c r="A1077" s="13">
        <v>43936.708333333336</v>
      </c>
      <c r="B1077" s="12" t="s">
        <v>22</v>
      </c>
      <c r="C1077" s="82">
        <v>15</v>
      </c>
      <c r="D1077" s="12" t="s">
        <v>46</v>
      </c>
      <c r="E1077" s="82">
        <v>4083956555</v>
      </c>
      <c r="F1077" s="82">
        <v>1425084984</v>
      </c>
      <c r="G1077" s="82">
        <v>607</v>
      </c>
      <c r="H1077" s="82">
        <v>86</v>
      </c>
      <c r="I1077" s="82">
        <v>693</v>
      </c>
      <c r="J1077" s="82">
        <v>2394</v>
      </c>
      <c r="K1077" s="82">
        <v>3087</v>
      </c>
      <c r="L1077" s="82">
        <v>-7</v>
      </c>
      <c r="M1077" s="82">
        <v>38</v>
      </c>
      <c r="N1077" s="82">
        <v>442</v>
      </c>
      <c r="O1077" s="82">
        <v>278</v>
      </c>
      <c r="P1077" s="82">
        <v>3807</v>
      </c>
      <c r="Q1077" s="82">
        <v>39534</v>
      </c>
      <c r="R1077" s="12" t="s">
        <v>25</v>
      </c>
      <c r="S1077" s="12" t="s">
        <v>25</v>
      </c>
      <c r="T1077" s="12" t="s">
        <v>25</v>
      </c>
    </row>
    <row r="1078" spans="1:20" x14ac:dyDescent="0.3">
      <c r="A1078" s="13">
        <v>43936.708333333336</v>
      </c>
      <c r="B1078" s="12" t="s">
        <v>22</v>
      </c>
      <c r="C1078" s="82">
        <v>8</v>
      </c>
      <c r="D1078" s="12" t="s">
        <v>95</v>
      </c>
      <c r="E1078" s="82">
        <v>4449436681</v>
      </c>
      <c r="F1078" s="82">
        <v>113417208</v>
      </c>
      <c r="G1078" s="82">
        <v>3388</v>
      </c>
      <c r="H1078" s="82">
        <v>325</v>
      </c>
      <c r="I1078" s="82">
        <v>3713</v>
      </c>
      <c r="J1078" s="82">
        <v>9864</v>
      </c>
      <c r="K1078" s="82">
        <v>13577</v>
      </c>
      <c r="L1078" s="82">
        <v>-201</v>
      </c>
      <c r="M1078" s="82">
        <v>277</v>
      </c>
      <c r="N1078" s="82">
        <v>4664</v>
      </c>
      <c r="O1078" s="82">
        <v>2788</v>
      </c>
      <c r="P1078" s="82">
        <v>21029</v>
      </c>
      <c r="Q1078" s="82">
        <v>106149</v>
      </c>
      <c r="R1078" s="12" t="s">
        <v>25</v>
      </c>
      <c r="S1078" s="12" t="s">
        <v>25</v>
      </c>
      <c r="T1078" s="12" t="s">
        <v>25</v>
      </c>
    </row>
    <row r="1079" spans="1:20" x14ac:dyDescent="0.3">
      <c r="A1079" s="13">
        <v>43936.708333333336</v>
      </c>
      <c r="B1079" s="12" t="s">
        <v>22</v>
      </c>
      <c r="C1079" s="82">
        <v>6</v>
      </c>
      <c r="D1079" s="12" t="s">
        <v>47</v>
      </c>
      <c r="E1079" s="82">
        <v>456494354</v>
      </c>
      <c r="F1079" s="82">
        <v>1376813649</v>
      </c>
      <c r="G1079" s="82">
        <v>163</v>
      </c>
      <c r="H1079" s="82">
        <v>24</v>
      </c>
      <c r="I1079" s="82">
        <v>187</v>
      </c>
      <c r="J1079" s="82">
        <v>1207</v>
      </c>
      <c r="K1079" s="82">
        <v>1394</v>
      </c>
      <c r="L1079" s="82">
        <v>495</v>
      </c>
      <c r="M1079" s="82">
        <v>24</v>
      </c>
      <c r="N1079" s="82">
        <v>938</v>
      </c>
      <c r="O1079" s="82">
        <v>212</v>
      </c>
      <c r="P1079" s="82">
        <v>2544</v>
      </c>
      <c r="Q1079" s="82">
        <v>33800</v>
      </c>
      <c r="R1079" s="12" t="s">
        <v>25</v>
      </c>
      <c r="S1079" s="12" t="s">
        <v>188</v>
      </c>
      <c r="T1079" s="12" t="s">
        <v>189</v>
      </c>
    </row>
    <row r="1080" spans="1:20" x14ac:dyDescent="0.3">
      <c r="A1080" s="13">
        <v>43936.708333333336</v>
      </c>
      <c r="B1080" s="12" t="s">
        <v>22</v>
      </c>
      <c r="C1080" s="82">
        <v>12</v>
      </c>
      <c r="D1080" s="12" t="s">
        <v>48</v>
      </c>
      <c r="E1080" s="82">
        <v>4189277044</v>
      </c>
      <c r="F1080" s="82">
        <v>1248366722</v>
      </c>
      <c r="G1080" s="82">
        <v>1342</v>
      </c>
      <c r="H1080" s="82">
        <v>196</v>
      </c>
      <c r="I1080" s="82">
        <v>1538</v>
      </c>
      <c r="J1080" s="82">
        <v>2509</v>
      </c>
      <c r="K1080" s="82">
        <v>4047</v>
      </c>
      <c r="L1080" s="82">
        <v>25</v>
      </c>
      <c r="M1080" s="82">
        <v>121</v>
      </c>
      <c r="N1080" s="82">
        <v>874</v>
      </c>
      <c r="O1080" s="82">
        <v>311</v>
      </c>
      <c r="P1080" s="82">
        <v>5232</v>
      </c>
      <c r="Q1080" s="82">
        <v>75584</v>
      </c>
      <c r="R1080" s="12" t="s">
        <v>25</v>
      </c>
      <c r="S1080" s="12" t="s">
        <v>25</v>
      </c>
      <c r="T1080" s="12" t="s">
        <v>25</v>
      </c>
    </row>
    <row r="1081" spans="1:20" x14ac:dyDescent="0.3">
      <c r="A1081" s="13">
        <v>43936.708333333336</v>
      </c>
      <c r="B1081" s="12" t="s">
        <v>22</v>
      </c>
      <c r="C1081" s="82">
        <v>7</v>
      </c>
      <c r="D1081" s="12" t="s">
        <v>49</v>
      </c>
      <c r="E1081" s="82">
        <v>4441149315</v>
      </c>
      <c r="F1081" s="82">
        <v>89326992</v>
      </c>
      <c r="G1081" s="82">
        <v>959</v>
      </c>
      <c r="H1081" s="82">
        <v>120</v>
      </c>
      <c r="I1081" s="82">
        <v>1079</v>
      </c>
      <c r="J1081" s="82">
        <v>2385</v>
      </c>
      <c r="K1081" s="82">
        <v>3464</v>
      </c>
      <c r="L1081" s="82">
        <v>-2</v>
      </c>
      <c r="M1081" s="82">
        <v>128</v>
      </c>
      <c r="N1081" s="82">
        <v>1665</v>
      </c>
      <c r="O1081" s="82">
        <v>807</v>
      </c>
      <c r="P1081" s="82">
        <v>5936</v>
      </c>
      <c r="Q1081" s="82">
        <v>25793</v>
      </c>
      <c r="R1081" s="12" t="s">
        <v>25</v>
      </c>
      <c r="S1081" s="12" t="s">
        <v>25</v>
      </c>
      <c r="T1081" s="12" t="s">
        <v>25</v>
      </c>
    </row>
    <row r="1082" spans="1:20" x14ac:dyDescent="0.3">
      <c r="A1082" s="13">
        <v>43936.708333333336</v>
      </c>
      <c r="B1082" s="12" t="s">
        <v>22</v>
      </c>
      <c r="C1082" s="82">
        <v>3</v>
      </c>
      <c r="D1082" s="12" t="s">
        <v>50</v>
      </c>
      <c r="E1082" s="82">
        <v>4546679409</v>
      </c>
      <c r="F1082" s="82">
        <v>9190347404</v>
      </c>
      <c r="G1082" s="82">
        <v>12043</v>
      </c>
      <c r="H1082" s="82">
        <v>1074</v>
      </c>
      <c r="I1082" s="82">
        <v>13117</v>
      </c>
      <c r="J1082" s="82">
        <v>19804</v>
      </c>
      <c r="K1082" s="82">
        <v>32921</v>
      </c>
      <c r="L1082" s="82">
        <v>558</v>
      </c>
      <c r="M1082" s="82">
        <v>827</v>
      </c>
      <c r="N1082" s="82">
        <v>17855</v>
      </c>
      <c r="O1082" s="82">
        <v>11377</v>
      </c>
      <c r="P1082" s="82">
        <v>62153</v>
      </c>
      <c r="Q1082" s="82">
        <v>221968</v>
      </c>
      <c r="R1082" s="12" t="s">
        <v>25</v>
      </c>
      <c r="S1082" s="12" t="s">
        <v>25</v>
      </c>
      <c r="T1082" s="12" t="s">
        <v>25</v>
      </c>
    </row>
    <row r="1083" spans="1:20" x14ac:dyDescent="0.3">
      <c r="A1083" s="13">
        <v>43936.708333333336</v>
      </c>
      <c r="B1083" s="12" t="s">
        <v>22</v>
      </c>
      <c r="C1083" s="82">
        <v>11</v>
      </c>
      <c r="D1083" s="12" t="s">
        <v>51</v>
      </c>
      <c r="E1083" s="82">
        <v>4361675973</v>
      </c>
      <c r="F1083" s="82">
        <v>135188753</v>
      </c>
      <c r="G1083" s="82">
        <v>888</v>
      </c>
      <c r="H1083" s="82">
        <v>106</v>
      </c>
      <c r="I1083" s="82">
        <v>994</v>
      </c>
      <c r="J1083" s="82">
        <v>2103</v>
      </c>
      <c r="K1083" s="82">
        <v>3097</v>
      </c>
      <c r="L1083" s="82">
        <v>2</v>
      </c>
      <c r="M1083" s="82">
        <v>77</v>
      </c>
      <c r="N1083" s="82">
        <v>1660</v>
      </c>
      <c r="O1083" s="82">
        <v>746</v>
      </c>
      <c r="P1083" s="82">
        <v>5503</v>
      </c>
      <c r="Q1083" s="82">
        <v>30329</v>
      </c>
      <c r="R1083" s="12" t="s">
        <v>25</v>
      </c>
      <c r="S1083" s="12" t="s">
        <v>25</v>
      </c>
      <c r="T1083" s="12" t="s">
        <v>25</v>
      </c>
    </row>
    <row r="1084" spans="1:20" x14ac:dyDescent="0.3">
      <c r="A1084" s="13">
        <v>43936.708333333336</v>
      </c>
      <c r="B1084" s="12" t="s">
        <v>22</v>
      </c>
      <c r="C1084" s="82">
        <v>14</v>
      </c>
      <c r="D1084" s="12" t="s">
        <v>52</v>
      </c>
      <c r="E1084" s="82">
        <v>4155774754</v>
      </c>
      <c r="F1084" s="82">
        <v>1465916051</v>
      </c>
      <c r="G1084" s="82">
        <v>27</v>
      </c>
      <c r="H1084" s="82">
        <v>4</v>
      </c>
      <c r="I1084" s="82">
        <v>31</v>
      </c>
      <c r="J1084" s="82">
        <v>175</v>
      </c>
      <c r="K1084" s="82">
        <v>206</v>
      </c>
      <c r="L1084" s="82">
        <v>6</v>
      </c>
      <c r="M1084" s="82">
        <v>6</v>
      </c>
      <c r="N1084" s="82">
        <v>42</v>
      </c>
      <c r="O1084" s="82">
        <v>15</v>
      </c>
      <c r="P1084" s="82">
        <v>263</v>
      </c>
      <c r="Q1084" s="82">
        <v>2855</v>
      </c>
      <c r="R1084" s="12" t="s">
        <v>25</v>
      </c>
      <c r="S1084" s="12" t="s">
        <v>25</v>
      </c>
      <c r="T1084" s="12" t="s">
        <v>25</v>
      </c>
    </row>
    <row r="1085" spans="1:20" x14ac:dyDescent="0.3">
      <c r="A1085" s="13">
        <v>43936.708333333336</v>
      </c>
      <c r="B1085" s="12" t="s">
        <v>22</v>
      </c>
      <c r="C1085" s="82">
        <v>1</v>
      </c>
      <c r="D1085" s="12" t="s">
        <v>53</v>
      </c>
      <c r="E1085" s="82">
        <v>450732745</v>
      </c>
      <c r="F1085" s="82">
        <v>7680687483</v>
      </c>
      <c r="G1085" s="82">
        <v>3338</v>
      </c>
      <c r="H1085" s="82">
        <v>366</v>
      </c>
      <c r="I1085" s="82">
        <v>3704</v>
      </c>
      <c r="J1085" s="82">
        <v>9491</v>
      </c>
      <c r="K1085" s="82">
        <v>13195</v>
      </c>
      <c r="L1085" s="82">
        <v>140</v>
      </c>
      <c r="M1085" s="82">
        <v>539</v>
      </c>
      <c r="N1085" s="82">
        <v>3019</v>
      </c>
      <c r="O1085" s="82">
        <v>2015</v>
      </c>
      <c r="P1085" s="82">
        <v>18229</v>
      </c>
      <c r="Q1085" s="82">
        <v>75664</v>
      </c>
      <c r="R1085" s="12" t="s">
        <v>25</v>
      </c>
      <c r="S1085" s="12" t="s">
        <v>25</v>
      </c>
      <c r="T1085" s="12" t="s">
        <v>25</v>
      </c>
    </row>
    <row r="1086" spans="1:20" x14ac:dyDescent="0.3">
      <c r="A1086" s="13">
        <v>43936.708333333336</v>
      </c>
      <c r="B1086" s="12" t="s">
        <v>22</v>
      </c>
      <c r="C1086" s="82">
        <v>16</v>
      </c>
      <c r="D1086" s="12" t="s">
        <v>54</v>
      </c>
      <c r="E1086" s="82">
        <v>4112559576</v>
      </c>
      <c r="F1086" s="82">
        <v>1686736689</v>
      </c>
      <c r="G1086" s="82">
        <v>592</v>
      </c>
      <c r="H1086" s="82">
        <v>73</v>
      </c>
      <c r="I1086" s="82">
        <v>665</v>
      </c>
      <c r="J1086" s="82">
        <v>1908</v>
      </c>
      <c r="K1086" s="82">
        <v>2573</v>
      </c>
      <c r="L1086" s="82">
        <v>21</v>
      </c>
      <c r="M1086" s="82">
        <v>66</v>
      </c>
      <c r="N1086" s="82">
        <v>323</v>
      </c>
      <c r="O1086" s="82">
        <v>288</v>
      </c>
      <c r="P1086" s="82">
        <v>3184</v>
      </c>
      <c r="Q1086" s="82">
        <v>34518</v>
      </c>
      <c r="R1086" s="12" t="s">
        <v>25</v>
      </c>
      <c r="S1086" s="12" t="s">
        <v>25</v>
      </c>
      <c r="T1086" s="12" t="s">
        <v>25</v>
      </c>
    </row>
    <row r="1087" spans="1:20" x14ac:dyDescent="0.3">
      <c r="A1087" s="13">
        <v>43936.708333333336</v>
      </c>
      <c r="B1087" s="12" t="s">
        <v>22</v>
      </c>
      <c r="C1087" s="82">
        <v>20</v>
      </c>
      <c r="D1087" s="12" t="s">
        <v>55</v>
      </c>
      <c r="E1087" s="82">
        <v>3921531192</v>
      </c>
      <c r="F1087" s="82">
        <v>9110616306</v>
      </c>
      <c r="G1087" s="82">
        <v>107</v>
      </c>
      <c r="H1087" s="82">
        <v>26</v>
      </c>
      <c r="I1087" s="82">
        <v>133</v>
      </c>
      <c r="J1087" s="82">
        <v>737</v>
      </c>
      <c r="K1087" s="82">
        <v>870</v>
      </c>
      <c r="L1087" s="82">
        <v>-30</v>
      </c>
      <c r="M1087" s="82">
        <v>23</v>
      </c>
      <c r="N1087" s="82">
        <v>208</v>
      </c>
      <c r="O1087" s="82">
        <v>83</v>
      </c>
      <c r="P1087" s="82">
        <v>1161</v>
      </c>
      <c r="Q1087" s="82">
        <v>12395</v>
      </c>
      <c r="R1087" s="12" t="s">
        <v>25</v>
      </c>
      <c r="S1087" s="12" t="s">
        <v>25</v>
      </c>
      <c r="T1087" s="12" t="s">
        <v>25</v>
      </c>
    </row>
    <row r="1088" spans="1:20" x14ac:dyDescent="0.3">
      <c r="A1088" s="13">
        <v>43936.708333333336</v>
      </c>
      <c r="B1088" s="12" t="s">
        <v>22</v>
      </c>
      <c r="C1088" s="82">
        <v>19</v>
      </c>
      <c r="D1088" s="12" t="s">
        <v>56</v>
      </c>
      <c r="E1088" s="82">
        <v>3811569725</v>
      </c>
      <c r="F1088" s="82">
        <v>133623567</v>
      </c>
      <c r="G1088" s="82">
        <v>541</v>
      </c>
      <c r="H1088" s="82">
        <v>49</v>
      </c>
      <c r="I1088" s="82">
        <v>590</v>
      </c>
      <c r="J1088" s="82">
        <v>1491</v>
      </c>
      <c r="K1088" s="82">
        <v>2081</v>
      </c>
      <c r="L1088" s="82">
        <v>10</v>
      </c>
      <c r="M1088" s="82">
        <v>34</v>
      </c>
      <c r="N1088" s="82">
        <v>273</v>
      </c>
      <c r="O1088" s="82">
        <v>181</v>
      </c>
      <c r="P1088" s="82">
        <v>2535</v>
      </c>
      <c r="Q1088" s="82">
        <v>39867</v>
      </c>
      <c r="R1088" s="12" t="s">
        <v>25</v>
      </c>
      <c r="S1088" s="12" t="s">
        <v>25</v>
      </c>
      <c r="T1088" s="12" t="s">
        <v>25</v>
      </c>
    </row>
    <row r="1089" spans="1:20" x14ac:dyDescent="0.3">
      <c r="A1089" s="13">
        <v>43936.708333333336</v>
      </c>
      <c r="B1089" s="12" t="s">
        <v>22</v>
      </c>
      <c r="C1089" s="82">
        <v>9</v>
      </c>
      <c r="D1089" s="12" t="s">
        <v>57</v>
      </c>
      <c r="E1089" s="82">
        <v>4376923077</v>
      </c>
      <c r="F1089" s="82">
        <v>1125588885</v>
      </c>
      <c r="G1089" s="82">
        <v>977</v>
      </c>
      <c r="H1089" s="82">
        <v>216</v>
      </c>
      <c r="I1089" s="82">
        <v>1193</v>
      </c>
      <c r="J1089" s="82">
        <v>5224</v>
      </c>
      <c r="K1089" s="82">
        <v>6417</v>
      </c>
      <c r="L1089" s="82">
        <v>65</v>
      </c>
      <c r="M1089" s="82">
        <v>139</v>
      </c>
      <c r="N1089" s="82">
        <v>693</v>
      </c>
      <c r="O1089" s="82">
        <v>556</v>
      </c>
      <c r="P1089" s="82">
        <v>7666</v>
      </c>
      <c r="Q1089" s="82">
        <v>86348</v>
      </c>
      <c r="R1089" s="12" t="s">
        <v>25</v>
      </c>
      <c r="S1089" s="12" t="s">
        <v>25</v>
      </c>
      <c r="T1089" s="12" t="s">
        <v>25</v>
      </c>
    </row>
    <row r="1090" spans="1:20" x14ac:dyDescent="0.3">
      <c r="A1090" s="13">
        <v>43936.708333333336</v>
      </c>
      <c r="B1090" s="12" t="s">
        <v>22</v>
      </c>
      <c r="C1090" s="82">
        <v>4</v>
      </c>
      <c r="D1090" s="12" t="s">
        <v>58</v>
      </c>
      <c r="E1090" s="82">
        <v>4606893511</v>
      </c>
      <c r="F1090" s="82">
        <v>1112123097</v>
      </c>
      <c r="G1090" s="82">
        <v>312</v>
      </c>
      <c r="H1090" s="82">
        <v>48</v>
      </c>
      <c r="I1090" s="82">
        <v>360</v>
      </c>
      <c r="J1090" s="82">
        <v>1744</v>
      </c>
      <c r="K1090" s="82">
        <v>2104</v>
      </c>
      <c r="L1090" s="82">
        <v>22</v>
      </c>
      <c r="M1090" s="82">
        <v>79</v>
      </c>
      <c r="N1090" s="82">
        <v>798</v>
      </c>
      <c r="O1090" s="82">
        <v>318</v>
      </c>
      <c r="P1090" s="82">
        <v>3220</v>
      </c>
      <c r="Q1090" s="82">
        <v>19535</v>
      </c>
      <c r="R1090" s="12" t="s">
        <v>25</v>
      </c>
      <c r="S1090" s="12" t="s">
        <v>25</v>
      </c>
      <c r="T1090" s="12" t="s">
        <v>25</v>
      </c>
    </row>
    <row r="1091" spans="1:20" x14ac:dyDescent="0.3">
      <c r="A1091" s="13">
        <v>43936.708333333336</v>
      </c>
      <c r="B1091" s="12" t="s">
        <v>22</v>
      </c>
      <c r="C1091" s="82">
        <v>10</v>
      </c>
      <c r="D1091" s="12" t="s">
        <v>59</v>
      </c>
      <c r="E1091" s="82">
        <v>4310675841</v>
      </c>
      <c r="F1091" s="82">
        <v>1238824698</v>
      </c>
      <c r="G1091" s="82">
        <v>122</v>
      </c>
      <c r="H1091" s="82">
        <v>37</v>
      </c>
      <c r="I1091" s="82">
        <v>159</v>
      </c>
      <c r="J1091" s="82">
        <v>423</v>
      </c>
      <c r="K1091" s="82">
        <v>582</v>
      </c>
      <c r="L1091" s="82">
        <v>-40</v>
      </c>
      <c r="M1091" s="82">
        <v>1</v>
      </c>
      <c r="N1091" s="82">
        <v>686</v>
      </c>
      <c r="O1091" s="82">
        <v>54</v>
      </c>
      <c r="P1091" s="82">
        <v>1322</v>
      </c>
      <c r="Q1091" s="82">
        <v>20258</v>
      </c>
      <c r="R1091" s="12" t="s">
        <v>25</v>
      </c>
      <c r="S1091" s="12" t="s">
        <v>25</v>
      </c>
      <c r="T1091" s="12" t="s">
        <v>25</v>
      </c>
    </row>
    <row r="1092" spans="1:20" x14ac:dyDescent="0.3">
      <c r="A1092" s="13">
        <v>43936.708333333336</v>
      </c>
      <c r="B1092" s="12" t="s">
        <v>22</v>
      </c>
      <c r="C1092" s="82">
        <v>2</v>
      </c>
      <c r="D1092" s="12" t="s">
        <v>60</v>
      </c>
      <c r="E1092" s="82">
        <v>4573750286</v>
      </c>
      <c r="F1092" s="82">
        <v>7320149366</v>
      </c>
      <c r="G1092" s="82">
        <v>112</v>
      </c>
      <c r="H1092" s="82">
        <v>11</v>
      </c>
      <c r="I1092" s="82">
        <v>123</v>
      </c>
      <c r="J1092" s="82">
        <v>425</v>
      </c>
      <c r="K1092" s="82">
        <v>548</v>
      </c>
      <c r="L1092" s="82">
        <v>-11</v>
      </c>
      <c r="M1092" s="82">
        <v>11</v>
      </c>
      <c r="N1092" s="82">
        <v>289</v>
      </c>
      <c r="O1092" s="82">
        <v>121</v>
      </c>
      <c r="P1092" s="82">
        <v>958</v>
      </c>
      <c r="Q1092" s="82">
        <v>3894</v>
      </c>
      <c r="R1092" s="12" t="s">
        <v>25</v>
      </c>
      <c r="S1092" s="12" t="s">
        <v>25</v>
      </c>
      <c r="T1092" s="12" t="s">
        <v>25</v>
      </c>
    </row>
    <row r="1093" spans="1:20" x14ac:dyDescent="0.3">
      <c r="A1093" s="13">
        <v>43936.708333333336</v>
      </c>
      <c r="B1093" s="12" t="s">
        <v>22</v>
      </c>
      <c r="C1093" s="82">
        <v>5</v>
      </c>
      <c r="D1093" s="12" t="s">
        <v>61</v>
      </c>
      <c r="E1093" s="82">
        <v>4543490485</v>
      </c>
      <c r="F1093" s="82">
        <v>1233845213</v>
      </c>
      <c r="G1093" s="82">
        <v>1402</v>
      </c>
      <c r="H1093" s="82">
        <v>219</v>
      </c>
      <c r="I1093" s="82">
        <v>1621</v>
      </c>
      <c r="J1093" s="82">
        <v>9168</v>
      </c>
      <c r="K1093" s="82">
        <v>10789</v>
      </c>
      <c r="L1093" s="82">
        <v>53</v>
      </c>
      <c r="M1093" s="82">
        <v>192</v>
      </c>
      <c r="N1093" s="82">
        <v>2895</v>
      </c>
      <c r="O1093" s="82">
        <v>940</v>
      </c>
      <c r="P1093" s="82">
        <v>14624</v>
      </c>
      <c r="Q1093" s="82">
        <v>216344</v>
      </c>
      <c r="R1093" s="12" t="s">
        <v>25</v>
      </c>
      <c r="S1093" s="12" t="s">
        <v>25</v>
      </c>
      <c r="T1093" s="12" t="s">
        <v>25</v>
      </c>
    </row>
    <row r="1094" spans="1:20" x14ac:dyDescent="0.3">
      <c r="A1094" s="13">
        <v>43937.708333333336</v>
      </c>
      <c r="B1094" s="12" t="s">
        <v>22</v>
      </c>
      <c r="C1094" s="82">
        <v>13</v>
      </c>
      <c r="D1094" s="12" t="s">
        <v>42</v>
      </c>
      <c r="E1094" s="82">
        <v>4235122196</v>
      </c>
      <c r="F1094" s="82">
        <v>1339843823</v>
      </c>
      <c r="G1094" s="82">
        <v>324</v>
      </c>
      <c r="H1094" s="82">
        <v>42</v>
      </c>
      <c r="I1094" s="82">
        <v>366</v>
      </c>
      <c r="J1094" s="82">
        <v>1484</v>
      </c>
      <c r="K1094" s="82">
        <v>1850</v>
      </c>
      <c r="L1094" s="82">
        <v>40</v>
      </c>
      <c r="M1094" s="82">
        <v>72</v>
      </c>
      <c r="N1094" s="82">
        <v>253</v>
      </c>
      <c r="O1094" s="82">
        <v>243</v>
      </c>
      <c r="P1094" s="82">
        <v>2346</v>
      </c>
      <c r="Q1094" s="82">
        <v>23786</v>
      </c>
      <c r="R1094" s="12" t="s">
        <v>25</v>
      </c>
      <c r="S1094" s="12" t="s">
        <v>25</v>
      </c>
      <c r="T1094" s="12" t="s">
        <v>25</v>
      </c>
    </row>
    <row r="1095" spans="1:20" x14ac:dyDescent="0.3">
      <c r="A1095" s="13">
        <v>43937.708333333336</v>
      </c>
      <c r="B1095" s="12" t="s">
        <v>22</v>
      </c>
      <c r="C1095" s="82">
        <v>17</v>
      </c>
      <c r="D1095" s="12" t="s">
        <v>43</v>
      </c>
      <c r="E1095" s="82">
        <v>4063947052</v>
      </c>
      <c r="F1095" s="82">
        <v>1580514834</v>
      </c>
      <c r="G1095" s="82">
        <v>60</v>
      </c>
      <c r="H1095" s="82">
        <v>9</v>
      </c>
      <c r="I1095" s="82">
        <v>69</v>
      </c>
      <c r="J1095" s="82">
        <v>204</v>
      </c>
      <c r="K1095" s="82">
        <v>273</v>
      </c>
      <c r="L1095" s="82">
        <v>12</v>
      </c>
      <c r="M1095" s="82">
        <v>16</v>
      </c>
      <c r="N1095" s="82">
        <v>41</v>
      </c>
      <c r="O1095" s="82">
        <v>22</v>
      </c>
      <c r="P1095" s="82">
        <v>336</v>
      </c>
      <c r="Q1095" s="82">
        <v>5349</v>
      </c>
      <c r="R1095" s="12" t="s">
        <v>25</v>
      </c>
      <c r="S1095" s="12" t="s">
        <v>25</v>
      </c>
      <c r="T1095" s="12" t="s">
        <v>25</v>
      </c>
    </row>
    <row r="1096" spans="1:20" x14ac:dyDescent="0.3">
      <c r="A1096" s="13">
        <v>43937.708333333336</v>
      </c>
      <c r="B1096" s="12" t="s">
        <v>22</v>
      </c>
      <c r="C1096" s="82">
        <v>4</v>
      </c>
      <c r="D1096" s="12" t="s">
        <v>44</v>
      </c>
      <c r="E1096" s="82">
        <v>4649933453</v>
      </c>
      <c r="F1096" s="82">
        <v>1135662422</v>
      </c>
      <c r="G1096" s="82">
        <v>180</v>
      </c>
      <c r="H1096" s="82">
        <v>34</v>
      </c>
      <c r="I1096" s="82">
        <v>214</v>
      </c>
      <c r="J1096" s="82">
        <v>1379</v>
      </c>
      <c r="K1096" s="82">
        <v>1593</v>
      </c>
      <c r="L1096" s="82">
        <v>17</v>
      </c>
      <c r="M1096" s="82">
        <v>43</v>
      </c>
      <c r="N1096" s="82">
        <v>449</v>
      </c>
      <c r="O1096" s="82">
        <v>225</v>
      </c>
      <c r="P1096" s="82">
        <v>2267</v>
      </c>
      <c r="Q1096" s="82">
        <v>26416</v>
      </c>
      <c r="R1096" s="12" t="s">
        <v>25</v>
      </c>
      <c r="S1096" s="12" t="s">
        <v>25</v>
      </c>
      <c r="T1096" s="12" t="s">
        <v>25</v>
      </c>
    </row>
    <row r="1097" spans="1:20" x14ac:dyDescent="0.3">
      <c r="A1097" s="13">
        <v>43937.708333333336</v>
      </c>
      <c r="B1097" s="12" t="s">
        <v>22</v>
      </c>
      <c r="C1097" s="82">
        <v>18</v>
      </c>
      <c r="D1097" s="12" t="s">
        <v>45</v>
      </c>
      <c r="E1097" s="82">
        <v>3890597598</v>
      </c>
      <c r="F1097" s="82">
        <v>1659440194</v>
      </c>
      <c r="G1097" s="82">
        <v>157</v>
      </c>
      <c r="H1097" s="82">
        <v>9</v>
      </c>
      <c r="I1097" s="82">
        <v>166</v>
      </c>
      <c r="J1097" s="82">
        <v>681</v>
      </c>
      <c r="K1097" s="82">
        <v>847</v>
      </c>
      <c r="L1097" s="82">
        <v>28</v>
      </c>
      <c r="M1097" s="82">
        <v>38</v>
      </c>
      <c r="N1097" s="82">
        <v>90</v>
      </c>
      <c r="O1097" s="82">
        <v>72</v>
      </c>
      <c r="P1097" s="82">
        <v>1009</v>
      </c>
      <c r="Q1097" s="82">
        <v>20642</v>
      </c>
      <c r="R1097" s="12" t="s">
        <v>25</v>
      </c>
      <c r="S1097" s="12" t="s">
        <v>25</v>
      </c>
      <c r="T1097" s="12" t="s">
        <v>25</v>
      </c>
    </row>
    <row r="1098" spans="1:20" x14ac:dyDescent="0.3">
      <c r="A1098" s="13">
        <v>43937.708333333336</v>
      </c>
      <c r="B1098" s="12" t="s">
        <v>22</v>
      </c>
      <c r="C1098" s="82">
        <v>15</v>
      </c>
      <c r="D1098" s="12" t="s">
        <v>46</v>
      </c>
      <c r="E1098" s="82">
        <v>4083956555</v>
      </c>
      <c r="F1098" s="82">
        <v>1425084984</v>
      </c>
      <c r="G1098" s="82">
        <v>618</v>
      </c>
      <c r="H1098" s="82">
        <v>76</v>
      </c>
      <c r="I1098" s="82">
        <v>694</v>
      </c>
      <c r="J1098" s="82">
        <v>2424</v>
      </c>
      <c r="K1098" s="82">
        <v>3118</v>
      </c>
      <c r="L1098" s="82">
        <v>31</v>
      </c>
      <c r="M1098" s="82">
        <v>80</v>
      </c>
      <c r="N1098" s="82">
        <v>483</v>
      </c>
      <c r="O1098" s="82">
        <v>286</v>
      </c>
      <c r="P1098" s="82">
        <v>3887</v>
      </c>
      <c r="Q1098" s="82">
        <v>41296</v>
      </c>
      <c r="R1098" s="12" t="s">
        <v>25</v>
      </c>
      <c r="S1098" s="12" t="s">
        <v>25</v>
      </c>
      <c r="T1098" s="12" t="s">
        <v>25</v>
      </c>
    </row>
    <row r="1099" spans="1:20" x14ac:dyDescent="0.3">
      <c r="A1099" s="13">
        <v>43937.708333333336</v>
      </c>
      <c r="B1099" s="12" t="s">
        <v>22</v>
      </c>
      <c r="C1099" s="82">
        <v>8</v>
      </c>
      <c r="D1099" s="12" t="s">
        <v>95</v>
      </c>
      <c r="E1099" s="82">
        <v>4449436681</v>
      </c>
      <c r="F1099" s="82">
        <v>113417208</v>
      </c>
      <c r="G1099" s="82">
        <v>3360</v>
      </c>
      <c r="H1099" s="82">
        <v>316</v>
      </c>
      <c r="I1099" s="82">
        <v>3676</v>
      </c>
      <c r="J1099" s="82">
        <v>9987</v>
      </c>
      <c r="K1099" s="82">
        <v>13663</v>
      </c>
      <c r="L1099" s="82">
        <v>86</v>
      </c>
      <c r="M1099" s="82">
        <v>457</v>
      </c>
      <c r="N1099" s="82">
        <v>4980</v>
      </c>
      <c r="O1099" s="82">
        <v>2843</v>
      </c>
      <c r="P1099" s="82">
        <v>21486</v>
      </c>
      <c r="Q1099" s="82">
        <v>112105</v>
      </c>
      <c r="R1099" s="12" t="s">
        <v>25</v>
      </c>
      <c r="S1099" s="12" t="s">
        <v>25</v>
      </c>
      <c r="T1099" s="12" t="s">
        <v>25</v>
      </c>
    </row>
    <row r="1100" spans="1:20" x14ac:dyDescent="0.3">
      <c r="A1100" s="13">
        <v>43937.708333333336</v>
      </c>
      <c r="B1100" s="12" t="s">
        <v>22</v>
      </c>
      <c r="C1100" s="82">
        <v>6</v>
      </c>
      <c r="D1100" s="12" t="s">
        <v>47</v>
      </c>
      <c r="E1100" s="82">
        <v>456494354</v>
      </c>
      <c r="F1100" s="82">
        <v>1376813649</v>
      </c>
      <c r="G1100" s="82">
        <v>159</v>
      </c>
      <c r="H1100" s="82">
        <v>26</v>
      </c>
      <c r="I1100" s="82">
        <v>185</v>
      </c>
      <c r="J1100" s="82">
        <v>1145</v>
      </c>
      <c r="K1100" s="82">
        <v>1330</v>
      </c>
      <c r="L1100" s="82">
        <v>-64</v>
      </c>
      <c r="M1100" s="82">
        <v>72</v>
      </c>
      <c r="N1100" s="82">
        <v>1069</v>
      </c>
      <c r="O1100" s="82">
        <v>217</v>
      </c>
      <c r="P1100" s="82">
        <v>2616</v>
      </c>
      <c r="Q1100" s="82">
        <v>35766</v>
      </c>
      <c r="R1100" s="12" t="s">
        <v>25</v>
      </c>
      <c r="S1100" s="12" t="s">
        <v>25</v>
      </c>
      <c r="T1100" s="12" t="s">
        <v>25</v>
      </c>
    </row>
    <row r="1101" spans="1:20" x14ac:dyDescent="0.3">
      <c r="A1101" s="13">
        <v>43937.708333333336</v>
      </c>
      <c r="B1101" s="12" t="s">
        <v>22</v>
      </c>
      <c r="C1101" s="82">
        <v>12</v>
      </c>
      <c r="D1101" s="12" t="s">
        <v>48</v>
      </c>
      <c r="E1101" s="82">
        <v>4189277044</v>
      </c>
      <c r="F1101" s="82">
        <v>1248366722</v>
      </c>
      <c r="G1101" s="82">
        <v>1347</v>
      </c>
      <c r="H1101" s="82">
        <v>197</v>
      </c>
      <c r="I1101" s="82">
        <v>1544</v>
      </c>
      <c r="J1101" s="82">
        <v>2600</v>
      </c>
      <c r="K1101" s="82">
        <v>4144</v>
      </c>
      <c r="L1101" s="82">
        <v>97</v>
      </c>
      <c r="M1101" s="82">
        <v>148</v>
      </c>
      <c r="N1101" s="82">
        <v>920</v>
      </c>
      <c r="O1101" s="82">
        <v>316</v>
      </c>
      <c r="P1101" s="82">
        <v>5380</v>
      </c>
      <c r="Q1101" s="82">
        <v>81993</v>
      </c>
      <c r="R1101" s="12" t="s">
        <v>25</v>
      </c>
      <c r="S1101" s="12" t="s">
        <v>25</v>
      </c>
      <c r="T1101" s="12" t="s">
        <v>25</v>
      </c>
    </row>
    <row r="1102" spans="1:20" x14ac:dyDescent="0.3">
      <c r="A1102" s="13">
        <v>43937.708333333336</v>
      </c>
      <c r="B1102" s="12" t="s">
        <v>22</v>
      </c>
      <c r="C1102" s="82">
        <v>7</v>
      </c>
      <c r="D1102" s="12" t="s">
        <v>49</v>
      </c>
      <c r="E1102" s="82">
        <v>4441149315</v>
      </c>
      <c r="F1102" s="82">
        <v>89326992</v>
      </c>
      <c r="G1102" s="82">
        <v>957</v>
      </c>
      <c r="H1102" s="82">
        <v>103</v>
      </c>
      <c r="I1102" s="82">
        <v>1060</v>
      </c>
      <c r="J1102" s="82">
        <v>2377</v>
      </c>
      <c r="K1102" s="82">
        <v>3437</v>
      </c>
      <c r="L1102" s="82">
        <v>-27</v>
      </c>
      <c r="M1102" s="82">
        <v>103</v>
      </c>
      <c r="N1102" s="82">
        <v>1774</v>
      </c>
      <c r="O1102" s="82">
        <v>828</v>
      </c>
      <c r="P1102" s="82">
        <v>6039</v>
      </c>
      <c r="Q1102" s="82">
        <v>26945</v>
      </c>
      <c r="R1102" s="12" t="s">
        <v>25</v>
      </c>
      <c r="S1102" s="12" t="s">
        <v>25</v>
      </c>
      <c r="T1102" s="12" t="s">
        <v>25</v>
      </c>
    </row>
    <row r="1103" spans="1:20" x14ac:dyDescent="0.3">
      <c r="A1103" s="13">
        <v>43937.708333333336</v>
      </c>
      <c r="B1103" s="12" t="s">
        <v>22</v>
      </c>
      <c r="C1103" s="82">
        <v>3</v>
      </c>
      <c r="D1103" s="12" t="s">
        <v>50</v>
      </c>
      <c r="E1103" s="82">
        <v>4546679409</v>
      </c>
      <c r="F1103" s="82">
        <v>9190347404</v>
      </c>
      <c r="G1103" s="82">
        <v>11356</v>
      </c>
      <c r="H1103" s="82">
        <v>1032</v>
      </c>
      <c r="I1103" s="82">
        <v>12388</v>
      </c>
      <c r="J1103" s="82">
        <v>20702</v>
      </c>
      <c r="K1103" s="82">
        <v>33090</v>
      </c>
      <c r="L1103" s="82">
        <v>169</v>
      </c>
      <c r="M1103" s="82">
        <v>941</v>
      </c>
      <c r="N1103" s="82">
        <v>18396</v>
      </c>
      <c r="O1103" s="82">
        <v>11608</v>
      </c>
      <c r="P1103" s="82">
        <v>63094</v>
      </c>
      <c r="Q1103" s="82">
        <v>232674</v>
      </c>
      <c r="R1103" s="12" t="s">
        <v>25</v>
      </c>
      <c r="S1103" s="12" t="s">
        <v>25</v>
      </c>
      <c r="T1103" s="12" t="s">
        <v>25</v>
      </c>
    </row>
    <row r="1104" spans="1:20" x14ac:dyDescent="0.3">
      <c r="A1104" s="13">
        <v>43937.708333333336</v>
      </c>
      <c r="B1104" s="12" t="s">
        <v>22</v>
      </c>
      <c r="C1104" s="82">
        <v>11</v>
      </c>
      <c r="D1104" s="12" t="s">
        <v>51</v>
      </c>
      <c r="E1104" s="82">
        <v>4361675973</v>
      </c>
      <c r="F1104" s="82">
        <v>135188753</v>
      </c>
      <c r="G1104" s="82">
        <v>850</v>
      </c>
      <c r="H1104" s="82">
        <v>102</v>
      </c>
      <c r="I1104" s="82">
        <v>952</v>
      </c>
      <c r="J1104" s="82">
        <v>2172</v>
      </c>
      <c r="K1104" s="82">
        <v>3124</v>
      </c>
      <c r="L1104" s="82">
        <v>27</v>
      </c>
      <c r="M1104" s="82">
        <v>79</v>
      </c>
      <c r="N1104" s="82">
        <v>1694</v>
      </c>
      <c r="O1104" s="82">
        <v>764</v>
      </c>
      <c r="P1104" s="82">
        <v>5582</v>
      </c>
      <c r="Q1104" s="82">
        <v>33778</v>
      </c>
      <c r="R1104" s="12" t="s">
        <v>25</v>
      </c>
      <c r="S1104" s="12" t="s">
        <v>25</v>
      </c>
      <c r="T1104" s="12" t="s">
        <v>25</v>
      </c>
    </row>
    <row r="1105" spans="1:20" x14ac:dyDescent="0.3">
      <c r="A1105" s="13">
        <v>43937.708333333336</v>
      </c>
      <c r="B1105" s="12" t="s">
        <v>22</v>
      </c>
      <c r="C1105" s="82">
        <v>14</v>
      </c>
      <c r="D1105" s="12" t="s">
        <v>52</v>
      </c>
      <c r="E1105" s="82">
        <v>4155774754</v>
      </c>
      <c r="F1105" s="82">
        <v>1465916051</v>
      </c>
      <c r="G1105" s="82">
        <v>25</v>
      </c>
      <c r="H1105" s="82">
        <v>4</v>
      </c>
      <c r="I1105" s="82">
        <v>29</v>
      </c>
      <c r="J1105" s="82">
        <v>174</v>
      </c>
      <c r="K1105" s="82">
        <v>203</v>
      </c>
      <c r="L1105" s="82">
        <v>-3</v>
      </c>
      <c r="M1105" s="82">
        <v>0</v>
      </c>
      <c r="N1105" s="82">
        <v>44</v>
      </c>
      <c r="O1105" s="82">
        <v>16</v>
      </c>
      <c r="P1105" s="82">
        <v>263</v>
      </c>
      <c r="Q1105" s="82">
        <v>2967</v>
      </c>
      <c r="R1105" s="12" t="s">
        <v>25</v>
      </c>
      <c r="S1105" s="12" t="s">
        <v>25</v>
      </c>
      <c r="T1105" s="12" t="s">
        <v>25</v>
      </c>
    </row>
    <row r="1106" spans="1:20" x14ac:dyDescent="0.3">
      <c r="A1106" s="13">
        <v>43937.708333333336</v>
      </c>
      <c r="B1106" s="12" t="s">
        <v>22</v>
      </c>
      <c r="C1106" s="82">
        <v>1</v>
      </c>
      <c r="D1106" s="12" t="s">
        <v>53</v>
      </c>
      <c r="E1106" s="82">
        <v>450732745</v>
      </c>
      <c r="F1106" s="82">
        <v>7680687483</v>
      </c>
      <c r="G1106" s="82">
        <v>3418</v>
      </c>
      <c r="H1106" s="82">
        <v>346</v>
      </c>
      <c r="I1106" s="82">
        <v>3764</v>
      </c>
      <c r="J1106" s="82">
        <v>10019</v>
      </c>
      <c r="K1106" s="82">
        <v>13783</v>
      </c>
      <c r="L1106" s="82">
        <v>588</v>
      </c>
      <c r="M1106" s="82">
        <v>879</v>
      </c>
      <c r="N1106" s="82">
        <v>3231</v>
      </c>
      <c r="O1106" s="82">
        <v>2094</v>
      </c>
      <c r="P1106" s="82">
        <v>19108</v>
      </c>
      <c r="Q1106" s="82">
        <v>80708</v>
      </c>
      <c r="R1106" s="12" t="s">
        <v>25</v>
      </c>
      <c r="S1106" s="12" t="s">
        <v>25</v>
      </c>
      <c r="T1106" s="12" t="s">
        <v>25</v>
      </c>
    </row>
    <row r="1107" spans="1:20" x14ac:dyDescent="0.3">
      <c r="A1107" s="13">
        <v>43937.708333333336</v>
      </c>
      <c r="B1107" s="12" t="s">
        <v>22</v>
      </c>
      <c r="C1107" s="82">
        <v>16</v>
      </c>
      <c r="D1107" s="12" t="s">
        <v>54</v>
      </c>
      <c r="E1107" s="82">
        <v>4112559576</v>
      </c>
      <c r="F1107" s="82">
        <v>1686736689</v>
      </c>
      <c r="G1107" s="82">
        <v>603</v>
      </c>
      <c r="H1107" s="82">
        <v>58</v>
      </c>
      <c r="I1107" s="82">
        <v>661</v>
      </c>
      <c r="J1107" s="82">
        <v>1964</v>
      </c>
      <c r="K1107" s="82">
        <v>2625</v>
      </c>
      <c r="L1107" s="82">
        <v>52</v>
      </c>
      <c r="M1107" s="82">
        <v>74</v>
      </c>
      <c r="N1107" s="82">
        <v>334</v>
      </c>
      <c r="O1107" s="82">
        <v>299</v>
      </c>
      <c r="P1107" s="82">
        <v>3258</v>
      </c>
      <c r="Q1107" s="82">
        <v>36158</v>
      </c>
      <c r="R1107" s="12" t="s">
        <v>25</v>
      </c>
      <c r="S1107" s="12" t="s">
        <v>25</v>
      </c>
      <c r="T1107" s="12" t="s">
        <v>25</v>
      </c>
    </row>
    <row r="1108" spans="1:20" x14ac:dyDescent="0.3">
      <c r="A1108" s="13">
        <v>43937.708333333336</v>
      </c>
      <c r="B1108" s="12" t="s">
        <v>22</v>
      </c>
      <c r="C1108" s="82">
        <v>20</v>
      </c>
      <c r="D1108" s="12" t="s">
        <v>55</v>
      </c>
      <c r="E1108" s="82">
        <v>3921531192</v>
      </c>
      <c r="F1108" s="82">
        <v>9110616306</v>
      </c>
      <c r="G1108" s="82">
        <v>109</v>
      </c>
      <c r="H1108" s="82">
        <v>24</v>
      </c>
      <c r="I1108" s="82">
        <v>133</v>
      </c>
      <c r="J1108" s="82">
        <v>732</v>
      </c>
      <c r="K1108" s="82">
        <v>865</v>
      </c>
      <c r="L1108" s="82">
        <v>-5</v>
      </c>
      <c r="M1108" s="82">
        <v>3</v>
      </c>
      <c r="N1108" s="82">
        <v>214</v>
      </c>
      <c r="O1108" s="82">
        <v>85</v>
      </c>
      <c r="P1108" s="82">
        <v>1164</v>
      </c>
      <c r="Q1108" s="82">
        <v>12796</v>
      </c>
      <c r="R1108" s="12" t="s">
        <v>25</v>
      </c>
      <c r="S1108" s="12" t="s">
        <v>25</v>
      </c>
      <c r="T1108" s="12" t="s">
        <v>25</v>
      </c>
    </row>
    <row r="1109" spans="1:20" x14ac:dyDescent="0.3">
      <c r="A1109" s="13">
        <v>43937.708333333336</v>
      </c>
      <c r="B1109" s="12" t="s">
        <v>22</v>
      </c>
      <c r="C1109" s="82">
        <v>19</v>
      </c>
      <c r="D1109" s="12" t="s">
        <v>56</v>
      </c>
      <c r="E1109" s="82">
        <v>3811569725</v>
      </c>
      <c r="F1109" s="82">
        <v>133623567</v>
      </c>
      <c r="G1109" s="82">
        <v>525</v>
      </c>
      <c r="H1109" s="82">
        <v>48</v>
      </c>
      <c r="I1109" s="82">
        <v>573</v>
      </c>
      <c r="J1109" s="82">
        <v>1535</v>
      </c>
      <c r="K1109" s="82">
        <v>2108</v>
      </c>
      <c r="L1109" s="82">
        <v>27</v>
      </c>
      <c r="M1109" s="82">
        <v>44</v>
      </c>
      <c r="N1109" s="82">
        <v>284</v>
      </c>
      <c r="O1109" s="82">
        <v>187</v>
      </c>
      <c r="P1109" s="82">
        <v>2579</v>
      </c>
      <c r="Q1109" s="82">
        <v>42405</v>
      </c>
      <c r="R1109" s="12" t="s">
        <v>25</v>
      </c>
      <c r="S1109" s="12" t="s">
        <v>25</v>
      </c>
      <c r="T1109" s="12" t="s">
        <v>25</v>
      </c>
    </row>
    <row r="1110" spans="1:20" x14ac:dyDescent="0.3">
      <c r="A1110" s="13">
        <v>43937.708333333336</v>
      </c>
      <c r="B1110" s="12" t="s">
        <v>22</v>
      </c>
      <c r="C1110" s="82">
        <v>9</v>
      </c>
      <c r="D1110" s="12" t="s">
        <v>57</v>
      </c>
      <c r="E1110" s="82">
        <v>4376923077</v>
      </c>
      <c r="F1110" s="82">
        <v>1125588885</v>
      </c>
      <c r="G1110" s="82">
        <v>940</v>
      </c>
      <c r="H1110" s="82">
        <v>213</v>
      </c>
      <c r="I1110" s="82">
        <v>1153</v>
      </c>
      <c r="J1110" s="82">
        <v>5460</v>
      </c>
      <c r="K1110" s="82">
        <v>6613</v>
      </c>
      <c r="L1110" s="82">
        <v>196</v>
      </c>
      <c r="M1110" s="82">
        <v>277</v>
      </c>
      <c r="N1110" s="82">
        <v>745</v>
      </c>
      <c r="O1110" s="82">
        <v>585</v>
      </c>
      <c r="P1110" s="82">
        <v>7943</v>
      </c>
      <c r="Q1110" s="82">
        <v>91651</v>
      </c>
      <c r="R1110" s="12" t="s">
        <v>25</v>
      </c>
      <c r="S1110" s="12" t="s">
        <v>25</v>
      </c>
      <c r="T1110" s="12" t="s">
        <v>25</v>
      </c>
    </row>
    <row r="1111" spans="1:20" x14ac:dyDescent="0.3">
      <c r="A1111" s="13">
        <v>43937.708333333336</v>
      </c>
      <c r="B1111" s="12" t="s">
        <v>22</v>
      </c>
      <c r="C1111" s="82">
        <v>4</v>
      </c>
      <c r="D1111" s="12" t="s">
        <v>58</v>
      </c>
      <c r="E1111" s="82">
        <v>4606893511</v>
      </c>
      <c r="F1111" s="82">
        <v>1112123097</v>
      </c>
      <c r="G1111" s="82">
        <v>296</v>
      </c>
      <c r="H1111" s="82">
        <v>43</v>
      </c>
      <c r="I1111" s="82">
        <v>339</v>
      </c>
      <c r="J1111" s="82">
        <v>1748</v>
      </c>
      <c r="K1111" s="82">
        <v>2087</v>
      </c>
      <c r="L1111" s="82">
        <v>-17</v>
      </c>
      <c r="M1111" s="82">
        <v>74</v>
      </c>
      <c r="N1111" s="82">
        <v>885</v>
      </c>
      <c r="O1111" s="82">
        <v>322</v>
      </c>
      <c r="P1111" s="82">
        <v>3294</v>
      </c>
      <c r="Q1111" s="82">
        <v>20773</v>
      </c>
      <c r="R1111" s="12" t="s">
        <v>25</v>
      </c>
      <c r="S1111" s="12" t="s">
        <v>25</v>
      </c>
      <c r="T1111" s="12" t="s">
        <v>25</v>
      </c>
    </row>
    <row r="1112" spans="1:20" x14ac:dyDescent="0.3">
      <c r="A1112" s="13">
        <v>43937.708333333336</v>
      </c>
      <c r="B1112" s="12" t="s">
        <v>22</v>
      </c>
      <c r="C1112" s="82">
        <v>10</v>
      </c>
      <c r="D1112" s="12" t="s">
        <v>59</v>
      </c>
      <c r="E1112" s="82">
        <v>4310675841</v>
      </c>
      <c r="F1112" s="82">
        <v>1238824698</v>
      </c>
      <c r="G1112" s="82">
        <v>116</v>
      </c>
      <c r="H1112" s="82">
        <v>33</v>
      </c>
      <c r="I1112" s="82">
        <v>149</v>
      </c>
      <c r="J1112" s="82">
        <v>387</v>
      </c>
      <c r="K1112" s="82">
        <v>536</v>
      </c>
      <c r="L1112" s="82">
        <v>-46</v>
      </c>
      <c r="M1112" s="82">
        <v>7</v>
      </c>
      <c r="N1112" s="82">
        <v>738</v>
      </c>
      <c r="O1112" s="82">
        <v>55</v>
      </c>
      <c r="P1112" s="82">
        <v>1329</v>
      </c>
      <c r="Q1112" s="82">
        <v>21487</v>
      </c>
      <c r="R1112" s="12" t="s">
        <v>25</v>
      </c>
      <c r="S1112" s="12" t="s">
        <v>25</v>
      </c>
      <c r="T1112" s="12" t="s">
        <v>25</v>
      </c>
    </row>
    <row r="1113" spans="1:20" x14ac:dyDescent="0.3">
      <c r="A1113" s="13">
        <v>43937.708333333336</v>
      </c>
      <c r="B1113" s="12" t="s">
        <v>22</v>
      </c>
      <c r="C1113" s="82">
        <v>2</v>
      </c>
      <c r="D1113" s="12" t="s">
        <v>60</v>
      </c>
      <c r="E1113" s="82">
        <v>4573750286</v>
      </c>
      <c r="F1113" s="82">
        <v>7320149366</v>
      </c>
      <c r="G1113" s="82">
        <v>105</v>
      </c>
      <c r="H1113" s="82">
        <v>12</v>
      </c>
      <c r="I1113" s="82">
        <v>117</v>
      </c>
      <c r="J1113" s="82">
        <v>401</v>
      </c>
      <c r="K1113" s="82">
        <v>518</v>
      </c>
      <c r="L1113" s="82">
        <v>-30</v>
      </c>
      <c r="M1113" s="82">
        <v>13</v>
      </c>
      <c r="N1113" s="82">
        <v>331</v>
      </c>
      <c r="O1113" s="82">
        <v>122</v>
      </c>
      <c r="P1113" s="82">
        <v>971</v>
      </c>
      <c r="Q1113" s="82">
        <v>4159</v>
      </c>
      <c r="R1113" s="12" t="s">
        <v>25</v>
      </c>
      <c r="S1113" s="12" t="s">
        <v>25</v>
      </c>
      <c r="T1113" s="12" t="s">
        <v>25</v>
      </c>
    </row>
    <row r="1114" spans="1:20" x14ac:dyDescent="0.3">
      <c r="A1114" s="13">
        <v>43937.708333333336</v>
      </c>
      <c r="B1114" s="12" t="s">
        <v>22</v>
      </c>
      <c r="C1114" s="82">
        <v>5</v>
      </c>
      <c r="D1114" s="12" t="s">
        <v>61</v>
      </c>
      <c r="E1114" s="82">
        <v>4543490485</v>
      </c>
      <c r="F1114" s="82">
        <v>1233845213</v>
      </c>
      <c r="G1114" s="82">
        <v>1388</v>
      </c>
      <c r="H1114" s="82">
        <v>209</v>
      </c>
      <c r="I1114" s="82">
        <v>1597</v>
      </c>
      <c r="J1114" s="82">
        <v>9203</v>
      </c>
      <c r="K1114" s="82">
        <v>10800</v>
      </c>
      <c r="L1114" s="82">
        <v>11</v>
      </c>
      <c r="M1114" s="82">
        <v>366</v>
      </c>
      <c r="N1114" s="82">
        <v>3209</v>
      </c>
      <c r="O1114" s="82">
        <v>981</v>
      </c>
      <c r="P1114" s="82">
        <v>14990</v>
      </c>
      <c r="Q1114" s="82">
        <v>224549</v>
      </c>
      <c r="R1114" s="12" t="s">
        <v>25</v>
      </c>
      <c r="S1114" s="12" t="s">
        <v>25</v>
      </c>
      <c r="T1114" s="12" t="s">
        <v>25</v>
      </c>
    </row>
    <row r="1115" spans="1:20" x14ac:dyDescent="0.3">
      <c r="A1115" s="13">
        <v>43938.708333333336</v>
      </c>
      <c r="B1115" s="12" t="s">
        <v>22</v>
      </c>
      <c r="C1115" s="82">
        <v>13</v>
      </c>
      <c r="D1115" s="12" t="s">
        <v>42</v>
      </c>
      <c r="E1115" s="82">
        <v>4235122196</v>
      </c>
      <c r="F1115" s="82">
        <v>1339843823</v>
      </c>
      <c r="G1115" s="82">
        <v>319</v>
      </c>
      <c r="H1115" s="82">
        <v>43</v>
      </c>
      <c r="I1115" s="82">
        <v>362</v>
      </c>
      <c r="J1115" s="82">
        <v>1580</v>
      </c>
      <c r="K1115" s="82">
        <v>1942</v>
      </c>
      <c r="L1115" s="82">
        <v>92</v>
      </c>
      <c r="M1115" s="82">
        <v>97</v>
      </c>
      <c r="N1115" s="82">
        <v>255</v>
      </c>
      <c r="O1115" s="82">
        <v>246</v>
      </c>
      <c r="P1115" s="82">
        <v>2443</v>
      </c>
      <c r="Q1115" s="82">
        <v>25436</v>
      </c>
      <c r="R1115" s="12" t="s">
        <v>25</v>
      </c>
      <c r="S1115" s="12" t="s">
        <v>25</v>
      </c>
      <c r="T1115" s="12" t="s">
        <v>25</v>
      </c>
    </row>
    <row r="1116" spans="1:20" x14ac:dyDescent="0.3">
      <c r="A1116" s="13">
        <v>43938.708333333336</v>
      </c>
      <c r="B1116" s="12" t="s">
        <v>22</v>
      </c>
      <c r="C1116" s="82">
        <v>17</v>
      </c>
      <c r="D1116" s="12" t="s">
        <v>43</v>
      </c>
      <c r="E1116" s="82">
        <v>4063947052</v>
      </c>
      <c r="F1116" s="82">
        <v>1580514834</v>
      </c>
      <c r="G1116" s="82">
        <v>59</v>
      </c>
      <c r="H1116" s="82">
        <v>9</v>
      </c>
      <c r="I1116" s="82">
        <v>68</v>
      </c>
      <c r="J1116" s="82">
        <v>198</v>
      </c>
      <c r="K1116" s="82">
        <v>266</v>
      </c>
      <c r="L1116" s="82">
        <v>-7</v>
      </c>
      <c r="M1116" s="82">
        <v>1</v>
      </c>
      <c r="N1116" s="82">
        <v>49</v>
      </c>
      <c r="O1116" s="82">
        <v>22</v>
      </c>
      <c r="P1116" s="82">
        <v>337</v>
      </c>
      <c r="Q1116" s="82">
        <v>5710</v>
      </c>
      <c r="R1116" s="12" t="s">
        <v>25</v>
      </c>
      <c r="S1116" s="12" t="s">
        <v>25</v>
      </c>
      <c r="T1116" s="12" t="s">
        <v>25</v>
      </c>
    </row>
    <row r="1117" spans="1:20" x14ac:dyDescent="0.3">
      <c r="A1117" s="13">
        <v>43938.708333333336</v>
      </c>
      <c r="B1117" s="12" t="s">
        <v>22</v>
      </c>
      <c r="C1117" s="82">
        <v>4</v>
      </c>
      <c r="D1117" s="12" t="s">
        <v>44</v>
      </c>
      <c r="E1117" s="82">
        <v>4649933453</v>
      </c>
      <c r="F1117" s="82">
        <v>1135662422</v>
      </c>
      <c r="G1117" s="82">
        <v>181</v>
      </c>
      <c r="H1117" s="82">
        <v>32</v>
      </c>
      <c r="I1117" s="82">
        <v>213</v>
      </c>
      <c r="J1117" s="82">
        <v>1369</v>
      </c>
      <c r="K1117" s="82">
        <v>1582</v>
      </c>
      <c r="L1117" s="82">
        <v>-11</v>
      </c>
      <c r="M1117" s="82">
        <v>29</v>
      </c>
      <c r="N1117" s="82">
        <v>480</v>
      </c>
      <c r="O1117" s="82">
        <v>234</v>
      </c>
      <c r="P1117" s="82">
        <v>2296</v>
      </c>
      <c r="Q1117" s="82">
        <v>27698</v>
      </c>
      <c r="R1117" s="12" t="s">
        <v>25</v>
      </c>
      <c r="S1117" s="12" t="s">
        <v>25</v>
      </c>
      <c r="T1117" s="12" t="s">
        <v>25</v>
      </c>
    </row>
    <row r="1118" spans="1:20" x14ac:dyDescent="0.3">
      <c r="A1118" s="13">
        <v>43938.708333333336</v>
      </c>
      <c r="B1118" s="12" t="s">
        <v>22</v>
      </c>
      <c r="C1118" s="82">
        <v>18</v>
      </c>
      <c r="D1118" s="12" t="s">
        <v>45</v>
      </c>
      <c r="E1118" s="82">
        <v>3890597598</v>
      </c>
      <c r="F1118" s="82">
        <v>1659440194</v>
      </c>
      <c r="G1118" s="82">
        <v>154</v>
      </c>
      <c r="H1118" s="82">
        <v>7</v>
      </c>
      <c r="I1118" s="82">
        <v>161</v>
      </c>
      <c r="J1118" s="82">
        <v>658</v>
      </c>
      <c r="K1118" s="82">
        <v>819</v>
      </c>
      <c r="L1118" s="82">
        <v>-28</v>
      </c>
      <c r="M1118" s="82">
        <v>-18</v>
      </c>
      <c r="N1118" s="82">
        <v>99</v>
      </c>
      <c r="O1118" s="82">
        <v>73</v>
      </c>
      <c r="P1118" s="82">
        <v>991</v>
      </c>
      <c r="Q1118" s="82">
        <v>21657</v>
      </c>
      <c r="R1118" s="12" t="s">
        <v>25</v>
      </c>
      <c r="S1118" s="12" t="s">
        <v>25</v>
      </c>
      <c r="T1118" s="12" t="s">
        <v>25</v>
      </c>
    </row>
    <row r="1119" spans="1:20" x14ac:dyDescent="0.3">
      <c r="A1119" s="13">
        <v>43938.708333333336</v>
      </c>
      <c r="B1119" s="12" t="s">
        <v>22</v>
      </c>
      <c r="C1119" s="82">
        <v>15</v>
      </c>
      <c r="D1119" s="12" t="s">
        <v>46</v>
      </c>
      <c r="E1119" s="82">
        <v>4083956555</v>
      </c>
      <c r="F1119" s="82">
        <v>1425084984</v>
      </c>
      <c r="G1119" s="82">
        <v>622</v>
      </c>
      <c r="H1119" s="82">
        <v>76</v>
      </c>
      <c r="I1119" s="82">
        <v>698</v>
      </c>
      <c r="J1119" s="82">
        <v>2329</v>
      </c>
      <c r="K1119" s="82">
        <v>3027</v>
      </c>
      <c r="L1119" s="82">
        <v>-91</v>
      </c>
      <c r="M1119" s="82">
        <v>64</v>
      </c>
      <c r="N1119" s="82">
        <v>631</v>
      </c>
      <c r="O1119" s="82">
        <v>293</v>
      </c>
      <c r="P1119" s="82">
        <v>3951</v>
      </c>
      <c r="Q1119" s="82">
        <v>43697</v>
      </c>
      <c r="R1119" s="12" t="s">
        <v>25</v>
      </c>
      <c r="S1119" s="12" t="s">
        <v>25</v>
      </c>
      <c r="T1119" s="12" t="s">
        <v>25</v>
      </c>
    </row>
    <row r="1120" spans="1:20" x14ac:dyDescent="0.3">
      <c r="A1120" s="13">
        <v>43938.708333333336</v>
      </c>
      <c r="B1120" s="12" t="s">
        <v>22</v>
      </c>
      <c r="C1120" s="82">
        <v>8</v>
      </c>
      <c r="D1120" s="12" t="s">
        <v>95</v>
      </c>
      <c r="E1120" s="82">
        <v>4449436681</v>
      </c>
      <c r="F1120" s="82">
        <v>113417208</v>
      </c>
      <c r="G1120" s="82">
        <v>3330</v>
      </c>
      <c r="H1120" s="82">
        <v>309</v>
      </c>
      <c r="I1120" s="82">
        <v>3639</v>
      </c>
      <c r="J1120" s="82">
        <v>9946</v>
      </c>
      <c r="K1120" s="82">
        <v>13585</v>
      </c>
      <c r="L1120" s="82">
        <v>-78</v>
      </c>
      <c r="M1120" s="82">
        <v>348</v>
      </c>
      <c r="N1120" s="82">
        <v>5346</v>
      </c>
      <c r="O1120" s="82">
        <v>2903</v>
      </c>
      <c r="P1120" s="82">
        <v>21834</v>
      </c>
      <c r="Q1120" s="82">
        <v>116826</v>
      </c>
      <c r="R1120" s="12" t="s">
        <v>25</v>
      </c>
      <c r="S1120" s="12" t="s">
        <v>25</v>
      </c>
      <c r="T1120" s="12" t="s">
        <v>25</v>
      </c>
    </row>
    <row r="1121" spans="1:20" x14ac:dyDescent="0.3">
      <c r="A1121" s="13">
        <v>43938.708333333336</v>
      </c>
      <c r="B1121" s="12" t="s">
        <v>22</v>
      </c>
      <c r="C1121" s="82">
        <v>6</v>
      </c>
      <c r="D1121" s="12" t="s">
        <v>47</v>
      </c>
      <c r="E1121" s="82">
        <v>456494354</v>
      </c>
      <c r="F1121" s="82">
        <v>1376813649</v>
      </c>
      <c r="G1121" s="82">
        <v>148</v>
      </c>
      <c r="H1121" s="82">
        <v>23</v>
      </c>
      <c r="I1121" s="82">
        <v>171</v>
      </c>
      <c r="J1121" s="82">
        <v>1257</v>
      </c>
      <c r="K1121" s="82">
        <v>1428</v>
      </c>
      <c r="L1121" s="82">
        <v>98</v>
      </c>
      <c r="M1121" s="82">
        <v>59</v>
      </c>
      <c r="N1121" s="82">
        <v>1027</v>
      </c>
      <c r="O1121" s="82">
        <v>220</v>
      </c>
      <c r="P1121" s="82">
        <v>2675</v>
      </c>
      <c r="Q1121" s="82">
        <v>40030</v>
      </c>
      <c r="R1121" s="12" t="s">
        <v>25</v>
      </c>
      <c r="S1121" s="12" t="s">
        <v>25</v>
      </c>
      <c r="T1121" s="12" t="s">
        <v>25</v>
      </c>
    </row>
    <row r="1122" spans="1:20" x14ac:dyDescent="0.3">
      <c r="A1122" s="13">
        <v>43938.708333333336</v>
      </c>
      <c r="B1122" s="12" t="s">
        <v>22</v>
      </c>
      <c r="C1122" s="82">
        <v>12</v>
      </c>
      <c r="D1122" s="12" t="s">
        <v>48</v>
      </c>
      <c r="E1122" s="82">
        <v>4189277044</v>
      </c>
      <c r="F1122" s="82">
        <v>1248366722</v>
      </c>
      <c r="G1122" s="82">
        <v>1332</v>
      </c>
      <c r="H1122" s="82">
        <v>187</v>
      </c>
      <c r="I1122" s="82">
        <v>1519</v>
      </c>
      <c r="J1122" s="82">
        <v>2695</v>
      </c>
      <c r="K1122" s="82">
        <v>4214</v>
      </c>
      <c r="L1122" s="82">
        <v>70</v>
      </c>
      <c r="M1122" s="82">
        <v>144</v>
      </c>
      <c r="N1122" s="82">
        <v>978</v>
      </c>
      <c r="O1122" s="82">
        <v>332</v>
      </c>
      <c r="P1122" s="82">
        <v>5524</v>
      </c>
      <c r="Q1122" s="82">
        <v>84755</v>
      </c>
      <c r="R1122" s="12" t="s">
        <v>25</v>
      </c>
      <c r="S1122" s="12" t="s">
        <v>25</v>
      </c>
      <c r="T1122" s="12" t="s">
        <v>25</v>
      </c>
    </row>
    <row r="1123" spans="1:20" x14ac:dyDescent="0.3">
      <c r="A1123" s="13">
        <v>43938.708333333336</v>
      </c>
      <c r="B1123" s="12" t="s">
        <v>22</v>
      </c>
      <c r="C1123" s="82">
        <v>7</v>
      </c>
      <c r="D1123" s="12" t="s">
        <v>49</v>
      </c>
      <c r="E1123" s="82">
        <v>4441149315</v>
      </c>
      <c r="F1123" s="82">
        <v>89326992</v>
      </c>
      <c r="G1123" s="82">
        <v>897</v>
      </c>
      <c r="H1123" s="82">
        <v>105</v>
      </c>
      <c r="I1123" s="82">
        <v>1002</v>
      </c>
      <c r="J1123" s="82">
        <v>2457</v>
      </c>
      <c r="K1123" s="82">
        <v>3459</v>
      </c>
      <c r="L1123" s="82">
        <v>22</v>
      </c>
      <c r="M1123" s="82">
        <v>149</v>
      </c>
      <c r="N1123" s="82">
        <v>1863</v>
      </c>
      <c r="O1123" s="82">
        <v>866</v>
      </c>
      <c r="P1123" s="82">
        <v>6188</v>
      </c>
      <c r="Q1123" s="82">
        <v>28181</v>
      </c>
      <c r="R1123" s="12" t="s">
        <v>25</v>
      </c>
      <c r="S1123" s="12" t="s">
        <v>25</v>
      </c>
      <c r="T1123" s="12" t="s">
        <v>25</v>
      </c>
    </row>
    <row r="1124" spans="1:20" x14ac:dyDescent="0.3">
      <c r="A1124" s="13">
        <v>43938.708333333336</v>
      </c>
      <c r="B1124" s="12" t="s">
        <v>22</v>
      </c>
      <c r="C1124" s="82">
        <v>3</v>
      </c>
      <c r="D1124" s="12" t="s">
        <v>50</v>
      </c>
      <c r="E1124" s="82">
        <v>4546679409</v>
      </c>
      <c r="F1124" s="82">
        <v>9190347404</v>
      </c>
      <c r="G1124" s="82">
        <v>10627</v>
      </c>
      <c r="H1124" s="82">
        <v>971</v>
      </c>
      <c r="I1124" s="82">
        <v>11598</v>
      </c>
      <c r="J1124" s="82">
        <v>21836</v>
      </c>
      <c r="K1124" s="82">
        <v>33434</v>
      </c>
      <c r="L1124" s="82">
        <v>344</v>
      </c>
      <c r="M1124" s="82">
        <v>1041</v>
      </c>
      <c r="N1124" s="82">
        <v>18850</v>
      </c>
      <c r="O1124" s="82">
        <v>11851</v>
      </c>
      <c r="P1124" s="82">
        <v>64135</v>
      </c>
      <c r="Q1124" s="82">
        <v>243513</v>
      </c>
      <c r="R1124" s="12" t="s">
        <v>25</v>
      </c>
      <c r="S1124" s="12" t="s">
        <v>25</v>
      </c>
      <c r="T1124" s="12" t="s">
        <v>25</v>
      </c>
    </row>
    <row r="1125" spans="1:20" x14ac:dyDescent="0.3">
      <c r="A1125" s="13">
        <v>43938.708333333336</v>
      </c>
      <c r="B1125" s="12" t="s">
        <v>22</v>
      </c>
      <c r="C1125" s="82">
        <v>11</v>
      </c>
      <c r="D1125" s="12" t="s">
        <v>51</v>
      </c>
      <c r="E1125" s="82">
        <v>4361675973</v>
      </c>
      <c r="F1125" s="82">
        <v>135188753</v>
      </c>
      <c r="G1125" s="82">
        <v>839</v>
      </c>
      <c r="H1125" s="82">
        <v>94</v>
      </c>
      <c r="I1125" s="82">
        <v>933</v>
      </c>
      <c r="J1125" s="82">
        <v>2224</v>
      </c>
      <c r="K1125" s="82">
        <v>3157</v>
      </c>
      <c r="L1125" s="82">
        <v>33</v>
      </c>
      <c r="M1125" s="82">
        <v>86</v>
      </c>
      <c r="N1125" s="82">
        <v>1726</v>
      </c>
      <c r="O1125" s="82">
        <v>785</v>
      </c>
      <c r="P1125" s="82">
        <v>5668</v>
      </c>
      <c r="Q1125" s="82">
        <v>37997</v>
      </c>
      <c r="R1125" s="12" t="s">
        <v>25</v>
      </c>
      <c r="S1125" s="12" t="s">
        <v>25</v>
      </c>
      <c r="T1125" s="12" t="s">
        <v>25</v>
      </c>
    </row>
    <row r="1126" spans="1:20" x14ac:dyDescent="0.3">
      <c r="A1126" s="13">
        <v>43938.708333333336</v>
      </c>
      <c r="B1126" s="12" t="s">
        <v>22</v>
      </c>
      <c r="C1126" s="82">
        <v>14</v>
      </c>
      <c r="D1126" s="12" t="s">
        <v>52</v>
      </c>
      <c r="E1126" s="82">
        <v>4155774754</v>
      </c>
      <c r="F1126" s="82">
        <v>1465916051</v>
      </c>
      <c r="G1126" s="82">
        <v>26</v>
      </c>
      <c r="H1126" s="82">
        <v>4</v>
      </c>
      <c r="I1126" s="82">
        <v>30</v>
      </c>
      <c r="J1126" s="82">
        <v>178</v>
      </c>
      <c r="K1126" s="82">
        <v>208</v>
      </c>
      <c r="L1126" s="82">
        <v>5</v>
      </c>
      <c r="M1126" s="82">
        <v>6</v>
      </c>
      <c r="N1126" s="82">
        <v>45</v>
      </c>
      <c r="O1126" s="82">
        <v>16</v>
      </c>
      <c r="P1126" s="82">
        <v>269</v>
      </c>
      <c r="Q1126" s="82">
        <v>3082</v>
      </c>
      <c r="R1126" s="12" t="s">
        <v>25</v>
      </c>
      <c r="S1126" s="12" t="s">
        <v>25</v>
      </c>
      <c r="T1126" s="12" t="s">
        <v>25</v>
      </c>
    </row>
    <row r="1127" spans="1:20" x14ac:dyDescent="0.3">
      <c r="A1127" s="13">
        <v>43938.708333333336</v>
      </c>
      <c r="B1127" s="12" t="s">
        <v>22</v>
      </c>
      <c r="C1127" s="82">
        <v>1</v>
      </c>
      <c r="D1127" s="12" t="s">
        <v>53</v>
      </c>
      <c r="E1127" s="82">
        <v>450732745</v>
      </c>
      <c r="F1127" s="82">
        <v>7680687483</v>
      </c>
      <c r="G1127" s="82">
        <v>3266</v>
      </c>
      <c r="H1127" s="82">
        <v>333</v>
      </c>
      <c r="I1127" s="82">
        <v>3599</v>
      </c>
      <c r="J1127" s="82">
        <v>10399</v>
      </c>
      <c r="K1127" s="82">
        <v>13998</v>
      </c>
      <c r="L1127" s="82">
        <v>215</v>
      </c>
      <c r="M1127" s="82">
        <v>695</v>
      </c>
      <c r="N1127" s="82">
        <v>3634</v>
      </c>
      <c r="O1127" s="82">
        <v>2171</v>
      </c>
      <c r="P1127" s="82">
        <v>19803</v>
      </c>
      <c r="Q1127" s="82">
        <v>86714</v>
      </c>
      <c r="R1127" s="12" t="s">
        <v>25</v>
      </c>
      <c r="S1127" s="12" t="s">
        <v>25</v>
      </c>
      <c r="T1127" s="12" t="s">
        <v>25</v>
      </c>
    </row>
    <row r="1128" spans="1:20" x14ac:dyDescent="0.3">
      <c r="A1128" s="13">
        <v>43938.708333333336</v>
      </c>
      <c r="B1128" s="12" t="s">
        <v>22</v>
      </c>
      <c r="C1128" s="82">
        <v>16</v>
      </c>
      <c r="D1128" s="12" t="s">
        <v>54</v>
      </c>
      <c r="E1128" s="82">
        <v>4112559576</v>
      </c>
      <c r="F1128" s="82">
        <v>1686736689</v>
      </c>
      <c r="G1128" s="82">
        <v>590</v>
      </c>
      <c r="H1128" s="82">
        <v>62</v>
      </c>
      <c r="I1128" s="82">
        <v>652</v>
      </c>
      <c r="J1128" s="82">
        <v>2004</v>
      </c>
      <c r="K1128" s="82">
        <v>2656</v>
      </c>
      <c r="L1128" s="82">
        <v>31</v>
      </c>
      <c r="M1128" s="82">
        <v>69</v>
      </c>
      <c r="N1128" s="82">
        <v>364</v>
      </c>
      <c r="O1128" s="82">
        <v>307</v>
      </c>
      <c r="P1128" s="82">
        <v>3327</v>
      </c>
      <c r="Q1128" s="82">
        <v>38278</v>
      </c>
      <c r="R1128" s="12" t="s">
        <v>25</v>
      </c>
      <c r="S1128" s="12" t="s">
        <v>25</v>
      </c>
      <c r="T1128" s="12" t="s">
        <v>25</v>
      </c>
    </row>
    <row r="1129" spans="1:20" x14ac:dyDescent="0.3">
      <c r="A1129" s="13">
        <v>43938.708333333336</v>
      </c>
      <c r="B1129" s="12" t="s">
        <v>22</v>
      </c>
      <c r="C1129" s="82">
        <v>20</v>
      </c>
      <c r="D1129" s="12" t="s">
        <v>55</v>
      </c>
      <c r="E1129" s="82">
        <v>3921531192</v>
      </c>
      <c r="F1129" s="82">
        <v>9110616306</v>
      </c>
      <c r="G1129" s="82">
        <v>113</v>
      </c>
      <c r="H1129" s="82">
        <v>23</v>
      </c>
      <c r="I1129" s="82">
        <v>136</v>
      </c>
      <c r="J1129" s="82">
        <v>736</v>
      </c>
      <c r="K1129" s="82">
        <v>872</v>
      </c>
      <c r="L1129" s="82">
        <v>7</v>
      </c>
      <c r="M1129" s="82">
        <v>14</v>
      </c>
      <c r="N1129" s="82">
        <v>220</v>
      </c>
      <c r="O1129" s="82">
        <v>86</v>
      </c>
      <c r="P1129" s="82">
        <v>1178</v>
      </c>
      <c r="Q1129" s="82">
        <v>13304</v>
      </c>
      <c r="R1129" s="12" t="s">
        <v>25</v>
      </c>
      <c r="S1129" s="12" t="s">
        <v>25</v>
      </c>
      <c r="T1129" s="12" t="s">
        <v>25</v>
      </c>
    </row>
    <row r="1130" spans="1:20" x14ac:dyDescent="0.3">
      <c r="A1130" s="13">
        <v>43938.708333333336</v>
      </c>
      <c r="B1130" s="12" t="s">
        <v>22</v>
      </c>
      <c r="C1130" s="82">
        <v>19</v>
      </c>
      <c r="D1130" s="12" t="s">
        <v>56</v>
      </c>
      <c r="E1130" s="82">
        <v>3811569725</v>
      </c>
      <c r="F1130" s="82">
        <v>133623567</v>
      </c>
      <c r="G1130" s="82">
        <v>521</v>
      </c>
      <c r="H1130" s="82">
        <v>46</v>
      </c>
      <c r="I1130" s="82">
        <v>567</v>
      </c>
      <c r="J1130" s="82">
        <v>1572</v>
      </c>
      <c r="K1130" s="82">
        <v>2139</v>
      </c>
      <c r="L1130" s="82">
        <v>31</v>
      </c>
      <c r="M1130" s="82">
        <v>46</v>
      </c>
      <c r="N1130" s="82">
        <v>296</v>
      </c>
      <c r="O1130" s="82">
        <v>190</v>
      </c>
      <c r="P1130" s="82">
        <v>2625</v>
      </c>
      <c r="Q1130" s="82">
        <v>45172</v>
      </c>
      <c r="R1130" s="12" t="s">
        <v>25</v>
      </c>
      <c r="S1130" s="12" t="s">
        <v>25</v>
      </c>
      <c r="T1130" s="12" t="s">
        <v>25</v>
      </c>
    </row>
    <row r="1131" spans="1:20" x14ac:dyDescent="0.3">
      <c r="A1131" s="13">
        <v>43938.708333333336</v>
      </c>
      <c r="B1131" s="12" t="s">
        <v>22</v>
      </c>
      <c r="C1131" s="82">
        <v>9</v>
      </c>
      <c r="D1131" s="12" t="s">
        <v>57</v>
      </c>
      <c r="E1131" s="82">
        <v>4376923077</v>
      </c>
      <c r="F1131" s="82">
        <v>1125588885</v>
      </c>
      <c r="G1131" s="82">
        <v>898</v>
      </c>
      <c r="H1131" s="82">
        <v>207</v>
      </c>
      <c r="I1131" s="82">
        <v>1105</v>
      </c>
      <c r="J1131" s="82">
        <v>5478</v>
      </c>
      <c r="K1131" s="82">
        <v>6583</v>
      </c>
      <c r="L1131" s="82">
        <v>-30</v>
      </c>
      <c r="M1131" s="82">
        <v>167</v>
      </c>
      <c r="N1131" s="82">
        <v>925</v>
      </c>
      <c r="O1131" s="82">
        <v>602</v>
      </c>
      <c r="P1131" s="82">
        <v>8110</v>
      </c>
      <c r="Q1131" s="82">
        <v>96231</v>
      </c>
      <c r="R1131" s="12" t="s">
        <v>25</v>
      </c>
      <c r="S1131" s="12" t="s">
        <v>25</v>
      </c>
      <c r="T1131" s="12" t="s">
        <v>25</v>
      </c>
    </row>
    <row r="1132" spans="1:20" x14ac:dyDescent="0.3">
      <c r="A1132" s="13">
        <v>43938.708333333336</v>
      </c>
      <c r="B1132" s="12" t="s">
        <v>22</v>
      </c>
      <c r="C1132" s="82">
        <v>4</v>
      </c>
      <c r="D1132" s="12" t="s">
        <v>58</v>
      </c>
      <c r="E1132" s="82">
        <v>4606893511</v>
      </c>
      <c r="F1132" s="82">
        <v>1112123097</v>
      </c>
      <c r="G1132" s="82">
        <v>286</v>
      </c>
      <c r="H1132" s="82">
        <v>44</v>
      </c>
      <c r="I1132" s="82">
        <v>330</v>
      </c>
      <c r="J1132" s="82">
        <v>1660</v>
      </c>
      <c r="K1132" s="82">
        <v>1990</v>
      </c>
      <c r="L1132" s="82">
        <v>-97</v>
      </c>
      <c r="M1132" s="82">
        <v>82</v>
      </c>
      <c r="N1132" s="82">
        <v>1044</v>
      </c>
      <c r="O1132" s="82">
        <v>342</v>
      </c>
      <c r="P1132" s="82">
        <v>3376</v>
      </c>
      <c r="Q1132" s="82">
        <v>21921</v>
      </c>
      <c r="R1132" s="12" t="s">
        <v>25</v>
      </c>
      <c r="S1132" s="12" t="s">
        <v>25</v>
      </c>
      <c r="T1132" s="12" t="s">
        <v>25</v>
      </c>
    </row>
    <row r="1133" spans="1:20" x14ac:dyDescent="0.3">
      <c r="A1133" s="13">
        <v>43938.708333333336</v>
      </c>
      <c r="B1133" s="12" t="s">
        <v>22</v>
      </c>
      <c r="C1133" s="82">
        <v>10</v>
      </c>
      <c r="D1133" s="12" t="s">
        <v>59</v>
      </c>
      <c r="E1133" s="82">
        <v>4310675841</v>
      </c>
      <c r="F1133" s="82">
        <v>1238824698</v>
      </c>
      <c r="G1133" s="82">
        <v>111</v>
      </c>
      <c r="H1133" s="82">
        <v>31</v>
      </c>
      <c r="I1133" s="82">
        <v>142</v>
      </c>
      <c r="J1133" s="82">
        <v>352</v>
      </c>
      <c r="K1133" s="82">
        <v>494</v>
      </c>
      <c r="L1133" s="82">
        <v>-42</v>
      </c>
      <c r="M1133" s="82">
        <v>8</v>
      </c>
      <c r="N1133" s="82">
        <v>786</v>
      </c>
      <c r="O1133" s="82">
        <v>57</v>
      </c>
      <c r="P1133" s="82">
        <v>1337</v>
      </c>
      <c r="Q1133" s="82">
        <v>22818</v>
      </c>
      <c r="R1133" s="12" t="s">
        <v>25</v>
      </c>
      <c r="S1133" s="12" t="s">
        <v>25</v>
      </c>
      <c r="T1133" s="12" t="s">
        <v>25</v>
      </c>
    </row>
    <row r="1134" spans="1:20" x14ac:dyDescent="0.3">
      <c r="A1134" s="13">
        <v>43938.708333333336</v>
      </c>
      <c r="B1134" s="12" t="s">
        <v>22</v>
      </c>
      <c r="C1134" s="82">
        <v>2</v>
      </c>
      <c r="D1134" s="12" t="s">
        <v>60</v>
      </c>
      <c r="E1134" s="82">
        <v>4573750286</v>
      </c>
      <c r="F1134" s="82">
        <v>7320149366</v>
      </c>
      <c r="G1134" s="82">
        <v>108</v>
      </c>
      <c r="H1134" s="82">
        <v>9</v>
      </c>
      <c r="I1134" s="82">
        <v>117</v>
      </c>
      <c r="J1134" s="82">
        <v>374</v>
      </c>
      <c r="K1134" s="82">
        <v>491</v>
      </c>
      <c r="L1134" s="82">
        <v>-27</v>
      </c>
      <c r="M1134" s="82">
        <v>22</v>
      </c>
      <c r="N1134" s="82">
        <v>379</v>
      </c>
      <c r="O1134" s="82">
        <v>123</v>
      </c>
      <c r="P1134" s="82">
        <v>993</v>
      </c>
      <c r="Q1134" s="82">
        <v>4366</v>
      </c>
      <c r="R1134" s="12" t="s">
        <v>25</v>
      </c>
      <c r="S1134" s="12" t="s">
        <v>25</v>
      </c>
      <c r="T1134" s="12" t="s">
        <v>25</v>
      </c>
    </row>
    <row r="1135" spans="1:20" x14ac:dyDescent="0.3">
      <c r="A1135" s="13">
        <v>43938.708333333336</v>
      </c>
      <c r="B1135" s="12" t="s">
        <v>22</v>
      </c>
      <c r="C1135" s="82">
        <v>5</v>
      </c>
      <c r="D1135" s="12" t="s">
        <v>61</v>
      </c>
      <c r="E1135" s="82">
        <v>4543490485</v>
      </c>
      <c r="F1135" s="82">
        <v>1233845213</v>
      </c>
      <c r="G1135" s="82">
        <v>1359</v>
      </c>
      <c r="H1135" s="82">
        <v>197</v>
      </c>
      <c r="I1135" s="82">
        <v>1556</v>
      </c>
      <c r="J1135" s="82">
        <v>9062</v>
      </c>
      <c r="K1135" s="82">
        <v>10618</v>
      </c>
      <c r="L1135" s="82">
        <v>-182</v>
      </c>
      <c r="M1135" s="82">
        <v>384</v>
      </c>
      <c r="N1135" s="82">
        <v>3730</v>
      </c>
      <c r="O1135" s="82">
        <v>1026</v>
      </c>
      <c r="P1135" s="82">
        <v>15374</v>
      </c>
      <c r="Q1135" s="82">
        <v>236722</v>
      </c>
      <c r="R1135" s="12" t="s">
        <v>25</v>
      </c>
      <c r="S1135" s="12" t="s">
        <v>25</v>
      </c>
      <c r="T1135" s="12" t="s">
        <v>25</v>
      </c>
    </row>
    <row r="1136" spans="1:20" x14ac:dyDescent="0.3">
      <c r="A1136" s="13">
        <v>43939.708333333336</v>
      </c>
      <c r="B1136" s="12" t="s">
        <v>22</v>
      </c>
      <c r="C1136" s="82">
        <v>13</v>
      </c>
      <c r="D1136" s="12" t="s">
        <v>42</v>
      </c>
      <c r="E1136" s="82">
        <v>4235122196</v>
      </c>
      <c r="F1136" s="82">
        <v>1339843823</v>
      </c>
      <c r="G1136" s="82">
        <v>321</v>
      </c>
      <c r="H1136" s="82">
        <v>41</v>
      </c>
      <c r="I1136" s="82">
        <v>362</v>
      </c>
      <c r="J1136" s="82">
        <v>1609</v>
      </c>
      <c r="K1136" s="82">
        <v>1971</v>
      </c>
      <c r="L1136" s="82">
        <v>29</v>
      </c>
      <c r="M1136" s="82">
        <v>44</v>
      </c>
      <c r="N1136" s="82">
        <v>263</v>
      </c>
      <c r="O1136" s="82">
        <v>253</v>
      </c>
      <c r="P1136" s="82">
        <v>2487</v>
      </c>
      <c r="Q1136" s="82">
        <v>27016</v>
      </c>
      <c r="R1136" s="12" t="s">
        <v>25</v>
      </c>
      <c r="S1136" s="12" t="s">
        <v>25</v>
      </c>
      <c r="T1136" s="12" t="s">
        <v>25</v>
      </c>
    </row>
    <row r="1137" spans="1:20" x14ac:dyDescent="0.3">
      <c r="A1137" s="13">
        <v>43939.708333333336</v>
      </c>
      <c r="B1137" s="12" t="s">
        <v>22</v>
      </c>
      <c r="C1137" s="82">
        <v>17</v>
      </c>
      <c r="D1137" s="12" t="s">
        <v>43</v>
      </c>
      <c r="E1137" s="82">
        <v>4063947052</v>
      </c>
      <c r="F1137" s="82">
        <v>1580514834</v>
      </c>
      <c r="G1137" s="82">
        <v>60</v>
      </c>
      <c r="H1137" s="82">
        <v>8</v>
      </c>
      <c r="I1137" s="82">
        <v>68</v>
      </c>
      <c r="J1137" s="82">
        <v>194</v>
      </c>
      <c r="K1137" s="82">
        <v>262</v>
      </c>
      <c r="L1137" s="82">
        <v>-4</v>
      </c>
      <c r="M1137" s="82">
        <v>2</v>
      </c>
      <c r="N1137" s="82">
        <v>54</v>
      </c>
      <c r="O1137" s="82">
        <v>23</v>
      </c>
      <c r="P1137" s="82">
        <v>339</v>
      </c>
      <c r="Q1137" s="82">
        <v>6056</v>
      </c>
      <c r="R1137" s="12" t="s">
        <v>25</v>
      </c>
      <c r="S1137" s="12" t="s">
        <v>25</v>
      </c>
      <c r="T1137" s="12" t="s">
        <v>25</v>
      </c>
    </row>
    <row r="1138" spans="1:20" x14ac:dyDescent="0.3">
      <c r="A1138" s="13">
        <v>43939.708333333336</v>
      </c>
      <c r="B1138" s="12" t="s">
        <v>22</v>
      </c>
      <c r="C1138" s="82">
        <v>4</v>
      </c>
      <c r="D1138" s="12" t="s">
        <v>44</v>
      </c>
      <c r="E1138" s="82">
        <v>4649933453</v>
      </c>
      <c r="F1138" s="82">
        <v>1135662422</v>
      </c>
      <c r="G1138" s="82">
        <v>179</v>
      </c>
      <c r="H1138" s="82">
        <v>28</v>
      </c>
      <c r="I1138" s="82">
        <v>207</v>
      </c>
      <c r="J1138" s="82">
        <v>1349</v>
      </c>
      <c r="K1138" s="82">
        <v>1556</v>
      </c>
      <c r="L1138" s="82">
        <v>-26</v>
      </c>
      <c r="M1138" s="82">
        <v>29</v>
      </c>
      <c r="N1138" s="82">
        <v>530</v>
      </c>
      <c r="O1138" s="82">
        <v>239</v>
      </c>
      <c r="P1138" s="82">
        <v>2325</v>
      </c>
      <c r="Q1138" s="82">
        <v>28888</v>
      </c>
      <c r="R1138" s="12" t="s">
        <v>25</v>
      </c>
      <c r="S1138" s="12" t="s">
        <v>25</v>
      </c>
      <c r="T1138" s="12" t="s">
        <v>25</v>
      </c>
    </row>
    <row r="1139" spans="1:20" x14ac:dyDescent="0.3">
      <c r="A1139" s="13">
        <v>43939.708333333336</v>
      </c>
      <c r="B1139" s="12" t="s">
        <v>22</v>
      </c>
      <c r="C1139" s="82">
        <v>18</v>
      </c>
      <c r="D1139" s="12" t="s">
        <v>45</v>
      </c>
      <c r="E1139" s="82">
        <v>3890597598</v>
      </c>
      <c r="F1139" s="82">
        <v>1659440194</v>
      </c>
      <c r="G1139" s="82">
        <v>152</v>
      </c>
      <c r="H1139" s="82">
        <v>7</v>
      </c>
      <c r="I1139" s="82">
        <v>159</v>
      </c>
      <c r="J1139" s="82">
        <v>673</v>
      </c>
      <c r="K1139" s="82">
        <v>832</v>
      </c>
      <c r="L1139" s="82">
        <v>13</v>
      </c>
      <c r="M1139" s="82">
        <v>20</v>
      </c>
      <c r="N1139" s="82">
        <v>106</v>
      </c>
      <c r="O1139" s="82">
        <v>73</v>
      </c>
      <c r="P1139" s="82">
        <v>1011</v>
      </c>
      <c r="Q1139" s="82">
        <v>22794</v>
      </c>
      <c r="R1139" s="12" t="s">
        <v>25</v>
      </c>
      <c r="S1139" s="12" t="s">
        <v>25</v>
      </c>
      <c r="T1139" s="12" t="s">
        <v>25</v>
      </c>
    </row>
    <row r="1140" spans="1:20" x14ac:dyDescent="0.3">
      <c r="A1140" s="13">
        <v>43939.708333333336</v>
      </c>
      <c r="B1140" s="12" t="s">
        <v>22</v>
      </c>
      <c r="C1140" s="82">
        <v>15</v>
      </c>
      <c r="D1140" s="12" t="s">
        <v>46</v>
      </c>
      <c r="E1140" s="82">
        <v>4083956555</v>
      </c>
      <c r="F1140" s="82">
        <v>1425084984</v>
      </c>
      <c r="G1140" s="82">
        <v>605</v>
      </c>
      <c r="H1140" s="82">
        <v>76</v>
      </c>
      <c r="I1140" s="82">
        <v>681</v>
      </c>
      <c r="J1140" s="82">
        <v>2364</v>
      </c>
      <c r="K1140" s="82">
        <v>3045</v>
      </c>
      <c r="L1140" s="82">
        <v>18</v>
      </c>
      <c r="M1140" s="82">
        <v>37</v>
      </c>
      <c r="N1140" s="82">
        <v>643</v>
      </c>
      <c r="O1140" s="82">
        <v>300</v>
      </c>
      <c r="P1140" s="82">
        <v>3988</v>
      </c>
      <c r="Q1140" s="82">
        <v>46294</v>
      </c>
      <c r="R1140" s="12" t="s">
        <v>25</v>
      </c>
      <c r="S1140" s="12" t="s">
        <v>25</v>
      </c>
      <c r="T1140" s="12" t="s">
        <v>25</v>
      </c>
    </row>
    <row r="1141" spans="1:20" x14ac:dyDescent="0.3">
      <c r="A1141" s="13">
        <v>43939.708333333336</v>
      </c>
      <c r="B1141" s="12" t="s">
        <v>22</v>
      </c>
      <c r="C1141" s="82">
        <v>8</v>
      </c>
      <c r="D1141" s="12" t="s">
        <v>95</v>
      </c>
      <c r="E1141" s="82">
        <v>4449436681</v>
      </c>
      <c r="F1141" s="82">
        <v>113417208</v>
      </c>
      <c r="G1141" s="82">
        <v>3234</v>
      </c>
      <c r="H1141" s="82">
        <v>296</v>
      </c>
      <c r="I1141" s="82">
        <v>3530</v>
      </c>
      <c r="J1141" s="82">
        <v>10054</v>
      </c>
      <c r="K1141" s="82">
        <v>13584</v>
      </c>
      <c r="L1141" s="82">
        <v>-1</v>
      </c>
      <c r="M1141" s="82">
        <v>350</v>
      </c>
      <c r="N1141" s="82">
        <v>5635</v>
      </c>
      <c r="O1141" s="82">
        <v>2965</v>
      </c>
      <c r="P1141" s="82">
        <v>22184</v>
      </c>
      <c r="Q1141" s="82">
        <v>121220</v>
      </c>
      <c r="R1141" s="12" t="s">
        <v>25</v>
      </c>
      <c r="S1141" s="12" t="s">
        <v>25</v>
      </c>
      <c r="T1141" s="12" t="s">
        <v>25</v>
      </c>
    </row>
    <row r="1142" spans="1:20" x14ac:dyDescent="0.3">
      <c r="A1142" s="13">
        <v>43939.708333333336</v>
      </c>
      <c r="B1142" s="12" t="s">
        <v>22</v>
      </c>
      <c r="C1142" s="82">
        <v>6</v>
      </c>
      <c r="D1142" s="12" t="s">
        <v>47</v>
      </c>
      <c r="E1142" s="82">
        <v>456494354</v>
      </c>
      <c r="F1142" s="82">
        <v>1376813649</v>
      </c>
      <c r="G1142" s="82">
        <v>141</v>
      </c>
      <c r="H1142" s="82">
        <v>27</v>
      </c>
      <c r="I1142" s="82">
        <v>168</v>
      </c>
      <c r="J1142" s="82">
        <v>1235</v>
      </c>
      <c r="K1142" s="82">
        <v>1403</v>
      </c>
      <c r="L1142" s="82">
        <v>-25</v>
      </c>
      <c r="M1142" s="82">
        <v>56</v>
      </c>
      <c r="N1142" s="82">
        <v>1106</v>
      </c>
      <c r="O1142" s="82">
        <v>222</v>
      </c>
      <c r="P1142" s="82">
        <v>2731</v>
      </c>
      <c r="Q1142" s="82">
        <v>43293</v>
      </c>
      <c r="R1142" s="12" t="s">
        <v>25</v>
      </c>
      <c r="S1142" s="12" t="s">
        <v>25</v>
      </c>
      <c r="T1142" s="12" t="s">
        <v>25</v>
      </c>
    </row>
    <row r="1143" spans="1:20" x14ac:dyDescent="0.3">
      <c r="A1143" s="13">
        <v>43939.708333333336</v>
      </c>
      <c r="B1143" s="12" t="s">
        <v>22</v>
      </c>
      <c r="C1143" s="82">
        <v>12</v>
      </c>
      <c r="D1143" s="12" t="s">
        <v>48</v>
      </c>
      <c r="E1143" s="82">
        <v>4189277044</v>
      </c>
      <c r="F1143" s="82">
        <v>1248366722</v>
      </c>
      <c r="G1143" s="82">
        <v>1376</v>
      </c>
      <c r="H1143" s="82">
        <v>186</v>
      </c>
      <c r="I1143" s="82">
        <v>1562</v>
      </c>
      <c r="J1143" s="82">
        <v>2720</v>
      </c>
      <c r="K1143" s="82">
        <v>4282</v>
      </c>
      <c r="L1143" s="82">
        <v>68</v>
      </c>
      <c r="M1143" s="82">
        <v>144</v>
      </c>
      <c r="N1143" s="82">
        <v>1046</v>
      </c>
      <c r="O1143" s="82">
        <v>340</v>
      </c>
      <c r="P1143" s="82">
        <v>5668</v>
      </c>
      <c r="Q1143" s="82">
        <v>89553</v>
      </c>
      <c r="R1143" s="12" t="s">
        <v>25</v>
      </c>
      <c r="S1143" s="12" t="s">
        <v>25</v>
      </c>
      <c r="T1143" s="12" t="s">
        <v>25</v>
      </c>
    </row>
    <row r="1144" spans="1:20" x14ac:dyDescent="0.3">
      <c r="A1144" s="13">
        <v>43939.708333333336</v>
      </c>
      <c r="B1144" s="12" t="s">
        <v>22</v>
      </c>
      <c r="C1144" s="82">
        <v>7</v>
      </c>
      <c r="D1144" s="12" t="s">
        <v>49</v>
      </c>
      <c r="E1144" s="82">
        <v>4441149315</v>
      </c>
      <c r="F1144" s="82">
        <v>89326992</v>
      </c>
      <c r="G1144" s="82">
        <v>901</v>
      </c>
      <c r="H1144" s="82">
        <v>105</v>
      </c>
      <c r="I1144" s="82">
        <v>1006</v>
      </c>
      <c r="J1144" s="82">
        <v>2406</v>
      </c>
      <c r="K1144" s="82">
        <v>3412</v>
      </c>
      <c r="L1144" s="82">
        <v>-47</v>
      </c>
      <c r="M1144" s="82">
        <v>113</v>
      </c>
      <c r="N1144" s="82">
        <v>1992</v>
      </c>
      <c r="O1144" s="82">
        <v>897</v>
      </c>
      <c r="P1144" s="82">
        <v>6301</v>
      </c>
      <c r="Q1144" s="82">
        <v>29322</v>
      </c>
      <c r="R1144" s="12" t="s">
        <v>25</v>
      </c>
      <c r="S1144" s="12" t="s">
        <v>25</v>
      </c>
      <c r="T1144" s="12" t="s">
        <v>25</v>
      </c>
    </row>
    <row r="1145" spans="1:20" x14ac:dyDescent="0.3">
      <c r="A1145" s="13">
        <v>43939.708333333336</v>
      </c>
      <c r="B1145" s="12" t="s">
        <v>22</v>
      </c>
      <c r="C1145" s="82">
        <v>3</v>
      </c>
      <c r="D1145" s="12" t="s">
        <v>50</v>
      </c>
      <c r="E1145" s="82">
        <v>4546679409</v>
      </c>
      <c r="F1145" s="82">
        <v>9190347404</v>
      </c>
      <c r="G1145" s="82">
        <v>10042</v>
      </c>
      <c r="H1145" s="82">
        <v>947</v>
      </c>
      <c r="I1145" s="82">
        <v>10989</v>
      </c>
      <c r="J1145" s="82">
        <v>23206</v>
      </c>
      <c r="K1145" s="82">
        <v>34195</v>
      </c>
      <c r="L1145" s="82">
        <v>761</v>
      </c>
      <c r="M1145" s="82">
        <v>1246</v>
      </c>
      <c r="N1145" s="82">
        <v>19136</v>
      </c>
      <c r="O1145" s="82">
        <v>12050</v>
      </c>
      <c r="P1145" s="82">
        <v>65381</v>
      </c>
      <c r="Q1145" s="82">
        <v>255331</v>
      </c>
      <c r="R1145" s="12" t="s">
        <v>25</v>
      </c>
      <c r="S1145" s="12" t="s">
        <v>25</v>
      </c>
      <c r="T1145" s="12" t="s">
        <v>25</v>
      </c>
    </row>
    <row r="1146" spans="1:20" x14ac:dyDescent="0.3">
      <c r="A1146" s="13">
        <v>43939.708333333336</v>
      </c>
      <c r="B1146" s="12" t="s">
        <v>22</v>
      </c>
      <c r="C1146" s="82">
        <v>11</v>
      </c>
      <c r="D1146" s="12" t="s">
        <v>51</v>
      </c>
      <c r="E1146" s="82">
        <v>4361675973</v>
      </c>
      <c r="F1146" s="82">
        <v>135188753</v>
      </c>
      <c r="G1146" s="82">
        <v>804</v>
      </c>
      <c r="H1146" s="82">
        <v>88</v>
      </c>
      <c r="I1146" s="82">
        <v>892</v>
      </c>
      <c r="J1146" s="82">
        <v>2280</v>
      </c>
      <c r="K1146" s="82">
        <v>3172</v>
      </c>
      <c r="L1146" s="82">
        <v>15</v>
      </c>
      <c r="M1146" s="82">
        <v>53</v>
      </c>
      <c r="N1146" s="82">
        <v>1754</v>
      </c>
      <c r="O1146" s="82">
        <v>795</v>
      </c>
      <c r="P1146" s="82">
        <v>5721</v>
      </c>
      <c r="Q1146" s="82">
        <v>39909</v>
      </c>
      <c r="R1146" s="12" t="s">
        <v>25</v>
      </c>
      <c r="S1146" s="12" t="s">
        <v>25</v>
      </c>
      <c r="T1146" s="12" t="s">
        <v>25</v>
      </c>
    </row>
    <row r="1147" spans="1:20" x14ac:dyDescent="0.3">
      <c r="A1147" s="13">
        <v>43939.708333333336</v>
      </c>
      <c r="B1147" s="12" t="s">
        <v>22</v>
      </c>
      <c r="C1147" s="82">
        <v>14</v>
      </c>
      <c r="D1147" s="12" t="s">
        <v>52</v>
      </c>
      <c r="E1147" s="82">
        <v>4155774754</v>
      </c>
      <c r="F1147" s="82">
        <v>1465916051</v>
      </c>
      <c r="G1147" s="82">
        <v>27</v>
      </c>
      <c r="H1147" s="82">
        <v>4</v>
      </c>
      <c r="I1147" s="82">
        <v>31</v>
      </c>
      <c r="J1147" s="82">
        <v>178</v>
      </c>
      <c r="K1147" s="82">
        <v>209</v>
      </c>
      <c r="L1147" s="82">
        <v>1</v>
      </c>
      <c r="M1147" s="82">
        <v>0</v>
      </c>
      <c r="N1147" s="82">
        <v>44</v>
      </c>
      <c r="O1147" s="82">
        <v>16</v>
      </c>
      <c r="P1147" s="82">
        <v>269</v>
      </c>
      <c r="Q1147" s="82">
        <v>3082</v>
      </c>
      <c r="R1147" s="12" t="s">
        <v>25</v>
      </c>
      <c r="S1147" s="12" t="s">
        <v>25</v>
      </c>
      <c r="T1147" s="12" t="s">
        <v>25</v>
      </c>
    </row>
    <row r="1148" spans="1:20" x14ac:dyDescent="0.3">
      <c r="A1148" s="13">
        <v>43939.708333333336</v>
      </c>
      <c r="B1148" s="12" t="s">
        <v>22</v>
      </c>
      <c r="C1148" s="82">
        <v>1</v>
      </c>
      <c r="D1148" s="12" t="s">
        <v>53</v>
      </c>
      <c r="E1148" s="82">
        <v>450732745</v>
      </c>
      <c r="F1148" s="82">
        <v>7680687483</v>
      </c>
      <c r="G1148" s="82">
        <v>3271</v>
      </c>
      <c r="H1148" s="82">
        <v>323</v>
      </c>
      <c r="I1148" s="82">
        <v>3594</v>
      </c>
      <c r="J1148" s="82">
        <v>10629</v>
      </c>
      <c r="K1148" s="82">
        <v>14223</v>
      </c>
      <c r="L1148" s="82">
        <v>225</v>
      </c>
      <c r="M1148" s="82">
        <v>661</v>
      </c>
      <c r="N1148" s="82">
        <v>3989</v>
      </c>
      <c r="O1148" s="82">
        <v>2252</v>
      </c>
      <c r="P1148" s="82">
        <v>20464</v>
      </c>
      <c r="Q1148" s="82">
        <v>91844</v>
      </c>
      <c r="R1148" s="12" t="s">
        <v>25</v>
      </c>
      <c r="S1148" s="12" t="s">
        <v>25</v>
      </c>
      <c r="T1148" s="12" t="s">
        <v>25</v>
      </c>
    </row>
    <row r="1149" spans="1:20" x14ac:dyDescent="0.3">
      <c r="A1149" s="13">
        <v>43939.708333333336</v>
      </c>
      <c r="B1149" s="12" t="s">
        <v>22</v>
      </c>
      <c r="C1149" s="82">
        <v>16</v>
      </c>
      <c r="D1149" s="12" t="s">
        <v>54</v>
      </c>
      <c r="E1149" s="82">
        <v>4112559576</v>
      </c>
      <c r="F1149" s="82">
        <v>1686736689</v>
      </c>
      <c r="G1149" s="82">
        <v>594</v>
      </c>
      <c r="H1149" s="82">
        <v>60</v>
      </c>
      <c r="I1149" s="82">
        <v>654</v>
      </c>
      <c r="J1149" s="82">
        <v>2040</v>
      </c>
      <c r="K1149" s="82">
        <v>2694</v>
      </c>
      <c r="L1149" s="82">
        <v>38</v>
      </c>
      <c r="M1149" s="82">
        <v>82</v>
      </c>
      <c r="N1149" s="82">
        <v>401</v>
      </c>
      <c r="O1149" s="82">
        <v>314</v>
      </c>
      <c r="P1149" s="82">
        <v>3409</v>
      </c>
      <c r="Q1149" s="82">
        <v>40423</v>
      </c>
      <c r="R1149" s="12" t="s">
        <v>25</v>
      </c>
      <c r="S1149" s="12" t="s">
        <v>25</v>
      </c>
      <c r="T1149" s="12" t="s">
        <v>25</v>
      </c>
    </row>
    <row r="1150" spans="1:20" x14ac:dyDescent="0.3">
      <c r="A1150" s="13">
        <v>43939.708333333336</v>
      </c>
      <c r="B1150" s="12" t="s">
        <v>22</v>
      </c>
      <c r="C1150" s="82">
        <v>20</v>
      </c>
      <c r="D1150" s="12" t="s">
        <v>55</v>
      </c>
      <c r="E1150" s="82">
        <v>3921531192</v>
      </c>
      <c r="F1150" s="82">
        <v>9110616306</v>
      </c>
      <c r="G1150" s="82">
        <v>112</v>
      </c>
      <c r="H1150" s="82">
        <v>23</v>
      </c>
      <c r="I1150" s="82">
        <v>135</v>
      </c>
      <c r="J1150" s="82">
        <v>746</v>
      </c>
      <c r="K1150" s="82">
        <v>881</v>
      </c>
      <c r="L1150" s="82">
        <v>9</v>
      </c>
      <c r="M1150" s="82">
        <v>20</v>
      </c>
      <c r="N1150" s="82">
        <v>231</v>
      </c>
      <c r="O1150" s="82">
        <v>86</v>
      </c>
      <c r="P1150" s="82">
        <v>1198</v>
      </c>
      <c r="Q1150" s="82">
        <v>14087</v>
      </c>
      <c r="R1150" s="12" t="s">
        <v>25</v>
      </c>
      <c r="S1150" s="12" t="s">
        <v>25</v>
      </c>
      <c r="T1150" s="12" t="s">
        <v>25</v>
      </c>
    </row>
    <row r="1151" spans="1:20" x14ac:dyDescent="0.3">
      <c r="A1151" s="13">
        <v>43939.708333333336</v>
      </c>
      <c r="B1151" s="12" t="s">
        <v>22</v>
      </c>
      <c r="C1151" s="82">
        <v>19</v>
      </c>
      <c r="D1151" s="12" t="s">
        <v>56</v>
      </c>
      <c r="E1151" s="82">
        <v>3811569725</v>
      </c>
      <c r="F1151" s="82">
        <v>133623567</v>
      </c>
      <c r="G1151" s="82">
        <v>526</v>
      </c>
      <c r="H1151" s="82">
        <v>42</v>
      </c>
      <c r="I1151" s="82">
        <v>568</v>
      </c>
      <c r="J1151" s="82">
        <v>1603</v>
      </c>
      <c r="K1151" s="82">
        <v>2171</v>
      </c>
      <c r="L1151" s="82">
        <v>32</v>
      </c>
      <c r="M1151" s="82">
        <v>47</v>
      </c>
      <c r="N1151" s="82">
        <v>305</v>
      </c>
      <c r="O1151" s="82">
        <v>196</v>
      </c>
      <c r="P1151" s="82">
        <v>2672</v>
      </c>
      <c r="Q1151" s="82">
        <v>47715</v>
      </c>
      <c r="R1151" s="12" t="s">
        <v>25</v>
      </c>
      <c r="S1151" s="12" t="s">
        <v>25</v>
      </c>
      <c r="T1151" s="12" t="s">
        <v>25</v>
      </c>
    </row>
    <row r="1152" spans="1:20" x14ac:dyDescent="0.3">
      <c r="A1152" s="13">
        <v>43939.708333333336</v>
      </c>
      <c r="B1152" s="12" t="s">
        <v>22</v>
      </c>
      <c r="C1152" s="82">
        <v>9</v>
      </c>
      <c r="D1152" s="12" t="s">
        <v>57</v>
      </c>
      <c r="E1152" s="82">
        <v>4376923077</v>
      </c>
      <c r="F1152" s="82">
        <v>1125588885</v>
      </c>
      <c r="G1152" s="82">
        <v>883</v>
      </c>
      <c r="H1152" s="82">
        <v>198</v>
      </c>
      <c r="I1152" s="82">
        <v>1081</v>
      </c>
      <c r="J1152" s="82">
        <v>5389</v>
      </c>
      <c r="K1152" s="82">
        <v>6470</v>
      </c>
      <c r="L1152" s="82">
        <v>-113</v>
      </c>
      <c r="M1152" s="82">
        <v>127</v>
      </c>
      <c r="N1152" s="82">
        <v>1149</v>
      </c>
      <c r="O1152" s="82">
        <v>618</v>
      </c>
      <c r="P1152" s="82">
        <v>8237</v>
      </c>
      <c r="Q1152" s="82">
        <v>99903</v>
      </c>
      <c r="R1152" s="12" t="s">
        <v>25</v>
      </c>
      <c r="S1152" s="12" t="s">
        <v>25</v>
      </c>
      <c r="T1152" s="12" t="s">
        <v>25</v>
      </c>
    </row>
    <row r="1153" spans="1:20" x14ac:dyDescent="0.3">
      <c r="A1153" s="13">
        <v>43939.708333333336</v>
      </c>
      <c r="B1153" s="12" t="s">
        <v>22</v>
      </c>
      <c r="C1153" s="82">
        <v>4</v>
      </c>
      <c r="D1153" s="12" t="s">
        <v>58</v>
      </c>
      <c r="E1153" s="82">
        <v>4606893511</v>
      </c>
      <c r="F1153" s="82">
        <v>1112123097</v>
      </c>
      <c r="G1153" s="82">
        <v>276</v>
      </c>
      <c r="H1153" s="82">
        <v>42</v>
      </c>
      <c r="I1153" s="82">
        <v>318</v>
      </c>
      <c r="J1153" s="82">
        <v>1667</v>
      </c>
      <c r="K1153" s="82">
        <v>1985</v>
      </c>
      <c r="L1153" s="82">
        <v>-5</v>
      </c>
      <c r="M1153" s="82">
        <v>55</v>
      </c>
      <c r="N1153" s="82">
        <v>1098</v>
      </c>
      <c r="O1153" s="82">
        <v>348</v>
      </c>
      <c r="P1153" s="82">
        <v>3431</v>
      </c>
      <c r="Q1153" s="82">
        <v>23147</v>
      </c>
      <c r="R1153" s="12" t="s">
        <v>25</v>
      </c>
      <c r="S1153" s="12" t="s">
        <v>25</v>
      </c>
      <c r="T1153" s="12" t="s">
        <v>25</v>
      </c>
    </row>
    <row r="1154" spans="1:20" x14ac:dyDescent="0.3">
      <c r="A1154" s="13">
        <v>43939.708333333336</v>
      </c>
      <c r="B1154" s="12" t="s">
        <v>22</v>
      </c>
      <c r="C1154" s="82">
        <v>10</v>
      </c>
      <c r="D1154" s="12" t="s">
        <v>59</v>
      </c>
      <c r="E1154" s="82">
        <v>4310675841</v>
      </c>
      <c r="F1154" s="82">
        <v>1238824698</v>
      </c>
      <c r="G1154" s="82">
        <v>109</v>
      </c>
      <c r="H1154" s="82">
        <v>32</v>
      </c>
      <c r="I1154" s="82">
        <v>141</v>
      </c>
      <c r="J1154" s="82">
        <v>290</v>
      </c>
      <c r="K1154" s="82">
        <v>431</v>
      </c>
      <c r="L1154" s="82">
        <v>-63</v>
      </c>
      <c r="M1154" s="82">
        <v>7</v>
      </c>
      <c r="N1154" s="82">
        <v>856</v>
      </c>
      <c r="O1154" s="82">
        <v>57</v>
      </c>
      <c r="P1154" s="82">
        <v>1344</v>
      </c>
      <c r="Q1154" s="82">
        <v>24106</v>
      </c>
      <c r="R1154" s="12" t="s">
        <v>25</v>
      </c>
      <c r="S1154" s="12" t="s">
        <v>25</v>
      </c>
      <c r="T1154" s="12" t="s">
        <v>25</v>
      </c>
    </row>
    <row r="1155" spans="1:20" x14ac:dyDescent="0.3">
      <c r="A1155" s="13">
        <v>43939.708333333336</v>
      </c>
      <c r="B1155" s="12" t="s">
        <v>22</v>
      </c>
      <c r="C1155" s="82">
        <v>2</v>
      </c>
      <c r="D1155" s="12" t="s">
        <v>60</v>
      </c>
      <c r="E1155" s="82">
        <v>4573750286</v>
      </c>
      <c r="F1155" s="82">
        <v>7320149366</v>
      </c>
      <c r="G1155" s="82">
        <v>107</v>
      </c>
      <c r="H1155" s="82">
        <v>10</v>
      </c>
      <c r="I1155" s="82">
        <v>117</v>
      </c>
      <c r="J1155" s="82">
        <v>432</v>
      </c>
      <c r="K1155" s="82">
        <v>549</v>
      </c>
      <c r="L1155" s="82">
        <v>58</v>
      </c>
      <c r="M1155" s="82">
        <v>80</v>
      </c>
      <c r="N1155" s="82">
        <v>400</v>
      </c>
      <c r="O1155" s="82">
        <v>124</v>
      </c>
      <c r="P1155" s="82">
        <v>1073</v>
      </c>
      <c r="Q1155" s="82">
        <v>4521</v>
      </c>
      <c r="R1155" s="12" t="s">
        <v>25</v>
      </c>
      <c r="S1155" s="12" t="s">
        <v>25</v>
      </c>
      <c r="T1155" s="12" t="s">
        <v>25</v>
      </c>
    </row>
    <row r="1156" spans="1:20" x14ac:dyDescent="0.3">
      <c r="A1156" s="13">
        <v>43939.708333333336</v>
      </c>
      <c r="B1156" s="12" t="s">
        <v>22</v>
      </c>
      <c r="C1156" s="82">
        <v>5</v>
      </c>
      <c r="D1156" s="12" t="s">
        <v>61</v>
      </c>
      <c r="E1156" s="82">
        <v>4543490485</v>
      </c>
      <c r="F1156" s="82">
        <v>1233845213</v>
      </c>
      <c r="G1156" s="82">
        <v>1287</v>
      </c>
      <c r="H1156" s="82">
        <v>190</v>
      </c>
      <c r="I1156" s="82">
        <v>1477</v>
      </c>
      <c r="J1156" s="82">
        <v>8967</v>
      </c>
      <c r="K1156" s="82">
        <v>10444</v>
      </c>
      <c r="L1156" s="82">
        <v>-174</v>
      </c>
      <c r="M1156" s="82">
        <v>318</v>
      </c>
      <c r="N1156" s="82">
        <v>4189</v>
      </c>
      <c r="O1156" s="82">
        <v>1059</v>
      </c>
      <c r="P1156" s="82">
        <v>15692</v>
      </c>
      <c r="Q1156" s="82">
        <v>247329</v>
      </c>
      <c r="R1156" s="12" t="s">
        <v>25</v>
      </c>
      <c r="S1156" s="12" t="s">
        <v>25</v>
      </c>
      <c r="T1156" s="12" t="s">
        <v>25</v>
      </c>
    </row>
    <row r="1157" spans="1:20" x14ac:dyDescent="0.3">
      <c r="A1157" s="13">
        <v>43940.708333333336</v>
      </c>
      <c r="B1157" s="12" t="s">
        <v>22</v>
      </c>
      <c r="C1157" s="82">
        <v>13</v>
      </c>
      <c r="D1157" s="12" t="s">
        <v>42</v>
      </c>
      <c r="E1157" s="82">
        <v>4235122196</v>
      </c>
      <c r="F1157" s="82">
        <v>1339843823</v>
      </c>
      <c r="G1157" s="82">
        <v>317</v>
      </c>
      <c r="H1157" s="82">
        <v>40</v>
      </c>
      <c r="I1157" s="82">
        <v>357</v>
      </c>
      <c r="J1157" s="82">
        <v>1630</v>
      </c>
      <c r="K1157" s="82">
        <v>1987</v>
      </c>
      <c r="L1157" s="82">
        <v>16</v>
      </c>
      <c r="M1157" s="82">
        <v>34</v>
      </c>
      <c r="N1157" s="82">
        <v>276</v>
      </c>
      <c r="O1157" s="82">
        <v>258</v>
      </c>
      <c r="P1157" s="82">
        <v>2521</v>
      </c>
      <c r="Q1157" s="82">
        <v>27791</v>
      </c>
      <c r="R1157" s="12" t="s">
        <v>199</v>
      </c>
      <c r="S1157" s="12" t="s">
        <v>25</v>
      </c>
      <c r="T1157" s="12" t="s">
        <v>25</v>
      </c>
    </row>
    <row r="1158" spans="1:20" x14ac:dyDescent="0.3">
      <c r="A1158" s="13">
        <v>43940.708333333336</v>
      </c>
      <c r="B1158" s="12" t="s">
        <v>22</v>
      </c>
      <c r="C1158" s="82">
        <v>17</v>
      </c>
      <c r="D1158" s="12" t="s">
        <v>43</v>
      </c>
      <c r="E1158" s="82">
        <v>4063947052</v>
      </c>
      <c r="F1158" s="82">
        <v>1580514834</v>
      </c>
      <c r="G1158" s="82">
        <v>59</v>
      </c>
      <c r="H1158" s="82">
        <v>8</v>
      </c>
      <c r="I1158" s="82">
        <v>67</v>
      </c>
      <c r="J1158" s="82">
        <v>180</v>
      </c>
      <c r="K1158" s="82">
        <v>247</v>
      </c>
      <c r="L1158" s="82">
        <v>-15</v>
      </c>
      <c r="M1158" s="82">
        <v>3</v>
      </c>
      <c r="N1158" s="82">
        <v>71</v>
      </c>
      <c r="O1158" s="82">
        <v>24</v>
      </c>
      <c r="P1158" s="82">
        <v>342</v>
      </c>
      <c r="Q1158" s="82">
        <v>6528</v>
      </c>
      <c r="R1158" s="12" t="s">
        <v>200</v>
      </c>
      <c r="S1158" s="12" t="s">
        <v>25</v>
      </c>
      <c r="T1158" s="12" t="s">
        <v>25</v>
      </c>
    </row>
    <row r="1159" spans="1:20" x14ac:dyDescent="0.3">
      <c r="A1159" s="13">
        <v>43940.708333333336</v>
      </c>
      <c r="B1159" s="12" t="s">
        <v>22</v>
      </c>
      <c r="C1159" s="82">
        <v>4</v>
      </c>
      <c r="D1159" s="12" t="s">
        <v>44</v>
      </c>
      <c r="E1159" s="82">
        <v>4649933453</v>
      </c>
      <c r="F1159" s="82">
        <v>1135662422</v>
      </c>
      <c r="G1159" s="82">
        <v>162</v>
      </c>
      <c r="H1159" s="82">
        <v>23</v>
      </c>
      <c r="I1159" s="82">
        <v>185</v>
      </c>
      <c r="J1159" s="82">
        <v>1381</v>
      </c>
      <c r="K1159" s="82">
        <v>1566</v>
      </c>
      <c r="L1159" s="82">
        <v>10</v>
      </c>
      <c r="M1159" s="82">
        <v>55</v>
      </c>
      <c r="N1159" s="82">
        <v>569</v>
      </c>
      <c r="O1159" s="82">
        <v>245</v>
      </c>
      <c r="P1159" s="82">
        <v>2380</v>
      </c>
      <c r="Q1159" s="82">
        <v>30361</v>
      </c>
      <c r="R1159" s="12" t="s">
        <v>201</v>
      </c>
      <c r="S1159" s="12" t="s">
        <v>25</v>
      </c>
      <c r="T1159" s="12" t="s">
        <v>25</v>
      </c>
    </row>
    <row r="1160" spans="1:20" x14ac:dyDescent="0.3">
      <c r="A1160" s="13">
        <v>43940.708333333336</v>
      </c>
      <c r="B1160" s="12" t="s">
        <v>22</v>
      </c>
      <c r="C1160" s="82">
        <v>18</v>
      </c>
      <c r="D1160" s="12" t="s">
        <v>45</v>
      </c>
      <c r="E1160" s="82">
        <v>3890597598</v>
      </c>
      <c r="F1160" s="82">
        <v>1659440194</v>
      </c>
      <c r="G1160" s="82">
        <v>142</v>
      </c>
      <c r="H1160" s="82">
        <v>6</v>
      </c>
      <c r="I1160" s="82">
        <v>148</v>
      </c>
      <c r="J1160" s="82">
        <v>696</v>
      </c>
      <c r="K1160" s="82">
        <v>844</v>
      </c>
      <c r="L1160" s="82">
        <v>12</v>
      </c>
      <c r="M1160" s="82">
        <v>24</v>
      </c>
      <c r="N1160" s="82">
        <v>116</v>
      </c>
      <c r="O1160" s="82">
        <v>75</v>
      </c>
      <c r="P1160" s="82">
        <v>1035</v>
      </c>
      <c r="Q1160" s="82">
        <v>23760</v>
      </c>
      <c r="R1160" s="12" t="s">
        <v>202</v>
      </c>
      <c r="S1160" s="12" t="s">
        <v>25</v>
      </c>
      <c r="T1160" s="12" t="s">
        <v>25</v>
      </c>
    </row>
    <row r="1161" spans="1:20" x14ac:dyDescent="0.3">
      <c r="A1161" s="13">
        <v>43940.708333333336</v>
      </c>
      <c r="B1161" s="12" t="s">
        <v>22</v>
      </c>
      <c r="C1161" s="82">
        <v>15</v>
      </c>
      <c r="D1161" s="12" t="s">
        <v>46</v>
      </c>
      <c r="E1161" s="82">
        <v>4083956555</v>
      </c>
      <c r="F1161" s="82">
        <v>1425084984</v>
      </c>
      <c r="G1161" s="82">
        <v>590</v>
      </c>
      <c r="H1161" s="82">
        <v>61</v>
      </c>
      <c r="I1161" s="82">
        <v>651</v>
      </c>
      <c r="J1161" s="82">
        <v>2371</v>
      </c>
      <c r="K1161" s="82">
        <v>3022</v>
      </c>
      <c r="L1161" s="82">
        <v>-23</v>
      </c>
      <c r="M1161" s="82">
        <v>41</v>
      </c>
      <c r="N1161" s="82">
        <v>703</v>
      </c>
      <c r="O1161" s="82">
        <v>304</v>
      </c>
      <c r="P1161" s="82">
        <v>4029</v>
      </c>
      <c r="Q1161" s="82">
        <v>48187</v>
      </c>
      <c r="R1161" s="12" t="s">
        <v>203</v>
      </c>
      <c r="S1161" s="12" t="s">
        <v>25</v>
      </c>
      <c r="T1161" s="12" t="s">
        <v>25</v>
      </c>
    </row>
    <row r="1162" spans="1:20" x14ac:dyDescent="0.3">
      <c r="A1162" s="13">
        <v>43940.708333333336</v>
      </c>
      <c r="B1162" s="12" t="s">
        <v>22</v>
      </c>
      <c r="C1162" s="82">
        <v>8</v>
      </c>
      <c r="D1162" s="12" t="s">
        <v>95</v>
      </c>
      <c r="E1162" s="82">
        <v>4449436681</v>
      </c>
      <c r="F1162" s="82">
        <v>113417208</v>
      </c>
      <c r="G1162" s="82">
        <v>3166</v>
      </c>
      <c r="H1162" s="82">
        <v>289</v>
      </c>
      <c r="I1162" s="82">
        <v>3455</v>
      </c>
      <c r="J1162" s="82">
        <v>10097</v>
      </c>
      <c r="K1162" s="82">
        <v>13552</v>
      </c>
      <c r="L1162" s="82">
        <v>-32</v>
      </c>
      <c r="M1162" s="82">
        <v>376</v>
      </c>
      <c r="N1162" s="82">
        <v>5985</v>
      </c>
      <c r="O1162" s="82">
        <v>3023</v>
      </c>
      <c r="P1162" s="82">
        <v>22560</v>
      </c>
      <c r="Q1162" s="82">
        <v>124916</v>
      </c>
      <c r="R1162" s="12" t="s">
        <v>204</v>
      </c>
      <c r="S1162" s="12" t="s">
        <v>25</v>
      </c>
      <c r="T1162" s="12" t="s">
        <v>25</v>
      </c>
    </row>
    <row r="1163" spans="1:20" x14ac:dyDescent="0.3">
      <c r="A1163" s="13">
        <v>43940.708333333336</v>
      </c>
      <c r="B1163" s="12" t="s">
        <v>22</v>
      </c>
      <c r="C1163" s="82">
        <v>6</v>
      </c>
      <c r="D1163" s="12" t="s">
        <v>47</v>
      </c>
      <c r="E1163" s="82">
        <v>456494354</v>
      </c>
      <c r="F1163" s="82">
        <v>1376813649</v>
      </c>
      <c r="G1163" s="82">
        <v>140</v>
      </c>
      <c r="H1163" s="82">
        <v>25</v>
      </c>
      <c r="I1163" s="82">
        <v>165</v>
      </c>
      <c r="J1163" s="82">
        <v>1172</v>
      </c>
      <c r="K1163" s="82">
        <v>1337</v>
      </c>
      <c r="L1163" s="82">
        <v>-66</v>
      </c>
      <c r="M1163" s="82">
        <v>14</v>
      </c>
      <c r="N1163" s="82">
        <v>1183</v>
      </c>
      <c r="O1163" s="82">
        <v>225</v>
      </c>
      <c r="P1163" s="82">
        <v>2745</v>
      </c>
      <c r="Q1163" s="82">
        <v>44622</v>
      </c>
      <c r="R1163" s="12" t="s">
        <v>205</v>
      </c>
      <c r="S1163" s="12" t="s">
        <v>25</v>
      </c>
      <c r="T1163" s="12" t="s">
        <v>25</v>
      </c>
    </row>
    <row r="1164" spans="1:20" x14ac:dyDescent="0.3">
      <c r="A1164" s="13">
        <v>43940.708333333336</v>
      </c>
      <c r="B1164" s="12" t="s">
        <v>22</v>
      </c>
      <c r="C1164" s="82">
        <v>12</v>
      </c>
      <c r="D1164" s="12" t="s">
        <v>48</v>
      </c>
      <c r="E1164" s="82">
        <v>4189277044</v>
      </c>
      <c r="F1164" s="82">
        <v>1248366722</v>
      </c>
      <c r="G1164" s="82">
        <v>1370</v>
      </c>
      <c r="H1164" s="82">
        <v>185</v>
      </c>
      <c r="I1164" s="82">
        <v>1555</v>
      </c>
      <c r="J1164" s="82">
        <v>2766</v>
      </c>
      <c r="K1164" s="82">
        <v>4321</v>
      </c>
      <c r="L1164" s="82">
        <v>39</v>
      </c>
      <c r="M1164" s="82">
        <v>87</v>
      </c>
      <c r="N1164" s="82">
        <v>1093</v>
      </c>
      <c r="O1164" s="82">
        <v>341</v>
      </c>
      <c r="P1164" s="82">
        <v>5755</v>
      </c>
      <c r="Q1164" s="82">
        <v>91807</v>
      </c>
      <c r="R1164" s="12" t="s">
        <v>206</v>
      </c>
      <c r="S1164" s="12" t="s">
        <v>25</v>
      </c>
      <c r="T1164" s="12" t="s">
        <v>25</v>
      </c>
    </row>
    <row r="1165" spans="1:20" x14ac:dyDescent="0.3">
      <c r="A1165" s="13">
        <v>43940.708333333336</v>
      </c>
      <c r="B1165" s="12" t="s">
        <v>22</v>
      </c>
      <c r="C1165" s="82">
        <v>7</v>
      </c>
      <c r="D1165" s="12" t="s">
        <v>49</v>
      </c>
      <c r="E1165" s="82">
        <v>4441149315</v>
      </c>
      <c r="F1165" s="82">
        <v>89326992</v>
      </c>
      <c r="G1165" s="82">
        <v>885</v>
      </c>
      <c r="H1165" s="82">
        <v>101</v>
      </c>
      <c r="I1165" s="82">
        <v>986</v>
      </c>
      <c r="J1165" s="82">
        <v>2504</v>
      </c>
      <c r="K1165" s="82">
        <v>3490</v>
      </c>
      <c r="L1165" s="82">
        <v>78</v>
      </c>
      <c r="M1165" s="82">
        <v>227</v>
      </c>
      <c r="N1165" s="82">
        <v>2110</v>
      </c>
      <c r="O1165" s="82">
        <v>928</v>
      </c>
      <c r="P1165" s="82">
        <v>6528</v>
      </c>
      <c r="Q1165" s="82">
        <v>31551</v>
      </c>
      <c r="R1165" s="12" t="s">
        <v>207</v>
      </c>
      <c r="S1165" s="12" t="s">
        <v>25</v>
      </c>
      <c r="T1165" s="12" t="s">
        <v>25</v>
      </c>
    </row>
    <row r="1166" spans="1:20" x14ac:dyDescent="0.3">
      <c r="A1166" s="13">
        <v>43940.708333333336</v>
      </c>
      <c r="B1166" s="12" t="s">
        <v>22</v>
      </c>
      <c r="C1166" s="82">
        <v>3</v>
      </c>
      <c r="D1166" s="12" t="s">
        <v>50</v>
      </c>
      <c r="E1166" s="82">
        <v>4546679409</v>
      </c>
      <c r="F1166" s="82">
        <v>9190347404</v>
      </c>
      <c r="G1166" s="82">
        <v>10342</v>
      </c>
      <c r="H1166" s="82">
        <v>922</v>
      </c>
      <c r="I1166" s="82">
        <v>11264</v>
      </c>
      <c r="J1166" s="82">
        <v>23233</v>
      </c>
      <c r="K1166" s="82">
        <v>34497</v>
      </c>
      <c r="L1166" s="82">
        <v>302</v>
      </c>
      <c r="M1166" s="82">
        <v>855</v>
      </c>
      <c r="N1166" s="82">
        <v>19526</v>
      </c>
      <c r="O1166" s="82">
        <v>12213</v>
      </c>
      <c r="P1166" s="82">
        <v>66236</v>
      </c>
      <c r="Q1166" s="82">
        <v>264155</v>
      </c>
      <c r="R1166" s="12" t="s">
        <v>208</v>
      </c>
      <c r="S1166" s="12" t="s">
        <v>25</v>
      </c>
      <c r="T1166" s="12" t="s">
        <v>25</v>
      </c>
    </row>
    <row r="1167" spans="1:20" x14ac:dyDescent="0.3">
      <c r="A1167" s="13">
        <v>43940.708333333336</v>
      </c>
      <c r="B1167" s="12" t="s">
        <v>22</v>
      </c>
      <c r="C1167" s="82">
        <v>11</v>
      </c>
      <c r="D1167" s="12" t="s">
        <v>51</v>
      </c>
      <c r="E1167" s="82">
        <v>4361675973</v>
      </c>
      <c r="F1167" s="82">
        <v>135188753</v>
      </c>
      <c r="G1167" s="82">
        <v>799</v>
      </c>
      <c r="H1167" s="82">
        <v>86</v>
      </c>
      <c r="I1167" s="82">
        <v>885</v>
      </c>
      <c r="J1167" s="82">
        <v>2297</v>
      </c>
      <c r="K1167" s="82">
        <v>3182</v>
      </c>
      <c r="L1167" s="82">
        <v>10</v>
      </c>
      <c r="M1167" s="82">
        <v>48</v>
      </c>
      <c r="N1167" s="82">
        <v>1780</v>
      </c>
      <c r="O1167" s="82">
        <v>807</v>
      </c>
      <c r="P1167" s="82">
        <v>5769</v>
      </c>
      <c r="Q1167" s="82">
        <v>41474</v>
      </c>
      <c r="R1167" s="12" t="s">
        <v>209</v>
      </c>
      <c r="S1167" s="12" t="s">
        <v>25</v>
      </c>
      <c r="T1167" s="12" t="s">
        <v>25</v>
      </c>
    </row>
    <row r="1168" spans="1:20" x14ac:dyDescent="0.3">
      <c r="A1168" s="13">
        <v>43940.708333333336</v>
      </c>
      <c r="B1168" s="12" t="s">
        <v>22</v>
      </c>
      <c r="C1168" s="82">
        <v>14</v>
      </c>
      <c r="D1168" s="12" t="s">
        <v>52</v>
      </c>
      <c r="E1168" s="82">
        <v>4155774754</v>
      </c>
      <c r="F1168" s="82">
        <v>1465916051</v>
      </c>
      <c r="G1168" s="82">
        <v>27</v>
      </c>
      <c r="H1168" s="82">
        <v>4</v>
      </c>
      <c r="I1168" s="82">
        <v>31</v>
      </c>
      <c r="J1168" s="82">
        <v>184</v>
      </c>
      <c r="K1168" s="82">
        <v>215</v>
      </c>
      <c r="L1168" s="82">
        <v>6</v>
      </c>
      <c r="M1168" s="82">
        <v>10</v>
      </c>
      <c r="N1168" s="82">
        <v>47</v>
      </c>
      <c r="O1168" s="82">
        <v>17</v>
      </c>
      <c r="P1168" s="82">
        <v>279</v>
      </c>
      <c r="Q1168" s="82">
        <v>3584</v>
      </c>
      <c r="R1168" s="12" t="s">
        <v>210</v>
      </c>
      <c r="S1168" s="12" t="s">
        <v>25</v>
      </c>
      <c r="T1168" s="12" t="s">
        <v>25</v>
      </c>
    </row>
    <row r="1169" spans="1:20" x14ac:dyDescent="0.3">
      <c r="A1169" s="13">
        <v>43940.708333333336</v>
      </c>
      <c r="B1169" s="12" t="s">
        <v>22</v>
      </c>
      <c r="C1169" s="82">
        <v>1</v>
      </c>
      <c r="D1169" s="12" t="s">
        <v>53</v>
      </c>
      <c r="E1169" s="82">
        <v>450732745</v>
      </c>
      <c r="F1169" s="82">
        <v>7680687483</v>
      </c>
      <c r="G1169" s="82">
        <v>3201</v>
      </c>
      <c r="H1169" s="82">
        <v>305</v>
      </c>
      <c r="I1169" s="82">
        <v>3506</v>
      </c>
      <c r="J1169" s="82">
        <v>10964</v>
      </c>
      <c r="K1169" s="82">
        <v>14470</v>
      </c>
      <c r="L1169" s="82">
        <v>247</v>
      </c>
      <c r="M1169" s="82">
        <v>593</v>
      </c>
      <c r="N1169" s="82">
        <v>4256</v>
      </c>
      <c r="O1169" s="82">
        <v>2331</v>
      </c>
      <c r="P1169" s="82">
        <v>21057</v>
      </c>
      <c r="Q1169" s="82">
        <v>96569</v>
      </c>
      <c r="R1169" s="12" t="s">
        <v>211</v>
      </c>
      <c r="S1169" s="12" t="s">
        <v>25</v>
      </c>
      <c r="T1169" s="12" t="s">
        <v>25</v>
      </c>
    </row>
    <row r="1170" spans="1:20" x14ac:dyDescent="0.3">
      <c r="A1170" s="13">
        <v>43940.708333333336</v>
      </c>
      <c r="B1170" s="12" t="s">
        <v>22</v>
      </c>
      <c r="C1170" s="82">
        <v>16</v>
      </c>
      <c r="D1170" s="12" t="s">
        <v>54</v>
      </c>
      <c r="E1170" s="82">
        <v>4112559576</v>
      </c>
      <c r="F1170" s="82">
        <v>1686736689</v>
      </c>
      <c r="G1170" s="82">
        <v>590</v>
      </c>
      <c r="H1170" s="82">
        <v>60</v>
      </c>
      <c r="I1170" s="82">
        <v>650</v>
      </c>
      <c r="J1170" s="82">
        <v>2136</v>
      </c>
      <c r="K1170" s="82">
        <v>2786</v>
      </c>
      <c r="L1170" s="82">
        <v>92</v>
      </c>
      <c r="M1170" s="82">
        <v>120</v>
      </c>
      <c r="N1170" s="82">
        <v>427</v>
      </c>
      <c r="O1170" s="82">
        <v>316</v>
      </c>
      <c r="P1170" s="82">
        <v>3529</v>
      </c>
      <c r="Q1170" s="82">
        <v>42598</v>
      </c>
      <c r="R1170" s="12" t="s">
        <v>212</v>
      </c>
      <c r="S1170" s="12" t="s">
        <v>25</v>
      </c>
      <c r="T1170" s="12" t="s">
        <v>25</v>
      </c>
    </row>
    <row r="1171" spans="1:20" x14ac:dyDescent="0.3">
      <c r="A1171" s="13">
        <v>43940.708333333336</v>
      </c>
      <c r="B1171" s="12" t="s">
        <v>22</v>
      </c>
      <c r="C1171" s="82">
        <v>20</v>
      </c>
      <c r="D1171" s="12" t="s">
        <v>55</v>
      </c>
      <c r="E1171" s="82">
        <v>3921531192</v>
      </c>
      <c r="F1171" s="82">
        <v>9110616306</v>
      </c>
      <c r="G1171" s="82">
        <v>117</v>
      </c>
      <c r="H1171" s="82">
        <v>22</v>
      </c>
      <c r="I1171" s="82">
        <v>139</v>
      </c>
      <c r="J1171" s="82">
        <v>725</v>
      </c>
      <c r="K1171" s="82">
        <v>864</v>
      </c>
      <c r="L1171" s="82">
        <v>-17</v>
      </c>
      <c r="M1171" s="82">
        <v>17</v>
      </c>
      <c r="N1171" s="82">
        <v>265</v>
      </c>
      <c r="O1171" s="82">
        <v>86</v>
      </c>
      <c r="P1171" s="82">
        <v>1215</v>
      </c>
      <c r="Q1171" s="82">
        <v>14859</v>
      </c>
      <c r="R1171" s="12" t="s">
        <v>213</v>
      </c>
      <c r="S1171" s="12" t="s">
        <v>25</v>
      </c>
      <c r="T1171" s="12" t="s">
        <v>25</v>
      </c>
    </row>
    <row r="1172" spans="1:20" x14ac:dyDescent="0.3">
      <c r="A1172" s="13">
        <v>43940.708333333336</v>
      </c>
      <c r="B1172" s="12" t="s">
        <v>22</v>
      </c>
      <c r="C1172" s="82">
        <v>19</v>
      </c>
      <c r="D1172" s="12" t="s">
        <v>56</v>
      </c>
      <c r="E1172" s="82">
        <v>3811569725</v>
      </c>
      <c r="F1172" s="82">
        <v>133623567</v>
      </c>
      <c r="G1172" s="82">
        <v>522</v>
      </c>
      <c r="H1172" s="82">
        <v>41</v>
      </c>
      <c r="I1172" s="82">
        <v>563</v>
      </c>
      <c r="J1172" s="82">
        <v>1639</v>
      </c>
      <c r="K1172" s="82">
        <v>2202</v>
      </c>
      <c r="L1172" s="82">
        <v>31</v>
      </c>
      <c r="M1172" s="82">
        <v>45</v>
      </c>
      <c r="N1172" s="82">
        <v>315</v>
      </c>
      <c r="O1172" s="82">
        <v>200</v>
      </c>
      <c r="P1172" s="82">
        <v>2717</v>
      </c>
      <c r="Q1172" s="82">
        <v>49772</v>
      </c>
      <c r="R1172" s="12" t="s">
        <v>214</v>
      </c>
      <c r="S1172" s="12" t="s">
        <v>25</v>
      </c>
      <c r="T1172" s="12" t="s">
        <v>25</v>
      </c>
    </row>
    <row r="1173" spans="1:20" x14ac:dyDescent="0.3">
      <c r="A1173" s="13">
        <v>43940.708333333336</v>
      </c>
      <c r="B1173" s="12" t="s">
        <v>22</v>
      </c>
      <c r="C1173" s="82">
        <v>9</v>
      </c>
      <c r="D1173" s="12" t="s">
        <v>57</v>
      </c>
      <c r="E1173" s="82">
        <v>4376923077</v>
      </c>
      <c r="F1173" s="82">
        <v>1125588885</v>
      </c>
      <c r="G1173" s="82">
        <v>852</v>
      </c>
      <c r="H1173" s="82">
        <v>192</v>
      </c>
      <c r="I1173" s="82">
        <v>1044</v>
      </c>
      <c r="J1173" s="82">
        <v>5452</v>
      </c>
      <c r="K1173" s="82">
        <v>6496</v>
      </c>
      <c r="L1173" s="82">
        <v>26</v>
      </c>
      <c r="M1173" s="82">
        <v>135</v>
      </c>
      <c r="N1173" s="82">
        <v>1239</v>
      </c>
      <c r="O1173" s="82">
        <v>637</v>
      </c>
      <c r="P1173" s="82">
        <v>8372</v>
      </c>
      <c r="Q1173" s="82">
        <v>103975</v>
      </c>
      <c r="R1173" s="12" t="s">
        <v>215</v>
      </c>
      <c r="S1173" s="12" t="s">
        <v>25</v>
      </c>
      <c r="T1173" s="12" t="s">
        <v>25</v>
      </c>
    </row>
    <row r="1174" spans="1:20" x14ac:dyDescent="0.3">
      <c r="A1174" s="13">
        <v>43940.708333333336</v>
      </c>
      <c r="B1174" s="12" t="s">
        <v>22</v>
      </c>
      <c r="C1174" s="82">
        <v>4</v>
      </c>
      <c r="D1174" s="12" t="s">
        <v>58</v>
      </c>
      <c r="E1174" s="82">
        <v>4606893511</v>
      </c>
      <c r="F1174" s="82">
        <v>1112123097</v>
      </c>
      <c r="G1174" s="82">
        <v>278</v>
      </c>
      <c r="H1174" s="82">
        <v>41</v>
      </c>
      <c r="I1174" s="82">
        <v>319</v>
      </c>
      <c r="J1174" s="82">
        <v>1652</v>
      </c>
      <c r="K1174" s="82">
        <v>1971</v>
      </c>
      <c r="L1174" s="82">
        <v>-14</v>
      </c>
      <c r="M1174" s="82">
        <v>101</v>
      </c>
      <c r="N1174" s="82">
        <v>1201</v>
      </c>
      <c r="O1174" s="82">
        <v>360</v>
      </c>
      <c r="P1174" s="82">
        <v>3532</v>
      </c>
      <c r="Q1174" s="82">
        <v>24388</v>
      </c>
      <c r="R1174" s="12" t="s">
        <v>216</v>
      </c>
      <c r="S1174" s="12" t="s">
        <v>25</v>
      </c>
      <c r="T1174" s="12" t="s">
        <v>25</v>
      </c>
    </row>
    <row r="1175" spans="1:20" x14ac:dyDescent="0.3">
      <c r="A1175" s="13">
        <v>43940.708333333336</v>
      </c>
      <c r="B1175" s="12" t="s">
        <v>22</v>
      </c>
      <c r="C1175" s="82">
        <v>10</v>
      </c>
      <c r="D1175" s="12" t="s">
        <v>59</v>
      </c>
      <c r="E1175" s="82">
        <v>4310675841</v>
      </c>
      <c r="F1175" s="82">
        <v>1238824698</v>
      </c>
      <c r="G1175" s="82">
        <v>108</v>
      </c>
      <c r="H1175" s="82">
        <v>30</v>
      </c>
      <c r="I1175" s="82">
        <v>138</v>
      </c>
      <c r="J1175" s="82">
        <v>298</v>
      </c>
      <c r="K1175" s="82">
        <v>436</v>
      </c>
      <c r="L1175" s="82">
        <v>5</v>
      </c>
      <c r="M1175" s="82">
        <v>4</v>
      </c>
      <c r="N1175" s="82">
        <v>854</v>
      </c>
      <c r="O1175" s="82">
        <v>58</v>
      </c>
      <c r="P1175" s="82">
        <v>1348</v>
      </c>
      <c r="Q1175" s="82">
        <v>25170</v>
      </c>
      <c r="R1175" s="12" t="s">
        <v>217</v>
      </c>
      <c r="S1175" s="12" t="s">
        <v>25</v>
      </c>
      <c r="T1175" s="12" t="s">
        <v>25</v>
      </c>
    </row>
    <row r="1176" spans="1:20" x14ac:dyDescent="0.3">
      <c r="A1176" s="13">
        <v>43940.708333333336</v>
      </c>
      <c r="B1176" s="12" t="s">
        <v>22</v>
      </c>
      <c r="C1176" s="82">
        <v>2</v>
      </c>
      <c r="D1176" s="12" t="s">
        <v>60</v>
      </c>
      <c r="E1176" s="82">
        <v>4573750286</v>
      </c>
      <c r="F1176" s="82">
        <v>7320149366</v>
      </c>
      <c r="G1176" s="82">
        <v>102</v>
      </c>
      <c r="H1176" s="82">
        <v>10</v>
      </c>
      <c r="I1176" s="82">
        <v>112</v>
      </c>
      <c r="J1176" s="82">
        <v>450</v>
      </c>
      <c r="K1176" s="82">
        <v>562</v>
      </c>
      <c r="L1176" s="82">
        <v>13</v>
      </c>
      <c r="M1176" s="82">
        <v>15</v>
      </c>
      <c r="N1176" s="82">
        <v>401</v>
      </c>
      <c r="O1176" s="82">
        <v>125</v>
      </c>
      <c r="P1176" s="82">
        <v>1088</v>
      </c>
      <c r="Q1176" s="82">
        <v>4677</v>
      </c>
      <c r="R1176" s="12" t="s">
        <v>218</v>
      </c>
      <c r="S1176" s="12" t="s">
        <v>25</v>
      </c>
      <c r="T1176" s="12" t="s">
        <v>25</v>
      </c>
    </row>
    <row r="1177" spans="1:20" x14ac:dyDescent="0.3">
      <c r="A1177" s="13">
        <v>43940.708333333336</v>
      </c>
      <c r="B1177" s="12" t="s">
        <v>22</v>
      </c>
      <c r="C1177" s="82">
        <v>5</v>
      </c>
      <c r="D1177" s="12" t="s">
        <v>61</v>
      </c>
      <c r="E1177" s="82">
        <v>4543490485</v>
      </c>
      <c r="F1177" s="82">
        <v>1233845213</v>
      </c>
      <c r="G1177" s="82">
        <v>1264</v>
      </c>
      <c r="H1177" s="82">
        <v>184</v>
      </c>
      <c r="I1177" s="82">
        <v>1448</v>
      </c>
      <c r="J1177" s="82">
        <v>8762</v>
      </c>
      <c r="K1177" s="82">
        <v>10210</v>
      </c>
      <c r="L1177" s="82">
        <v>-234</v>
      </c>
      <c r="M1177" s="82">
        <v>243</v>
      </c>
      <c r="N1177" s="82">
        <v>4638</v>
      </c>
      <c r="O1177" s="82">
        <v>1087</v>
      </c>
      <c r="P1177" s="82">
        <v>15935</v>
      </c>
      <c r="Q1177" s="82">
        <v>255797</v>
      </c>
      <c r="R1177" s="12" t="s">
        <v>219</v>
      </c>
      <c r="S1177" s="12" t="s">
        <v>25</v>
      </c>
      <c r="T1177" s="12" t="s">
        <v>25</v>
      </c>
    </row>
    <row r="1178" spans="1:20" x14ac:dyDescent="0.3">
      <c r="A1178" s="13">
        <v>43941.708333333336</v>
      </c>
      <c r="B1178" s="12" t="s">
        <v>22</v>
      </c>
      <c r="C1178" s="82">
        <v>13</v>
      </c>
      <c r="D1178" s="12" t="s">
        <v>42</v>
      </c>
      <c r="E1178" s="82">
        <v>4235122196</v>
      </c>
      <c r="F1178" s="82">
        <v>1339843823</v>
      </c>
      <c r="G1178" s="82">
        <v>320</v>
      </c>
      <c r="H1178" s="82">
        <v>38</v>
      </c>
      <c r="I1178" s="82">
        <v>358</v>
      </c>
      <c r="J1178" s="82">
        <v>1704</v>
      </c>
      <c r="K1178" s="82">
        <v>2062</v>
      </c>
      <c r="L1178" s="82">
        <v>75</v>
      </c>
      <c r="M1178" s="82">
        <v>91</v>
      </c>
      <c r="N1178" s="82">
        <v>287</v>
      </c>
      <c r="O1178" s="82">
        <v>263</v>
      </c>
      <c r="P1178" s="82">
        <v>2612</v>
      </c>
      <c r="Q1178" s="82">
        <v>27942</v>
      </c>
      <c r="R1178" s="12" t="s">
        <v>220</v>
      </c>
      <c r="S1178" s="12" t="s">
        <v>25</v>
      </c>
      <c r="T1178" s="12" t="s">
        <v>25</v>
      </c>
    </row>
    <row r="1179" spans="1:20" x14ac:dyDescent="0.3">
      <c r="A1179" s="13">
        <v>43941.708333333336</v>
      </c>
      <c r="B1179" s="12" t="s">
        <v>22</v>
      </c>
      <c r="C1179" s="82">
        <v>17</v>
      </c>
      <c r="D1179" s="12" t="s">
        <v>43</v>
      </c>
      <c r="E1179" s="82">
        <v>4063947052</v>
      </c>
      <c r="F1179" s="82">
        <v>1580514834</v>
      </c>
      <c r="G1179" s="82">
        <v>59</v>
      </c>
      <c r="H1179" s="82">
        <v>7</v>
      </c>
      <c r="I1179" s="82">
        <v>66</v>
      </c>
      <c r="J1179" s="82">
        <v>176</v>
      </c>
      <c r="K1179" s="82">
        <v>242</v>
      </c>
      <c r="L1179" s="82">
        <v>-5</v>
      </c>
      <c r="M1179" s="82">
        <v>0</v>
      </c>
      <c r="N1179" s="82">
        <v>76</v>
      </c>
      <c r="O1179" s="82">
        <v>24</v>
      </c>
      <c r="P1179" s="82">
        <v>342</v>
      </c>
      <c r="Q1179" s="82">
        <v>6868</v>
      </c>
      <c r="R1179" s="12" t="s">
        <v>221</v>
      </c>
      <c r="S1179" s="12" t="s">
        <v>25</v>
      </c>
      <c r="T1179" s="12" t="s">
        <v>25</v>
      </c>
    </row>
    <row r="1180" spans="1:20" x14ac:dyDescent="0.3">
      <c r="A1180" s="13">
        <v>43941.708333333336</v>
      </c>
      <c r="B1180" s="12" t="s">
        <v>22</v>
      </c>
      <c r="C1180" s="82">
        <v>4</v>
      </c>
      <c r="D1180" s="12" t="s">
        <v>44</v>
      </c>
      <c r="E1180" s="82">
        <v>4649933453</v>
      </c>
      <c r="F1180" s="82">
        <v>1135662422</v>
      </c>
      <c r="G1180" s="82">
        <v>160</v>
      </c>
      <c r="H1180" s="82">
        <v>19</v>
      </c>
      <c r="I1180" s="82">
        <v>179</v>
      </c>
      <c r="J1180" s="82">
        <v>1361</v>
      </c>
      <c r="K1180" s="82">
        <v>1540</v>
      </c>
      <c r="L1180" s="82">
        <v>-26</v>
      </c>
      <c r="M1180" s="82">
        <v>14</v>
      </c>
      <c r="N1180" s="82">
        <v>605</v>
      </c>
      <c r="O1180" s="82">
        <v>249</v>
      </c>
      <c r="P1180" s="82">
        <v>2394</v>
      </c>
      <c r="Q1180" s="82">
        <v>31381</v>
      </c>
      <c r="R1180" s="12" t="s">
        <v>222</v>
      </c>
      <c r="S1180" s="12" t="s">
        <v>25</v>
      </c>
      <c r="T1180" s="12" t="s">
        <v>25</v>
      </c>
    </row>
    <row r="1181" spans="1:20" x14ac:dyDescent="0.3">
      <c r="A1181" s="13">
        <v>43941.708333333336</v>
      </c>
      <c r="B1181" s="12" t="s">
        <v>22</v>
      </c>
      <c r="C1181" s="82">
        <v>18</v>
      </c>
      <c r="D1181" s="12" t="s">
        <v>45</v>
      </c>
      <c r="E1181" s="82">
        <v>3890597598</v>
      </c>
      <c r="F1181" s="82">
        <v>1659440194</v>
      </c>
      <c r="G1181" s="82">
        <v>140</v>
      </c>
      <c r="H1181" s="82">
        <v>7</v>
      </c>
      <c r="I1181" s="82">
        <v>147</v>
      </c>
      <c r="J1181" s="82">
        <v>681</v>
      </c>
      <c r="K1181" s="82">
        <v>828</v>
      </c>
      <c r="L1181" s="82">
        <v>-16</v>
      </c>
      <c r="M1181" s="82">
        <v>3</v>
      </c>
      <c r="N1181" s="82">
        <v>135</v>
      </c>
      <c r="O1181" s="82">
        <v>75</v>
      </c>
      <c r="P1181" s="82">
        <v>1038</v>
      </c>
      <c r="Q1181" s="82">
        <v>24373</v>
      </c>
      <c r="R1181" s="12" t="s">
        <v>223</v>
      </c>
      <c r="S1181" s="12" t="s">
        <v>25</v>
      </c>
      <c r="T1181" s="12" t="s">
        <v>25</v>
      </c>
    </row>
    <row r="1182" spans="1:20" x14ac:dyDescent="0.3">
      <c r="A1182" s="13">
        <v>43941.708333333336</v>
      </c>
      <c r="B1182" s="12" t="s">
        <v>22</v>
      </c>
      <c r="C1182" s="82">
        <v>15</v>
      </c>
      <c r="D1182" s="12" t="s">
        <v>46</v>
      </c>
      <c r="E1182" s="82">
        <v>4083956555</v>
      </c>
      <c r="F1182" s="82">
        <v>1425084984</v>
      </c>
      <c r="G1182" s="82">
        <v>586</v>
      </c>
      <c r="H1182" s="82">
        <v>61</v>
      </c>
      <c r="I1182" s="82">
        <v>647</v>
      </c>
      <c r="J1182" s="82">
        <v>2372</v>
      </c>
      <c r="K1182" s="82">
        <v>3019</v>
      </c>
      <c r="L1182" s="82">
        <v>-3</v>
      </c>
      <c r="M1182" s="82">
        <v>45</v>
      </c>
      <c r="N1182" s="82">
        <v>746</v>
      </c>
      <c r="O1182" s="82">
        <v>309</v>
      </c>
      <c r="P1182" s="82">
        <v>4074</v>
      </c>
      <c r="Q1182" s="82">
        <v>51090</v>
      </c>
      <c r="R1182" s="12" t="s">
        <v>224</v>
      </c>
      <c r="S1182" s="12" t="s">
        <v>25</v>
      </c>
      <c r="T1182" s="12" t="s">
        <v>25</v>
      </c>
    </row>
    <row r="1183" spans="1:20" x14ac:dyDescent="0.3">
      <c r="A1183" s="13">
        <v>43941.708333333336</v>
      </c>
      <c r="B1183" s="12" t="s">
        <v>22</v>
      </c>
      <c r="C1183" s="82">
        <v>8</v>
      </c>
      <c r="D1183" s="12" t="s">
        <v>95</v>
      </c>
      <c r="E1183" s="82">
        <v>4449436681</v>
      </c>
      <c r="F1183" s="82">
        <v>113417208</v>
      </c>
      <c r="G1183" s="82">
        <v>3144</v>
      </c>
      <c r="H1183" s="82">
        <v>283</v>
      </c>
      <c r="I1183" s="82">
        <v>3427</v>
      </c>
      <c r="J1183" s="82">
        <v>10095</v>
      </c>
      <c r="K1183" s="82">
        <v>13522</v>
      </c>
      <c r="L1183" s="82">
        <v>-30</v>
      </c>
      <c r="M1183" s="82">
        <v>307</v>
      </c>
      <c r="N1183" s="82">
        <v>6266</v>
      </c>
      <c r="O1183" s="82">
        <v>3079</v>
      </c>
      <c r="P1183" s="82">
        <v>22867</v>
      </c>
      <c r="Q1183" s="82">
        <v>129530</v>
      </c>
      <c r="R1183" s="12" t="s">
        <v>225</v>
      </c>
      <c r="S1183" s="12" t="s">
        <v>25</v>
      </c>
      <c r="T1183" s="12" t="s">
        <v>25</v>
      </c>
    </row>
    <row r="1184" spans="1:20" x14ac:dyDescent="0.3">
      <c r="A1184" s="13">
        <v>43941.708333333336</v>
      </c>
      <c r="B1184" s="12" t="s">
        <v>22</v>
      </c>
      <c r="C1184" s="82">
        <v>6</v>
      </c>
      <c r="D1184" s="12" t="s">
        <v>47</v>
      </c>
      <c r="E1184" s="82">
        <v>456494354</v>
      </c>
      <c r="F1184" s="82">
        <v>1376813649</v>
      </c>
      <c r="G1184" s="82">
        <v>140</v>
      </c>
      <c r="H1184" s="82">
        <v>22</v>
      </c>
      <c r="I1184" s="82">
        <v>162</v>
      </c>
      <c r="J1184" s="82">
        <v>1028</v>
      </c>
      <c r="K1184" s="82">
        <v>1190</v>
      </c>
      <c r="L1184" s="82">
        <v>-147</v>
      </c>
      <c r="M1184" s="82">
        <v>30</v>
      </c>
      <c r="N1184" s="82">
        <v>1346</v>
      </c>
      <c r="O1184" s="82">
        <v>239</v>
      </c>
      <c r="P1184" s="82">
        <v>2775</v>
      </c>
      <c r="Q1184" s="82">
        <v>45161</v>
      </c>
      <c r="R1184" s="12" t="s">
        <v>226</v>
      </c>
      <c r="S1184" s="12" t="s">
        <v>25</v>
      </c>
      <c r="T1184" s="12" t="s">
        <v>25</v>
      </c>
    </row>
    <row r="1185" spans="1:20" x14ac:dyDescent="0.3">
      <c r="A1185" s="13">
        <v>43941.708333333336</v>
      </c>
      <c r="B1185" s="12" t="s">
        <v>22</v>
      </c>
      <c r="C1185" s="82">
        <v>12</v>
      </c>
      <c r="D1185" s="12" t="s">
        <v>48</v>
      </c>
      <c r="E1185" s="82">
        <v>4189277044</v>
      </c>
      <c r="F1185" s="82">
        <v>1248366722</v>
      </c>
      <c r="G1185" s="82">
        <v>1388</v>
      </c>
      <c r="H1185" s="82">
        <v>185</v>
      </c>
      <c r="I1185" s="82">
        <v>1573</v>
      </c>
      <c r="J1185" s="82">
        <v>2792</v>
      </c>
      <c r="K1185" s="82">
        <v>4365</v>
      </c>
      <c r="L1185" s="82">
        <v>44</v>
      </c>
      <c r="M1185" s="82">
        <v>60</v>
      </c>
      <c r="N1185" s="82">
        <v>1101</v>
      </c>
      <c r="O1185" s="82">
        <v>349</v>
      </c>
      <c r="P1185" s="82">
        <v>5815</v>
      </c>
      <c r="Q1185" s="82">
        <v>97823</v>
      </c>
      <c r="R1185" s="12" t="s">
        <v>227</v>
      </c>
      <c r="S1185" s="12" t="s">
        <v>25</v>
      </c>
      <c r="T1185" s="12" t="s">
        <v>25</v>
      </c>
    </row>
    <row r="1186" spans="1:20" x14ac:dyDescent="0.3">
      <c r="A1186" s="13">
        <v>43941.708333333336</v>
      </c>
      <c r="B1186" s="12" t="s">
        <v>22</v>
      </c>
      <c r="C1186" s="82">
        <v>7</v>
      </c>
      <c r="D1186" s="12" t="s">
        <v>49</v>
      </c>
      <c r="E1186" s="82">
        <v>4441149315</v>
      </c>
      <c r="F1186" s="82">
        <v>89326992</v>
      </c>
      <c r="G1186" s="82">
        <v>878</v>
      </c>
      <c r="H1186" s="82">
        <v>102</v>
      </c>
      <c r="I1186" s="82">
        <v>980</v>
      </c>
      <c r="J1186" s="82">
        <v>2516</v>
      </c>
      <c r="K1186" s="82">
        <v>3496</v>
      </c>
      <c r="L1186" s="82">
        <v>6</v>
      </c>
      <c r="M1186" s="82">
        <v>141</v>
      </c>
      <c r="N1186" s="82">
        <v>2216</v>
      </c>
      <c r="O1186" s="82">
        <v>957</v>
      </c>
      <c r="P1186" s="82">
        <v>6669</v>
      </c>
      <c r="Q1186" s="82">
        <v>33007</v>
      </c>
      <c r="R1186" s="12" t="s">
        <v>228</v>
      </c>
      <c r="S1186" s="12" t="s">
        <v>25</v>
      </c>
      <c r="T1186" s="12" t="s">
        <v>25</v>
      </c>
    </row>
    <row r="1187" spans="1:20" x14ac:dyDescent="0.3">
      <c r="A1187" s="13">
        <v>43941.708333333336</v>
      </c>
      <c r="B1187" s="12" t="s">
        <v>22</v>
      </c>
      <c r="C1187" s="82">
        <v>3</v>
      </c>
      <c r="D1187" s="12" t="s">
        <v>50</v>
      </c>
      <c r="E1187" s="82">
        <v>4546679409</v>
      </c>
      <c r="F1187" s="82">
        <v>9190347404</v>
      </c>
      <c r="G1187" s="82">
        <v>10138</v>
      </c>
      <c r="H1187" s="82">
        <v>901</v>
      </c>
      <c r="I1187" s="82">
        <v>11039</v>
      </c>
      <c r="J1187" s="82">
        <v>23548</v>
      </c>
      <c r="K1187" s="82">
        <v>34587</v>
      </c>
      <c r="L1187" s="82">
        <v>90</v>
      </c>
      <c r="M1187" s="82">
        <v>735</v>
      </c>
      <c r="N1187" s="82">
        <v>20008</v>
      </c>
      <c r="O1187" s="82">
        <v>12376</v>
      </c>
      <c r="P1187" s="82">
        <v>66971</v>
      </c>
      <c r="Q1187" s="82">
        <v>270486</v>
      </c>
      <c r="R1187" s="12" t="s">
        <v>229</v>
      </c>
      <c r="S1187" s="12" t="s">
        <v>230</v>
      </c>
      <c r="T1187" s="12" t="s">
        <v>231</v>
      </c>
    </row>
    <row r="1188" spans="1:20" x14ac:dyDescent="0.3">
      <c r="A1188" s="13">
        <v>43941.708333333336</v>
      </c>
      <c r="B1188" s="12" t="s">
        <v>22</v>
      </c>
      <c r="C1188" s="82">
        <v>11</v>
      </c>
      <c r="D1188" s="12" t="s">
        <v>51</v>
      </c>
      <c r="E1188" s="82">
        <v>4361675973</v>
      </c>
      <c r="F1188" s="82">
        <v>135188753</v>
      </c>
      <c r="G1188" s="82">
        <v>792</v>
      </c>
      <c r="H1188" s="82">
        <v>80</v>
      </c>
      <c r="I1188" s="82">
        <v>872</v>
      </c>
      <c r="J1188" s="82">
        <v>2340</v>
      </c>
      <c r="K1188" s="82">
        <v>3212</v>
      </c>
      <c r="L1188" s="82">
        <v>30</v>
      </c>
      <c r="M1188" s="82">
        <v>57</v>
      </c>
      <c r="N1188" s="82">
        <v>1792</v>
      </c>
      <c r="O1188" s="82">
        <v>822</v>
      </c>
      <c r="P1188" s="82">
        <v>5826</v>
      </c>
      <c r="Q1188" s="82">
        <v>42782</v>
      </c>
      <c r="R1188" s="12" t="s">
        <v>232</v>
      </c>
      <c r="S1188" s="12" t="s">
        <v>25</v>
      </c>
      <c r="T1188" s="12" t="s">
        <v>25</v>
      </c>
    </row>
    <row r="1189" spans="1:20" x14ac:dyDescent="0.3">
      <c r="A1189" s="13">
        <v>43941.708333333336</v>
      </c>
      <c r="B1189" s="12" t="s">
        <v>22</v>
      </c>
      <c r="C1189" s="82">
        <v>14</v>
      </c>
      <c r="D1189" s="12" t="s">
        <v>52</v>
      </c>
      <c r="E1189" s="82">
        <v>4155774754</v>
      </c>
      <c r="F1189" s="82">
        <v>1465916051</v>
      </c>
      <c r="G1189" s="82">
        <v>27</v>
      </c>
      <c r="H1189" s="82">
        <v>2</v>
      </c>
      <c r="I1189" s="82">
        <v>29</v>
      </c>
      <c r="J1189" s="82">
        <v>184</v>
      </c>
      <c r="K1189" s="82">
        <v>213</v>
      </c>
      <c r="L1189" s="82">
        <v>-2</v>
      </c>
      <c r="M1189" s="82">
        <v>2</v>
      </c>
      <c r="N1189" s="82">
        <v>50</v>
      </c>
      <c r="O1189" s="82">
        <v>18</v>
      </c>
      <c r="P1189" s="82">
        <v>281</v>
      </c>
      <c r="Q1189" s="82">
        <v>3783</v>
      </c>
      <c r="R1189" s="12" t="s">
        <v>233</v>
      </c>
      <c r="S1189" s="12" t="s">
        <v>25</v>
      </c>
      <c r="T1189" s="12" t="s">
        <v>25</v>
      </c>
    </row>
    <row r="1190" spans="1:20" x14ac:dyDescent="0.3">
      <c r="A1190" s="13">
        <v>43941.708333333336</v>
      </c>
      <c r="B1190" s="12" t="s">
        <v>22</v>
      </c>
      <c r="C1190" s="82">
        <v>1</v>
      </c>
      <c r="D1190" s="12" t="s">
        <v>53</v>
      </c>
      <c r="E1190" s="82">
        <v>450732745</v>
      </c>
      <c r="F1190" s="82">
        <v>7680687483</v>
      </c>
      <c r="G1190" s="82">
        <v>3299</v>
      </c>
      <c r="H1190" s="82">
        <v>301</v>
      </c>
      <c r="I1190" s="82">
        <v>3600</v>
      </c>
      <c r="J1190" s="82">
        <v>10957</v>
      </c>
      <c r="K1190" s="82">
        <v>14557</v>
      </c>
      <c r="L1190" s="82">
        <v>87</v>
      </c>
      <c r="M1190" s="82">
        <v>292</v>
      </c>
      <c r="N1190" s="82">
        <v>4383</v>
      </c>
      <c r="O1190" s="82">
        <v>2409</v>
      </c>
      <c r="P1190" s="82">
        <v>21349</v>
      </c>
      <c r="Q1190" s="82">
        <v>99669</v>
      </c>
      <c r="R1190" s="12" t="s">
        <v>234</v>
      </c>
      <c r="S1190" s="12" t="s">
        <v>25</v>
      </c>
      <c r="T1190" s="12" t="s">
        <v>25</v>
      </c>
    </row>
    <row r="1191" spans="1:20" x14ac:dyDescent="0.3">
      <c r="A1191" s="13">
        <v>43941.708333333336</v>
      </c>
      <c r="B1191" s="12" t="s">
        <v>22</v>
      </c>
      <c r="C1191" s="82">
        <v>16</v>
      </c>
      <c r="D1191" s="12" t="s">
        <v>54</v>
      </c>
      <c r="E1191" s="82">
        <v>4112559576</v>
      </c>
      <c r="F1191" s="82">
        <v>1686736689</v>
      </c>
      <c r="G1191" s="82">
        <v>584</v>
      </c>
      <c r="H1191" s="82">
        <v>66</v>
      </c>
      <c r="I1191" s="82">
        <v>650</v>
      </c>
      <c r="J1191" s="82">
        <v>2160</v>
      </c>
      <c r="K1191" s="82">
        <v>2810</v>
      </c>
      <c r="L1191" s="82">
        <v>24</v>
      </c>
      <c r="M1191" s="82">
        <v>38</v>
      </c>
      <c r="N1191" s="82">
        <v>431</v>
      </c>
      <c r="O1191" s="82">
        <v>326</v>
      </c>
      <c r="P1191" s="82">
        <v>3567</v>
      </c>
      <c r="Q1191" s="82">
        <v>44189</v>
      </c>
      <c r="R1191" s="12" t="s">
        <v>235</v>
      </c>
      <c r="S1191" s="12" t="s">
        <v>25</v>
      </c>
      <c r="T1191" s="12" t="s">
        <v>25</v>
      </c>
    </row>
    <row r="1192" spans="1:20" x14ac:dyDescent="0.3">
      <c r="A1192" s="13">
        <v>43941.708333333336</v>
      </c>
      <c r="B1192" s="12" t="s">
        <v>22</v>
      </c>
      <c r="C1192" s="82">
        <v>20</v>
      </c>
      <c r="D1192" s="12" t="s">
        <v>55</v>
      </c>
      <c r="E1192" s="82">
        <v>3921531192</v>
      </c>
      <c r="F1192" s="82">
        <v>9110616306</v>
      </c>
      <c r="G1192" s="82">
        <v>115</v>
      </c>
      <c r="H1192" s="82">
        <v>21</v>
      </c>
      <c r="I1192" s="82">
        <v>136</v>
      </c>
      <c r="J1192" s="82">
        <v>718</v>
      </c>
      <c r="K1192" s="82">
        <v>854</v>
      </c>
      <c r="L1192" s="82">
        <v>-10</v>
      </c>
      <c r="M1192" s="82">
        <v>13</v>
      </c>
      <c r="N1192" s="82">
        <v>288</v>
      </c>
      <c r="O1192" s="82">
        <v>86</v>
      </c>
      <c r="P1192" s="82">
        <v>1228</v>
      </c>
      <c r="Q1192" s="82">
        <v>15328</v>
      </c>
      <c r="R1192" s="12" t="s">
        <v>236</v>
      </c>
      <c r="S1192" s="12" t="s">
        <v>25</v>
      </c>
      <c r="T1192" s="12" t="s">
        <v>25</v>
      </c>
    </row>
    <row r="1193" spans="1:20" x14ac:dyDescent="0.3">
      <c r="A1193" s="13">
        <v>43941.708333333336</v>
      </c>
      <c r="B1193" s="12" t="s">
        <v>22</v>
      </c>
      <c r="C1193" s="82">
        <v>19</v>
      </c>
      <c r="D1193" s="12" t="s">
        <v>56</v>
      </c>
      <c r="E1193" s="82">
        <v>3811569725</v>
      </c>
      <c r="F1193" s="82">
        <v>133623567</v>
      </c>
      <c r="G1193" s="82">
        <v>526</v>
      </c>
      <c r="H1193" s="82">
        <v>39</v>
      </c>
      <c r="I1193" s="82">
        <v>565</v>
      </c>
      <c r="J1193" s="82">
        <v>1645</v>
      </c>
      <c r="K1193" s="82">
        <v>2210</v>
      </c>
      <c r="L1193" s="82">
        <v>8</v>
      </c>
      <c r="M1193" s="82">
        <v>42</v>
      </c>
      <c r="N1193" s="82">
        <v>346</v>
      </c>
      <c r="O1193" s="82">
        <v>203</v>
      </c>
      <c r="P1193" s="82">
        <v>2759</v>
      </c>
      <c r="Q1193" s="82">
        <v>51373</v>
      </c>
      <c r="R1193" s="12" t="s">
        <v>237</v>
      </c>
      <c r="S1193" s="12" t="s">
        <v>25</v>
      </c>
      <c r="T1193" s="12" t="s">
        <v>25</v>
      </c>
    </row>
    <row r="1194" spans="1:20" x14ac:dyDescent="0.3">
      <c r="A1194" s="13">
        <v>43941.708333333336</v>
      </c>
      <c r="B1194" s="12" t="s">
        <v>22</v>
      </c>
      <c r="C1194" s="82">
        <v>9</v>
      </c>
      <c r="D1194" s="12" t="s">
        <v>57</v>
      </c>
      <c r="E1194" s="82">
        <v>4376923077</v>
      </c>
      <c r="F1194" s="82">
        <v>1125588885</v>
      </c>
      <c r="G1194" s="82">
        <v>850</v>
      </c>
      <c r="H1194" s="82">
        <v>182</v>
      </c>
      <c r="I1194" s="82">
        <v>1032</v>
      </c>
      <c r="J1194" s="82">
        <v>5536</v>
      </c>
      <c r="K1194" s="82">
        <v>6568</v>
      </c>
      <c r="L1194" s="82">
        <v>72</v>
      </c>
      <c r="M1194" s="82">
        <v>135</v>
      </c>
      <c r="N1194" s="82">
        <v>1272</v>
      </c>
      <c r="O1194" s="82">
        <v>667</v>
      </c>
      <c r="P1194" s="82">
        <v>8507</v>
      </c>
      <c r="Q1194" s="82">
        <v>105857</v>
      </c>
      <c r="R1194" s="12" t="s">
        <v>238</v>
      </c>
      <c r="S1194" s="12" t="s">
        <v>25</v>
      </c>
      <c r="T1194" s="12" t="s">
        <v>25</v>
      </c>
    </row>
    <row r="1195" spans="1:20" x14ac:dyDescent="0.3">
      <c r="A1195" s="13">
        <v>43941.708333333336</v>
      </c>
      <c r="B1195" s="12" t="s">
        <v>22</v>
      </c>
      <c r="C1195" s="82">
        <v>4</v>
      </c>
      <c r="D1195" s="12" t="s">
        <v>58</v>
      </c>
      <c r="E1195" s="82">
        <v>4606893511</v>
      </c>
      <c r="F1195" s="82">
        <v>1112123097</v>
      </c>
      <c r="G1195" s="82">
        <v>272</v>
      </c>
      <c r="H1195" s="82">
        <v>40</v>
      </c>
      <c r="I1195" s="82">
        <v>312</v>
      </c>
      <c r="J1195" s="82">
        <v>1617</v>
      </c>
      <c r="K1195" s="82">
        <v>1929</v>
      </c>
      <c r="L1195" s="82">
        <v>-42</v>
      </c>
      <c r="M1195" s="82">
        <v>58</v>
      </c>
      <c r="N1195" s="82">
        <v>1295</v>
      </c>
      <c r="O1195" s="82">
        <v>366</v>
      </c>
      <c r="P1195" s="82">
        <v>3590</v>
      </c>
      <c r="Q1195" s="82">
        <v>26211</v>
      </c>
      <c r="R1195" s="12" t="s">
        <v>239</v>
      </c>
      <c r="S1195" s="12" t="s">
        <v>25</v>
      </c>
      <c r="T1195" s="12" t="s">
        <v>25</v>
      </c>
    </row>
    <row r="1196" spans="1:20" x14ac:dyDescent="0.3">
      <c r="A1196" s="13">
        <v>43941.708333333336</v>
      </c>
      <c r="B1196" s="12" t="s">
        <v>22</v>
      </c>
      <c r="C1196" s="82">
        <v>10</v>
      </c>
      <c r="D1196" s="12" t="s">
        <v>59</v>
      </c>
      <c r="E1196" s="82">
        <v>4310675841</v>
      </c>
      <c r="F1196" s="82">
        <v>1238824698</v>
      </c>
      <c r="G1196" s="82">
        <v>113</v>
      </c>
      <c r="H1196" s="82">
        <v>29</v>
      </c>
      <c r="I1196" s="82">
        <v>142</v>
      </c>
      <c r="J1196" s="82">
        <v>282</v>
      </c>
      <c r="K1196" s="82">
        <v>424</v>
      </c>
      <c r="L1196" s="82">
        <v>-12</v>
      </c>
      <c r="M1196" s="82">
        <v>1</v>
      </c>
      <c r="N1196" s="82">
        <v>867</v>
      </c>
      <c r="O1196" s="82">
        <v>58</v>
      </c>
      <c r="P1196" s="82">
        <v>1349</v>
      </c>
      <c r="Q1196" s="82">
        <v>25562</v>
      </c>
      <c r="R1196" s="12" t="s">
        <v>240</v>
      </c>
      <c r="S1196" s="12" t="s">
        <v>25</v>
      </c>
      <c r="T1196" s="12" t="s">
        <v>25</v>
      </c>
    </row>
    <row r="1197" spans="1:20" x14ac:dyDescent="0.3">
      <c r="A1197" s="13">
        <v>43941.708333333336</v>
      </c>
      <c r="B1197" s="12" t="s">
        <v>22</v>
      </c>
      <c r="C1197" s="82">
        <v>2</v>
      </c>
      <c r="D1197" s="12" t="s">
        <v>60</v>
      </c>
      <c r="E1197" s="82">
        <v>4573750286</v>
      </c>
      <c r="F1197" s="82">
        <v>7320149366</v>
      </c>
      <c r="G1197" s="82">
        <v>102</v>
      </c>
      <c r="H1197" s="82">
        <v>8</v>
      </c>
      <c r="I1197" s="82">
        <v>110</v>
      </c>
      <c r="J1197" s="82">
        <v>438</v>
      </c>
      <c r="K1197" s="82">
        <v>548</v>
      </c>
      <c r="L1197" s="82">
        <v>-14</v>
      </c>
      <c r="M1197" s="82">
        <v>0</v>
      </c>
      <c r="N1197" s="82">
        <v>413</v>
      </c>
      <c r="O1197" s="82">
        <v>127</v>
      </c>
      <c r="P1197" s="82">
        <v>1088</v>
      </c>
      <c r="Q1197" s="82">
        <v>4799</v>
      </c>
      <c r="R1197" s="12" t="s">
        <v>241</v>
      </c>
      <c r="S1197" s="12" t="s">
        <v>25</v>
      </c>
      <c r="T1197" s="12" t="s">
        <v>25</v>
      </c>
    </row>
    <row r="1198" spans="1:20" x14ac:dyDescent="0.3">
      <c r="A1198" s="13">
        <v>43941.708333333336</v>
      </c>
      <c r="B1198" s="12" t="s">
        <v>22</v>
      </c>
      <c r="C1198" s="82">
        <v>5</v>
      </c>
      <c r="D1198" s="12" t="s">
        <v>61</v>
      </c>
      <c r="E1198" s="82">
        <v>4543490485</v>
      </c>
      <c r="F1198" s="82">
        <v>1233845213</v>
      </c>
      <c r="G1198" s="82">
        <v>1273</v>
      </c>
      <c r="H1198" s="82">
        <v>180</v>
      </c>
      <c r="I1198" s="82">
        <v>1453</v>
      </c>
      <c r="J1198" s="82">
        <v>8608</v>
      </c>
      <c r="K1198" s="82">
        <v>10061</v>
      </c>
      <c r="L1198" s="82">
        <v>-149</v>
      </c>
      <c r="M1198" s="82">
        <v>192</v>
      </c>
      <c r="N1198" s="82">
        <v>4954</v>
      </c>
      <c r="O1198" s="82">
        <v>1112</v>
      </c>
      <c r="P1198" s="82">
        <v>16127</v>
      </c>
      <c r="Q1198" s="82">
        <v>260810</v>
      </c>
      <c r="R1198" s="12" t="s">
        <v>242</v>
      </c>
      <c r="S1198" s="12" t="s">
        <v>25</v>
      </c>
      <c r="T1198" s="12" t="s">
        <v>25</v>
      </c>
    </row>
    <row r="1199" spans="1:20" x14ac:dyDescent="0.3">
      <c r="A1199" s="13">
        <v>43942.708333333336</v>
      </c>
      <c r="B1199" s="12" t="s">
        <v>22</v>
      </c>
      <c r="C1199" s="82">
        <v>13</v>
      </c>
      <c r="D1199" s="12" t="s">
        <v>42</v>
      </c>
      <c r="E1199" s="82">
        <v>4235122196</v>
      </c>
      <c r="F1199" s="82">
        <v>1339843823</v>
      </c>
      <c r="G1199" s="82">
        <v>318</v>
      </c>
      <c r="H1199" s="82">
        <v>35</v>
      </c>
      <c r="I1199" s="82">
        <v>353</v>
      </c>
      <c r="J1199" s="82">
        <v>1714</v>
      </c>
      <c r="K1199" s="82">
        <v>2067</v>
      </c>
      <c r="L1199" s="82">
        <v>5</v>
      </c>
      <c r="M1199" s="82">
        <v>55</v>
      </c>
      <c r="N1199" s="82">
        <v>329</v>
      </c>
      <c r="O1199" s="82">
        <v>271</v>
      </c>
      <c r="P1199" s="82">
        <v>2667</v>
      </c>
      <c r="Q1199" s="82">
        <v>29906</v>
      </c>
      <c r="R1199" s="12" t="s">
        <v>243</v>
      </c>
      <c r="S1199" s="12" t="s">
        <v>25</v>
      </c>
      <c r="T1199" s="12" t="s">
        <v>25</v>
      </c>
    </row>
    <row r="1200" spans="1:20" x14ac:dyDescent="0.3">
      <c r="A1200" s="13">
        <v>43942.708333333336</v>
      </c>
      <c r="B1200" s="12" t="s">
        <v>22</v>
      </c>
      <c r="C1200" s="82">
        <v>17</v>
      </c>
      <c r="D1200" s="12" t="s">
        <v>43</v>
      </c>
      <c r="E1200" s="82">
        <v>4063947052</v>
      </c>
      <c r="F1200" s="82">
        <v>1580514834</v>
      </c>
      <c r="G1200" s="82">
        <v>64</v>
      </c>
      <c r="H1200" s="82">
        <v>7</v>
      </c>
      <c r="I1200" s="82">
        <v>71</v>
      </c>
      <c r="J1200" s="82">
        <v>174</v>
      </c>
      <c r="K1200" s="82">
        <v>245</v>
      </c>
      <c r="L1200" s="82">
        <v>3</v>
      </c>
      <c r="M1200" s="82">
        <v>8</v>
      </c>
      <c r="N1200" s="82">
        <v>81</v>
      </c>
      <c r="O1200" s="82">
        <v>24</v>
      </c>
      <c r="P1200" s="82">
        <v>350</v>
      </c>
      <c r="Q1200" s="82">
        <v>7470</v>
      </c>
      <c r="R1200" s="12" t="s">
        <v>244</v>
      </c>
      <c r="S1200" s="12" t="s">
        <v>25</v>
      </c>
      <c r="T1200" s="12" t="s">
        <v>25</v>
      </c>
    </row>
    <row r="1201" spans="1:20" x14ac:dyDescent="0.3">
      <c r="A1201" s="13">
        <v>43942.708333333336</v>
      </c>
      <c r="B1201" s="12" t="s">
        <v>22</v>
      </c>
      <c r="C1201" s="82">
        <v>4</v>
      </c>
      <c r="D1201" s="12" t="s">
        <v>44</v>
      </c>
      <c r="E1201" s="82">
        <v>4649933453</v>
      </c>
      <c r="F1201" s="82">
        <v>1135662422</v>
      </c>
      <c r="G1201" s="82">
        <v>159</v>
      </c>
      <c r="H1201" s="82">
        <v>20</v>
      </c>
      <c r="I1201" s="82">
        <v>179</v>
      </c>
      <c r="J1201" s="82">
        <v>1357</v>
      </c>
      <c r="K1201" s="82">
        <v>1536</v>
      </c>
      <c r="L1201" s="82">
        <v>-4</v>
      </c>
      <c r="M1201" s="82">
        <v>16</v>
      </c>
      <c r="N1201" s="82">
        <v>623</v>
      </c>
      <c r="O1201" s="82">
        <v>251</v>
      </c>
      <c r="P1201" s="82">
        <v>2410</v>
      </c>
      <c r="Q1201" s="82">
        <v>31987</v>
      </c>
      <c r="R1201" s="12" t="s">
        <v>245</v>
      </c>
      <c r="S1201" s="12" t="s">
        <v>25</v>
      </c>
      <c r="T1201" s="12" t="s">
        <v>25</v>
      </c>
    </row>
    <row r="1202" spans="1:20" x14ac:dyDescent="0.3">
      <c r="A1202" s="13">
        <v>43942.708333333336</v>
      </c>
      <c r="B1202" s="12" t="s">
        <v>22</v>
      </c>
      <c r="C1202" s="82">
        <v>18</v>
      </c>
      <c r="D1202" s="12" t="s">
        <v>45</v>
      </c>
      <c r="E1202" s="82">
        <v>3890597598</v>
      </c>
      <c r="F1202" s="82">
        <v>1659440194</v>
      </c>
      <c r="G1202" s="82">
        <v>133</v>
      </c>
      <c r="H1202" s="82">
        <v>7</v>
      </c>
      <c r="I1202" s="82">
        <v>140</v>
      </c>
      <c r="J1202" s="82">
        <v>679</v>
      </c>
      <c r="K1202" s="82">
        <v>819</v>
      </c>
      <c r="L1202" s="82">
        <v>-9</v>
      </c>
      <c r="M1202" s="82">
        <v>9</v>
      </c>
      <c r="N1202" s="82">
        <v>152</v>
      </c>
      <c r="O1202" s="82">
        <v>76</v>
      </c>
      <c r="P1202" s="82">
        <v>1047</v>
      </c>
      <c r="Q1202" s="82">
        <v>25440</v>
      </c>
      <c r="R1202" s="12" t="s">
        <v>246</v>
      </c>
      <c r="S1202" s="12" t="s">
        <v>25</v>
      </c>
      <c r="T1202" s="12" t="s">
        <v>25</v>
      </c>
    </row>
    <row r="1203" spans="1:20" x14ac:dyDescent="0.3">
      <c r="A1203" s="13">
        <v>43942.708333333336</v>
      </c>
      <c r="B1203" s="12" t="s">
        <v>22</v>
      </c>
      <c r="C1203" s="82">
        <v>15</v>
      </c>
      <c r="D1203" s="12" t="s">
        <v>46</v>
      </c>
      <c r="E1203" s="82">
        <v>4083956555</v>
      </c>
      <c r="F1203" s="82">
        <v>1425084984</v>
      </c>
      <c r="G1203" s="82">
        <v>532</v>
      </c>
      <c r="H1203" s="82">
        <v>58</v>
      </c>
      <c r="I1203" s="82">
        <v>590</v>
      </c>
      <c r="J1203" s="82">
        <v>2356</v>
      </c>
      <c r="K1203" s="82">
        <v>2946</v>
      </c>
      <c r="L1203" s="82">
        <v>-73</v>
      </c>
      <c r="M1203" s="82">
        <v>61</v>
      </c>
      <c r="N1203" s="82">
        <v>872</v>
      </c>
      <c r="O1203" s="82">
        <v>317</v>
      </c>
      <c r="P1203" s="82">
        <v>4135</v>
      </c>
      <c r="Q1203" s="82">
        <v>53548</v>
      </c>
      <c r="R1203" s="12" t="s">
        <v>247</v>
      </c>
      <c r="S1203" s="12" t="s">
        <v>25</v>
      </c>
      <c r="T1203" s="12" t="s">
        <v>25</v>
      </c>
    </row>
    <row r="1204" spans="1:20" x14ac:dyDescent="0.3">
      <c r="A1204" s="13">
        <v>43942.708333333336</v>
      </c>
      <c r="B1204" s="12" t="s">
        <v>22</v>
      </c>
      <c r="C1204" s="82">
        <v>8</v>
      </c>
      <c r="D1204" s="12" t="s">
        <v>95</v>
      </c>
      <c r="E1204" s="82">
        <v>4449436681</v>
      </c>
      <c r="F1204" s="82">
        <v>113417208</v>
      </c>
      <c r="G1204" s="82">
        <v>3045</v>
      </c>
      <c r="H1204" s="82">
        <v>282</v>
      </c>
      <c r="I1204" s="82">
        <v>3327</v>
      </c>
      <c r="J1204" s="82">
        <v>9917</v>
      </c>
      <c r="K1204" s="82">
        <v>13244</v>
      </c>
      <c r="L1204" s="82">
        <v>-278</v>
      </c>
      <c r="M1204" s="82">
        <v>225</v>
      </c>
      <c r="N1204" s="82">
        <v>6701</v>
      </c>
      <c r="O1204" s="82">
        <v>3147</v>
      </c>
      <c r="P1204" s="82">
        <v>23092</v>
      </c>
      <c r="Q1204" s="82">
        <v>134878</v>
      </c>
      <c r="R1204" s="12" t="s">
        <v>248</v>
      </c>
      <c r="S1204" s="12" t="s">
        <v>25</v>
      </c>
      <c r="T1204" s="12" t="s">
        <v>25</v>
      </c>
    </row>
    <row r="1205" spans="1:20" x14ac:dyDescent="0.3">
      <c r="A1205" s="13">
        <v>43942.708333333336</v>
      </c>
      <c r="B1205" s="12" t="s">
        <v>22</v>
      </c>
      <c r="C1205" s="82">
        <v>6</v>
      </c>
      <c r="D1205" s="12" t="s">
        <v>47</v>
      </c>
      <c r="E1205" s="82">
        <v>456494354</v>
      </c>
      <c r="F1205" s="82">
        <v>1376813649</v>
      </c>
      <c r="G1205" s="82">
        <v>139</v>
      </c>
      <c r="H1205" s="82">
        <v>21</v>
      </c>
      <c r="I1205" s="82">
        <v>160</v>
      </c>
      <c r="J1205" s="82">
        <v>1162</v>
      </c>
      <c r="K1205" s="82">
        <v>1322</v>
      </c>
      <c r="L1205" s="82">
        <v>132</v>
      </c>
      <c r="M1205" s="82">
        <v>17</v>
      </c>
      <c r="N1205" s="82">
        <v>1229</v>
      </c>
      <c r="O1205" s="82">
        <v>241</v>
      </c>
      <c r="P1205" s="82">
        <v>2792</v>
      </c>
      <c r="Q1205" s="82">
        <v>48500</v>
      </c>
      <c r="R1205" s="12" t="s">
        <v>249</v>
      </c>
      <c r="S1205" s="12" t="s">
        <v>25</v>
      </c>
      <c r="T1205" s="12" t="s">
        <v>25</v>
      </c>
    </row>
    <row r="1206" spans="1:20" x14ac:dyDescent="0.3">
      <c r="A1206" s="13">
        <v>43942.708333333336</v>
      </c>
      <c r="B1206" s="12" t="s">
        <v>22</v>
      </c>
      <c r="C1206" s="82">
        <v>12</v>
      </c>
      <c r="D1206" s="12" t="s">
        <v>48</v>
      </c>
      <c r="E1206" s="82">
        <v>4189277044</v>
      </c>
      <c r="F1206" s="82">
        <v>1248366722</v>
      </c>
      <c r="G1206" s="82">
        <v>1380</v>
      </c>
      <c r="H1206" s="82">
        <v>184</v>
      </c>
      <c r="I1206" s="82">
        <v>1564</v>
      </c>
      <c r="J1206" s="82">
        <v>2838</v>
      </c>
      <c r="K1206" s="82">
        <v>4402</v>
      </c>
      <c r="L1206" s="82">
        <v>37</v>
      </c>
      <c r="M1206" s="82">
        <v>80</v>
      </c>
      <c r="N1206" s="82">
        <v>1130</v>
      </c>
      <c r="O1206" s="82">
        <v>363</v>
      </c>
      <c r="P1206" s="82">
        <v>5895</v>
      </c>
      <c r="Q1206" s="82">
        <v>100031</v>
      </c>
      <c r="R1206" s="12" t="s">
        <v>250</v>
      </c>
      <c r="S1206" s="12" t="s">
        <v>25</v>
      </c>
      <c r="T1206" s="12" t="s">
        <v>25</v>
      </c>
    </row>
    <row r="1207" spans="1:20" x14ac:dyDescent="0.3">
      <c r="A1207" s="13">
        <v>43942.708333333336</v>
      </c>
      <c r="B1207" s="12" t="s">
        <v>22</v>
      </c>
      <c r="C1207" s="82">
        <v>7</v>
      </c>
      <c r="D1207" s="12" t="s">
        <v>49</v>
      </c>
      <c r="E1207" s="82">
        <v>4441149315</v>
      </c>
      <c r="F1207" s="82">
        <v>89326992</v>
      </c>
      <c r="G1207" s="82">
        <v>914</v>
      </c>
      <c r="H1207" s="82">
        <v>94</v>
      </c>
      <c r="I1207" s="82">
        <v>1008</v>
      </c>
      <c r="J1207" s="82">
        <v>2455</v>
      </c>
      <c r="K1207" s="82">
        <v>3463</v>
      </c>
      <c r="L1207" s="82">
        <v>-33</v>
      </c>
      <c r="M1207" s="82">
        <v>95</v>
      </c>
      <c r="N1207" s="82">
        <v>2311</v>
      </c>
      <c r="O1207" s="82">
        <v>990</v>
      </c>
      <c r="P1207" s="82">
        <v>6764</v>
      </c>
      <c r="Q1207" s="82">
        <v>34186</v>
      </c>
      <c r="R1207" s="12" t="s">
        <v>251</v>
      </c>
      <c r="S1207" s="12" t="s">
        <v>25</v>
      </c>
      <c r="T1207" s="12" t="s">
        <v>25</v>
      </c>
    </row>
    <row r="1208" spans="1:20" x14ac:dyDescent="0.3">
      <c r="A1208" s="13">
        <v>43942.708333333336</v>
      </c>
      <c r="B1208" s="12" t="s">
        <v>22</v>
      </c>
      <c r="C1208" s="82">
        <v>3</v>
      </c>
      <c r="D1208" s="12" t="s">
        <v>50</v>
      </c>
      <c r="E1208" s="82">
        <v>4546679409</v>
      </c>
      <c r="F1208" s="82">
        <v>9190347404</v>
      </c>
      <c r="G1208" s="82">
        <v>9805</v>
      </c>
      <c r="H1208" s="82">
        <v>851</v>
      </c>
      <c r="I1208" s="82">
        <v>10656</v>
      </c>
      <c r="J1208" s="82">
        <v>23322</v>
      </c>
      <c r="K1208" s="82">
        <v>33978</v>
      </c>
      <c r="L1208" s="82">
        <v>-609</v>
      </c>
      <c r="M1208" s="82">
        <v>960</v>
      </c>
      <c r="N1208" s="82">
        <v>21374</v>
      </c>
      <c r="O1208" s="82">
        <v>12579</v>
      </c>
      <c r="P1208" s="82">
        <v>67931</v>
      </c>
      <c r="Q1208" s="82">
        <v>277197</v>
      </c>
      <c r="R1208" s="12" t="s">
        <v>229</v>
      </c>
      <c r="S1208" s="12" t="s">
        <v>252</v>
      </c>
      <c r="T1208" s="12" t="s">
        <v>253</v>
      </c>
    </row>
    <row r="1209" spans="1:20" x14ac:dyDescent="0.3">
      <c r="A1209" s="13">
        <v>43942.708333333336</v>
      </c>
      <c r="B1209" s="12" t="s">
        <v>22</v>
      </c>
      <c r="C1209" s="82">
        <v>11</v>
      </c>
      <c r="D1209" s="12" t="s">
        <v>51</v>
      </c>
      <c r="E1209" s="82">
        <v>4361675973</v>
      </c>
      <c r="F1209" s="82">
        <v>135188753</v>
      </c>
      <c r="G1209" s="82">
        <v>784</v>
      </c>
      <c r="H1209" s="82">
        <v>78</v>
      </c>
      <c r="I1209" s="82">
        <v>862</v>
      </c>
      <c r="J1209" s="82">
        <v>2356</v>
      </c>
      <c r="K1209" s="82">
        <v>3218</v>
      </c>
      <c r="L1209" s="82">
        <v>6</v>
      </c>
      <c r="M1209" s="82">
        <v>51</v>
      </c>
      <c r="N1209" s="82">
        <v>1825</v>
      </c>
      <c r="O1209" s="82">
        <v>834</v>
      </c>
      <c r="P1209" s="82">
        <v>5877</v>
      </c>
      <c r="Q1209" s="82">
        <v>44332</v>
      </c>
      <c r="R1209" s="12" t="s">
        <v>254</v>
      </c>
      <c r="S1209" s="12" t="s">
        <v>25</v>
      </c>
      <c r="T1209" s="12" t="s">
        <v>25</v>
      </c>
    </row>
    <row r="1210" spans="1:20" x14ac:dyDescent="0.3">
      <c r="A1210" s="13">
        <v>43942.708333333336</v>
      </c>
      <c r="B1210" s="12" t="s">
        <v>22</v>
      </c>
      <c r="C1210" s="82">
        <v>14</v>
      </c>
      <c r="D1210" s="12" t="s">
        <v>52</v>
      </c>
      <c r="E1210" s="82">
        <v>4155774754</v>
      </c>
      <c r="F1210" s="82">
        <v>1465916051</v>
      </c>
      <c r="G1210" s="82">
        <v>27</v>
      </c>
      <c r="H1210" s="82">
        <v>2</v>
      </c>
      <c r="I1210" s="82">
        <v>29</v>
      </c>
      <c r="J1210" s="82">
        <v>184</v>
      </c>
      <c r="K1210" s="82">
        <v>213</v>
      </c>
      <c r="L1210" s="82">
        <v>0</v>
      </c>
      <c r="M1210" s="82">
        <v>1</v>
      </c>
      <c r="N1210" s="82">
        <v>51</v>
      </c>
      <c r="O1210" s="82">
        <v>18</v>
      </c>
      <c r="P1210" s="82">
        <v>282</v>
      </c>
      <c r="Q1210" s="82">
        <v>4124</v>
      </c>
      <c r="R1210" s="12" t="s">
        <v>255</v>
      </c>
      <c r="S1210" s="12" t="s">
        <v>25</v>
      </c>
      <c r="T1210" s="12" t="s">
        <v>25</v>
      </c>
    </row>
    <row r="1211" spans="1:20" x14ac:dyDescent="0.3">
      <c r="A1211" s="13">
        <v>43942.708333333336</v>
      </c>
      <c r="B1211" s="12" t="s">
        <v>22</v>
      </c>
      <c r="C1211" s="82">
        <v>1</v>
      </c>
      <c r="D1211" s="12" t="s">
        <v>53</v>
      </c>
      <c r="E1211" s="82">
        <v>450732745</v>
      </c>
      <c r="F1211" s="82">
        <v>7680687483</v>
      </c>
      <c r="G1211" s="82">
        <v>3116</v>
      </c>
      <c r="H1211" s="82">
        <v>293</v>
      </c>
      <c r="I1211" s="82">
        <v>3409</v>
      </c>
      <c r="J1211" s="82">
        <v>11402</v>
      </c>
      <c r="K1211" s="82">
        <v>14811</v>
      </c>
      <c r="L1211" s="82">
        <v>254</v>
      </c>
      <c r="M1211" s="82">
        <v>606</v>
      </c>
      <c r="N1211" s="82">
        <v>4659</v>
      </c>
      <c r="O1211" s="82">
        <v>2485</v>
      </c>
      <c r="P1211" s="82">
        <v>21955</v>
      </c>
      <c r="Q1211" s="82">
        <v>105434</v>
      </c>
      <c r="R1211" s="12" t="s">
        <v>256</v>
      </c>
      <c r="S1211" s="12" t="s">
        <v>25</v>
      </c>
      <c r="T1211" s="12" t="s">
        <v>25</v>
      </c>
    </row>
    <row r="1212" spans="1:20" x14ac:dyDescent="0.3">
      <c r="A1212" s="13">
        <v>43942.708333333336</v>
      </c>
      <c r="B1212" s="12" t="s">
        <v>22</v>
      </c>
      <c r="C1212" s="82">
        <v>16</v>
      </c>
      <c r="D1212" s="12" t="s">
        <v>54</v>
      </c>
      <c r="E1212" s="82">
        <v>4112559576</v>
      </c>
      <c r="F1212" s="82">
        <v>1686736689</v>
      </c>
      <c r="G1212" s="82">
        <v>569</v>
      </c>
      <c r="H1212" s="82">
        <v>65</v>
      </c>
      <c r="I1212" s="82">
        <v>634</v>
      </c>
      <c r="J1212" s="82">
        <v>2178</v>
      </c>
      <c r="K1212" s="82">
        <v>2812</v>
      </c>
      <c r="L1212" s="82">
        <v>2</v>
      </c>
      <c r="M1212" s="82">
        <v>55</v>
      </c>
      <c r="N1212" s="82">
        <v>459</v>
      </c>
      <c r="O1212" s="82">
        <v>351</v>
      </c>
      <c r="P1212" s="82">
        <v>3622</v>
      </c>
      <c r="Q1212" s="82">
        <v>45984</v>
      </c>
      <c r="R1212" s="12" t="s">
        <v>257</v>
      </c>
      <c r="S1212" s="12" t="s">
        <v>25</v>
      </c>
      <c r="T1212" s="12" t="s">
        <v>25</v>
      </c>
    </row>
    <row r="1213" spans="1:20" x14ac:dyDescent="0.3">
      <c r="A1213" s="13">
        <v>43942.708333333336</v>
      </c>
      <c r="B1213" s="12" t="s">
        <v>22</v>
      </c>
      <c r="C1213" s="82">
        <v>20</v>
      </c>
      <c r="D1213" s="12" t="s">
        <v>55</v>
      </c>
      <c r="E1213" s="82">
        <v>3921531192</v>
      </c>
      <c r="F1213" s="82">
        <v>9110616306</v>
      </c>
      <c r="G1213" s="82">
        <v>112</v>
      </c>
      <c r="H1213" s="82">
        <v>21</v>
      </c>
      <c r="I1213" s="82">
        <v>133</v>
      </c>
      <c r="J1213" s="82">
        <v>704</v>
      </c>
      <c r="K1213" s="82">
        <v>837</v>
      </c>
      <c r="L1213" s="82">
        <v>-17</v>
      </c>
      <c r="M1213" s="82">
        <v>8</v>
      </c>
      <c r="N1213" s="82">
        <v>306</v>
      </c>
      <c r="O1213" s="82">
        <v>93</v>
      </c>
      <c r="P1213" s="82">
        <v>1236</v>
      </c>
      <c r="Q1213" s="82">
        <v>15886</v>
      </c>
      <c r="R1213" s="12" t="s">
        <v>258</v>
      </c>
      <c r="S1213" s="12" t="s">
        <v>25</v>
      </c>
      <c r="T1213" s="12" t="s">
        <v>25</v>
      </c>
    </row>
    <row r="1214" spans="1:20" x14ac:dyDescent="0.3">
      <c r="A1214" s="13">
        <v>43942.708333333336</v>
      </c>
      <c r="B1214" s="12" t="s">
        <v>22</v>
      </c>
      <c r="C1214" s="82">
        <v>19</v>
      </c>
      <c r="D1214" s="12" t="s">
        <v>56</v>
      </c>
      <c r="E1214" s="82">
        <v>3811569725</v>
      </c>
      <c r="F1214" s="82">
        <v>133623567</v>
      </c>
      <c r="G1214" s="82">
        <v>514</v>
      </c>
      <c r="H1214" s="82">
        <v>37</v>
      </c>
      <c r="I1214" s="82">
        <v>551</v>
      </c>
      <c r="J1214" s="82">
        <v>1708</v>
      </c>
      <c r="K1214" s="82">
        <v>2259</v>
      </c>
      <c r="L1214" s="82">
        <v>49</v>
      </c>
      <c r="M1214" s="82">
        <v>76</v>
      </c>
      <c r="N1214" s="82">
        <v>370</v>
      </c>
      <c r="O1214" s="82">
        <v>206</v>
      </c>
      <c r="P1214" s="82">
        <v>2835</v>
      </c>
      <c r="Q1214" s="82">
        <v>55093</v>
      </c>
      <c r="R1214" s="12" t="s">
        <v>259</v>
      </c>
      <c r="S1214" s="12" t="s">
        <v>25</v>
      </c>
      <c r="T1214" s="12" t="s">
        <v>25</v>
      </c>
    </row>
    <row r="1215" spans="1:20" x14ac:dyDescent="0.3">
      <c r="A1215" s="13">
        <v>43942.708333333336</v>
      </c>
      <c r="B1215" s="12" t="s">
        <v>22</v>
      </c>
      <c r="C1215" s="82">
        <v>9</v>
      </c>
      <c r="D1215" s="12" t="s">
        <v>57</v>
      </c>
      <c r="E1215" s="82">
        <v>4376923077</v>
      </c>
      <c r="F1215" s="82">
        <v>1125588885</v>
      </c>
      <c r="G1215" s="82">
        <v>833</v>
      </c>
      <c r="H1215" s="82">
        <v>171</v>
      </c>
      <c r="I1215" s="82">
        <v>1004</v>
      </c>
      <c r="J1215" s="82">
        <v>5618</v>
      </c>
      <c r="K1215" s="82">
        <v>6622</v>
      </c>
      <c r="L1215" s="82">
        <v>54</v>
      </c>
      <c r="M1215" s="82">
        <v>96</v>
      </c>
      <c r="N1215" s="82">
        <v>1295</v>
      </c>
      <c r="O1215" s="82">
        <v>686</v>
      </c>
      <c r="P1215" s="82">
        <v>8603</v>
      </c>
      <c r="Q1215" s="82">
        <v>109925</v>
      </c>
      <c r="R1215" s="12" t="s">
        <v>260</v>
      </c>
      <c r="S1215" s="12" t="s">
        <v>25</v>
      </c>
      <c r="T1215" s="12" t="s">
        <v>25</v>
      </c>
    </row>
    <row r="1216" spans="1:20" x14ac:dyDescent="0.3">
      <c r="A1216" s="13">
        <v>43942.708333333336</v>
      </c>
      <c r="B1216" s="12" t="s">
        <v>22</v>
      </c>
      <c r="C1216" s="82">
        <v>4</v>
      </c>
      <c r="D1216" s="12" t="s">
        <v>58</v>
      </c>
      <c r="E1216" s="82">
        <v>4606893511</v>
      </c>
      <c r="F1216" s="82">
        <v>1112123097</v>
      </c>
      <c r="G1216" s="82">
        <v>254</v>
      </c>
      <c r="H1216" s="82">
        <v>38</v>
      </c>
      <c r="I1216" s="82">
        <v>292</v>
      </c>
      <c r="J1216" s="82">
        <v>1617</v>
      </c>
      <c r="K1216" s="82">
        <v>1909</v>
      </c>
      <c r="L1216" s="82">
        <v>-20</v>
      </c>
      <c r="M1216" s="82">
        <v>24</v>
      </c>
      <c r="N1216" s="82">
        <v>1329</v>
      </c>
      <c r="O1216" s="82">
        <v>376</v>
      </c>
      <c r="P1216" s="82">
        <v>3614</v>
      </c>
      <c r="Q1216" s="82">
        <v>26610</v>
      </c>
      <c r="R1216" s="12" t="s">
        <v>261</v>
      </c>
      <c r="S1216" s="12" t="s">
        <v>25</v>
      </c>
      <c r="T1216" s="12" t="s">
        <v>25</v>
      </c>
    </row>
    <row r="1217" spans="1:20" x14ac:dyDescent="0.3">
      <c r="A1217" s="13">
        <v>43942.708333333336</v>
      </c>
      <c r="B1217" s="12" t="s">
        <v>22</v>
      </c>
      <c r="C1217" s="82">
        <v>10</v>
      </c>
      <c r="D1217" s="12" t="s">
        <v>59</v>
      </c>
      <c r="E1217" s="82">
        <v>4310675841</v>
      </c>
      <c r="F1217" s="82">
        <v>1238824698</v>
      </c>
      <c r="G1217" s="82">
        <v>107</v>
      </c>
      <c r="H1217" s="82">
        <v>22</v>
      </c>
      <c r="I1217" s="82">
        <v>129</v>
      </c>
      <c r="J1217" s="82">
        <v>278</v>
      </c>
      <c r="K1217" s="82">
        <v>407</v>
      </c>
      <c r="L1217" s="82">
        <v>-17</v>
      </c>
      <c r="M1217" s="82">
        <v>4</v>
      </c>
      <c r="N1217" s="82">
        <v>886</v>
      </c>
      <c r="O1217" s="82">
        <v>60</v>
      </c>
      <c r="P1217" s="82">
        <v>1353</v>
      </c>
      <c r="Q1217" s="82">
        <v>26639</v>
      </c>
      <c r="R1217" s="12" t="s">
        <v>262</v>
      </c>
      <c r="S1217" s="12" t="s">
        <v>25</v>
      </c>
      <c r="T1217" s="12" t="s">
        <v>25</v>
      </c>
    </row>
    <row r="1218" spans="1:20" x14ac:dyDescent="0.3">
      <c r="A1218" s="13">
        <v>43942.708333333336</v>
      </c>
      <c r="B1218" s="12" t="s">
        <v>22</v>
      </c>
      <c r="C1218" s="82">
        <v>2</v>
      </c>
      <c r="D1218" s="12" t="s">
        <v>60</v>
      </c>
      <c r="E1218" s="82">
        <v>4573750286</v>
      </c>
      <c r="F1218" s="82">
        <v>7320149366</v>
      </c>
      <c r="G1218" s="82">
        <v>99</v>
      </c>
      <c r="H1218" s="82">
        <v>8</v>
      </c>
      <c r="I1218" s="82">
        <v>107</v>
      </c>
      <c r="J1218" s="82">
        <v>415</v>
      </c>
      <c r="K1218" s="82">
        <v>522</v>
      </c>
      <c r="L1218" s="82">
        <v>-26</v>
      </c>
      <c r="M1218" s="82">
        <v>5</v>
      </c>
      <c r="N1218" s="82">
        <v>445</v>
      </c>
      <c r="O1218" s="82">
        <v>126</v>
      </c>
      <c r="P1218" s="82">
        <v>1093</v>
      </c>
      <c r="Q1218" s="82">
        <v>4911</v>
      </c>
      <c r="R1218" s="12" t="s">
        <v>263</v>
      </c>
      <c r="S1218" s="12" t="s">
        <v>25</v>
      </c>
      <c r="T1218" s="12" t="s">
        <v>25</v>
      </c>
    </row>
    <row r="1219" spans="1:20" x14ac:dyDescent="0.3">
      <c r="A1219" s="13">
        <v>43942.708333333336</v>
      </c>
      <c r="B1219" s="12" t="s">
        <v>22</v>
      </c>
      <c r="C1219" s="83">
        <v>5</v>
      </c>
      <c r="D1219" s="12" t="s">
        <v>61</v>
      </c>
      <c r="E1219" s="83">
        <v>4543490485</v>
      </c>
      <c r="F1219" s="83">
        <v>1233845213</v>
      </c>
      <c r="G1219" s="83">
        <v>1230</v>
      </c>
      <c r="H1219" s="83">
        <v>177</v>
      </c>
      <c r="I1219" s="83">
        <v>1407</v>
      </c>
      <c r="J1219" s="83">
        <v>8670</v>
      </c>
      <c r="K1219" s="83">
        <v>10077</v>
      </c>
      <c r="L1219" s="83">
        <v>16</v>
      </c>
      <c r="M1219" s="83">
        <v>277</v>
      </c>
      <c r="N1219" s="83">
        <v>5173</v>
      </c>
      <c r="O1219" s="83">
        <v>1154</v>
      </c>
      <c r="P1219" s="83">
        <v>16404</v>
      </c>
      <c r="Q1219" s="83">
        <v>268069</v>
      </c>
      <c r="R1219" s="12" t="s">
        <v>264</v>
      </c>
      <c r="S1219" s="12" t="s">
        <v>25</v>
      </c>
      <c r="T1219" s="12" t="s">
        <v>25</v>
      </c>
    </row>
    <row r="1220" spans="1:20" x14ac:dyDescent="0.3">
      <c r="A1220" s="13">
        <v>43943.708333333336</v>
      </c>
      <c r="B1220" s="12" t="s">
        <v>22</v>
      </c>
      <c r="C1220" s="83">
        <v>13</v>
      </c>
      <c r="D1220" s="12" t="s">
        <v>42</v>
      </c>
      <c r="E1220" s="83">
        <v>4235122196</v>
      </c>
      <c r="F1220" s="83">
        <v>1339843823</v>
      </c>
      <c r="G1220" s="83">
        <v>309</v>
      </c>
      <c r="H1220" s="83">
        <v>35</v>
      </c>
      <c r="I1220" s="83">
        <v>344</v>
      </c>
      <c r="J1220" s="83">
        <v>1764</v>
      </c>
      <c r="K1220" s="83">
        <v>2108</v>
      </c>
      <c r="L1220" s="83">
        <v>41</v>
      </c>
      <c r="M1220" s="83">
        <v>66</v>
      </c>
      <c r="N1220" s="83">
        <v>349</v>
      </c>
      <c r="O1220" s="83">
        <v>276</v>
      </c>
      <c r="P1220" s="83">
        <v>2733</v>
      </c>
      <c r="Q1220" s="83">
        <v>30348</v>
      </c>
      <c r="R1220" s="12" t="s">
        <v>268</v>
      </c>
      <c r="S1220" s="12" t="s">
        <v>25</v>
      </c>
      <c r="T1220" s="12" t="s">
        <v>25</v>
      </c>
    </row>
    <row r="1221" spans="1:20" x14ac:dyDescent="0.3">
      <c r="A1221" s="13">
        <v>43943.708333333336</v>
      </c>
      <c r="B1221" s="12" t="s">
        <v>22</v>
      </c>
      <c r="C1221" s="83">
        <v>17</v>
      </c>
      <c r="D1221" s="12" t="s">
        <v>43</v>
      </c>
      <c r="E1221" s="83">
        <v>4063947052</v>
      </c>
      <c r="F1221" s="83">
        <v>1580514834</v>
      </c>
      <c r="G1221" s="83">
        <v>65</v>
      </c>
      <c r="H1221" s="83">
        <v>7</v>
      </c>
      <c r="I1221" s="83">
        <v>72</v>
      </c>
      <c r="J1221" s="83">
        <v>160</v>
      </c>
      <c r="K1221" s="83">
        <v>232</v>
      </c>
      <c r="L1221" s="83">
        <v>-13</v>
      </c>
      <c r="M1221" s="83">
        <v>4</v>
      </c>
      <c r="N1221" s="83">
        <v>98</v>
      </c>
      <c r="O1221" s="83">
        <v>24</v>
      </c>
      <c r="P1221" s="83">
        <v>354</v>
      </c>
      <c r="Q1221" s="83">
        <v>8040</v>
      </c>
      <c r="R1221" s="12" t="s">
        <v>269</v>
      </c>
      <c r="S1221" s="12" t="s">
        <v>25</v>
      </c>
      <c r="T1221" s="12" t="s">
        <v>25</v>
      </c>
    </row>
    <row r="1222" spans="1:20" x14ac:dyDescent="0.3">
      <c r="A1222" s="13">
        <v>43943.708333333336</v>
      </c>
      <c r="B1222" s="12" t="s">
        <v>22</v>
      </c>
      <c r="C1222" s="83">
        <v>4</v>
      </c>
      <c r="D1222" s="12" t="s">
        <v>44</v>
      </c>
      <c r="E1222" s="83">
        <v>4649933453</v>
      </c>
      <c r="F1222" s="83">
        <v>1135662422</v>
      </c>
      <c r="G1222" s="83">
        <v>157</v>
      </c>
      <c r="H1222" s="83">
        <v>19</v>
      </c>
      <c r="I1222" s="83">
        <v>176</v>
      </c>
      <c r="J1222" s="83">
        <v>1336</v>
      </c>
      <c r="K1222" s="83">
        <v>1512</v>
      </c>
      <c r="L1222" s="83">
        <v>-24</v>
      </c>
      <c r="M1222" s="83">
        <v>6</v>
      </c>
      <c r="N1222" s="83">
        <v>648</v>
      </c>
      <c r="O1222" s="83">
        <v>256</v>
      </c>
      <c r="P1222" s="83">
        <v>2416</v>
      </c>
      <c r="Q1222" s="83">
        <v>32722</v>
      </c>
      <c r="R1222" s="12" t="s">
        <v>270</v>
      </c>
      <c r="S1222" s="12" t="s">
        <v>25</v>
      </c>
      <c r="T1222" s="12" t="s">
        <v>25</v>
      </c>
    </row>
    <row r="1223" spans="1:20" x14ac:dyDescent="0.3">
      <c r="A1223" s="13">
        <v>43943.708333333336</v>
      </c>
      <c r="B1223" s="12" t="s">
        <v>22</v>
      </c>
      <c r="C1223" s="83">
        <v>18</v>
      </c>
      <c r="D1223" s="12" t="s">
        <v>45</v>
      </c>
      <c r="E1223" s="83">
        <v>3890597598</v>
      </c>
      <c r="F1223" s="83">
        <v>1659440194</v>
      </c>
      <c r="G1223" s="83">
        <v>128</v>
      </c>
      <c r="H1223" s="83">
        <v>7</v>
      </c>
      <c r="I1223" s="83">
        <v>135</v>
      </c>
      <c r="J1223" s="83">
        <v>686</v>
      </c>
      <c r="K1223" s="83">
        <v>821</v>
      </c>
      <c r="L1223" s="83">
        <v>2</v>
      </c>
      <c r="M1223" s="83">
        <v>13</v>
      </c>
      <c r="N1223" s="83">
        <v>163</v>
      </c>
      <c r="O1223" s="83">
        <v>76</v>
      </c>
      <c r="P1223" s="83">
        <v>1060</v>
      </c>
      <c r="Q1223" s="83">
        <v>26560</v>
      </c>
      <c r="R1223" s="12" t="s">
        <v>271</v>
      </c>
      <c r="S1223" s="12" t="s">
        <v>25</v>
      </c>
      <c r="T1223" s="12" t="s">
        <v>25</v>
      </c>
    </row>
    <row r="1224" spans="1:20" x14ac:dyDescent="0.3">
      <c r="A1224" s="13">
        <v>43943.708333333336</v>
      </c>
      <c r="B1224" s="12" t="s">
        <v>22</v>
      </c>
      <c r="C1224" s="83">
        <v>15</v>
      </c>
      <c r="D1224" s="12" t="s">
        <v>46</v>
      </c>
      <c r="E1224" s="83">
        <v>4083956555</v>
      </c>
      <c r="F1224" s="83">
        <v>1425084984</v>
      </c>
      <c r="G1224" s="83">
        <v>523</v>
      </c>
      <c r="H1224" s="83">
        <v>53</v>
      </c>
      <c r="I1224" s="83">
        <v>576</v>
      </c>
      <c r="J1224" s="83">
        <v>2422</v>
      </c>
      <c r="K1224" s="83">
        <v>2998</v>
      </c>
      <c r="L1224" s="83">
        <v>52</v>
      </c>
      <c r="M1224" s="83">
        <v>50</v>
      </c>
      <c r="N1224" s="83">
        <v>860</v>
      </c>
      <c r="O1224" s="83">
        <v>327</v>
      </c>
      <c r="P1224" s="83">
        <v>4185</v>
      </c>
      <c r="Q1224" s="83">
        <v>55701</v>
      </c>
      <c r="R1224" s="12" t="s">
        <v>272</v>
      </c>
      <c r="S1224" s="12" t="s">
        <v>25</v>
      </c>
      <c r="T1224" s="12" t="s">
        <v>25</v>
      </c>
    </row>
    <row r="1225" spans="1:20" x14ac:dyDescent="0.3">
      <c r="A1225" s="13">
        <v>43943.708333333336</v>
      </c>
      <c r="B1225" s="12" t="s">
        <v>22</v>
      </c>
      <c r="C1225" s="83">
        <v>8</v>
      </c>
      <c r="D1225" s="12" t="s">
        <v>95</v>
      </c>
      <c r="E1225" s="83">
        <v>4449436681</v>
      </c>
      <c r="F1225" s="83">
        <v>113417208</v>
      </c>
      <c r="G1225" s="83">
        <v>2964</v>
      </c>
      <c r="H1225" s="83">
        <v>282</v>
      </c>
      <c r="I1225" s="83">
        <v>3246</v>
      </c>
      <c r="J1225" s="83">
        <v>9838</v>
      </c>
      <c r="K1225" s="83">
        <v>13084</v>
      </c>
      <c r="L1225" s="83">
        <v>-160</v>
      </c>
      <c r="M1225" s="83">
        <v>342</v>
      </c>
      <c r="N1225" s="83">
        <v>7146</v>
      </c>
      <c r="O1225" s="83">
        <v>3204</v>
      </c>
      <c r="P1225" s="83">
        <v>23434</v>
      </c>
      <c r="Q1225" s="83">
        <v>140874</v>
      </c>
      <c r="R1225" s="12" t="s">
        <v>273</v>
      </c>
      <c r="S1225" s="12" t="s">
        <v>25</v>
      </c>
      <c r="T1225" s="12" t="s">
        <v>25</v>
      </c>
    </row>
    <row r="1226" spans="1:20" x14ac:dyDescent="0.3">
      <c r="A1226" s="13">
        <v>43943.708333333336</v>
      </c>
      <c r="B1226" s="12" t="s">
        <v>22</v>
      </c>
      <c r="C1226" s="83">
        <v>6</v>
      </c>
      <c r="D1226" s="12" t="s">
        <v>47</v>
      </c>
      <c r="E1226" s="83">
        <v>456494354</v>
      </c>
      <c r="F1226" s="83">
        <v>1376813649</v>
      </c>
      <c r="G1226" s="83">
        <v>134</v>
      </c>
      <c r="H1226" s="83">
        <v>20</v>
      </c>
      <c r="I1226" s="83">
        <v>154</v>
      </c>
      <c r="J1226" s="83">
        <v>1154</v>
      </c>
      <c r="K1226" s="83">
        <v>1308</v>
      </c>
      <c r="L1226" s="83">
        <v>-14</v>
      </c>
      <c r="M1226" s="83">
        <v>25</v>
      </c>
      <c r="N1226" s="83">
        <v>1263</v>
      </c>
      <c r="O1226" s="83">
        <v>246</v>
      </c>
      <c r="P1226" s="83">
        <v>2817</v>
      </c>
      <c r="Q1226" s="83">
        <v>50869</v>
      </c>
      <c r="R1226" s="12" t="s">
        <v>274</v>
      </c>
      <c r="S1226" s="12" t="s">
        <v>25</v>
      </c>
      <c r="T1226" s="12" t="s">
        <v>25</v>
      </c>
    </row>
    <row r="1227" spans="1:20" x14ac:dyDescent="0.3">
      <c r="A1227" s="13">
        <v>43943.708333333336</v>
      </c>
      <c r="B1227" s="12" t="s">
        <v>22</v>
      </c>
      <c r="C1227" s="83">
        <v>12</v>
      </c>
      <c r="D1227" s="12" t="s">
        <v>48</v>
      </c>
      <c r="E1227" s="83">
        <v>4189277044</v>
      </c>
      <c r="F1227" s="83">
        <v>1248366722</v>
      </c>
      <c r="G1227" s="83">
        <v>1384</v>
      </c>
      <c r="H1227" s="83">
        <v>187</v>
      </c>
      <c r="I1227" s="83">
        <v>1571</v>
      </c>
      <c r="J1227" s="83">
        <v>2892</v>
      </c>
      <c r="K1227" s="83">
        <v>4463</v>
      </c>
      <c r="L1227" s="83">
        <v>61</v>
      </c>
      <c r="M1227" s="83">
        <v>80</v>
      </c>
      <c r="N1227" s="83">
        <v>1142</v>
      </c>
      <c r="O1227" s="83">
        <v>370</v>
      </c>
      <c r="P1227" s="83">
        <v>5975</v>
      </c>
      <c r="Q1227" s="83">
        <v>104062</v>
      </c>
      <c r="R1227" s="12" t="s">
        <v>275</v>
      </c>
      <c r="S1227" s="12" t="s">
        <v>25</v>
      </c>
      <c r="T1227" s="12" t="s">
        <v>25</v>
      </c>
    </row>
    <row r="1228" spans="1:20" x14ac:dyDescent="0.3">
      <c r="A1228" s="13">
        <v>43943.708333333336</v>
      </c>
      <c r="B1228" s="12" t="s">
        <v>22</v>
      </c>
      <c r="C1228" s="83">
        <v>7</v>
      </c>
      <c r="D1228" s="12" t="s">
        <v>49</v>
      </c>
      <c r="E1228" s="83">
        <v>4441149315</v>
      </c>
      <c r="F1228" s="83">
        <v>89326992</v>
      </c>
      <c r="G1228" s="83">
        <v>860</v>
      </c>
      <c r="H1228" s="83">
        <v>92</v>
      </c>
      <c r="I1228" s="83">
        <v>952</v>
      </c>
      <c r="J1228" s="83">
        <v>2524</v>
      </c>
      <c r="K1228" s="83">
        <v>3476</v>
      </c>
      <c r="L1228" s="83">
        <v>13</v>
      </c>
      <c r="M1228" s="83">
        <v>154</v>
      </c>
      <c r="N1228" s="83">
        <v>2420</v>
      </c>
      <c r="O1228" s="83">
        <v>1022</v>
      </c>
      <c r="P1228" s="83">
        <v>6918</v>
      </c>
      <c r="Q1228" s="83">
        <v>35990</v>
      </c>
      <c r="R1228" s="12" t="s">
        <v>276</v>
      </c>
      <c r="S1228" s="12" t="s">
        <v>25</v>
      </c>
      <c r="T1228" s="12" t="s">
        <v>25</v>
      </c>
    </row>
    <row r="1229" spans="1:20" x14ac:dyDescent="0.3">
      <c r="A1229" s="13">
        <v>43943.708333333336</v>
      </c>
      <c r="B1229" s="12" t="s">
        <v>22</v>
      </c>
      <c r="C1229" s="83">
        <v>3</v>
      </c>
      <c r="D1229" s="12" t="s">
        <v>50</v>
      </c>
      <c r="E1229" s="83">
        <v>4546679409</v>
      </c>
      <c r="F1229" s="83">
        <v>9190347404</v>
      </c>
      <c r="G1229" s="83">
        <v>9692</v>
      </c>
      <c r="H1229" s="83">
        <v>817</v>
      </c>
      <c r="I1229" s="83">
        <v>10509</v>
      </c>
      <c r="J1229" s="83">
        <v>23733</v>
      </c>
      <c r="K1229" s="83">
        <v>34242</v>
      </c>
      <c r="L1229" s="83">
        <v>264</v>
      </c>
      <c r="M1229" s="83">
        <v>1161</v>
      </c>
      <c r="N1229" s="83">
        <v>22110</v>
      </c>
      <c r="O1229" s="83">
        <v>12740</v>
      </c>
      <c r="P1229" s="83">
        <v>69092</v>
      </c>
      <c r="Q1229" s="83">
        <v>290699</v>
      </c>
      <c r="R1229" s="12" t="s">
        <v>277</v>
      </c>
      <c r="S1229" s="12" t="s">
        <v>25</v>
      </c>
      <c r="T1229" s="12" t="s">
        <v>25</v>
      </c>
    </row>
    <row r="1230" spans="1:20" x14ac:dyDescent="0.3">
      <c r="A1230" s="13">
        <v>43943.708333333336</v>
      </c>
      <c r="B1230" s="12" t="s">
        <v>22</v>
      </c>
      <c r="C1230" s="83">
        <v>11</v>
      </c>
      <c r="D1230" s="12" t="s">
        <v>51</v>
      </c>
      <c r="E1230" s="83">
        <v>4361675973</v>
      </c>
      <c r="F1230" s="83">
        <v>135188753</v>
      </c>
      <c r="G1230" s="83">
        <v>735</v>
      </c>
      <c r="H1230" s="83">
        <v>76</v>
      </c>
      <c r="I1230" s="83">
        <v>811</v>
      </c>
      <c r="J1230" s="83">
        <v>2419</v>
      </c>
      <c r="K1230" s="83">
        <v>3230</v>
      </c>
      <c r="L1230" s="83">
        <v>12</v>
      </c>
      <c r="M1230" s="83">
        <v>47</v>
      </c>
      <c r="N1230" s="83">
        <v>1849</v>
      </c>
      <c r="O1230" s="83">
        <v>845</v>
      </c>
      <c r="P1230" s="83">
        <v>5924</v>
      </c>
      <c r="Q1230" s="83">
        <v>46492</v>
      </c>
      <c r="R1230" s="12" t="s">
        <v>278</v>
      </c>
      <c r="S1230" s="12" t="s">
        <v>25</v>
      </c>
      <c r="T1230" s="12" t="s">
        <v>25</v>
      </c>
    </row>
    <row r="1231" spans="1:20" x14ac:dyDescent="0.3">
      <c r="A1231" s="13">
        <v>43943.708333333336</v>
      </c>
      <c r="B1231" s="12" t="s">
        <v>22</v>
      </c>
      <c r="C1231" s="83">
        <v>14</v>
      </c>
      <c r="D1231" s="12" t="s">
        <v>52</v>
      </c>
      <c r="E1231" s="83">
        <v>4155774754</v>
      </c>
      <c r="F1231" s="83">
        <v>1465916051</v>
      </c>
      <c r="G1231" s="83">
        <v>21</v>
      </c>
      <c r="H1231" s="83">
        <v>2</v>
      </c>
      <c r="I1231" s="83">
        <v>23</v>
      </c>
      <c r="J1231" s="83">
        <v>182</v>
      </c>
      <c r="K1231" s="83">
        <v>205</v>
      </c>
      <c r="L1231" s="83">
        <v>-8</v>
      </c>
      <c r="M1231" s="83">
        <v>2</v>
      </c>
      <c r="N1231" s="83">
        <v>60</v>
      </c>
      <c r="O1231" s="83">
        <v>19</v>
      </c>
      <c r="P1231" s="83">
        <v>284</v>
      </c>
      <c r="Q1231" s="83">
        <v>4425</v>
      </c>
      <c r="R1231" s="12" t="s">
        <v>279</v>
      </c>
      <c r="S1231" s="12" t="s">
        <v>25</v>
      </c>
      <c r="T1231" s="12" t="s">
        <v>25</v>
      </c>
    </row>
    <row r="1232" spans="1:20" x14ac:dyDescent="0.3">
      <c r="A1232" s="13">
        <v>43943.708333333336</v>
      </c>
      <c r="B1232" s="12" t="s">
        <v>22</v>
      </c>
      <c r="C1232" s="83">
        <v>1</v>
      </c>
      <c r="D1232" s="12" t="s">
        <v>53</v>
      </c>
      <c r="E1232" s="83">
        <v>450732745</v>
      </c>
      <c r="F1232" s="83">
        <v>7680687483</v>
      </c>
      <c r="G1232" s="83">
        <v>3213</v>
      </c>
      <c r="H1232" s="83">
        <v>273</v>
      </c>
      <c r="I1232" s="83">
        <v>3486</v>
      </c>
      <c r="J1232" s="83">
        <v>11636</v>
      </c>
      <c r="K1232" s="83">
        <v>15122</v>
      </c>
      <c r="L1232" s="83">
        <v>311</v>
      </c>
      <c r="M1232" s="83">
        <v>784</v>
      </c>
      <c r="N1232" s="83">
        <v>5058</v>
      </c>
      <c r="O1232" s="83">
        <v>2559</v>
      </c>
      <c r="P1232" s="83">
        <v>22739</v>
      </c>
      <c r="Q1232" s="83">
        <v>111513</v>
      </c>
      <c r="R1232" s="12" t="s">
        <v>280</v>
      </c>
      <c r="S1232" s="12" t="s">
        <v>25</v>
      </c>
      <c r="T1232" s="12" t="s">
        <v>25</v>
      </c>
    </row>
    <row r="1233" spans="1:20" x14ac:dyDescent="0.3">
      <c r="A1233" s="13">
        <v>43943.708333333336</v>
      </c>
      <c r="B1233" s="12" t="s">
        <v>22</v>
      </c>
      <c r="C1233" s="83">
        <v>16</v>
      </c>
      <c r="D1233" s="12" t="s">
        <v>54</v>
      </c>
      <c r="E1233" s="83">
        <v>4112559576</v>
      </c>
      <c r="F1233" s="83">
        <v>1686736689</v>
      </c>
      <c r="G1233" s="83">
        <v>564</v>
      </c>
      <c r="H1233" s="83">
        <v>60</v>
      </c>
      <c r="I1233" s="83">
        <v>624</v>
      </c>
      <c r="J1233" s="83">
        <v>2250</v>
      </c>
      <c r="K1233" s="83">
        <v>2874</v>
      </c>
      <c r="L1233" s="83">
        <v>62</v>
      </c>
      <c r="M1233" s="83">
        <v>108</v>
      </c>
      <c r="N1233" s="83">
        <v>494</v>
      </c>
      <c r="O1233" s="83">
        <v>362</v>
      </c>
      <c r="P1233" s="83">
        <v>3730</v>
      </c>
      <c r="Q1233" s="83">
        <v>48342</v>
      </c>
      <c r="R1233" s="12" t="s">
        <v>281</v>
      </c>
      <c r="S1233" s="12" t="s">
        <v>25</v>
      </c>
      <c r="T1233" s="12" t="s">
        <v>25</v>
      </c>
    </row>
    <row r="1234" spans="1:20" x14ac:dyDescent="0.3">
      <c r="A1234" s="13">
        <v>43943.708333333336</v>
      </c>
      <c r="B1234" s="12" t="s">
        <v>22</v>
      </c>
      <c r="C1234" s="83">
        <v>20</v>
      </c>
      <c r="D1234" s="12" t="s">
        <v>55</v>
      </c>
      <c r="E1234" s="83">
        <v>3921531192</v>
      </c>
      <c r="F1234" s="83">
        <v>9110616306</v>
      </c>
      <c r="G1234" s="83">
        <v>97</v>
      </c>
      <c r="H1234" s="83">
        <v>20</v>
      </c>
      <c r="I1234" s="83">
        <v>117</v>
      </c>
      <c r="J1234" s="83">
        <v>716</v>
      </c>
      <c r="K1234" s="83">
        <v>833</v>
      </c>
      <c r="L1234" s="83">
        <v>-4</v>
      </c>
      <c r="M1234" s="83">
        <v>11</v>
      </c>
      <c r="N1234" s="83">
        <v>318</v>
      </c>
      <c r="O1234" s="83">
        <v>96</v>
      </c>
      <c r="P1234" s="83">
        <v>1247</v>
      </c>
      <c r="Q1234" s="83">
        <v>16886</v>
      </c>
      <c r="R1234" s="12" t="s">
        <v>282</v>
      </c>
      <c r="S1234" s="12" t="s">
        <v>25</v>
      </c>
      <c r="T1234" s="12" t="s">
        <v>25</v>
      </c>
    </row>
    <row r="1235" spans="1:20" x14ac:dyDescent="0.3">
      <c r="A1235" s="13">
        <v>43943.708333333336</v>
      </c>
      <c r="B1235" s="12" t="s">
        <v>22</v>
      </c>
      <c r="C1235" s="83">
        <v>19</v>
      </c>
      <c r="D1235" s="12" t="s">
        <v>56</v>
      </c>
      <c r="E1235" s="83">
        <v>3811569725</v>
      </c>
      <c r="F1235" s="83">
        <v>133623567</v>
      </c>
      <c r="G1235" s="83">
        <v>500</v>
      </c>
      <c r="H1235" s="83">
        <v>35</v>
      </c>
      <c r="I1235" s="83">
        <v>535</v>
      </c>
      <c r="J1235" s="83">
        <v>1752</v>
      </c>
      <c r="K1235" s="83">
        <v>2287</v>
      </c>
      <c r="L1235" s="83">
        <v>28</v>
      </c>
      <c r="M1235" s="83">
        <v>48</v>
      </c>
      <c r="N1235" s="83">
        <v>388</v>
      </c>
      <c r="O1235" s="83">
        <v>208</v>
      </c>
      <c r="P1235" s="83">
        <v>2883</v>
      </c>
      <c r="Q1235" s="83">
        <v>58732</v>
      </c>
      <c r="R1235" s="12" t="s">
        <v>283</v>
      </c>
      <c r="S1235" s="12" t="s">
        <v>25</v>
      </c>
      <c r="T1235" s="12" t="s">
        <v>25</v>
      </c>
    </row>
    <row r="1236" spans="1:20" x14ac:dyDescent="0.3">
      <c r="A1236" s="13">
        <v>43943.708333333336</v>
      </c>
      <c r="B1236" s="12" t="s">
        <v>22</v>
      </c>
      <c r="C1236" s="83">
        <v>9</v>
      </c>
      <c r="D1236" s="12" t="s">
        <v>57</v>
      </c>
      <c r="E1236" s="83">
        <v>4376923077</v>
      </c>
      <c r="F1236" s="83">
        <v>1125588885</v>
      </c>
      <c r="G1236" s="83">
        <v>820</v>
      </c>
      <c r="H1236" s="83">
        <v>174</v>
      </c>
      <c r="I1236" s="83">
        <v>994</v>
      </c>
      <c r="J1236" s="83">
        <v>5173</v>
      </c>
      <c r="K1236" s="83">
        <v>6167</v>
      </c>
      <c r="L1236" s="83">
        <v>-455</v>
      </c>
      <c r="M1236" s="83">
        <v>97</v>
      </c>
      <c r="N1236" s="83">
        <v>1828</v>
      </c>
      <c r="O1236" s="83">
        <v>705</v>
      </c>
      <c r="P1236" s="83">
        <v>8700</v>
      </c>
      <c r="Q1236" s="83">
        <v>114100</v>
      </c>
      <c r="R1236" s="12" t="s">
        <v>284</v>
      </c>
      <c r="S1236" s="12" t="s">
        <v>25</v>
      </c>
      <c r="T1236" s="12" t="s">
        <v>25</v>
      </c>
    </row>
    <row r="1237" spans="1:20" x14ac:dyDescent="0.3">
      <c r="A1237" s="13">
        <v>43943.708333333336</v>
      </c>
      <c r="B1237" s="12" t="s">
        <v>22</v>
      </c>
      <c r="C1237" s="83">
        <v>4</v>
      </c>
      <c r="D1237" s="12" t="s">
        <v>58</v>
      </c>
      <c r="E1237" s="83">
        <v>4606893511</v>
      </c>
      <c r="F1237" s="83">
        <v>1112123097</v>
      </c>
      <c r="G1237" s="83">
        <v>245</v>
      </c>
      <c r="H1237" s="83">
        <v>34</v>
      </c>
      <c r="I1237" s="83">
        <v>279</v>
      </c>
      <c r="J1237" s="83">
        <v>1595</v>
      </c>
      <c r="K1237" s="83">
        <v>1874</v>
      </c>
      <c r="L1237" s="83">
        <v>-35</v>
      </c>
      <c r="M1237" s="83">
        <v>32</v>
      </c>
      <c r="N1237" s="83">
        <v>1391</v>
      </c>
      <c r="O1237" s="83">
        <v>381</v>
      </c>
      <c r="P1237" s="83">
        <v>3646</v>
      </c>
      <c r="Q1237" s="83">
        <v>26674</v>
      </c>
      <c r="R1237" s="12" t="s">
        <v>285</v>
      </c>
      <c r="S1237" s="12" t="s">
        <v>25</v>
      </c>
      <c r="T1237" s="12" t="s">
        <v>25</v>
      </c>
    </row>
    <row r="1238" spans="1:20" x14ac:dyDescent="0.3">
      <c r="A1238" s="13">
        <v>43943.708333333336</v>
      </c>
      <c r="B1238" s="12" t="s">
        <v>22</v>
      </c>
      <c r="C1238" s="83">
        <v>10</v>
      </c>
      <c r="D1238" s="12" t="s">
        <v>59</v>
      </c>
      <c r="E1238" s="83">
        <v>4310675841</v>
      </c>
      <c r="F1238" s="83">
        <v>1238824698</v>
      </c>
      <c r="G1238" s="83">
        <v>97</v>
      </c>
      <c r="H1238" s="83">
        <v>20</v>
      </c>
      <c r="I1238" s="83">
        <v>117</v>
      </c>
      <c r="J1238" s="83">
        <v>254</v>
      </c>
      <c r="K1238" s="83">
        <v>371</v>
      </c>
      <c r="L1238" s="83">
        <v>-36</v>
      </c>
      <c r="M1238" s="83">
        <v>4</v>
      </c>
      <c r="N1238" s="83">
        <v>925</v>
      </c>
      <c r="O1238" s="83">
        <v>61</v>
      </c>
      <c r="P1238" s="83">
        <v>1357</v>
      </c>
      <c r="Q1238" s="83">
        <v>27655</v>
      </c>
      <c r="R1238" s="12" t="s">
        <v>286</v>
      </c>
      <c r="S1238" s="12" t="s">
        <v>25</v>
      </c>
      <c r="T1238" s="12" t="s">
        <v>25</v>
      </c>
    </row>
    <row r="1239" spans="1:20" x14ac:dyDescent="0.3">
      <c r="A1239" s="13">
        <v>43943.708333333336</v>
      </c>
      <c r="B1239" s="12" t="s">
        <v>22</v>
      </c>
      <c r="C1239" s="83">
        <v>2</v>
      </c>
      <c r="D1239" s="12" t="s">
        <v>60</v>
      </c>
      <c r="E1239" s="83">
        <v>4573750286</v>
      </c>
      <c r="F1239" s="83">
        <v>7320149366</v>
      </c>
      <c r="G1239" s="83">
        <v>92</v>
      </c>
      <c r="H1239" s="83">
        <v>8</v>
      </c>
      <c r="I1239" s="83">
        <v>100</v>
      </c>
      <c r="J1239" s="83">
        <v>401</v>
      </c>
      <c r="K1239" s="83">
        <v>501</v>
      </c>
      <c r="L1239" s="83">
        <v>-21</v>
      </c>
      <c r="M1239" s="83">
        <v>2</v>
      </c>
      <c r="N1239" s="83">
        <v>467</v>
      </c>
      <c r="O1239" s="83">
        <v>127</v>
      </c>
      <c r="P1239" s="83">
        <v>1095</v>
      </c>
      <c r="Q1239" s="83">
        <v>5024</v>
      </c>
      <c r="R1239" s="12" t="s">
        <v>287</v>
      </c>
      <c r="S1239" s="12" t="s">
        <v>25</v>
      </c>
      <c r="T1239" s="12" t="s">
        <v>25</v>
      </c>
    </row>
    <row r="1240" spans="1:20" x14ac:dyDescent="0.3">
      <c r="A1240" s="13">
        <v>43943.708333333336</v>
      </c>
      <c r="B1240" s="12" t="s">
        <v>22</v>
      </c>
      <c r="C1240" s="86">
        <v>5</v>
      </c>
      <c r="D1240" s="12" t="s">
        <v>61</v>
      </c>
      <c r="E1240" s="86">
        <v>4543490485</v>
      </c>
      <c r="F1240" s="86">
        <v>1233845213</v>
      </c>
      <c r="G1240" s="86">
        <v>1205</v>
      </c>
      <c r="H1240" s="86">
        <v>163</v>
      </c>
      <c r="I1240" s="86">
        <v>1368</v>
      </c>
      <c r="J1240" s="86">
        <v>8623</v>
      </c>
      <c r="K1240" s="86">
        <v>9991</v>
      </c>
      <c r="L1240" s="86">
        <v>-86</v>
      </c>
      <c r="M1240" s="86">
        <v>334</v>
      </c>
      <c r="N1240" s="86">
        <v>5566</v>
      </c>
      <c r="O1240" s="86">
        <v>1181</v>
      </c>
      <c r="P1240" s="86">
        <v>16738</v>
      </c>
      <c r="Q1240" s="86">
        <v>277543</v>
      </c>
      <c r="R1240" s="12" t="s">
        <v>288</v>
      </c>
      <c r="S1240" s="12" t="s">
        <v>25</v>
      </c>
      <c r="T1240" s="12" t="s">
        <v>25</v>
      </c>
    </row>
    <row r="1241" spans="1:20" x14ac:dyDescent="0.3">
      <c r="A1241" s="13">
        <v>43944.708333333336</v>
      </c>
      <c r="B1241" s="12" t="s">
        <v>22</v>
      </c>
      <c r="C1241" s="86">
        <v>13</v>
      </c>
      <c r="D1241" s="12" t="s">
        <v>42</v>
      </c>
      <c r="E1241" s="86">
        <v>4235122196</v>
      </c>
      <c r="F1241" s="86">
        <v>1339843823</v>
      </c>
      <c r="G1241" s="86">
        <v>322</v>
      </c>
      <c r="H1241" s="86">
        <v>31</v>
      </c>
      <c r="I1241" s="86">
        <v>353</v>
      </c>
      <c r="J1241" s="86">
        <v>1747</v>
      </c>
      <c r="K1241" s="86">
        <v>2100</v>
      </c>
      <c r="L1241" s="86">
        <v>-8</v>
      </c>
      <c r="M1241" s="86">
        <v>52</v>
      </c>
      <c r="N1241" s="86">
        <v>405</v>
      </c>
      <c r="O1241" s="86">
        <v>280</v>
      </c>
      <c r="P1241" s="86">
        <v>2785</v>
      </c>
      <c r="Q1241" s="86">
        <v>31187</v>
      </c>
      <c r="R1241" s="12" t="s">
        <v>307</v>
      </c>
      <c r="S1241" s="12" t="s">
        <v>25</v>
      </c>
      <c r="T1241" s="12" t="s">
        <v>25</v>
      </c>
    </row>
    <row r="1242" spans="1:20" x14ac:dyDescent="0.3">
      <c r="A1242" s="13">
        <v>43944.708333333336</v>
      </c>
      <c r="B1242" s="12" t="s">
        <v>22</v>
      </c>
      <c r="C1242" s="86">
        <v>17</v>
      </c>
      <c r="D1242" s="12" t="s">
        <v>43</v>
      </c>
      <c r="E1242" s="86">
        <v>4063947052</v>
      </c>
      <c r="F1242" s="86">
        <v>1580514834</v>
      </c>
      <c r="G1242" s="86">
        <v>61</v>
      </c>
      <c r="H1242" s="86">
        <v>7</v>
      </c>
      <c r="I1242" s="86">
        <v>68</v>
      </c>
      <c r="J1242" s="86">
        <v>161</v>
      </c>
      <c r="K1242" s="86">
        <v>229</v>
      </c>
      <c r="L1242" s="86">
        <v>-3</v>
      </c>
      <c r="M1242" s="86">
        <v>2</v>
      </c>
      <c r="N1242" s="86">
        <v>103</v>
      </c>
      <c r="O1242" s="86">
        <v>24</v>
      </c>
      <c r="P1242" s="86">
        <v>356</v>
      </c>
      <c r="Q1242" s="86">
        <v>8511</v>
      </c>
      <c r="R1242" s="12" t="s">
        <v>308</v>
      </c>
      <c r="S1242" s="12" t="s">
        <v>25</v>
      </c>
      <c r="T1242" s="12" t="s">
        <v>25</v>
      </c>
    </row>
    <row r="1243" spans="1:20" x14ac:dyDescent="0.3">
      <c r="A1243" s="13">
        <v>43944.708333333336</v>
      </c>
      <c r="B1243" s="12" t="s">
        <v>22</v>
      </c>
      <c r="C1243" s="86">
        <v>4</v>
      </c>
      <c r="D1243" s="12" t="s">
        <v>44</v>
      </c>
      <c r="E1243" s="86">
        <v>4649933453</v>
      </c>
      <c r="F1243" s="86">
        <v>1135662422</v>
      </c>
      <c r="G1243" s="86">
        <v>141</v>
      </c>
      <c r="H1243" s="86">
        <v>17</v>
      </c>
      <c r="I1243" s="86">
        <v>158</v>
      </c>
      <c r="J1243" s="86">
        <v>1336</v>
      </c>
      <c r="K1243" s="86">
        <v>1494</v>
      </c>
      <c r="L1243" s="86">
        <v>-18</v>
      </c>
      <c r="M1243" s="86">
        <v>19</v>
      </c>
      <c r="N1243" s="86">
        <v>680</v>
      </c>
      <c r="O1243" s="86">
        <v>261</v>
      </c>
      <c r="P1243" s="86">
        <v>2435</v>
      </c>
      <c r="Q1243" s="86">
        <v>33994</v>
      </c>
      <c r="R1243" s="12" t="s">
        <v>309</v>
      </c>
      <c r="S1243" s="12" t="s">
        <v>25</v>
      </c>
      <c r="T1243" s="12" t="s">
        <v>25</v>
      </c>
    </row>
    <row r="1244" spans="1:20" x14ac:dyDescent="0.3">
      <c r="A1244" s="13">
        <v>43944.708333333336</v>
      </c>
      <c r="B1244" s="12" t="s">
        <v>22</v>
      </c>
      <c r="C1244" s="86">
        <v>18</v>
      </c>
      <c r="D1244" s="12" t="s">
        <v>45</v>
      </c>
      <c r="E1244" s="86">
        <v>3890597598</v>
      </c>
      <c r="F1244" s="86">
        <v>1659440194</v>
      </c>
      <c r="G1244" s="86">
        <v>129</v>
      </c>
      <c r="H1244" s="86">
        <v>7</v>
      </c>
      <c r="I1244" s="86">
        <v>136</v>
      </c>
      <c r="J1244" s="86">
        <v>687</v>
      </c>
      <c r="K1244" s="86">
        <v>823</v>
      </c>
      <c r="L1244" s="86">
        <v>2</v>
      </c>
      <c r="M1244" s="86">
        <v>9</v>
      </c>
      <c r="N1244" s="86">
        <v>170</v>
      </c>
      <c r="O1244" s="86">
        <v>76</v>
      </c>
      <c r="P1244" s="86">
        <v>1069</v>
      </c>
      <c r="Q1244" s="86">
        <v>27869</v>
      </c>
      <c r="R1244" s="12" t="s">
        <v>310</v>
      </c>
      <c r="S1244" s="12" t="s">
        <v>25</v>
      </c>
      <c r="T1244" s="12" t="s">
        <v>25</v>
      </c>
    </row>
    <row r="1245" spans="1:20" x14ac:dyDescent="0.3">
      <c r="A1245" s="13">
        <v>43944.708333333336</v>
      </c>
      <c r="B1245" s="12" t="s">
        <v>22</v>
      </c>
      <c r="C1245" s="86">
        <v>15</v>
      </c>
      <c r="D1245" s="12" t="s">
        <v>46</v>
      </c>
      <c r="E1245" s="86">
        <v>4083956555</v>
      </c>
      <c r="F1245" s="86">
        <v>1425084984</v>
      </c>
      <c r="G1245" s="86">
        <v>539</v>
      </c>
      <c r="H1245" s="86">
        <v>47</v>
      </c>
      <c r="I1245" s="86">
        <v>586</v>
      </c>
      <c r="J1245" s="86">
        <v>2392</v>
      </c>
      <c r="K1245" s="86">
        <v>2978</v>
      </c>
      <c r="L1245" s="86">
        <v>-20</v>
      </c>
      <c r="M1245" s="86">
        <v>53</v>
      </c>
      <c r="N1245" s="86">
        <v>928</v>
      </c>
      <c r="O1245" s="86">
        <v>332</v>
      </c>
      <c r="P1245" s="86">
        <v>4238</v>
      </c>
      <c r="Q1245" s="86">
        <v>58324</v>
      </c>
      <c r="R1245" s="12" t="s">
        <v>272</v>
      </c>
      <c r="S1245" s="12" t="s">
        <v>311</v>
      </c>
      <c r="T1245" s="12" t="s">
        <v>312</v>
      </c>
    </row>
    <row r="1246" spans="1:20" x14ac:dyDescent="0.3">
      <c r="A1246" s="13">
        <v>43944.708333333336</v>
      </c>
      <c r="B1246" s="12" t="s">
        <v>22</v>
      </c>
      <c r="C1246" s="86">
        <v>8</v>
      </c>
      <c r="D1246" s="12" t="s">
        <v>95</v>
      </c>
      <c r="E1246" s="86">
        <v>4449436681</v>
      </c>
      <c r="F1246" s="86">
        <v>113417208</v>
      </c>
      <c r="G1246" s="86">
        <v>2889</v>
      </c>
      <c r="H1246" s="86">
        <v>266</v>
      </c>
      <c r="I1246" s="86">
        <v>3155</v>
      </c>
      <c r="J1246" s="86">
        <v>9690</v>
      </c>
      <c r="K1246" s="86">
        <v>12845</v>
      </c>
      <c r="L1246" s="86">
        <v>-239</v>
      </c>
      <c r="M1246" s="86">
        <v>289</v>
      </c>
      <c r="N1246" s="86">
        <v>7609</v>
      </c>
      <c r="O1246" s="86">
        <v>3269</v>
      </c>
      <c r="P1246" s="86">
        <v>23723</v>
      </c>
      <c r="Q1246" s="86">
        <v>146146</v>
      </c>
      <c r="R1246" s="12" t="s">
        <v>313</v>
      </c>
      <c r="S1246" s="12" t="s">
        <v>25</v>
      </c>
      <c r="T1246" s="12" t="s">
        <v>25</v>
      </c>
    </row>
    <row r="1247" spans="1:20" x14ac:dyDescent="0.3">
      <c r="A1247" s="13">
        <v>43944.708333333336</v>
      </c>
      <c r="B1247" s="12" t="s">
        <v>22</v>
      </c>
      <c r="C1247" s="86">
        <v>6</v>
      </c>
      <c r="D1247" s="12" t="s">
        <v>47</v>
      </c>
      <c r="E1247" s="86">
        <v>456494354</v>
      </c>
      <c r="F1247" s="86">
        <v>1376813649</v>
      </c>
      <c r="G1247" s="86">
        <v>138</v>
      </c>
      <c r="H1247" s="86">
        <v>18</v>
      </c>
      <c r="I1247" s="86">
        <v>156</v>
      </c>
      <c r="J1247" s="86">
        <v>979</v>
      </c>
      <c r="K1247" s="86">
        <v>1135</v>
      </c>
      <c r="L1247" s="86">
        <v>-173</v>
      </c>
      <c r="M1247" s="86">
        <v>41</v>
      </c>
      <c r="N1247" s="86">
        <v>1467</v>
      </c>
      <c r="O1247" s="86">
        <v>256</v>
      </c>
      <c r="P1247" s="86">
        <v>2858</v>
      </c>
      <c r="Q1247" s="86">
        <v>52918</v>
      </c>
      <c r="R1247" s="12" t="s">
        <v>314</v>
      </c>
      <c r="S1247" s="12" t="s">
        <v>25</v>
      </c>
      <c r="T1247" s="12" t="s">
        <v>25</v>
      </c>
    </row>
    <row r="1248" spans="1:20" x14ac:dyDescent="0.3">
      <c r="A1248" s="13">
        <v>43944.708333333336</v>
      </c>
      <c r="B1248" s="12" t="s">
        <v>22</v>
      </c>
      <c r="C1248" s="86">
        <v>12</v>
      </c>
      <c r="D1248" s="12" t="s">
        <v>48</v>
      </c>
      <c r="E1248" s="86">
        <v>4189277044</v>
      </c>
      <c r="F1248" s="86">
        <v>1248366722</v>
      </c>
      <c r="G1248" s="86">
        <v>1385</v>
      </c>
      <c r="H1248" s="86">
        <v>186</v>
      </c>
      <c r="I1248" s="86">
        <v>1571</v>
      </c>
      <c r="J1248" s="86">
        <v>2915</v>
      </c>
      <c r="K1248" s="86">
        <v>4486</v>
      </c>
      <c r="L1248" s="86">
        <v>23</v>
      </c>
      <c r="M1248" s="86">
        <v>79</v>
      </c>
      <c r="N1248" s="86">
        <v>1193</v>
      </c>
      <c r="O1248" s="86">
        <v>375</v>
      </c>
      <c r="P1248" s="86">
        <v>6054</v>
      </c>
      <c r="Q1248" s="86">
        <v>111073</v>
      </c>
      <c r="R1248" s="12" t="s">
        <v>315</v>
      </c>
      <c r="S1248" s="12" t="s">
        <v>316</v>
      </c>
      <c r="T1248" s="12" t="s">
        <v>317</v>
      </c>
    </row>
    <row r="1249" spans="1:20" x14ac:dyDescent="0.3">
      <c r="A1249" s="13">
        <v>43944.708333333336</v>
      </c>
      <c r="B1249" s="12" t="s">
        <v>22</v>
      </c>
      <c r="C1249" s="86">
        <v>7</v>
      </c>
      <c r="D1249" s="12" t="s">
        <v>49</v>
      </c>
      <c r="E1249" s="86">
        <v>4441149315</v>
      </c>
      <c r="F1249" s="86">
        <v>89326992</v>
      </c>
      <c r="G1249" s="86">
        <v>783</v>
      </c>
      <c r="H1249" s="86">
        <v>91</v>
      </c>
      <c r="I1249" s="86">
        <v>874</v>
      </c>
      <c r="J1249" s="86">
        <v>2592</v>
      </c>
      <c r="K1249" s="86">
        <v>3466</v>
      </c>
      <c r="L1249" s="86">
        <v>-10</v>
      </c>
      <c r="M1249" s="86">
        <v>131</v>
      </c>
      <c r="N1249" s="86">
        <v>2536</v>
      </c>
      <c r="O1249" s="86">
        <v>1047</v>
      </c>
      <c r="P1249" s="86">
        <v>7049</v>
      </c>
      <c r="Q1249" s="86">
        <v>37842</v>
      </c>
      <c r="R1249" s="12" t="s">
        <v>318</v>
      </c>
      <c r="S1249" s="12" t="s">
        <v>25</v>
      </c>
      <c r="T1249" s="12" t="s">
        <v>25</v>
      </c>
    </row>
    <row r="1250" spans="1:20" x14ac:dyDescent="0.3">
      <c r="A1250" s="13">
        <v>43944.708333333336</v>
      </c>
      <c r="B1250" s="12" t="s">
        <v>22</v>
      </c>
      <c r="C1250" s="86">
        <v>3</v>
      </c>
      <c r="D1250" s="12" t="s">
        <v>50</v>
      </c>
      <c r="E1250" s="86">
        <v>4546679409</v>
      </c>
      <c r="F1250" s="86">
        <v>9190347404</v>
      </c>
      <c r="G1250" s="86">
        <v>9192</v>
      </c>
      <c r="H1250" s="86">
        <v>790</v>
      </c>
      <c r="I1250" s="86">
        <v>9982</v>
      </c>
      <c r="J1250" s="86">
        <v>23891</v>
      </c>
      <c r="K1250" s="86">
        <v>33873</v>
      </c>
      <c r="L1250" s="86">
        <v>-369</v>
      </c>
      <c r="M1250" s="86">
        <v>1073</v>
      </c>
      <c r="N1250" s="86">
        <v>23352</v>
      </c>
      <c r="O1250" s="86">
        <v>12940</v>
      </c>
      <c r="P1250" s="86">
        <v>70165</v>
      </c>
      <c r="Q1250" s="86">
        <v>302715</v>
      </c>
      <c r="R1250" s="12" t="s">
        <v>319</v>
      </c>
      <c r="S1250" s="12" t="s">
        <v>25</v>
      </c>
      <c r="T1250" s="12" t="s">
        <v>25</v>
      </c>
    </row>
    <row r="1251" spans="1:20" x14ac:dyDescent="0.3">
      <c r="A1251" s="13">
        <v>43944.708333333336</v>
      </c>
      <c r="B1251" s="12" t="s">
        <v>22</v>
      </c>
      <c r="C1251" s="86">
        <v>11</v>
      </c>
      <c r="D1251" s="12" t="s">
        <v>51</v>
      </c>
      <c r="E1251" s="86">
        <v>4361675973</v>
      </c>
      <c r="F1251" s="86">
        <v>135188753</v>
      </c>
      <c r="G1251" s="86">
        <v>727</v>
      </c>
      <c r="H1251" s="86">
        <v>71</v>
      </c>
      <c r="I1251" s="86">
        <v>798</v>
      </c>
      <c r="J1251" s="86">
        <v>2432</v>
      </c>
      <c r="K1251" s="86">
        <v>3230</v>
      </c>
      <c r="L1251" s="86">
        <v>0</v>
      </c>
      <c r="M1251" s="86">
        <v>28</v>
      </c>
      <c r="N1251" s="86">
        <v>1865</v>
      </c>
      <c r="O1251" s="86">
        <v>857</v>
      </c>
      <c r="P1251" s="86">
        <v>5952</v>
      </c>
      <c r="Q1251" s="86">
        <v>47662</v>
      </c>
      <c r="R1251" s="12" t="s">
        <v>320</v>
      </c>
      <c r="S1251" s="12" t="s">
        <v>25</v>
      </c>
      <c r="T1251" s="12" t="s">
        <v>25</v>
      </c>
    </row>
    <row r="1252" spans="1:20" x14ac:dyDescent="0.3">
      <c r="A1252" s="13">
        <v>43944.708333333336</v>
      </c>
      <c r="B1252" s="12" t="s">
        <v>22</v>
      </c>
      <c r="C1252" s="86">
        <v>14</v>
      </c>
      <c r="D1252" s="12" t="s">
        <v>52</v>
      </c>
      <c r="E1252" s="86">
        <v>4155774754</v>
      </c>
      <c r="F1252" s="86">
        <v>1465916051</v>
      </c>
      <c r="G1252" s="86">
        <v>19</v>
      </c>
      <c r="H1252" s="86">
        <v>1</v>
      </c>
      <c r="I1252" s="86">
        <v>20</v>
      </c>
      <c r="J1252" s="86">
        <v>178</v>
      </c>
      <c r="K1252" s="86">
        <v>198</v>
      </c>
      <c r="L1252" s="86">
        <v>-7</v>
      </c>
      <c r="M1252" s="86">
        <v>0</v>
      </c>
      <c r="N1252" s="86">
        <v>66</v>
      </c>
      <c r="O1252" s="86">
        <v>20</v>
      </c>
      <c r="P1252" s="86">
        <v>284</v>
      </c>
      <c r="Q1252" s="86">
        <v>4564</v>
      </c>
      <c r="R1252" s="12" t="s">
        <v>321</v>
      </c>
      <c r="S1252" s="12" t="s">
        <v>25</v>
      </c>
      <c r="T1252" s="12" t="s">
        <v>25</v>
      </c>
    </row>
    <row r="1253" spans="1:20" x14ac:dyDescent="0.3">
      <c r="A1253" s="13">
        <v>43944.708333333336</v>
      </c>
      <c r="B1253" s="12" t="s">
        <v>22</v>
      </c>
      <c r="C1253" s="86">
        <v>1</v>
      </c>
      <c r="D1253" s="12" t="s">
        <v>53</v>
      </c>
      <c r="E1253" s="86">
        <v>450732745</v>
      </c>
      <c r="F1253" s="86">
        <v>7680687483</v>
      </c>
      <c r="G1253" s="86">
        <v>3039</v>
      </c>
      <c r="H1253" s="86">
        <v>261</v>
      </c>
      <c r="I1253" s="86">
        <v>3300</v>
      </c>
      <c r="J1253" s="86">
        <v>11852</v>
      </c>
      <c r="K1253" s="86">
        <v>15152</v>
      </c>
      <c r="L1253" s="86">
        <v>30</v>
      </c>
      <c r="M1253" s="86">
        <v>401</v>
      </c>
      <c r="N1253" s="86">
        <v>5358</v>
      </c>
      <c r="O1253" s="86">
        <v>2630</v>
      </c>
      <c r="P1253" s="86">
        <v>23140</v>
      </c>
      <c r="Q1253" s="86">
        <v>117970</v>
      </c>
      <c r="R1253" s="12" t="s">
        <v>322</v>
      </c>
      <c r="S1253" s="12" t="s">
        <v>25</v>
      </c>
      <c r="T1253" s="12" t="s">
        <v>25</v>
      </c>
    </row>
    <row r="1254" spans="1:20" x14ac:dyDescent="0.3">
      <c r="A1254" s="13">
        <v>43944.708333333336</v>
      </c>
      <c r="B1254" s="12" t="s">
        <v>22</v>
      </c>
      <c r="C1254" s="86">
        <v>16</v>
      </c>
      <c r="D1254" s="12" t="s">
        <v>54</v>
      </c>
      <c r="E1254" s="86">
        <v>4112559576</v>
      </c>
      <c r="F1254" s="86">
        <v>1686736689</v>
      </c>
      <c r="G1254" s="86">
        <v>536</v>
      </c>
      <c r="H1254" s="86">
        <v>55</v>
      </c>
      <c r="I1254" s="86">
        <v>591</v>
      </c>
      <c r="J1254" s="86">
        <v>2345</v>
      </c>
      <c r="K1254" s="86">
        <v>2936</v>
      </c>
      <c r="L1254" s="86">
        <v>62</v>
      </c>
      <c r="M1254" s="86">
        <v>109</v>
      </c>
      <c r="N1254" s="86">
        <v>531</v>
      </c>
      <c r="O1254" s="86">
        <v>372</v>
      </c>
      <c r="P1254" s="86">
        <v>3839</v>
      </c>
      <c r="Q1254" s="86">
        <v>50410</v>
      </c>
      <c r="R1254" s="12" t="s">
        <v>323</v>
      </c>
      <c r="S1254" s="12" t="s">
        <v>25</v>
      </c>
      <c r="T1254" s="12" t="s">
        <v>25</v>
      </c>
    </row>
    <row r="1255" spans="1:20" x14ac:dyDescent="0.3">
      <c r="A1255" s="13">
        <v>43944.708333333336</v>
      </c>
      <c r="B1255" s="12" t="s">
        <v>22</v>
      </c>
      <c r="C1255" s="86">
        <v>20</v>
      </c>
      <c r="D1255" s="12" t="s">
        <v>55</v>
      </c>
      <c r="E1255" s="86">
        <v>3921531192</v>
      </c>
      <c r="F1255" s="86">
        <v>9110616306</v>
      </c>
      <c r="G1255" s="86">
        <v>90</v>
      </c>
      <c r="H1255" s="86">
        <v>20</v>
      </c>
      <c r="I1255" s="86">
        <v>110</v>
      </c>
      <c r="J1255" s="86">
        <v>707</v>
      </c>
      <c r="K1255" s="86">
        <v>817</v>
      </c>
      <c r="L1255" s="86">
        <v>-16</v>
      </c>
      <c r="M1255" s="86">
        <v>7</v>
      </c>
      <c r="N1255" s="86">
        <v>339</v>
      </c>
      <c r="O1255" s="86">
        <v>98</v>
      </c>
      <c r="P1255" s="86">
        <v>1254</v>
      </c>
      <c r="Q1255" s="86">
        <v>17844</v>
      </c>
      <c r="R1255" s="12" t="s">
        <v>324</v>
      </c>
      <c r="S1255" s="12" t="s">
        <v>25</v>
      </c>
      <c r="T1255" s="12" t="s">
        <v>25</v>
      </c>
    </row>
    <row r="1256" spans="1:20" x14ac:dyDescent="0.3">
      <c r="A1256" s="13">
        <v>43944.708333333336</v>
      </c>
      <c r="B1256" s="12" t="s">
        <v>22</v>
      </c>
      <c r="C1256" s="86">
        <v>19</v>
      </c>
      <c r="D1256" s="12" t="s">
        <v>56</v>
      </c>
      <c r="E1256" s="86">
        <v>3811569725</v>
      </c>
      <c r="F1256" s="86">
        <v>133623567</v>
      </c>
      <c r="G1256" s="86">
        <v>476</v>
      </c>
      <c r="H1256" s="86">
        <v>34</v>
      </c>
      <c r="I1256" s="86">
        <v>510</v>
      </c>
      <c r="J1256" s="86">
        <v>1791</v>
      </c>
      <c r="K1256" s="86">
        <v>2301</v>
      </c>
      <c r="L1256" s="86">
        <v>14</v>
      </c>
      <c r="M1256" s="86">
        <v>43</v>
      </c>
      <c r="N1256" s="86">
        <v>412</v>
      </c>
      <c r="O1256" s="86">
        <v>213</v>
      </c>
      <c r="P1256" s="86">
        <v>2926</v>
      </c>
      <c r="Q1256" s="86">
        <v>62150</v>
      </c>
      <c r="R1256" s="12" t="s">
        <v>325</v>
      </c>
      <c r="S1256" s="12" t="s">
        <v>25</v>
      </c>
      <c r="T1256" s="12" t="s">
        <v>25</v>
      </c>
    </row>
    <row r="1257" spans="1:20" x14ac:dyDescent="0.3">
      <c r="A1257" s="13">
        <v>43944.708333333336</v>
      </c>
      <c r="B1257" s="12" t="s">
        <v>22</v>
      </c>
      <c r="C1257" s="86">
        <v>9</v>
      </c>
      <c r="D1257" s="12" t="s">
        <v>57</v>
      </c>
      <c r="E1257" s="86">
        <v>4376923077</v>
      </c>
      <c r="F1257" s="86">
        <v>1125588885</v>
      </c>
      <c r="G1257" s="86">
        <v>791</v>
      </c>
      <c r="H1257" s="86">
        <v>168</v>
      </c>
      <c r="I1257" s="86">
        <v>959</v>
      </c>
      <c r="J1257" s="86">
        <v>5212</v>
      </c>
      <c r="K1257" s="86">
        <v>6171</v>
      </c>
      <c r="L1257" s="86">
        <v>4</v>
      </c>
      <c r="M1257" s="86">
        <v>80</v>
      </c>
      <c r="N1257" s="86">
        <v>1886</v>
      </c>
      <c r="O1257" s="86">
        <v>723</v>
      </c>
      <c r="P1257" s="86">
        <v>8780</v>
      </c>
      <c r="Q1257" s="86">
        <v>118177</v>
      </c>
      <c r="R1257" s="12" t="s">
        <v>326</v>
      </c>
      <c r="S1257" s="12" t="s">
        <v>25</v>
      </c>
      <c r="T1257" s="12" t="s">
        <v>25</v>
      </c>
    </row>
    <row r="1258" spans="1:20" x14ac:dyDescent="0.3">
      <c r="A1258" s="13">
        <v>43944.708333333336</v>
      </c>
      <c r="B1258" s="12" t="s">
        <v>22</v>
      </c>
      <c r="C1258" s="86">
        <v>4</v>
      </c>
      <c r="D1258" s="12" t="s">
        <v>58</v>
      </c>
      <c r="E1258" s="86">
        <v>4606893511</v>
      </c>
      <c r="F1258" s="86">
        <v>1112123097</v>
      </c>
      <c r="G1258" s="86">
        <v>234</v>
      </c>
      <c r="H1258" s="86">
        <v>29</v>
      </c>
      <c r="I1258" s="86">
        <v>263</v>
      </c>
      <c r="J1258" s="86">
        <v>1608</v>
      </c>
      <c r="K1258" s="86">
        <v>1871</v>
      </c>
      <c r="L1258" s="86">
        <v>-3</v>
      </c>
      <c r="M1258" s="86">
        <v>81</v>
      </c>
      <c r="N1258" s="86">
        <v>1474</v>
      </c>
      <c r="O1258" s="86">
        <v>382</v>
      </c>
      <c r="P1258" s="86">
        <v>3727</v>
      </c>
      <c r="Q1258" s="86">
        <v>28240</v>
      </c>
      <c r="R1258" s="12" t="s">
        <v>327</v>
      </c>
      <c r="S1258" s="12" t="s">
        <v>25</v>
      </c>
      <c r="T1258" s="12" t="s">
        <v>25</v>
      </c>
    </row>
    <row r="1259" spans="1:20" x14ac:dyDescent="0.3">
      <c r="A1259" s="13">
        <v>43944.708333333336</v>
      </c>
      <c r="B1259" s="12" t="s">
        <v>22</v>
      </c>
      <c r="C1259" s="86">
        <v>10</v>
      </c>
      <c r="D1259" s="12" t="s">
        <v>59</v>
      </c>
      <c r="E1259" s="86">
        <v>4310675841</v>
      </c>
      <c r="F1259" s="86">
        <v>1238824698</v>
      </c>
      <c r="G1259" s="86">
        <v>100</v>
      </c>
      <c r="H1259" s="86">
        <v>19</v>
      </c>
      <c r="I1259" s="86">
        <v>119</v>
      </c>
      <c r="J1259" s="86">
        <v>236</v>
      </c>
      <c r="K1259" s="86">
        <v>355</v>
      </c>
      <c r="L1259" s="86">
        <v>-16</v>
      </c>
      <c r="M1259" s="86">
        <v>5</v>
      </c>
      <c r="N1259" s="86">
        <v>946</v>
      </c>
      <c r="O1259" s="86">
        <v>61</v>
      </c>
      <c r="P1259" s="86">
        <v>1362</v>
      </c>
      <c r="Q1259" s="86">
        <v>29011</v>
      </c>
      <c r="R1259" s="12" t="s">
        <v>328</v>
      </c>
      <c r="S1259" s="12" t="s">
        <v>25</v>
      </c>
      <c r="T1259" s="12" t="s">
        <v>25</v>
      </c>
    </row>
    <row r="1260" spans="1:20" x14ac:dyDescent="0.3">
      <c r="A1260" s="13">
        <v>43944.708333333336</v>
      </c>
      <c r="B1260" s="12" t="s">
        <v>22</v>
      </c>
      <c r="C1260" s="86">
        <v>2</v>
      </c>
      <c r="D1260" s="12" t="s">
        <v>60</v>
      </c>
      <c r="E1260" s="86">
        <v>4573750286</v>
      </c>
      <c r="F1260" s="86">
        <v>7320149366</v>
      </c>
      <c r="G1260" s="86">
        <v>91</v>
      </c>
      <c r="H1260" s="86">
        <v>9</v>
      </c>
      <c r="I1260" s="86">
        <v>100</v>
      </c>
      <c r="J1260" s="86">
        <v>363</v>
      </c>
      <c r="K1260" s="86">
        <v>463</v>
      </c>
      <c r="L1260" s="86">
        <v>-38</v>
      </c>
      <c r="M1260" s="86">
        <v>1</v>
      </c>
      <c r="N1260" s="86">
        <v>506</v>
      </c>
      <c r="O1260" s="86">
        <v>127</v>
      </c>
      <c r="P1260" s="86">
        <v>1096</v>
      </c>
      <c r="Q1260" s="86">
        <v>5227</v>
      </c>
      <c r="R1260" s="12" t="s">
        <v>329</v>
      </c>
      <c r="S1260" s="12" t="s">
        <v>25</v>
      </c>
      <c r="T1260" s="12" t="s">
        <v>25</v>
      </c>
    </row>
    <row r="1261" spans="1:20" x14ac:dyDescent="0.3">
      <c r="A1261" s="13">
        <v>43944.708333333336</v>
      </c>
      <c r="B1261" s="12" t="s">
        <v>22</v>
      </c>
      <c r="C1261" s="104">
        <v>5</v>
      </c>
      <c r="D1261" s="12" t="s">
        <v>61</v>
      </c>
      <c r="E1261" s="104">
        <v>4543490485</v>
      </c>
      <c r="F1261" s="104">
        <v>1233845213</v>
      </c>
      <c r="G1261" s="104">
        <v>1189</v>
      </c>
      <c r="H1261" s="104">
        <v>140</v>
      </c>
      <c r="I1261" s="104">
        <v>1329</v>
      </c>
      <c r="J1261" s="104">
        <v>8596</v>
      </c>
      <c r="K1261" s="104">
        <v>9925</v>
      </c>
      <c r="L1261" s="104">
        <v>-66</v>
      </c>
      <c r="M1261" s="104">
        <v>143</v>
      </c>
      <c r="N1261" s="104">
        <v>5750</v>
      </c>
      <c r="O1261" s="104">
        <v>1206</v>
      </c>
      <c r="P1261" s="104">
        <v>16881</v>
      </c>
      <c r="Q1261" s="104">
        <v>288075</v>
      </c>
      <c r="R1261" s="12" t="s">
        <v>330</v>
      </c>
      <c r="S1261" s="12" t="s">
        <v>25</v>
      </c>
      <c r="T1261" s="12" t="s">
        <v>25</v>
      </c>
    </row>
    <row r="1262" spans="1:20" x14ac:dyDescent="0.3">
      <c r="A1262" s="13">
        <v>43945.708333333336</v>
      </c>
      <c r="B1262" s="12" t="s">
        <v>22</v>
      </c>
      <c r="C1262" s="104">
        <v>13</v>
      </c>
      <c r="D1262" s="12" t="s">
        <v>42</v>
      </c>
      <c r="E1262" s="104">
        <v>4235122196</v>
      </c>
      <c r="F1262" s="104">
        <v>1339843823</v>
      </c>
      <c r="G1262" s="104">
        <v>327</v>
      </c>
      <c r="H1262" s="104">
        <v>28</v>
      </c>
      <c r="I1262" s="104">
        <v>355</v>
      </c>
      <c r="J1262" s="104">
        <v>1724</v>
      </c>
      <c r="K1262" s="104">
        <v>2079</v>
      </c>
      <c r="L1262" s="104">
        <v>-21</v>
      </c>
      <c r="M1262" s="104">
        <v>18</v>
      </c>
      <c r="N1262" s="104">
        <v>438</v>
      </c>
      <c r="O1262" s="104">
        <v>286</v>
      </c>
      <c r="P1262" s="104">
        <v>2803</v>
      </c>
      <c r="Q1262" s="104">
        <v>32397</v>
      </c>
      <c r="R1262" s="12" t="s">
        <v>334</v>
      </c>
      <c r="S1262" s="12" t="s">
        <v>25</v>
      </c>
      <c r="T1262" s="12" t="s">
        <v>25</v>
      </c>
    </row>
    <row r="1263" spans="1:20" x14ac:dyDescent="0.3">
      <c r="A1263" s="13">
        <v>43945.708333333336</v>
      </c>
      <c r="B1263" s="12" t="s">
        <v>22</v>
      </c>
      <c r="C1263" s="104">
        <v>17</v>
      </c>
      <c r="D1263" s="12" t="s">
        <v>43</v>
      </c>
      <c r="E1263" s="104">
        <v>4063947052</v>
      </c>
      <c r="F1263" s="104">
        <v>1580514834</v>
      </c>
      <c r="G1263" s="104">
        <v>59</v>
      </c>
      <c r="H1263" s="104">
        <v>7</v>
      </c>
      <c r="I1263" s="104">
        <v>66</v>
      </c>
      <c r="J1263" s="104">
        <v>163</v>
      </c>
      <c r="K1263" s="104">
        <v>229</v>
      </c>
      <c r="L1263" s="104">
        <v>0</v>
      </c>
      <c r="M1263" s="104">
        <v>4</v>
      </c>
      <c r="N1263" s="104">
        <v>107</v>
      </c>
      <c r="O1263" s="104">
        <v>24</v>
      </c>
      <c r="P1263" s="104">
        <v>360</v>
      </c>
      <c r="Q1263" s="104">
        <v>9026</v>
      </c>
      <c r="R1263" s="12" t="s">
        <v>335</v>
      </c>
      <c r="S1263" s="12" t="s">
        <v>25</v>
      </c>
      <c r="T1263" s="12" t="s">
        <v>25</v>
      </c>
    </row>
    <row r="1264" spans="1:20" x14ac:dyDescent="0.3">
      <c r="A1264" s="13">
        <v>43945.708333333336</v>
      </c>
      <c r="B1264" s="12" t="s">
        <v>22</v>
      </c>
      <c r="C1264" s="104">
        <v>4</v>
      </c>
      <c r="D1264" s="12" t="s">
        <v>44</v>
      </c>
      <c r="E1264" s="104">
        <v>4649933453</v>
      </c>
      <c r="F1264" s="104">
        <v>1135662422</v>
      </c>
      <c r="G1264" s="104">
        <v>148</v>
      </c>
      <c r="H1264" s="104">
        <v>16</v>
      </c>
      <c r="I1264" s="104">
        <v>164</v>
      </c>
      <c r="J1264" s="104">
        <v>929</v>
      </c>
      <c r="K1264" s="104">
        <v>1093</v>
      </c>
      <c r="L1264" s="104">
        <v>-401</v>
      </c>
      <c r="M1264" s="104">
        <v>21</v>
      </c>
      <c r="N1264" s="104">
        <v>1100</v>
      </c>
      <c r="O1264" s="104">
        <v>263</v>
      </c>
      <c r="P1264" s="104">
        <v>2456</v>
      </c>
      <c r="Q1264" s="104">
        <v>35062</v>
      </c>
      <c r="R1264" s="12" t="s">
        <v>336</v>
      </c>
      <c r="S1264" s="12" t="s">
        <v>25</v>
      </c>
      <c r="T1264" s="12" t="s">
        <v>25</v>
      </c>
    </row>
    <row r="1265" spans="1:20" x14ac:dyDescent="0.3">
      <c r="A1265" s="13">
        <v>43945.708333333336</v>
      </c>
      <c r="B1265" s="12" t="s">
        <v>22</v>
      </c>
      <c r="C1265" s="104">
        <v>18</v>
      </c>
      <c r="D1265" s="12" t="s">
        <v>45</v>
      </c>
      <c r="E1265" s="104">
        <v>3890597598</v>
      </c>
      <c r="F1265" s="104">
        <v>1659440194</v>
      </c>
      <c r="G1265" s="104">
        <v>123</v>
      </c>
      <c r="H1265" s="104">
        <v>7</v>
      </c>
      <c r="I1265" s="104">
        <v>130</v>
      </c>
      <c r="J1265" s="104">
        <v>691</v>
      </c>
      <c r="K1265" s="104">
        <v>821</v>
      </c>
      <c r="L1265" s="104">
        <v>-2</v>
      </c>
      <c r="M1265" s="104">
        <v>10</v>
      </c>
      <c r="N1265" s="104">
        <v>178</v>
      </c>
      <c r="O1265" s="104">
        <v>80</v>
      </c>
      <c r="P1265" s="104">
        <v>1079</v>
      </c>
      <c r="Q1265" s="104">
        <v>28764</v>
      </c>
      <c r="R1265" s="12" t="s">
        <v>337</v>
      </c>
      <c r="S1265" s="12" t="s">
        <v>25</v>
      </c>
      <c r="T1265" s="12" t="s">
        <v>25</v>
      </c>
    </row>
    <row r="1266" spans="1:20" x14ac:dyDescent="0.3">
      <c r="A1266" s="13">
        <v>43945.708333333336</v>
      </c>
      <c r="B1266" s="12" t="s">
        <v>22</v>
      </c>
      <c r="C1266" s="104">
        <v>15</v>
      </c>
      <c r="D1266" s="12" t="s">
        <v>46</v>
      </c>
      <c r="E1266" s="104">
        <v>4083956555</v>
      </c>
      <c r="F1266" s="104">
        <v>1425084984</v>
      </c>
      <c r="G1266" s="104">
        <v>524</v>
      </c>
      <c r="H1266" s="104">
        <v>44</v>
      </c>
      <c r="I1266" s="104">
        <v>568</v>
      </c>
      <c r="J1266" s="104">
        <v>2375</v>
      </c>
      <c r="K1266" s="104">
        <v>2943</v>
      </c>
      <c r="L1266" s="104">
        <v>-35</v>
      </c>
      <c r="M1266" s="104">
        <v>44</v>
      </c>
      <c r="N1266" s="104">
        <v>1003</v>
      </c>
      <c r="O1266" s="104">
        <v>336</v>
      </c>
      <c r="P1266" s="104">
        <v>4282</v>
      </c>
      <c r="Q1266" s="104">
        <v>61331</v>
      </c>
      <c r="R1266" s="12" t="s">
        <v>338</v>
      </c>
      <c r="S1266" s="12" t="s">
        <v>25</v>
      </c>
      <c r="T1266" s="12" t="s">
        <v>25</v>
      </c>
    </row>
    <row r="1267" spans="1:20" x14ac:dyDescent="0.3">
      <c r="A1267" s="13">
        <v>43945.708333333336</v>
      </c>
      <c r="B1267" s="12" t="s">
        <v>22</v>
      </c>
      <c r="C1267" s="104">
        <v>8</v>
      </c>
      <c r="D1267" s="12" t="s">
        <v>95</v>
      </c>
      <c r="E1267" s="104">
        <v>4449436681</v>
      </c>
      <c r="F1267" s="104">
        <v>113417208</v>
      </c>
      <c r="G1267" s="104">
        <v>2807</v>
      </c>
      <c r="H1267" s="104">
        <v>264</v>
      </c>
      <c r="I1267" s="104">
        <v>3071</v>
      </c>
      <c r="J1267" s="104">
        <v>9438</v>
      </c>
      <c r="K1267" s="104">
        <v>12509</v>
      </c>
      <c r="L1267" s="104">
        <v>-336</v>
      </c>
      <c r="M1267" s="104">
        <v>247</v>
      </c>
      <c r="N1267" s="104">
        <v>8158</v>
      </c>
      <c r="O1267" s="104">
        <v>3303</v>
      </c>
      <c r="P1267" s="104">
        <v>23970</v>
      </c>
      <c r="Q1267" s="104">
        <v>151505</v>
      </c>
      <c r="R1267" s="12" t="s">
        <v>339</v>
      </c>
      <c r="S1267" s="12" t="s">
        <v>25</v>
      </c>
      <c r="T1267" s="12" t="s">
        <v>25</v>
      </c>
    </row>
    <row r="1268" spans="1:20" x14ac:dyDescent="0.3">
      <c r="A1268" s="13">
        <v>43945.708333333336</v>
      </c>
      <c r="B1268" s="12" t="s">
        <v>22</v>
      </c>
      <c r="C1268" s="104">
        <v>6</v>
      </c>
      <c r="D1268" s="12" t="s">
        <v>47</v>
      </c>
      <c r="E1268" s="104">
        <v>456494354</v>
      </c>
      <c r="F1268" s="104">
        <v>1376813649</v>
      </c>
      <c r="G1268" s="104">
        <v>136</v>
      </c>
      <c r="H1268" s="104">
        <v>16</v>
      </c>
      <c r="I1268" s="104">
        <v>152</v>
      </c>
      <c r="J1268" s="104">
        <v>1168</v>
      </c>
      <c r="K1268" s="104">
        <v>1320</v>
      </c>
      <c r="L1268" s="104">
        <v>185</v>
      </c>
      <c r="M1268" s="104">
        <v>24</v>
      </c>
      <c r="N1268" s="104">
        <v>1304</v>
      </c>
      <c r="O1268" s="104">
        <v>258</v>
      </c>
      <c r="P1268" s="104">
        <v>2882</v>
      </c>
      <c r="Q1268" s="104">
        <v>55502</v>
      </c>
      <c r="R1268" s="12" t="s">
        <v>340</v>
      </c>
      <c r="S1268" s="12" t="s">
        <v>4318</v>
      </c>
      <c r="T1268" s="12" t="s">
        <v>4319</v>
      </c>
    </row>
    <row r="1269" spans="1:20" x14ac:dyDescent="0.3">
      <c r="A1269" s="13">
        <v>43945.708333333336</v>
      </c>
      <c r="B1269" s="12" t="s">
        <v>22</v>
      </c>
      <c r="C1269" s="104">
        <v>12</v>
      </c>
      <c r="D1269" s="12" t="s">
        <v>48</v>
      </c>
      <c r="E1269" s="104">
        <v>4189277044</v>
      </c>
      <c r="F1269" s="104">
        <v>1248366722</v>
      </c>
      <c r="G1269" s="104">
        <v>1396</v>
      </c>
      <c r="H1269" s="104">
        <v>184</v>
      </c>
      <c r="I1269" s="104">
        <v>1580</v>
      </c>
      <c r="J1269" s="104">
        <v>2912</v>
      </c>
      <c r="K1269" s="104">
        <v>4492</v>
      </c>
      <c r="L1269" s="104">
        <v>6</v>
      </c>
      <c r="M1269" s="104">
        <v>78</v>
      </c>
      <c r="N1269" s="104">
        <v>1256</v>
      </c>
      <c r="O1269" s="104">
        <v>384</v>
      </c>
      <c r="P1269" s="104">
        <v>6132</v>
      </c>
      <c r="Q1269" s="104">
        <v>114317</v>
      </c>
      <c r="R1269" s="12" t="s">
        <v>341</v>
      </c>
      <c r="S1269" s="12" t="s">
        <v>25</v>
      </c>
      <c r="T1269" s="12" t="s">
        <v>25</v>
      </c>
    </row>
    <row r="1270" spans="1:20" x14ac:dyDescent="0.3">
      <c r="A1270" s="13">
        <v>43945.708333333336</v>
      </c>
      <c r="B1270" s="12" t="s">
        <v>22</v>
      </c>
      <c r="C1270" s="104">
        <v>7</v>
      </c>
      <c r="D1270" s="12" t="s">
        <v>49</v>
      </c>
      <c r="E1270" s="104">
        <v>4441149315</v>
      </c>
      <c r="F1270" s="104">
        <v>89326992</v>
      </c>
      <c r="G1270" s="104">
        <v>760</v>
      </c>
      <c r="H1270" s="104">
        <v>87</v>
      </c>
      <c r="I1270" s="104">
        <v>847</v>
      </c>
      <c r="J1270" s="104">
        <v>2590</v>
      </c>
      <c r="K1270" s="104">
        <v>3437</v>
      </c>
      <c r="L1270" s="104">
        <v>-29</v>
      </c>
      <c r="M1270" s="104">
        <v>124</v>
      </c>
      <c r="N1270" s="104">
        <v>2660</v>
      </c>
      <c r="O1270" s="104">
        <v>1076</v>
      </c>
      <c r="P1270" s="104">
        <v>7173</v>
      </c>
      <c r="Q1270" s="104">
        <v>39563</v>
      </c>
      <c r="R1270" s="12" t="s">
        <v>342</v>
      </c>
      <c r="S1270" s="12" t="s">
        <v>25</v>
      </c>
      <c r="T1270" s="12" t="s">
        <v>25</v>
      </c>
    </row>
    <row r="1271" spans="1:20" x14ac:dyDescent="0.3">
      <c r="A1271" s="13">
        <v>43945.708333333336</v>
      </c>
      <c r="B1271" s="12" t="s">
        <v>22</v>
      </c>
      <c r="C1271" s="104">
        <v>3</v>
      </c>
      <c r="D1271" s="12" t="s">
        <v>50</v>
      </c>
      <c r="E1271" s="104">
        <v>4546679409</v>
      </c>
      <c r="F1271" s="104">
        <v>9190347404</v>
      </c>
      <c r="G1271" s="104">
        <v>8791</v>
      </c>
      <c r="H1271" s="104">
        <v>756</v>
      </c>
      <c r="I1271" s="104">
        <v>9547</v>
      </c>
      <c r="J1271" s="104">
        <v>24821</v>
      </c>
      <c r="K1271" s="104">
        <v>34368</v>
      </c>
      <c r="L1271" s="104">
        <v>495</v>
      </c>
      <c r="M1271" s="104">
        <v>1091</v>
      </c>
      <c r="N1271" s="104">
        <v>23782</v>
      </c>
      <c r="O1271" s="104">
        <v>13106</v>
      </c>
      <c r="P1271" s="104">
        <v>71256</v>
      </c>
      <c r="Q1271" s="104">
        <v>314298</v>
      </c>
      <c r="R1271" s="12" t="s">
        <v>343</v>
      </c>
      <c r="S1271" s="12" t="s">
        <v>25</v>
      </c>
      <c r="T1271" s="12" t="s">
        <v>25</v>
      </c>
    </row>
    <row r="1272" spans="1:20" x14ac:dyDescent="0.3">
      <c r="A1272" s="13">
        <v>43945.708333333336</v>
      </c>
      <c r="B1272" s="12" t="s">
        <v>22</v>
      </c>
      <c r="C1272" s="104">
        <v>11</v>
      </c>
      <c r="D1272" s="12" t="s">
        <v>51</v>
      </c>
      <c r="E1272" s="104">
        <v>4361675973</v>
      </c>
      <c r="F1272" s="104">
        <v>135188753</v>
      </c>
      <c r="G1272" s="104">
        <v>705</v>
      </c>
      <c r="H1272" s="104">
        <v>61</v>
      </c>
      <c r="I1272" s="104">
        <v>766</v>
      </c>
      <c r="J1272" s="104">
        <v>2507</v>
      </c>
      <c r="K1272" s="104">
        <v>3273</v>
      </c>
      <c r="L1272" s="104">
        <v>43</v>
      </c>
      <c r="M1272" s="104">
        <v>76</v>
      </c>
      <c r="N1272" s="104">
        <v>1890</v>
      </c>
      <c r="O1272" s="104">
        <v>865</v>
      </c>
      <c r="P1272" s="104">
        <v>6028</v>
      </c>
      <c r="Q1272" s="104">
        <v>49163</v>
      </c>
      <c r="R1272" s="12" t="s">
        <v>344</v>
      </c>
      <c r="S1272" s="12" t="s">
        <v>25</v>
      </c>
      <c r="T1272" s="12" t="s">
        <v>25</v>
      </c>
    </row>
    <row r="1273" spans="1:20" x14ac:dyDescent="0.3">
      <c r="A1273" s="13">
        <v>43945.708333333336</v>
      </c>
      <c r="B1273" s="12" t="s">
        <v>22</v>
      </c>
      <c r="C1273" s="104">
        <v>14</v>
      </c>
      <c r="D1273" s="12" t="s">
        <v>52</v>
      </c>
      <c r="E1273" s="104">
        <v>4155774754</v>
      </c>
      <c r="F1273" s="104">
        <v>1465916051</v>
      </c>
      <c r="G1273" s="104">
        <v>19</v>
      </c>
      <c r="H1273" s="104">
        <v>1</v>
      </c>
      <c r="I1273" s="104">
        <v>20</v>
      </c>
      <c r="J1273" s="104">
        <v>180</v>
      </c>
      <c r="K1273" s="104">
        <v>200</v>
      </c>
      <c r="L1273" s="104">
        <v>2</v>
      </c>
      <c r="M1273" s="104">
        <v>3</v>
      </c>
      <c r="N1273" s="104">
        <v>67</v>
      </c>
      <c r="O1273" s="104">
        <v>20</v>
      </c>
      <c r="P1273" s="104">
        <v>287</v>
      </c>
      <c r="Q1273" s="104">
        <v>4805</v>
      </c>
      <c r="R1273" s="12" t="s">
        <v>345</v>
      </c>
      <c r="S1273" s="12" t="s">
        <v>25</v>
      </c>
      <c r="T1273" s="12" t="s">
        <v>25</v>
      </c>
    </row>
    <row r="1274" spans="1:20" x14ac:dyDescent="0.3">
      <c r="A1274" s="13">
        <v>43945.708333333336</v>
      </c>
      <c r="B1274" s="12" t="s">
        <v>22</v>
      </c>
      <c r="C1274" s="104">
        <v>1</v>
      </c>
      <c r="D1274" s="12" t="s">
        <v>53</v>
      </c>
      <c r="E1274" s="104">
        <v>450732745</v>
      </c>
      <c r="F1274" s="104">
        <v>7680687483</v>
      </c>
      <c r="G1274" s="104">
        <v>2918</v>
      </c>
      <c r="H1274" s="104">
        <v>257</v>
      </c>
      <c r="I1274" s="104">
        <v>3175</v>
      </c>
      <c r="J1274" s="104">
        <v>12216</v>
      </c>
      <c r="K1274" s="104">
        <v>15391</v>
      </c>
      <c r="L1274" s="104">
        <v>239</v>
      </c>
      <c r="M1274" s="104">
        <v>682</v>
      </c>
      <c r="N1274" s="104">
        <v>5732</v>
      </c>
      <c r="O1274" s="104">
        <v>2699</v>
      </c>
      <c r="P1274" s="104">
        <v>23822</v>
      </c>
      <c r="Q1274" s="104">
        <v>125300</v>
      </c>
      <c r="R1274" s="12" t="s">
        <v>346</v>
      </c>
      <c r="S1274" s="12" t="s">
        <v>25</v>
      </c>
      <c r="T1274" s="12" t="s">
        <v>25</v>
      </c>
    </row>
    <row r="1275" spans="1:20" x14ac:dyDescent="0.3">
      <c r="A1275" s="13">
        <v>43945.708333333336</v>
      </c>
      <c r="B1275" s="12" t="s">
        <v>22</v>
      </c>
      <c r="C1275" s="104">
        <v>16</v>
      </c>
      <c r="D1275" s="12" t="s">
        <v>54</v>
      </c>
      <c r="E1275" s="104">
        <v>4112559576</v>
      </c>
      <c r="F1275" s="104">
        <v>1686736689</v>
      </c>
      <c r="G1275" s="104">
        <v>496</v>
      </c>
      <c r="H1275" s="104">
        <v>51</v>
      </c>
      <c r="I1275" s="104">
        <v>547</v>
      </c>
      <c r="J1275" s="104">
        <v>2386</v>
      </c>
      <c r="K1275" s="104">
        <v>2933</v>
      </c>
      <c r="L1275" s="104">
        <v>-3</v>
      </c>
      <c r="M1275" s="104">
        <v>42</v>
      </c>
      <c r="N1275" s="104">
        <v>565</v>
      </c>
      <c r="O1275" s="104">
        <v>383</v>
      </c>
      <c r="P1275" s="104">
        <v>3881</v>
      </c>
      <c r="Q1275" s="104">
        <v>52472</v>
      </c>
      <c r="R1275" s="12" t="s">
        <v>347</v>
      </c>
      <c r="S1275" s="12" t="s">
        <v>25</v>
      </c>
      <c r="T1275" s="12" t="s">
        <v>25</v>
      </c>
    </row>
    <row r="1276" spans="1:20" x14ac:dyDescent="0.3">
      <c r="A1276" s="13">
        <v>43945.708333333336</v>
      </c>
      <c r="B1276" s="12" t="s">
        <v>22</v>
      </c>
      <c r="C1276" s="104">
        <v>20</v>
      </c>
      <c r="D1276" s="12" t="s">
        <v>55</v>
      </c>
      <c r="E1276" s="104">
        <v>3921531192</v>
      </c>
      <c r="F1276" s="104">
        <v>9110616306</v>
      </c>
      <c r="G1276" s="104">
        <v>95</v>
      </c>
      <c r="H1276" s="104">
        <v>19</v>
      </c>
      <c r="I1276" s="104">
        <v>114</v>
      </c>
      <c r="J1276" s="104">
        <v>690</v>
      </c>
      <c r="K1276" s="104">
        <v>804</v>
      </c>
      <c r="L1276" s="104">
        <v>-13</v>
      </c>
      <c r="M1276" s="104">
        <v>3</v>
      </c>
      <c r="N1276" s="104">
        <v>351</v>
      </c>
      <c r="O1276" s="104">
        <v>102</v>
      </c>
      <c r="P1276" s="104">
        <v>1257</v>
      </c>
      <c r="Q1276" s="104">
        <v>19889</v>
      </c>
      <c r="R1276" s="12" t="s">
        <v>348</v>
      </c>
      <c r="S1276" s="12" t="s">
        <v>4320</v>
      </c>
      <c r="T1276" s="12" t="s">
        <v>4321</v>
      </c>
    </row>
    <row r="1277" spans="1:20" x14ac:dyDescent="0.3">
      <c r="A1277" s="13">
        <v>43945.708333333336</v>
      </c>
      <c r="B1277" s="12" t="s">
        <v>22</v>
      </c>
      <c r="C1277" s="104">
        <v>19</v>
      </c>
      <c r="D1277" s="12" t="s">
        <v>56</v>
      </c>
      <c r="E1277" s="104">
        <v>3811569725</v>
      </c>
      <c r="F1277" s="104">
        <v>133623567</v>
      </c>
      <c r="G1277" s="104">
        <v>461</v>
      </c>
      <c r="H1277" s="104">
        <v>32</v>
      </c>
      <c r="I1277" s="104">
        <v>493</v>
      </c>
      <c r="J1277" s="104">
        <v>1827</v>
      </c>
      <c r="K1277" s="104">
        <v>2320</v>
      </c>
      <c r="L1277" s="104">
        <v>19</v>
      </c>
      <c r="M1277" s="104">
        <v>55</v>
      </c>
      <c r="N1277" s="104">
        <v>443</v>
      </c>
      <c r="O1277" s="104">
        <v>218</v>
      </c>
      <c r="P1277" s="104">
        <v>2981</v>
      </c>
      <c r="Q1277" s="104">
        <v>65165</v>
      </c>
      <c r="R1277" s="12" t="s">
        <v>349</v>
      </c>
      <c r="S1277" s="12" t="s">
        <v>25</v>
      </c>
      <c r="T1277" s="12" t="s">
        <v>25</v>
      </c>
    </row>
    <row r="1278" spans="1:20" x14ac:dyDescent="0.3">
      <c r="A1278" s="13">
        <v>43945.708333333336</v>
      </c>
      <c r="B1278" s="12" t="s">
        <v>22</v>
      </c>
      <c r="C1278" s="104">
        <v>9</v>
      </c>
      <c r="D1278" s="12" t="s">
        <v>57</v>
      </c>
      <c r="E1278" s="104">
        <v>4376923077</v>
      </c>
      <c r="F1278" s="104">
        <v>1125588885</v>
      </c>
      <c r="G1278" s="104">
        <v>738</v>
      </c>
      <c r="H1278" s="104">
        <v>159</v>
      </c>
      <c r="I1278" s="104">
        <v>897</v>
      </c>
      <c r="J1278" s="104">
        <v>5236</v>
      </c>
      <c r="K1278" s="104">
        <v>6133</v>
      </c>
      <c r="L1278" s="104">
        <v>-38</v>
      </c>
      <c r="M1278" s="104">
        <v>97</v>
      </c>
      <c r="N1278" s="104">
        <v>2002</v>
      </c>
      <c r="O1278" s="104">
        <v>742</v>
      </c>
      <c r="P1278" s="104">
        <v>8877</v>
      </c>
      <c r="Q1278" s="104">
        <v>121336</v>
      </c>
      <c r="R1278" s="12" t="s">
        <v>350</v>
      </c>
      <c r="S1278" s="12" t="s">
        <v>25</v>
      </c>
      <c r="T1278" s="12" t="s">
        <v>25</v>
      </c>
    </row>
    <row r="1279" spans="1:20" x14ac:dyDescent="0.3">
      <c r="A1279" s="13">
        <v>43945.708333333336</v>
      </c>
      <c r="B1279" s="12" t="s">
        <v>22</v>
      </c>
      <c r="C1279" s="104">
        <v>4</v>
      </c>
      <c r="D1279" s="12" t="s">
        <v>58</v>
      </c>
      <c r="E1279" s="104">
        <v>4606893511</v>
      </c>
      <c r="F1279" s="104">
        <v>1112123097</v>
      </c>
      <c r="G1279" s="104">
        <v>224</v>
      </c>
      <c r="H1279" s="104">
        <v>28</v>
      </c>
      <c r="I1279" s="104">
        <v>252</v>
      </c>
      <c r="J1279" s="104">
        <v>1575</v>
      </c>
      <c r="K1279" s="104">
        <v>1827</v>
      </c>
      <c r="L1279" s="104">
        <v>-44</v>
      </c>
      <c r="M1279" s="104">
        <v>49</v>
      </c>
      <c r="N1279" s="104">
        <v>1560</v>
      </c>
      <c r="O1279" s="104">
        <v>389</v>
      </c>
      <c r="P1279" s="104">
        <v>3776</v>
      </c>
      <c r="Q1279" s="104">
        <v>29779</v>
      </c>
      <c r="R1279" s="12" t="s">
        <v>351</v>
      </c>
      <c r="S1279" s="12" t="s">
        <v>25</v>
      </c>
      <c r="T1279" s="12" t="s">
        <v>25</v>
      </c>
    </row>
    <row r="1280" spans="1:20" x14ac:dyDescent="0.3">
      <c r="A1280" s="13">
        <v>43945.708333333336</v>
      </c>
      <c r="B1280" s="12" t="s">
        <v>22</v>
      </c>
      <c r="C1280" s="104">
        <v>10</v>
      </c>
      <c r="D1280" s="12" t="s">
        <v>59</v>
      </c>
      <c r="E1280" s="104">
        <v>4310675841</v>
      </c>
      <c r="F1280" s="104">
        <v>1238824698</v>
      </c>
      <c r="G1280" s="104">
        <v>94</v>
      </c>
      <c r="H1280" s="104">
        <v>19</v>
      </c>
      <c r="I1280" s="104">
        <v>113</v>
      </c>
      <c r="J1280" s="104">
        <v>209</v>
      </c>
      <c r="K1280" s="104">
        <v>322</v>
      </c>
      <c r="L1280" s="104">
        <v>-33</v>
      </c>
      <c r="M1280" s="104">
        <v>1</v>
      </c>
      <c r="N1280" s="104">
        <v>979</v>
      </c>
      <c r="O1280" s="104">
        <v>62</v>
      </c>
      <c r="P1280" s="104">
        <v>1363</v>
      </c>
      <c r="Q1280" s="104">
        <v>30524</v>
      </c>
      <c r="R1280" s="12" t="s">
        <v>352</v>
      </c>
      <c r="S1280" s="12" t="s">
        <v>25</v>
      </c>
      <c r="T1280" s="12" t="s">
        <v>25</v>
      </c>
    </row>
    <row r="1281" spans="1:20" x14ac:dyDescent="0.3">
      <c r="A1281" s="13">
        <v>43945.708333333336</v>
      </c>
      <c r="B1281" s="12" t="s">
        <v>22</v>
      </c>
      <c r="C1281" s="104">
        <v>2</v>
      </c>
      <c r="D1281" s="12" t="s">
        <v>60</v>
      </c>
      <c r="E1281" s="104">
        <v>4573750286</v>
      </c>
      <c r="F1281" s="104">
        <v>7320149366</v>
      </c>
      <c r="G1281" s="104">
        <v>88</v>
      </c>
      <c r="H1281" s="104">
        <v>7</v>
      </c>
      <c r="I1281" s="104">
        <v>95</v>
      </c>
      <c r="J1281" s="104">
        <v>259</v>
      </c>
      <c r="K1281" s="104">
        <v>354</v>
      </c>
      <c r="L1281" s="104">
        <v>-109</v>
      </c>
      <c r="M1281" s="104">
        <v>4</v>
      </c>
      <c r="N1281" s="104">
        <v>617</v>
      </c>
      <c r="O1281" s="104">
        <v>129</v>
      </c>
      <c r="P1281" s="104">
        <v>1100</v>
      </c>
      <c r="Q1281" s="104">
        <v>5262</v>
      </c>
      <c r="R1281" s="12" t="s">
        <v>353</v>
      </c>
      <c r="S1281" s="12" t="s">
        <v>25</v>
      </c>
      <c r="T1281" s="12" t="s">
        <v>25</v>
      </c>
    </row>
    <row r="1282" spans="1:20" x14ac:dyDescent="0.3">
      <c r="A1282" s="13">
        <v>43945.708333333336</v>
      </c>
      <c r="B1282" s="12" t="s">
        <v>22</v>
      </c>
      <c r="C1282" s="130">
        <v>5</v>
      </c>
      <c r="D1282" s="12" t="s">
        <v>61</v>
      </c>
      <c r="E1282" s="130">
        <v>4543490485</v>
      </c>
      <c r="F1282" s="130">
        <v>1233845213</v>
      </c>
      <c r="G1282" s="130">
        <v>1159</v>
      </c>
      <c r="H1282" s="130">
        <v>130</v>
      </c>
      <c r="I1282" s="130">
        <v>1289</v>
      </c>
      <c r="J1282" s="130">
        <v>8390</v>
      </c>
      <c r="K1282" s="130">
        <v>9679</v>
      </c>
      <c r="L1282" s="130">
        <v>-246</v>
      </c>
      <c r="M1282" s="130">
        <v>348</v>
      </c>
      <c r="N1282" s="130">
        <v>6306</v>
      </c>
      <c r="O1282" s="130">
        <v>1244</v>
      </c>
      <c r="P1282" s="130">
        <v>17229</v>
      </c>
      <c r="Q1282" s="130">
        <v>296896</v>
      </c>
      <c r="R1282" s="12" t="s">
        <v>354</v>
      </c>
      <c r="S1282" s="12" t="s">
        <v>25</v>
      </c>
      <c r="T1282" s="12" t="s">
        <v>25</v>
      </c>
    </row>
    <row r="1283" spans="1:20" x14ac:dyDescent="0.3">
      <c r="A1283" s="13">
        <v>43946.708333333336</v>
      </c>
      <c r="B1283" s="12" t="s">
        <v>22</v>
      </c>
      <c r="C1283" s="130">
        <v>13</v>
      </c>
      <c r="D1283" s="12" t="s">
        <v>42</v>
      </c>
      <c r="E1283" s="130">
        <v>4235122196</v>
      </c>
      <c r="F1283" s="130">
        <v>1339843823</v>
      </c>
      <c r="G1283" s="130">
        <v>323</v>
      </c>
      <c r="H1283" s="130">
        <v>26</v>
      </c>
      <c r="I1283" s="130">
        <v>349</v>
      </c>
      <c r="J1283" s="130">
        <v>1712</v>
      </c>
      <c r="K1283" s="130">
        <v>2061</v>
      </c>
      <c r="L1283" s="130">
        <v>-18</v>
      </c>
      <c r="M1283" s="130">
        <v>29</v>
      </c>
      <c r="N1283" s="130">
        <v>478</v>
      </c>
      <c r="O1283" s="130">
        <v>293</v>
      </c>
      <c r="P1283" s="130">
        <v>2832</v>
      </c>
      <c r="Q1283" s="130">
        <v>33624</v>
      </c>
      <c r="R1283" s="12" t="s">
        <v>358</v>
      </c>
      <c r="S1283" s="12" t="s">
        <v>25</v>
      </c>
      <c r="T1283" s="12" t="s">
        <v>25</v>
      </c>
    </row>
    <row r="1284" spans="1:20" x14ac:dyDescent="0.3">
      <c r="A1284" s="13">
        <v>43946.708333333336</v>
      </c>
      <c r="B1284" s="12" t="s">
        <v>22</v>
      </c>
      <c r="C1284" s="130">
        <v>17</v>
      </c>
      <c r="D1284" s="12" t="s">
        <v>43</v>
      </c>
      <c r="E1284" s="130">
        <v>4063947052</v>
      </c>
      <c r="F1284" s="130">
        <v>1580514834</v>
      </c>
      <c r="G1284" s="130">
        <v>58</v>
      </c>
      <c r="H1284" s="130">
        <v>7</v>
      </c>
      <c r="I1284" s="130">
        <v>65</v>
      </c>
      <c r="J1284" s="130">
        <v>153</v>
      </c>
      <c r="K1284" s="130">
        <v>218</v>
      </c>
      <c r="L1284" s="130">
        <v>-11</v>
      </c>
      <c r="M1284" s="130">
        <v>1</v>
      </c>
      <c r="N1284" s="130">
        <v>118</v>
      </c>
      <c r="O1284" s="130">
        <v>25</v>
      </c>
      <c r="P1284" s="130">
        <v>361</v>
      </c>
      <c r="Q1284" s="130">
        <v>9792</v>
      </c>
      <c r="R1284" s="12" t="s">
        <v>359</v>
      </c>
      <c r="S1284" s="12" t="s">
        <v>25</v>
      </c>
      <c r="T1284" s="12" t="s">
        <v>25</v>
      </c>
    </row>
    <row r="1285" spans="1:20" x14ac:dyDescent="0.3">
      <c r="A1285" s="13">
        <v>43946.708333333336</v>
      </c>
      <c r="B1285" s="12" t="s">
        <v>22</v>
      </c>
      <c r="C1285" s="130">
        <v>4</v>
      </c>
      <c r="D1285" s="12" t="s">
        <v>44</v>
      </c>
      <c r="E1285" s="130">
        <v>4649933453</v>
      </c>
      <c r="F1285" s="130">
        <v>1135662422</v>
      </c>
      <c r="G1285" s="130">
        <v>141</v>
      </c>
      <c r="H1285" s="130">
        <v>14</v>
      </c>
      <c r="I1285" s="130">
        <v>155</v>
      </c>
      <c r="J1285" s="130">
        <v>880</v>
      </c>
      <c r="K1285" s="130">
        <v>1035</v>
      </c>
      <c r="L1285" s="130">
        <v>-58</v>
      </c>
      <c r="M1285" s="130">
        <v>20</v>
      </c>
      <c r="N1285" s="130">
        <v>1176</v>
      </c>
      <c r="O1285" s="130">
        <v>265</v>
      </c>
      <c r="P1285" s="130">
        <v>2476</v>
      </c>
      <c r="Q1285" s="130">
        <v>36608</v>
      </c>
      <c r="R1285" s="12" t="s">
        <v>360</v>
      </c>
      <c r="S1285" s="12" t="s">
        <v>25</v>
      </c>
      <c r="T1285" s="12" t="s">
        <v>25</v>
      </c>
    </row>
    <row r="1286" spans="1:20" x14ac:dyDescent="0.3">
      <c r="A1286" s="13">
        <v>43946.708333333336</v>
      </c>
      <c r="B1286" s="12" t="s">
        <v>22</v>
      </c>
      <c r="C1286" s="130">
        <v>18</v>
      </c>
      <c r="D1286" s="12" t="s">
        <v>45</v>
      </c>
      <c r="E1286" s="130">
        <v>3890597598</v>
      </c>
      <c r="F1286" s="130">
        <v>1659440194</v>
      </c>
      <c r="G1286" s="130">
        <v>125</v>
      </c>
      <c r="H1286" s="130">
        <v>7</v>
      </c>
      <c r="I1286" s="130">
        <v>132</v>
      </c>
      <c r="J1286" s="130">
        <v>679</v>
      </c>
      <c r="K1286" s="130">
        <v>811</v>
      </c>
      <c r="L1286" s="130">
        <v>-10</v>
      </c>
      <c r="M1286" s="130">
        <v>9</v>
      </c>
      <c r="N1286" s="130">
        <v>197</v>
      </c>
      <c r="O1286" s="130">
        <v>80</v>
      </c>
      <c r="P1286" s="130">
        <v>1088</v>
      </c>
      <c r="Q1286" s="130">
        <v>29959</v>
      </c>
      <c r="R1286" s="12" t="s">
        <v>232</v>
      </c>
      <c r="S1286" s="12" t="s">
        <v>25</v>
      </c>
      <c r="T1286" s="12" t="s">
        <v>25</v>
      </c>
    </row>
    <row r="1287" spans="1:20" x14ac:dyDescent="0.3">
      <c r="A1287" s="13">
        <v>43946.708333333336</v>
      </c>
      <c r="B1287" s="12" t="s">
        <v>22</v>
      </c>
      <c r="C1287" s="130">
        <v>15</v>
      </c>
      <c r="D1287" s="12" t="s">
        <v>46</v>
      </c>
      <c r="E1287" s="130">
        <v>4083956555</v>
      </c>
      <c r="F1287" s="130">
        <v>1425084984</v>
      </c>
      <c r="G1287" s="130">
        <v>543</v>
      </c>
      <c r="H1287" s="130">
        <v>55</v>
      </c>
      <c r="I1287" s="130">
        <v>598</v>
      </c>
      <c r="J1287" s="130">
        <v>2337</v>
      </c>
      <c r="K1287" s="130">
        <v>2935</v>
      </c>
      <c r="L1287" s="130">
        <v>-8</v>
      </c>
      <c r="M1287" s="130">
        <v>17</v>
      </c>
      <c r="N1287" s="130">
        <v>1023</v>
      </c>
      <c r="O1287" s="130">
        <v>341</v>
      </c>
      <c r="P1287" s="130">
        <v>4299</v>
      </c>
      <c r="Q1287" s="130">
        <v>64521</v>
      </c>
      <c r="R1287" s="12" t="s">
        <v>361</v>
      </c>
      <c r="S1287" s="12" t="s">
        <v>25</v>
      </c>
      <c r="T1287" s="12" t="s">
        <v>25</v>
      </c>
    </row>
    <row r="1288" spans="1:20" x14ac:dyDescent="0.3">
      <c r="A1288" s="13">
        <v>43946.708333333336</v>
      </c>
      <c r="B1288" s="12" t="s">
        <v>22</v>
      </c>
      <c r="C1288" s="130">
        <v>8</v>
      </c>
      <c r="D1288" s="12" t="s">
        <v>95</v>
      </c>
      <c r="E1288" s="130">
        <v>4449436681</v>
      </c>
      <c r="F1288" s="130">
        <v>113417208</v>
      </c>
      <c r="G1288" s="130">
        <v>2718</v>
      </c>
      <c r="H1288" s="130">
        <v>246</v>
      </c>
      <c r="I1288" s="130">
        <v>2964</v>
      </c>
      <c r="J1288" s="130">
        <v>9383</v>
      </c>
      <c r="K1288" s="130">
        <v>12347</v>
      </c>
      <c r="L1288" s="130">
        <v>-162</v>
      </c>
      <c r="M1288" s="130">
        <v>239</v>
      </c>
      <c r="N1288" s="130">
        <v>8515</v>
      </c>
      <c r="O1288" s="130">
        <v>3347</v>
      </c>
      <c r="P1288" s="130">
        <v>24209</v>
      </c>
      <c r="Q1288" s="130">
        <v>156883</v>
      </c>
      <c r="R1288" s="12" t="s">
        <v>362</v>
      </c>
      <c r="S1288" s="12" t="s">
        <v>25</v>
      </c>
      <c r="T1288" s="12" t="s">
        <v>25</v>
      </c>
    </row>
    <row r="1289" spans="1:20" x14ac:dyDescent="0.3">
      <c r="A1289" s="13">
        <v>43946.708333333336</v>
      </c>
      <c r="B1289" s="12" t="s">
        <v>22</v>
      </c>
      <c r="C1289" s="130">
        <v>6</v>
      </c>
      <c r="D1289" s="12" t="s">
        <v>47</v>
      </c>
      <c r="E1289" s="130">
        <v>456494354</v>
      </c>
      <c r="F1289" s="130">
        <v>1376813649</v>
      </c>
      <c r="G1289" s="130">
        <v>122</v>
      </c>
      <c r="H1289" s="130">
        <v>15</v>
      </c>
      <c r="I1289" s="130">
        <v>137</v>
      </c>
      <c r="J1289" s="130">
        <v>947</v>
      </c>
      <c r="K1289" s="130">
        <v>1084</v>
      </c>
      <c r="L1289" s="130">
        <v>-236</v>
      </c>
      <c r="M1289" s="130">
        <v>21</v>
      </c>
      <c r="N1289" s="130">
        <v>1556</v>
      </c>
      <c r="O1289" s="130">
        <v>263</v>
      </c>
      <c r="P1289" s="130">
        <v>2903</v>
      </c>
      <c r="Q1289" s="130">
        <v>58375</v>
      </c>
      <c r="R1289" s="12" t="s">
        <v>363</v>
      </c>
      <c r="S1289" s="12" t="s">
        <v>25</v>
      </c>
      <c r="T1289" s="12" t="s">
        <v>25</v>
      </c>
    </row>
    <row r="1290" spans="1:20" x14ac:dyDescent="0.3">
      <c r="A1290" s="13">
        <v>43946.708333333336</v>
      </c>
      <c r="B1290" s="12" t="s">
        <v>22</v>
      </c>
      <c r="C1290" s="130">
        <v>12</v>
      </c>
      <c r="D1290" s="12" t="s">
        <v>48</v>
      </c>
      <c r="E1290" s="130">
        <v>4189277044</v>
      </c>
      <c r="F1290" s="130">
        <v>1248366722</v>
      </c>
      <c r="G1290" s="130">
        <v>1421</v>
      </c>
      <c r="H1290" s="130">
        <v>183</v>
      </c>
      <c r="I1290" s="130">
        <v>1604</v>
      </c>
      <c r="J1290" s="130">
        <v>2957</v>
      </c>
      <c r="K1290" s="130">
        <v>4561</v>
      </c>
      <c r="L1290" s="130">
        <v>69</v>
      </c>
      <c r="M1290" s="130">
        <v>92</v>
      </c>
      <c r="N1290" s="130">
        <v>1276</v>
      </c>
      <c r="O1290" s="130">
        <v>387</v>
      </c>
      <c r="P1290" s="130">
        <v>6224</v>
      </c>
      <c r="Q1290" s="130">
        <v>118354</v>
      </c>
      <c r="R1290" s="12" t="s">
        <v>364</v>
      </c>
      <c r="S1290" s="12" t="s">
        <v>25</v>
      </c>
      <c r="T1290" s="12" t="s">
        <v>25</v>
      </c>
    </row>
    <row r="1291" spans="1:20" x14ac:dyDescent="0.3">
      <c r="A1291" s="13">
        <v>43946.708333333336</v>
      </c>
      <c r="B1291" s="12" t="s">
        <v>22</v>
      </c>
      <c r="C1291" s="130">
        <v>7</v>
      </c>
      <c r="D1291" s="12" t="s">
        <v>49</v>
      </c>
      <c r="E1291" s="130">
        <v>4441149315</v>
      </c>
      <c r="F1291" s="130">
        <v>89326992</v>
      </c>
      <c r="G1291" s="130">
        <v>759</v>
      </c>
      <c r="H1291" s="130">
        <v>83</v>
      </c>
      <c r="I1291" s="130">
        <v>842</v>
      </c>
      <c r="J1291" s="130">
        <v>2591</v>
      </c>
      <c r="K1291" s="130">
        <v>3433</v>
      </c>
      <c r="L1291" s="130">
        <v>-4</v>
      </c>
      <c r="M1291" s="130">
        <v>128</v>
      </c>
      <c r="N1291" s="130">
        <v>2775</v>
      </c>
      <c r="O1291" s="130">
        <v>1093</v>
      </c>
      <c r="P1291" s="130">
        <v>7301</v>
      </c>
      <c r="Q1291" s="130">
        <v>41125</v>
      </c>
      <c r="R1291" s="12" t="s">
        <v>365</v>
      </c>
      <c r="S1291" s="12" t="s">
        <v>25</v>
      </c>
      <c r="T1291" s="12" t="s">
        <v>25</v>
      </c>
    </row>
    <row r="1292" spans="1:20" x14ac:dyDescent="0.3">
      <c r="A1292" s="13">
        <v>43946.708333333336</v>
      </c>
      <c r="B1292" s="12" t="s">
        <v>22</v>
      </c>
      <c r="C1292" s="130">
        <v>3</v>
      </c>
      <c r="D1292" s="12" t="s">
        <v>50</v>
      </c>
      <c r="E1292" s="130">
        <v>4546679409</v>
      </c>
      <c r="F1292" s="130">
        <v>9190347404</v>
      </c>
      <c r="G1292" s="130">
        <v>8489</v>
      </c>
      <c r="H1292" s="130">
        <v>724</v>
      </c>
      <c r="I1292" s="130">
        <v>9213</v>
      </c>
      <c r="J1292" s="130">
        <v>25260</v>
      </c>
      <c r="K1292" s="130">
        <v>34473</v>
      </c>
      <c r="L1292" s="130">
        <v>105</v>
      </c>
      <c r="M1292" s="130">
        <v>713</v>
      </c>
      <c r="N1292" s="130">
        <v>24227</v>
      </c>
      <c r="O1292" s="130">
        <v>13269</v>
      </c>
      <c r="P1292" s="130">
        <v>71969</v>
      </c>
      <c r="Q1292" s="130">
        <v>326940</v>
      </c>
      <c r="R1292" s="12" t="s">
        <v>366</v>
      </c>
      <c r="S1292" s="12" t="s">
        <v>25</v>
      </c>
      <c r="T1292" s="12" t="s">
        <v>25</v>
      </c>
    </row>
    <row r="1293" spans="1:20" x14ac:dyDescent="0.3">
      <c r="A1293" s="13">
        <v>43946.708333333336</v>
      </c>
      <c r="B1293" s="12" t="s">
        <v>22</v>
      </c>
      <c r="C1293" s="130">
        <v>11</v>
      </c>
      <c r="D1293" s="12" t="s">
        <v>51</v>
      </c>
      <c r="E1293" s="130">
        <v>4361675973</v>
      </c>
      <c r="F1293" s="130">
        <v>135188753</v>
      </c>
      <c r="G1293" s="130">
        <v>689</v>
      </c>
      <c r="H1293" s="130">
        <v>58</v>
      </c>
      <c r="I1293" s="130">
        <v>747</v>
      </c>
      <c r="J1293" s="130">
        <v>2525</v>
      </c>
      <c r="K1293" s="130">
        <v>3272</v>
      </c>
      <c r="L1293" s="130">
        <v>-1</v>
      </c>
      <c r="M1293" s="130">
        <v>30</v>
      </c>
      <c r="N1293" s="130">
        <v>1912</v>
      </c>
      <c r="O1293" s="130">
        <v>874</v>
      </c>
      <c r="P1293" s="130">
        <v>6058</v>
      </c>
      <c r="Q1293" s="130">
        <v>50996</v>
      </c>
      <c r="R1293" s="12" t="s">
        <v>367</v>
      </c>
      <c r="S1293" s="12" t="s">
        <v>25</v>
      </c>
      <c r="T1293" s="12" t="s">
        <v>25</v>
      </c>
    </row>
    <row r="1294" spans="1:20" x14ac:dyDescent="0.3">
      <c r="A1294" s="13">
        <v>43946.708333333336</v>
      </c>
      <c r="B1294" s="12" t="s">
        <v>22</v>
      </c>
      <c r="C1294" s="130">
        <v>14</v>
      </c>
      <c r="D1294" s="12" t="s">
        <v>52</v>
      </c>
      <c r="E1294" s="130">
        <v>4155774754</v>
      </c>
      <c r="F1294" s="130">
        <v>1465916051</v>
      </c>
      <c r="G1294" s="130">
        <v>19</v>
      </c>
      <c r="H1294" s="130">
        <v>1</v>
      </c>
      <c r="I1294" s="130">
        <v>20</v>
      </c>
      <c r="J1294" s="130">
        <v>178</v>
      </c>
      <c r="K1294" s="130">
        <v>198</v>
      </c>
      <c r="L1294" s="130">
        <v>-2</v>
      </c>
      <c r="M1294" s="130">
        <v>5</v>
      </c>
      <c r="N1294" s="130">
        <v>73</v>
      </c>
      <c r="O1294" s="130">
        <v>21</v>
      </c>
      <c r="P1294" s="130">
        <v>292</v>
      </c>
      <c r="Q1294" s="130">
        <v>5191</v>
      </c>
      <c r="R1294" s="12" t="s">
        <v>368</v>
      </c>
      <c r="S1294" s="12" t="s">
        <v>25</v>
      </c>
      <c r="T1294" s="12" t="s">
        <v>25</v>
      </c>
    </row>
    <row r="1295" spans="1:20" x14ac:dyDescent="0.3">
      <c r="A1295" s="13">
        <v>43946.708333333336</v>
      </c>
      <c r="B1295" s="12" t="s">
        <v>22</v>
      </c>
      <c r="C1295" s="130">
        <v>1</v>
      </c>
      <c r="D1295" s="12" t="s">
        <v>53</v>
      </c>
      <c r="E1295" s="130">
        <v>450732745</v>
      </c>
      <c r="F1295" s="130">
        <v>7680687483</v>
      </c>
      <c r="G1295" s="130">
        <v>2937</v>
      </c>
      <c r="H1295" s="130">
        <v>238</v>
      </c>
      <c r="I1295" s="130">
        <v>3175</v>
      </c>
      <c r="J1295" s="130">
        <v>12327</v>
      </c>
      <c r="K1295" s="130">
        <v>15502</v>
      </c>
      <c r="L1295" s="130">
        <v>111</v>
      </c>
      <c r="M1295" s="130">
        <v>604</v>
      </c>
      <c r="N1295" s="130">
        <v>6157</v>
      </c>
      <c r="O1295" s="130">
        <v>2767</v>
      </c>
      <c r="P1295" s="130">
        <v>24426</v>
      </c>
      <c r="Q1295" s="130">
        <v>131107</v>
      </c>
      <c r="R1295" s="12" t="s">
        <v>369</v>
      </c>
      <c r="S1295" s="12" t="s">
        <v>25</v>
      </c>
      <c r="T1295" s="12" t="s">
        <v>25</v>
      </c>
    </row>
    <row r="1296" spans="1:20" x14ac:dyDescent="0.3">
      <c r="A1296" s="13">
        <v>43946.708333333336</v>
      </c>
      <c r="B1296" s="12" t="s">
        <v>22</v>
      </c>
      <c r="C1296" s="130">
        <v>16</v>
      </c>
      <c r="D1296" s="12" t="s">
        <v>54</v>
      </c>
      <c r="E1296" s="130">
        <v>4112559576</v>
      </c>
      <c r="F1296" s="130">
        <v>1686736689</v>
      </c>
      <c r="G1296" s="130">
        <v>469</v>
      </c>
      <c r="H1296" s="130">
        <v>48</v>
      </c>
      <c r="I1296" s="130">
        <v>517</v>
      </c>
      <c r="J1296" s="130">
        <v>2402</v>
      </c>
      <c r="K1296" s="130">
        <v>2919</v>
      </c>
      <c r="L1296" s="130">
        <v>-14</v>
      </c>
      <c r="M1296" s="130">
        <v>31</v>
      </c>
      <c r="N1296" s="130">
        <v>602</v>
      </c>
      <c r="O1296" s="130">
        <v>391</v>
      </c>
      <c r="P1296" s="130">
        <v>3912</v>
      </c>
      <c r="Q1296" s="130">
        <v>54628</v>
      </c>
      <c r="R1296" s="12" t="s">
        <v>370</v>
      </c>
      <c r="S1296" s="12" t="s">
        <v>25</v>
      </c>
      <c r="T1296" s="12" t="s">
        <v>25</v>
      </c>
    </row>
    <row r="1297" spans="1:20" x14ac:dyDescent="0.3">
      <c r="A1297" s="13">
        <v>43946.708333333336</v>
      </c>
      <c r="B1297" s="12" t="s">
        <v>22</v>
      </c>
      <c r="C1297" s="130">
        <v>20</v>
      </c>
      <c r="D1297" s="12" t="s">
        <v>55</v>
      </c>
      <c r="E1297" s="130">
        <v>3921531192</v>
      </c>
      <c r="F1297" s="130">
        <v>9110616306</v>
      </c>
      <c r="G1297" s="130">
        <v>96</v>
      </c>
      <c r="H1297" s="130">
        <v>18</v>
      </c>
      <c r="I1297" s="130">
        <v>114</v>
      </c>
      <c r="J1297" s="130">
        <v>680</v>
      </c>
      <c r="K1297" s="130">
        <v>794</v>
      </c>
      <c r="L1297" s="130">
        <v>-10</v>
      </c>
      <c r="M1297" s="130">
        <v>14</v>
      </c>
      <c r="N1297" s="130">
        <v>374</v>
      </c>
      <c r="O1297" s="130">
        <v>103</v>
      </c>
      <c r="P1297" s="130">
        <v>1271</v>
      </c>
      <c r="Q1297" s="130">
        <v>20351</v>
      </c>
      <c r="R1297" s="12" t="s">
        <v>371</v>
      </c>
      <c r="S1297" s="12" t="s">
        <v>25</v>
      </c>
      <c r="T1297" s="12" t="s">
        <v>25</v>
      </c>
    </row>
    <row r="1298" spans="1:20" x14ac:dyDescent="0.3">
      <c r="A1298" s="13">
        <v>43946.708333333336</v>
      </c>
      <c r="B1298" s="12" t="s">
        <v>22</v>
      </c>
      <c r="C1298" s="130">
        <v>19</v>
      </c>
      <c r="D1298" s="12" t="s">
        <v>56</v>
      </c>
      <c r="E1298" s="130">
        <v>3811569725</v>
      </c>
      <c r="F1298" s="130">
        <v>133623567</v>
      </c>
      <c r="G1298" s="130">
        <v>452</v>
      </c>
      <c r="H1298" s="130">
        <v>33</v>
      </c>
      <c r="I1298" s="130">
        <v>485</v>
      </c>
      <c r="J1298" s="130">
        <v>1787</v>
      </c>
      <c r="K1298" s="130">
        <v>2272</v>
      </c>
      <c r="L1298" s="130">
        <v>-48</v>
      </c>
      <c r="M1298" s="130">
        <v>39</v>
      </c>
      <c r="N1298" s="130">
        <v>524</v>
      </c>
      <c r="O1298" s="130">
        <v>224</v>
      </c>
      <c r="P1298" s="130">
        <v>3020</v>
      </c>
      <c r="Q1298" s="130">
        <v>68251</v>
      </c>
      <c r="R1298" s="12" t="s">
        <v>372</v>
      </c>
      <c r="S1298" s="12" t="s">
        <v>25</v>
      </c>
      <c r="T1298" s="12" t="s">
        <v>25</v>
      </c>
    </row>
    <row r="1299" spans="1:20" x14ac:dyDescent="0.3">
      <c r="A1299" s="13">
        <v>43946.708333333336</v>
      </c>
      <c r="B1299" s="12" t="s">
        <v>22</v>
      </c>
      <c r="C1299" s="130">
        <v>9</v>
      </c>
      <c r="D1299" s="12" t="s">
        <v>57</v>
      </c>
      <c r="E1299" s="130">
        <v>4376923077</v>
      </c>
      <c r="F1299" s="130">
        <v>1125588885</v>
      </c>
      <c r="G1299" s="130">
        <v>687</v>
      </c>
      <c r="H1299" s="130">
        <v>166</v>
      </c>
      <c r="I1299" s="130">
        <v>853</v>
      </c>
      <c r="J1299" s="130">
        <v>5293</v>
      </c>
      <c r="K1299" s="130">
        <v>6146</v>
      </c>
      <c r="L1299" s="130">
        <v>13</v>
      </c>
      <c r="M1299" s="130">
        <v>138</v>
      </c>
      <c r="N1299" s="130">
        <v>2109</v>
      </c>
      <c r="O1299" s="130">
        <v>760</v>
      </c>
      <c r="P1299" s="130">
        <v>9015</v>
      </c>
      <c r="Q1299" s="130">
        <v>125495</v>
      </c>
      <c r="R1299" s="12" t="s">
        <v>373</v>
      </c>
      <c r="S1299" s="12" t="s">
        <v>25</v>
      </c>
      <c r="T1299" s="12" t="s">
        <v>25</v>
      </c>
    </row>
    <row r="1300" spans="1:20" x14ac:dyDescent="0.3">
      <c r="A1300" s="13">
        <v>43946.708333333336</v>
      </c>
      <c r="B1300" s="12" t="s">
        <v>22</v>
      </c>
      <c r="C1300" s="130">
        <v>4</v>
      </c>
      <c r="D1300" s="12" t="s">
        <v>58</v>
      </c>
      <c r="E1300" s="130">
        <v>4606893511</v>
      </c>
      <c r="F1300" s="130">
        <v>1112123097</v>
      </c>
      <c r="G1300" s="130">
        <v>202</v>
      </c>
      <c r="H1300" s="130">
        <v>27</v>
      </c>
      <c r="I1300" s="130">
        <v>229</v>
      </c>
      <c r="J1300" s="130">
        <v>1515</v>
      </c>
      <c r="K1300" s="130">
        <v>1744</v>
      </c>
      <c r="L1300" s="130">
        <v>-83</v>
      </c>
      <c r="M1300" s="130">
        <v>62</v>
      </c>
      <c r="N1300" s="130">
        <v>1694</v>
      </c>
      <c r="O1300" s="130">
        <v>400</v>
      </c>
      <c r="P1300" s="130">
        <v>3838</v>
      </c>
      <c r="Q1300" s="130">
        <v>30661</v>
      </c>
      <c r="R1300" s="12" t="s">
        <v>374</v>
      </c>
      <c r="S1300" s="12" t="s">
        <v>25</v>
      </c>
      <c r="T1300" s="12" t="s">
        <v>25</v>
      </c>
    </row>
    <row r="1301" spans="1:20" x14ac:dyDescent="0.3">
      <c r="A1301" s="13">
        <v>43946.708333333336</v>
      </c>
      <c r="B1301" s="12" t="s">
        <v>22</v>
      </c>
      <c r="C1301" s="130">
        <v>10</v>
      </c>
      <c r="D1301" s="12" t="s">
        <v>59</v>
      </c>
      <c r="E1301" s="130">
        <v>4310675841</v>
      </c>
      <c r="F1301" s="130">
        <v>1238824698</v>
      </c>
      <c r="G1301" s="130">
        <v>95</v>
      </c>
      <c r="H1301" s="130">
        <v>18</v>
      </c>
      <c r="I1301" s="130">
        <v>113</v>
      </c>
      <c r="J1301" s="130">
        <v>184</v>
      </c>
      <c r="K1301" s="130">
        <v>297</v>
      </c>
      <c r="L1301" s="130">
        <v>-25</v>
      </c>
      <c r="M1301" s="130">
        <v>3</v>
      </c>
      <c r="N1301" s="130">
        <v>1006</v>
      </c>
      <c r="O1301" s="130">
        <v>63</v>
      </c>
      <c r="P1301" s="130">
        <v>1366</v>
      </c>
      <c r="Q1301" s="130">
        <v>31939</v>
      </c>
      <c r="R1301" s="12" t="s">
        <v>375</v>
      </c>
      <c r="S1301" s="12" t="s">
        <v>25</v>
      </c>
      <c r="T1301" s="12" t="s">
        <v>25</v>
      </c>
    </row>
    <row r="1302" spans="1:20" x14ac:dyDescent="0.3">
      <c r="A1302" s="13">
        <v>43946.708333333336</v>
      </c>
      <c r="B1302" s="12" t="s">
        <v>22</v>
      </c>
      <c r="C1302" s="130">
        <v>2</v>
      </c>
      <c r="D1302" s="12" t="s">
        <v>60</v>
      </c>
      <c r="E1302" s="130">
        <v>4573750286</v>
      </c>
      <c r="F1302" s="130">
        <v>7320149366</v>
      </c>
      <c r="G1302" s="130">
        <v>83</v>
      </c>
      <c r="H1302" s="130">
        <v>6</v>
      </c>
      <c r="I1302" s="130">
        <v>89</v>
      </c>
      <c r="J1302" s="130">
        <v>224</v>
      </c>
      <c r="K1302" s="130">
        <v>313</v>
      </c>
      <c r="L1302" s="130">
        <v>-41</v>
      </c>
      <c r="M1302" s="130">
        <v>0</v>
      </c>
      <c r="N1302" s="130">
        <v>657</v>
      </c>
      <c r="O1302" s="130">
        <v>130</v>
      </c>
      <c r="P1302" s="130">
        <v>1100</v>
      </c>
      <c r="Q1302" s="130">
        <v>5966</v>
      </c>
      <c r="R1302" s="12" t="s">
        <v>376</v>
      </c>
      <c r="S1302" s="12" t="s">
        <v>25</v>
      </c>
      <c r="T1302" s="12" t="s">
        <v>25</v>
      </c>
    </row>
    <row r="1303" spans="1:20" x14ac:dyDescent="0.3">
      <c r="A1303" s="13">
        <v>43946.708333333336</v>
      </c>
      <c r="B1303" s="12" t="s">
        <v>22</v>
      </c>
      <c r="C1303" s="131">
        <v>5</v>
      </c>
      <c r="D1303" s="12" t="s">
        <v>61</v>
      </c>
      <c r="E1303" s="131">
        <v>4543490485</v>
      </c>
      <c r="F1303" s="131">
        <v>1233845213</v>
      </c>
      <c r="G1303" s="131">
        <v>1105</v>
      </c>
      <c r="H1303" s="131">
        <v>129</v>
      </c>
      <c r="I1303" s="131">
        <v>1234</v>
      </c>
      <c r="J1303" s="131">
        <v>8198</v>
      </c>
      <c r="K1303" s="131">
        <v>9432</v>
      </c>
      <c r="L1303" s="131">
        <v>-247</v>
      </c>
      <c r="M1303" s="131">
        <v>162</v>
      </c>
      <c r="N1303" s="131">
        <v>6671</v>
      </c>
      <c r="O1303" s="131">
        <v>1288</v>
      </c>
      <c r="P1303" s="131">
        <v>17391</v>
      </c>
      <c r="Q1303" s="131">
        <v>306977</v>
      </c>
      <c r="R1303" s="12" t="s">
        <v>377</v>
      </c>
      <c r="S1303" s="12" t="s">
        <v>25</v>
      </c>
      <c r="T1303" s="12" t="s">
        <v>25</v>
      </c>
    </row>
    <row r="1304" spans="1:20" x14ac:dyDescent="0.3">
      <c r="A1304" s="13">
        <v>43947.708333333336</v>
      </c>
      <c r="B1304" s="12" t="s">
        <v>22</v>
      </c>
      <c r="C1304" s="131">
        <v>13</v>
      </c>
      <c r="D1304" s="12" t="s">
        <v>42</v>
      </c>
      <c r="E1304" s="131">
        <v>4235122196</v>
      </c>
      <c r="F1304" s="131">
        <v>1339843823</v>
      </c>
      <c r="G1304" s="131">
        <v>324</v>
      </c>
      <c r="H1304" s="131">
        <v>24</v>
      </c>
      <c r="I1304" s="131">
        <v>348</v>
      </c>
      <c r="J1304" s="131">
        <v>1720</v>
      </c>
      <c r="K1304" s="131">
        <v>2068</v>
      </c>
      <c r="L1304" s="131">
        <v>7</v>
      </c>
      <c r="M1304" s="131">
        <v>27</v>
      </c>
      <c r="N1304" s="131">
        <v>496</v>
      </c>
      <c r="O1304" s="131">
        <v>295</v>
      </c>
      <c r="P1304" s="131">
        <v>2859</v>
      </c>
      <c r="Q1304" s="131">
        <v>33820</v>
      </c>
      <c r="R1304" s="12" t="s">
        <v>4322</v>
      </c>
      <c r="S1304" s="12" t="s">
        <v>25</v>
      </c>
      <c r="T1304" s="12" t="s">
        <v>25</v>
      </c>
    </row>
    <row r="1305" spans="1:20" x14ac:dyDescent="0.3">
      <c r="A1305" s="13">
        <v>43947.708333333336</v>
      </c>
      <c r="B1305" s="12" t="s">
        <v>22</v>
      </c>
      <c r="C1305" s="131">
        <v>17</v>
      </c>
      <c r="D1305" s="12" t="s">
        <v>43</v>
      </c>
      <c r="E1305" s="131">
        <v>4063947052</v>
      </c>
      <c r="F1305" s="131">
        <v>1580514834</v>
      </c>
      <c r="G1305" s="131">
        <v>57</v>
      </c>
      <c r="H1305" s="131">
        <v>7</v>
      </c>
      <c r="I1305" s="131">
        <v>64</v>
      </c>
      <c r="J1305" s="131">
        <v>155</v>
      </c>
      <c r="K1305" s="131">
        <v>219</v>
      </c>
      <c r="L1305" s="131">
        <v>1</v>
      </c>
      <c r="M1305" s="131">
        <v>5</v>
      </c>
      <c r="N1305" s="131">
        <v>122</v>
      </c>
      <c r="O1305" s="131">
        <v>25</v>
      </c>
      <c r="P1305" s="131">
        <v>366</v>
      </c>
      <c r="Q1305" s="131">
        <v>10077</v>
      </c>
      <c r="R1305" s="12" t="s">
        <v>4323</v>
      </c>
      <c r="S1305" s="12" t="s">
        <v>25</v>
      </c>
      <c r="T1305" s="12" t="s">
        <v>25</v>
      </c>
    </row>
    <row r="1306" spans="1:20" x14ac:dyDescent="0.3">
      <c r="A1306" s="13">
        <v>43947.708333333336</v>
      </c>
      <c r="B1306" s="12" t="s">
        <v>22</v>
      </c>
      <c r="C1306" s="131">
        <v>4</v>
      </c>
      <c r="D1306" s="12" t="s">
        <v>44</v>
      </c>
      <c r="E1306" s="131">
        <v>4649933453</v>
      </c>
      <c r="F1306" s="131">
        <v>1135662422</v>
      </c>
      <c r="G1306" s="131">
        <v>138</v>
      </c>
      <c r="H1306" s="131">
        <v>14</v>
      </c>
      <c r="I1306" s="131">
        <v>152</v>
      </c>
      <c r="J1306" s="131">
        <v>842</v>
      </c>
      <c r="K1306" s="131">
        <v>994</v>
      </c>
      <c r="L1306" s="131">
        <v>-41</v>
      </c>
      <c r="M1306" s="131">
        <v>5</v>
      </c>
      <c r="N1306" s="131">
        <v>1218</v>
      </c>
      <c r="O1306" s="131">
        <v>269</v>
      </c>
      <c r="P1306" s="131">
        <v>2481</v>
      </c>
      <c r="Q1306" s="131">
        <v>37431</v>
      </c>
      <c r="R1306" s="12" t="s">
        <v>4324</v>
      </c>
      <c r="S1306" s="12" t="s">
        <v>25</v>
      </c>
      <c r="T1306" s="12" t="s">
        <v>25</v>
      </c>
    </row>
    <row r="1307" spans="1:20" x14ac:dyDescent="0.3">
      <c r="A1307" s="13">
        <v>43947.708333333336</v>
      </c>
      <c r="B1307" s="12" t="s">
        <v>22</v>
      </c>
      <c r="C1307" s="131">
        <v>18</v>
      </c>
      <c r="D1307" s="12" t="s">
        <v>45</v>
      </c>
      <c r="E1307" s="131">
        <v>3890597598</v>
      </c>
      <c r="F1307" s="131">
        <v>1659440194</v>
      </c>
      <c r="G1307" s="131">
        <v>118</v>
      </c>
      <c r="H1307" s="131">
        <v>8</v>
      </c>
      <c r="I1307" s="131">
        <v>126</v>
      </c>
      <c r="J1307" s="131">
        <v>671</v>
      </c>
      <c r="K1307" s="131">
        <v>797</v>
      </c>
      <c r="L1307" s="131">
        <v>-14</v>
      </c>
      <c r="M1307" s="131">
        <v>1</v>
      </c>
      <c r="N1307" s="131">
        <v>212</v>
      </c>
      <c r="O1307" s="131">
        <v>80</v>
      </c>
      <c r="P1307" s="131">
        <v>1089</v>
      </c>
      <c r="Q1307" s="131">
        <v>30853</v>
      </c>
      <c r="R1307" s="12" t="s">
        <v>4325</v>
      </c>
      <c r="S1307" s="12" t="s">
        <v>25</v>
      </c>
      <c r="T1307" s="12" t="s">
        <v>25</v>
      </c>
    </row>
    <row r="1308" spans="1:20" x14ac:dyDescent="0.3">
      <c r="A1308" s="13">
        <v>43947.708333333336</v>
      </c>
      <c r="B1308" s="12" t="s">
        <v>22</v>
      </c>
      <c r="C1308" s="131">
        <v>15</v>
      </c>
      <c r="D1308" s="12" t="s">
        <v>46</v>
      </c>
      <c r="E1308" s="131">
        <v>4083956555</v>
      </c>
      <c r="F1308" s="131">
        <v>1425084984</v>
      </c>
      <c r="G1308" s="131">
        <v>536</v>
      </c>
      <c r="H1308" s="131">
        <v>45</v>
      </c>
      <c r="I1308" s="131">
        <v>581</v>
      </c>
      <c r="J1308" s="131">
        <v>2343</v>
      </c>
      <c r="K1308" s="131">
        <v>2924</v>
      </c>
      <c r="L1308" s="131">
        <v>-11</v>
      </c>
      <c r="M1308" s="131">
        <v>32</v>
      </c>
      <c r="N1308" s="131">
        <v>1062</v>
      </c>
      <c r="O1308" s="131">
        <v>345</v>
      </c>
      <c r="P1308" s="131">
        <v>4331</v>
      </c>
      <c r="Q1308" s="131">
        <v>67218</v>
      </c>
      <c r="R1308" s="12" t="s">
        <v>4326</v>
      </c>
      <c r="S1308" s="12" t="s">
        <v>25</v>
      </c>
      <c r="T1308" s="12" t="s">
        <v>25</v>
      </c>
    </row>
    <row r="1309" spans="1:20" x14ac:dyDescent="0.3">
      <c r="A1309" s="13">
        <v>43947.708333333336</v>
      </c>
      <c r="B1309" s="12" t="s">
        <v>22</v>
      </c>
      <c r="C1309" s="131">
        <v>8</v>
      </c>
      <c r="D1309" s="12" t="s">
        <v>95</v>
      </c>
      <c r="E1309" s="131">
        <v>4449436681</v>
      </c>
      <c r="F1309" s="131">
        <v>113417208</v>
      </c>
      <c r="G1309" s="131">
        <v>2695</v>
      </c>
      <c r="H1309" s="131">
        <v>245</v>
      </c>
      <c r="I1309" s="131">
        <v>2940</v>
      </c>
      <c r="J1309" s="131">
        <v>9401</v>
      </c>
      <c r="K1309" s="131">
        <v>12341</v>
      </c>
      <c r="L1309" s="131">
        <v>-6</v>
      </c>
      <c r="M1309" s="131">
        <v>241</v>
      </c>
      <c r="N1309" s="131">
        <v>8723</v>
      </c>
      <c r="O1309" s="131">
        <v>3386</v>
      </c>
      <c r="P1309" s="131">
        <v>24450</v>
      </c>
      <c r="Q1309" s="131">
        <v>161928</v>
      </c>
      <c r="R1309" s="12" t="s">
        <v>4327</v>
      </c>
      <c r="S1309" s="12" t="s">
        <v>25</v>
      </c>
      <c r="T1309" s="12" t="s">
        <v>25</v>
      </c>
    </row>
    <row r="1310" spans="1:20" x14ac:dyDescent="0.3">
      <c r="A1310" s="13">
        <v>43947.708333333336</v>
      </c>
      <c r="B1310" s="12" t="s">
        <v>22</v>
      </c>
      <c r="C1310" s="131">
        <v>6</v>
      </c>
      <c r="D1310" s="12" t="s">
        <v>47</v>
      </c>
      <c r="E1310" s="131">
        <v>456494354</v>
      </c>
      <c r="F1310" s="131">
        <v>1376813649</v>
      </c>
      <c r="G1310" s="131">
        <v>129</v>
      </c>
      <c r="H1310" s="131">
        <v>13</v>
      </c>
      <c r="I1310" s="131">
        <v>142</v>
      </c>
      <c r="J1310" s="131">
        <v>1106</v>
      </c>
      <c r="K1310" s="131">
        <v>1248</v>
      </c>
      <c r="L1310" s="131">
        <v>164</v>
      </c>
      <c r="M1310" s="131">
        <v>14</v>
      </c>
      <c r="N1310" s="131">
        <v>1405</v>
      </c>
      <c r="O1310" s="131">
        <v>264</v>
      </c>
      <c r="P1310" s="131">
        <v>2917</v>
      </c>
      <c r="Q1310" s="131">
        <v>59681</v>
      </c>
      <c r="R1310" s="12" t="s">
        <v>4328</v>
      </c>
      <c r="S1310" s="12" t="s">
        <v>25</v>
      </c>
      <c r="T1310" s="12" t="s">
        <v>25</v>
      </c>
    </row>
    <row r="1311" spans="1:20" x14ac:dyDescent="0.3">
      <c r="A1311" s="13">
        <v>43947.708333333336</v>
      </c>
      <c r="B1311" s="12" t="s">
        <v>22</v>
      </c>
      <c r="C1311" s="131">
        <v>12</v>
      </c>
      <c r="D1311" s="12" t="s">
        <v>48</v>
      </c>
      <c r="E1311" s="131">
        <v>4189277044</v>
      </c>
      <c r="F1311" s="131">
        <v>1248366722</v>
      </c>
      <c r="G1311" s="131">
        <v>1442</v>
      </c>
      <c r="H1311" s="131">
        <v>161</v>
      </c>
      <c r="I1311" s="131">
        <v>1603</v>
      </c>
      <c r="J1311" s="131">
        <v>2970</v>
      </c>
      <c r="K1311" s="131">
        <v>4573</v>
      </c>
      <c r="L1311" s="131">
        <v>12</v>
      </c>
      <c r="M1311" s="131">
        <v>85</v>
      </c>
      <c r="N1311" s="131">
        <v>1347</v>
      </c>
      <c r="O1311" s="131">
        <v>389</v>
      </c>
      <c r="P1311" s="131">
        <v>6309</v>
      </c>
      <c r="Q1311" s="131">
        <v>121677</v>
      </c>
      <c r="R1311" s="12" t="s">
        <v>4329</v>
      </c>
      <c r="S1311" s="12" t="s">
        <v>25</v>
      </c>
      <c r="T1311" s="12" t="s">
        <v>25</v>
      </c>
    </row>
    <row r="1312" spans="1:20" x14ac:dyDescent="0.3">
      <c r="A1312" s="13">
        <v>43947.708333333336</v>
      </c>
      <c r="B1312" s="12" t="s">
        <v>22</v>
      </c>
      <c r="C1312" s="131">
        <v>7</v>
      </c>
      <c r="D1312" s="12" t="s">
        <v>49</v>
      </c>
      <c r="E1312" s="131">
        <v>4441149315</v>
      </c>
      <c r="F1312" s="131">
        <v>89326992</v>
      </c>
      <c r="G1312" s="131">
        <v>748</v>
      </c>
      <c r="H1312" s="131">
        <v>82</v>
      </c>
      <c r="I1312" s="131">
        <v>830</v>
      </c>
      <c r="J1312" s="131">
        <v>2650</v>
      </c>
      <c r="K1312" s="131">
        <v>3480</v>
      </c>
      <c r="L1312" s="131">
        <v>47</v>
      </c>
      <c r="M1312" s="131">
        <v>187</v>
      </c>
      <c r="N1312" s="131">
        <v>2894</v>
      </c>
      <c r="O1312" s="131">
        <v>1114</v>
      </c>
      <c r="P1312" s="131">
        <v>7488</v>
      </c>
      <c r="Q1312" s="131">
        <v>42607</v>
      </c>
      <c r="R1312" s="12" t="s">
        <v>4330</v>
      </c>
      <c r="S1312" s="12" t="s">
        <v>25</v>
      </c>
      <c r="T1312" s="12" t="s">
        <v>25</v>
      </c>
    </row>
    <row r="1313" spans="1:20" x14ac:dyDescent="0.3">
      <c r="A1313" s="13">
        <v>43947.708333333336</v>
      </c>
      <c r="B1313" s="12" t="s">
        <v>22</v>
      </c>
      <c r="C1313" s="131">
        <v>3</v>
      </c>
      <c r="D1313" s="12" t="s">
        <v>50</v>
      </c>
      <c r="E1313" s="131">
        <v>4546679409</v>
      </c>
      <c r="F1313" s="131">
        <v>9190347404</v>
      </c>
      <c r="G1313" s="131">
        <v>8481</v>
      </c>
      <c r="H1313" s="131">
        <v>706</v>
      </c>
      <c r="I1313" s="131">
        <v>9187</v>
      </c>
      <c r="J1313" s="131">
        <v>25979</v>
      </c>
      <c r="K1313" s="131">
        <v>35166</v>
      </c>
      <c r="L1313" s="131">
        <v>693</v>
      </c>
      <c r="M1313" s="131">
        <v>920</v>
      </c>
      <c r="N1313" s="131">
        <v>24398</v>
      </c>
      <c r="O1313" s="131">
        <v>13325</v>
      </c>
      <c r="P1313" s="131">
        <v>72889</v>
      </c>
      <c r="Q1313" s="131">
        <v>337797</v>
      </c>
      <c r="R1313" s="12" t="s">
        <v>4331</v>
      </c>
      <c r="S1313" s="12" t="s">
        <v>25</v>
      </c>
      <c r="T1313" s="12" t="s">
        <v>25</v>
      </c>
    </row>
    <row r="1314" spans="1:20" x14ac:dyDescent="0.3">
      <c r="A1314" s="13">
        <v>43947.708333333336</v>
      </c>
      <c r="B1314" s="12" t="s">
        <v>22</v>
      </c>
      <c r="C1314" s="131">
        <v>11</v>
      </c>
      <c r="D1314" s="12" t="s">
        <v>51</v>
      </c>
      <c r="E1314" s="131">
        <v>4361675973</v>
      </c>
      <c r="F1314" s="131">
        <v>135188753</v>
      </c>
      <c r="G1314" s="131">
        <v>668</v>
      </c>
      <c r="H1314" s="131">
        <v>58</v>
      </c>
      <c r="I1314" s="131">
        <v>726</v>
      </c>
      <c r="J1314" s="131">
        <v>2582</v>
      </c>
      <c r="K1314" s="131">
        <v>3308</v>
      </c>
      <c r="L1314" s="131">
        <v>36</v>
      </c>
      <c r="M1314" s="131">
        <v>53</v>
      </c>
      <c r="N1314" s="131">
        <v>1924</v>
      </c>
      <c r="O1314" s="131">
        <v>879</v>
      </c>
      <c r="P1314" s="131">
        <v>6111</v>
      </c>
      <c r="Q1314" s="131">
        <v>52063</v>
      </c>
      <c r="R1314" s="12" t="s">
        <v>4332</v>
      </c>
      <c r="S1314" s="12" t="s">
        <v>25</v>
      </c>
      <c r="T1314" s="12" t="s">
        <v>25</v>
      </c>
    </row>
    <row r="1315" spans="1:20" x14ac:dyDescent="0.3">
      <c r="A1315" s="13">
        <v>43947.708333333336</v>
      </c>
      <c r="B1315" s="12" t="s">
        <v>22</v>
      </c>
      <c r="C1315" s="131">
        <v>14</v>
      </c>
      <c r="D1315" s="12" t="s">
        <v>52</v>
      </c>
      <c r="E1315" s="131">
        <v>4155774754</v>
      </c>
      <c r="F1315" s="131">
        <v>1465916051</v>
      </c>
      <c r="G1315" s="131">
        <v>20</v>
      </c>
      <c r="H1315" s="131">
        <v>1</v>
      </c>
      <c r="I1315" s="131">
        <v>21</v>
      </c>
      <c r="J1315" s="131">
        <v>179</v>
      </c>
      <c r="K1315" s="131">
        <v>200</v>
      </c>
      <c r="L1315" s="131">
        <v>2</v>
      </c>
      <c r="M1315" s="131">
        <v>4</v>
      </c>
      <c r="N1315" s="131">
        <v>75</v>
      </c>
      <c r="O1315" s="131">
        <v>21</v>
      </c>
      <c r="P1315" s="131">
        <v>296</v>
      </c>
      <c r="Q1315" s="131">
        <v>5567</v>
      </c>
      <c r="R1315" s="12" t="s">
        <v>4333</v>
      </c>
      <c r="S1315" s="12" t="s">
        <v>25</v>
      </c>
      <c r="T1315" s="12" t="s">
        <v>25</v>
      </c>
    </row>
    <row r="1316" spans="1:20" x14ac:dyDescent="0.3">
      <c r="A1316" s="13">
        <v>43947.708333333336</v>
      </c>
      <c r="B1316" s="12" t="s">
        <v>22</v>
      </c>
      <c r="C1316" s="131">
        <v>1</v>
      </c>
      <c r="D1316" s="12" t="s">
        <v>53</v>
      </c>
      <c r="E1316" s="131">
        <v>450732745</v>
      </c>
      <c r="F1316" s="131">
        <v>7680687483</v>
      </c>
      <c r="G1316" s="131">
        <v>2866</v>
      </c>
      <c r="H1316" s="131">
        <v>214</v>
      </c>
      <c r="I1316" s="131">
        <v>3080</v>
      </c>
      <c r="J1316" s="131">
        <v>12439</v>
      </c>
      <c r="K1316" s="131">
        <v>15519</v>
      </c>
      <c r="L1316" s="131">
        <v>17</v>
      </c>
      <c r="M1316" s="131">
        <v>394</v>
      </c>
      <c r="N1316" s="131">
        <v>6478</v>
      </c>
      <c r="O1316" s="131">
        <v>2823</v>
      </c>
      <c r="P1316" s="131">
        <v>24820</v>
      </c>
      <c r="Q1316" s="131">
        <v>135142</v>
      </c>
      <c r="R1316" s="12" t="s">
        <v>4334</v>
      </c>
      <c r="S1316" s="12" t="s">
        <v>25</v>
      </c>
      <c r="T1316" s="12" t="s">
        <v>25</v>
      </c>
    </row>
    <row r="1317" spans="1:20" x14ac:dyDescent="0.3">
      <c r="A1317" s="13">
        <v>43947.708333333336</v>
      </c>
      <c r="B1317" s="12" t="s">
        <v>22</v>
      </c>
      <c r="C1317" s="131">
        <v>16</v>
      </c>
      <c r="D1317" s="12" t="s">
        <v>54</v>
      </c>
      <c r="E1317" s="131">
        <v>4112559576</v>
      </c>
      <c r="F1317" s="131">
        <v>1686736689</v>
      </c>
      <c r="G1317" s="131">
        <v>464</v>
      </c>
      <c r="H1317" s="131">
        <v>48</v>
      </c>
      <c r="I1317" s="131">
        <v>512</v>
      </c>
      <c r="J1317" s="131">
        <v>2425</v>
      </c>
      <c r="K1317" s="131">
        <v>2937</v>
      </c>
      <c r="L1317" s="131">
        <v>18</v>
      </c>
      <c r="M1317" s="131">
        <v>36</v>
      </c>
      <c r="N1317" s="131">
        <v>612</v>
      </c>
      <c r="O1317" s="131">
        <v>399</v>
      </c>
      <c r="P1317" s="131">
        <v>3948</v>
      </c>
      <c r="Q1317" s="131">
        <v>55992</v>
      </c>
      <c r="R1317" s="12" t="s">
        <v>4335</v>
      </c>
      <c r="S1317" s="12" t="s">
        <v>25</v>
      </c>
      <c r="T1317" s="12" t="s">
        <v>25</v>
      </c>
    </row>
    <row r="1318" spans="1:20" x14ac:dyDescent="0.3">
      <c r="A1318" s="13">
        <v>43947.708333333336</v>
      </c>
      <c r="B1318" s="12" t="s">
        <v>22</v>
      </c>
      <c r="C1318" s="131">
        <v>20</v>
      </c>
      <c r="D1318" s="12" t="s">
        <v>55</v>
      </c>
      <c r="E1318" s="131">
        <v>3921531192</v>
      </c>
      <c r="F1318" s="131">
        <v>9110616306</v>
      </c>
      <c r="G1318" s="131">
        <v>95</v>
      </c>
      <c r="H1318" s="131">
        <v>20</v>
      </c>
      <c r="I1318" s="131">
        <v>115</v>
      </c>
      <c r="J1318" s="131">
        <v>668</v>
      </c>
      <c r="K1318" s="131">
        <v>783</v>
      </c>
      <c r="L1318" s="131">
        <v>-11</v>
      </c>
      <c r="M1318" s="131">
        <v>9</v>
      </c>
      <c r="N1318" s="131">
        <v>388</v>
      </c>
      <c r="O1318" s="131">
        <v>109</v>
      </c>
      <c r="P1318" s="131">
        <v>1280</v>
      </c>
      <c r="Q1318" s="131">
        <v>21101</v>
      </c>
      <c r="R1318" s="12" t="s">
        <v>4336</v>
      </c>
      <c r="S1318" s="12" t="s">
        <v>25</v>
      </c>
      <c r="T1318" s="12" t="s">
        <v>25</v>
      </c>
    </row>
    <row r="1319" spans="1:20" x14ac:dyDescent="0.3">
      <c r="A1319" s="13">
        <v>43947.708333333336</v>
      </c>
      <c r="B1319" s="12" t="s">
        <v>22</v>
      </c>
      <c r="C1319" s="131">
        <v>19</v>
      </c>
      <c r="D1319" s="12" t="s">
        <v>56</v>
      </c>
      <c r="E1319" s="131">
        <v>3811569725</v>
      </c>
      <c r="F1319" s="131">
        <v>133623567</v>
      </c>
      <c r="G1319" s="131">
        <v>445</v>
      </c>
      <c r="H1319" s="131">
        <v>33</v>
      </c>
      <c r="I1319" s="131">
        <v>478</v>
      </c>
      <c r="J1319" s="131">
        <v>1629</v>
      </c>
      <c r="K1319" s="131">
        <v>2107</v>
      </c>
      <c r="L1319" s="131">
        <v>-165</v>
      </c>
      <c r="M1319" s="131">
        <v>35</v>
      </c>
      <c r="N1319" s="131">
        <v>720</v>
      </c>
      <c r="O1319" s="131">
        <v>228</v>
      </c>
      <c r="P1319" s="131">
        <v>3055</v>
      </c>
      <c r="Q1319" s="131">
        <v>70104</v>
      </c>
      <c r="R1319" s="12" t="s">
        <v>4337</v>
      </c>
      <c r="S1319" s="12" t="s">
        <v>25</v>
      </c>
      <c r="T1319" s="12" t="s">
        <v>25</v>
      </c>
    </row>
    <row r="1320" spans="1:20" x14ac:dyDescent="0.3">
      <c r="A1320" s="13">
        <v>43947.708333333336</v>
      </c>
      <c r="B1320" s="12" t="s">
        <v>22</v>
      </c>
      <c r="C1320" s="131">
        <v>9</v>
      </c>
      <c r="D1320" s="12" t="s">
        <v>57</v>
      </c>
      <c r="E1320" s="131">
        <v>4376923077</v>
      </c>
      <c r="F1320" s="131">
        <v>1125588885</v>
      </c>
      <c r="G1320" s="131">
        <v>677</v>
      </c>
      <c r="H1320" s="131">
        <v>158</v>
      </c>
      <c r="I1320" s="131">
        <v>835</v>
      </c>
      <c r="J1320" s="131">
        <v>5234</v>
      </c>
      <c r="K1320" s="131">
        <v>6069</v>
      </c>
      <c r="L1320" s="131">
        <v>-77</v>
      </c>
      <c r="M1320" s="131">
        <v>132</v>
      </c>
      <c r="N1320" s="131">
        <v>2300</v>
      </c>
      <c r="O1320" s="131">
        <v>778</v>
      </c>
      <c r="P1320" s="131">
        <v>9147</v>
      </c>
      <c r="Q1320" s="131">
        <v>127394</v>
      </c>
      <c r="R1320" s="12" t="s">
        <v>4338</v>
      </c>
      <c r="S1320" s="12" t="s">
        <v>25</v>
      </c>
      <c r="T1320" s="12" t="s">
        <v>25</v>
      </c>
    </row>
    <row r="1321" spans="1:20" x14ac:dyDescent="0.3">
      <c r="A1321" s="13">
        <v>43947.708333333336</v>
      </c>
      <c r="B1321" s="12" t="s">
        <v>22</v>
      </c>
      <c r="C1321" s="131">
        <v>4</v>
      </c>
      <c r="D1321" s="12" t="s">
        <v>58</v>
      </c>
      <c r="E1321" s="131">
        <v>4606893511</v>
      </c>
      <c r="F1321" s="131">
        <v>1112123097</v>
      </c>
      <c r="G1321" s="131">
        <v>199</v>
      </c>
      <c r="H1321" s="131">
        <v>24</v>
      </c>
      <c r="I1321" s="131">
        <v>223</v>
      </c>
      <c r="J1321" s="131">
        <v>1459</v>
      </c>
      <c r="K1321" s="131">
        <v>1682</v>
      </c>
      <c r="L1321" s="131">
        <v>-62</v>
      </c>
      <c r="M1321" s="131">
        <v>56</v>
      </c>
      <c r="N1321" s="131">
        <v>1807</v>
      </c>
      <c r="O1321" s="131">
        <v>405</v>
      </c>
      <c r="P1321" s="131">
        <v>3894</v>
      </c>
      <c r="Q1321" s="131">
        <v>32142</v>
      </c>
      <c r="R1321" s="12" t="s">
        <v>4339</v>
      </c>
      <c r="S1321" s="12" t="s">
        <v>25</v>
      </c>
      <c r="T1321" s="12" t="s">
        <v>25</v>
      </c>
    </row>
    <row r="1322" spans="1:20" x14ac:dyDescent="0.3">
      <c r="A1322" s="13">
        <v>43947.708333333336</v>
      </c>
      <c r="B1322" s="12" t="s">
        <v>22</v>
      </c>
      <c r="C1322" s="131">
        <v>10</v>
      </c>
      <c r="D1322" s="12" t="s">
        <v>59</v>
      </c>
      <c r="E1322" s="131">
        <v>4310675841</v>
      </c>
      <c r="F1322" s="131">
        <v>1238824698</v>
      </c>
      <c r="G1322" s="131">
        <v>91</v>
      </c>
      <c r="H1322" s="131">
        <v>17</v>
      </c>
      <c r="I1322" s="131">
        <v>108</v>
      </c>
      <c r="J1322" s="131">
        <v>188</v>
      </c>
      <c r="K1322" s="131">
        <v>296</v>
      </c>
      <c r="L1322" s="131">
        <v>-1</v>
      </c>
      <c r="M1322" s="131">
        <v>2</v>
      </c>
      <c r="N1322" s="131">
        <v>1008</v>
      </c>
      <c r="O1322" s="131">
        <v>64</v>
      </c>
      <c r="P1322" s="131">
        <v>1368</v>
      </c>
      <c r="Q1322" s="131">
        <v>32569</v>
      </c>
      <c r="R1322" s="12" t="s">
        <v>4340</v>
      </c>
      <c r="S1322" s="12" t="s">
        <v>25</v>
      </c>
      <c r="T1322" s="12" t="s">
        <v>25</v>
      </c>
    </row>
    <row r="1323" spans="1:20" x14ac:dyDescent="0.3">
      <c r="A1323" s="13">
        <v>43947.708333333336</v>
      </c>
      <c r="B1323" s="12" t="s">
        <v>22</v>
      </c>
      <c r="C1323" s="131">
        <v>2</v>
      </c>
      <c r="D1323" s="12" t="s">
        <v>60</v>
      </c>
      <c r="E1323" s="131">
        <v>4573750286</v>
      </c>
      <c r="F1323" s="131">
        <v>7320149366</v>
      </c>
      <c r="G1323" s="131">
        <v>82</v>
      </c>
      <c r="H1323" s="131">
        <v>7</v>
      </c>
      <c r="I1323" s="131">
        <v>89</v>
      </c>
      <c r="J1323" s="131">
        <v>165</v>
      </c>
      <c r="K1323" s="131">
        <v>254</v>
      </c>
      <c r="L1323" s="131">
        <v>-59</v>
      </c>
      <c r="M1323" s="131">
        <v>6</v>
      </c>
      <c r="N1323" s="131">
        <v>721</v>
      </c>
      <c r="O1323" s="131">
        <v>131</v>
      </c>
      <c r="P1323" s="131">
        <v>1106</v>
      </c>
      <c r="Q1323" s="131">
        <v>6135</v>
      </c>
      <c r="R1323" s="12" t="s">
        <v>4341</v>
      </c>
      <c r="S1323" s="12" t="s">
        <v>4342</v>
      </c>
      <c r="T1323" s="12" t="s">
        <v>4343</v>
      </c>
    </row>
    <row r="1324" spans="1:20" x14ac:dyDescent="0.3">
      <c r="A1324" s="13">
        <v>43947.708333333336</v>
      </c>
      <c r="B1324" s="12" t="s">
        <v>22</v>
      </c>
      <c r="C1324" s="157">
        <v>5</v>
      </c>
      <c r="D1324" s="12" t="s">
        <v>61</v>
      </c>
      <c r="E1324" s="157">
        <v>4543490485</v>
      </c>
      <c r="F1324" s="157">
        <v>1233845213</v>
      </c>
      <c r="G1324" s="157">
        <v>1097</v>
      </c>
      <c r="H1324" s="157">
        <v>124</v>
      </c>
      <c r="I1324" s="157">
        <v>1221</v>
      </c>
      <c r="J1324" s="157">
        <v>7917</v>
      </c>
      <c r="K1324" s="157">
        <v>9138</v>
      </c>
      <c r="L1324" s="157">
        <v>-294</v>
      </c>
      <c r="M1324" s="157">
        <v>80</v>
      </c>
      <c r="N1324" s="157">
        <v>7018</v>
      </c>
      <c r="O1324" s="157">
        <v>1315</v>
      </c>
      <c r="P1324" s="157">
        <v>17471</v>
      </c>
      <c r="Q1324" s="157">
        <v>316361</v>
      </c>
      <c r="R1324" s="12" t="s">
        <v>4344</v>
      </c>
      <c r="S1324" s="12" t="s">
        <v>25</v>
      </c>
      <c r="T1324" s="12" t="s">
        <v>25</v>
      </c>
    </row>
    <row r="1325" spans="1:20" x14ac:dyDescent="0.3">
      <c r="A1325" s="13">
        <v>43948.708333333336</v>
      </c>
      <c r="B1325" s="12" t="s">
        <v>22</v>
      </c>
      <c r="C1325" s="157">
        <v>13</v>
      </c>
      <c r="D1325" s="12" t="s">
        <v>42</v>
      </c>
      <c r="E1325" s="157">
        <v>4235122196</v>
      </c>
      <c r="F1325" s="157">
        <v>1339843823</v>
      </c>
      <c r="G1325" s="157">
        <v>328</v>
      </c>
      <c r="H1325" s="157">
        <v>23</v>
      </c>
      <c r="I1325" s="157">
        <v>351</v>
      </c>
      <c r="J1325" s="157">
        <v>1679</v>
      </c>
      <c r="K1325" s="157">
        <v>2030</v>
      </c>
      <c r="L1325" s="157">
        <v>-38</v>
      </c>
      <c r="M1325" s="157">
        <v>15</v>
      </c>
      <c r="N1325" s="157">
        <v>545</v>
      </c>
      <c r="O1325" s="157">
        <v>299</v>
      </c>
      <c r="P1325" s="157">
        <v>2874</v>
      </c>
      <c r="Q1325" s="157">
        <v>34176</v>
      </c>
      <c r="R1325" s="12" t="s">
        <v>4358</v>
      </c>
      <c r="S1325" s="12" t="s">
        <v>25</v>
      </c>
      <c r="T1325" s="12" t="s">
        <v>25</v>
      </c>
    </row>
    <row r="1326" spans="1:20" x14ac:dyDescent="0.3">
      <c r="A1326" s="13">
        <v>43948.708333333336</v>
      </c>
      <c r="B1326" s="12" t="s">
        <v>22</v>
      </c>
      <c r="C1326" s="157">
        <v>17</v>
      </c>
      <c r="D1326" s="12" t="s">
        <v>43</v>
      </c>
      <c r="E1326" s="157">
        <v>4063947052</v>
      </c>
      <c r="F1326" s="157">
        <v>1580514834</v>
      </c>
      <c r="G1326" s="157">
        <v>57</v>
      </c>
      <c r="H1326" s="157">
        <v>7</v>
      </c>
      <c r="I1326" s="157">
        <v>64</v>
      </c>
      <c r="J1326" s="157">
        <v>153</v>
      </c>
      <c r="K1326" s="157">
        <v>217</v>
      </c>
      <c r="L1326" s="157">
        <v>-2</v>
      </c>
      <c r="M1326" s="157">
        <v>0</v>
      </c>
      <c r="N1326" s="157">
        <v>124</v>
      </c>
      <c r="O1326" s="157">
        <v>25</v>
      </c>
      <c r="P1326" s="157">
        <v>366</v>
      </c>
      <c r="Q1326" s="157">
        <v>10364</v>
      </c>
      <c r="R1326" s="12" t="s">
        <v>4359</v>
      </c>
      <c r="S1326" s="12" t="s">
        <v>25</v>
      </c>
      <c r="T1326" s="12" t="s">
        <v>25</v>
      </c>
    </row>
    <row r="1327" spans="1:20" x14ac:dyDescent="0.3">
      <c r="A1327" s="13">
        <v>43948.708333333336</v>
      </c>
      <c r="B1327" s="12" t="s">
        <v>22</v>
      </c>
      <c r="C1327" s="157">
        <v>4</v>
      </c>
      <c r="D1327" s="12" t="s">
        <v>44</v>
      </c>
      <c r="E1327" s="157">
        <v>4649933453</v>
      </c>
      <c r="F1327" s="157">
        <v>1135662422</v>
      </c>
      <c r="G1327" s="157">
        <v>150</v>
      </c>
      <c r="H1327" s="157">
        <v>16</v>
      </c>
      <c r="I1327" s="157">
        <v>166</v>
      </c>
      <c r="J1327" s="157">
        <v>774</v>
      </c>
      <c r="K1327" s="157">
        <v>940</v>
      </c>
      <c r="L1327" s="157">
        <v>-54</v>
      </c>
      <c r="M1327" s="157">
        <v>15</v>
      </c>
      <c r="N1327" s="157">
        <v>1286</v>
      </c>
      <c r="O1327" s="157">
        <v>270</v>
      </c>
      <c r="P1327" s="157">
        <v>2496</v>
      </c>
      <c r="Q1327" s="157">
        <v>38640</v>
      </c>
      <c r="R1327" s="12" t="s">
        <v>4360</v>
      </c>
      <c r="S1327" s="12" t="s">
        <v>25</v>
      </c>
      <c r="T1327" s="12" t="s">
        <v>25</v>
      </c>
    </row>
    <row r="1328" spans="1:20" x14ac:dyDescent="0.3">
      <c r="A1328" s="13">
        <v>43948.708333333336</v>
      </c>
      <c r="B1328" s="12" t="s">
        <v>22</v>
      </c>
      <c r="C1328" s="157">
        <v>18</v>
      </c>
      <c r="D1328" s="12" t="s">
        <v>45</v>
      </c>
      <c r="E1328" s="157">
        <v>3890597598</v>
      </c>
      <c r="F1328" s="157">
        <v>1659440194</v>
      </c>
      <c r="G1328" s="157">
        <v>114</v>
      </c>
      <c r="H1328" s="157">
        <v>6</v>
      </c>
      <c r="I1328" s="157">
        <v>120</v>
      </c>
      <c r="J1328" s="157">
        <v>662</v>
      </c>
      <c r="K1328" s="157">
        <v>782</v>
      </c>
      <c r="L1328" s="157">
        <v>-15</v>
      </c>
      <c r="M1328" s="157">
        <v>7</v>
      </c>
      <c r="N1328" s="157">
        <v>231</v>
      </c>
      <c r="O1328" s="157">
        <v>83</v>
      </c>
      <c r="P1328" s="157">
        <v>1096</v>
      </c>
      <c r="Q1328" s="157">
        <v>31787</v>
      </c>
      <c r="R1328" s="12" t="s">
        <v>4361</v>
      </c>
      <c r="S1328" s="12" t="s">
        <v>25</v>
      </c>
      <c r="T1328" s="12" t="s">
        <v>25</v>
      </c>
    </row>
    <row r="1329" spans="1:20" x14ac:dyDescent="0.3">
      <c r="A1329" s="13">
        <v>43948.708333333336</v>
      </c>
      <c r="B1329" s="12" t="s">
        <v>22</v>
      </c>
      <c r="C1329" s="157">
        <v>15</v>
      </c>
      <c r="D1329" s="12" t="s">
        <v>46</v>
      </c>
      <c r="E1329" s="157">
        <v>4083956555</v>
      </c>
      <c r="F1329" s="157">
        <v>1425084984</v>
      </c>
      <c r="G1329" s="157">
        <v>541</v>
      </c>
      <c r="H1329" s="157">
        <v>37</v>
      </c>
      <c r="I1329" s="157">
        <v>578</v>
      </c>
      <c r="J1329" s="157">
        <v>2299</v>
      </c>
      <c r="K1329" s="157">
        <v>2877</v>
      </c>
      <c r="L1329" s="157">
        <v>-47</v>
      </c>
      <c r="M1329" s="157">
        <v>18</v>
      </c>
      <c r="N1329" s="157">
        <v>1120</v>
      </c>
      <c r="O1329" s="157">
        <v>352</v>
      </c>
      <c r="P1329" s="157">
        <v>4349</v>
      </c>
      <c r="Q1329" s="157">
        <v>68727</v>
      </c>
      <c r="R1329" s="12" t="s">
        <v>4362</v>
      </c>
      <c r="S1329" s="12" t="s">
        <v>25</v>
      </c>
      <c r="T1329" s="12" t="s">
        <v>25</v>
      </c>
    </row>
    <row r="1330" spans="1:20" x14ac:dyDescent="0.3">
      <c r="A1330" s="13">
        <v>43948.708333333336</v>
      </c>
      <c r="B1330" s="12" t="s">
        <v>22</v>
      </c>
      <c r="C1330" s="157">
        <v>8</v>
      </c>
      <c r="D1330" s="12" t="s">
        <v>95</v>
      </c>
      <c r="E1330" s="157">
        <v>4449436681</v>
      </c>
      <c r="F1330" s="157">
        <v>113417208</v>
      </c>
      <c r="G1330" s="157">
        <v>2640</v>
      </c>
      <c r="H1330" s="157">
        <v>247</v>
      </c>
      <c r="I1330" s="157">
        <v>2887</v>
      </c>
      <c r="J1330" s="157">
        <v>9338</v>
      </c>
      <c r="K1330" s="157">
        <v>12225</v>
      </c>
      <c r="L1330" s="157">
        <v>-116</v>
      </c>
      <c r="M1330" s="157">
        <v>212</v>
      </c>
      <c r="N1330" s="157">
        <v>9006</v>
      </c>
      <c r="O1330" s="157">
        <v>3431</v>
      </c>
      <c r="P1330" s="157">
        <v>24662</v>
      </c>
      <c r="Q1330" s="157">
        <v>164979</v>
      </c>
      <c r="R1330" s="12" t="s">
        <v>4363</v>
      </c>
      <c r="S1330" s="12" t="s">
        <v>25</v>
      </c>
      <c r="T1330" s="12" t="s">
        <v>25</v>
      </c>
    </row>
    <row r="1331" spans="1:20" x14ac:dyDescent="0.3">
      <c r="A1331" s="13">
        <v>43948.708333333336</v>
      </c>
      <c r="B1331" s="12" t="s">
        <v>22</v>
      </c>
      <c r="C1331" s="157">
        <v>6</v>
      </c>
      <c r="D1331" s="12" t="s">
        <v>47</v>
      </c>
      <c r="E1331" s="157">
        <v>456494354</v>
      </c>
      <c r="F1331" s="157">
        <v>1376813649</v>
      </c>
      <c r="G1331" s="157">
        <v>130</v>
      </c>
      <c r="H1331" s="157">
        <v>13</v>
      </c>
      <c r="I1331" s="157">
        <v>143</v>
      </c>
      <c r="J1331" s="157">
        <v>1115</v>
      </c>
      <c r="K1331" s="157">
        <v>1258</v>
      </c>
      <c r="L1331" s="157">
        <v>10</v>
      </c>
      <c r="M1331" s="157">
        <v>60</v>
      </c>
      <c r="N1331" s="157">
        <v>1448</v>
      </c>
      <c r="O1331" s="157">
        <v>271</v>
      </c>
      <c r="P1331" s="157">
        <v>2977</v>
      </c>
      <c r="Q1331" s="157">
        <v>60940</v>
      </c>
      <c r="R1331" s="12" t="s">
        <v>4364</v>
      </c>
      <c r="S1331" s="12" t="s">
        <v>25</v>
      </c>
      <c r="T1331" s="12" t="s">
        <v>25</v>
      </c>
    </row>
    <row r="1332" spans="1:20" x14ac:dyDescent="0.3">
      <c r="A1332" s="13">
        <v>43948.708333333336</v>
      </c>
      <c r="B1332" s="12" t="s">
        <v>22</v>
      </c>
      <c r="C1332" s="157">
        <v>12</v>
      </c>
      <c r="D1332" s="12" t="s">
        <v>48</v>
      </c>
      <c r="E1332" s="157">
        <v>4189277044</v>
      </c>
      <c r="F1332" s="157">
        <v>1248366722</v>
      </c>
      <c r="G1332" s="157">
        <v>1464</v>
      </c>
      <c r="H1332" s="157">
        <v>143</v>
      </c>
      <c r="I1332" s="157">
        <v>1607</v>
      </c>
      <c r="J1332" s="157">
        <v>2955</v>
      </c>
      <c r="K1332" s="157">
        <v>4562</v>
      </c>
      <c r="L1332" s="157">
        <v>-11</v>
      </c>
      <c r="M1332" s="157">
        <v>83</v>
      </c>
      <c r="N1332" s="157">
        <v>1433</v>
      </c>
      <c r="O1332" s="157">
        <v>397</v>
      </c>
      <c r="P1332" s="157">
        <v>6392</v>
      </c>
      <c r="Q1332" s="157">
        <v>124769</v>
      </c>
      <c r="R1332" s="12" t="s">
        <v>4365</v>
      </c>
      <c r="S1332" s="12" t="s">
        <v>25</v>
      </c>
      <c r="T1332" s="12" t="s">
        <v>25</v>
      </c>
    </row>
    <row r="1333" spans="1:20" x14ac:dyDescent="0.3">
      <c r="A1333" s="13">
        <v>43948.708333333336</v>
      </c>
      <c r="B1333" s="12" t="s">
        <v>22</v>
      </c>
      <c r="C1333" s="157">
        <v>7</v>
      </c>
      <c r="D1333" s="12" t="s">
        <v>49</v>
      </c>
      <c r="E1333" s="157">
        <v>4441149315</v>
      </c>
      <c r="F1333" s="157">
        <v>89326992</v>
      </c>
      <c r="G1333" s="157">
        <v>754</v>
      </c>
      <c r="H1333" s="157">
        <v>83</v>
      </c>
      <c r="I1333" s="157">
        <v>837</v>
      </c>
      <c r="J1333" s="157">
        <v>2743</v>
      </c>
      <c r="K1333" s="157">
        <v>3580</v>
      </c>
      <c r="L1333" s="157">
        <v>100</v>
      </c>
      <c r="M1333" s="157">
        <v>154</v>
      </c>
      <c r="N1333" s="157">
        <v>2934</v>
      </c>
      <c r="O1333" s="157">
        <v>1128</v>
      </c>
      <c r="P1333" s="157">
        <v>7642</v>
      </c>
      <c r="Q1333" s="157">
        <v>44039</v>
      </c>
      <c r="R1333" s="12" t="s">
        <v>4366</v>
      </c>
      <c r="S1333" s="12" t="s">
        <v>25</v>
      </c>
      <c r="T1333" s="12" t="s">
        <v>25</v>
      </c>
    </row>
    <row r="1334" spans="1:20" x14ac:dyDescent="0.3">
      <c r="A1334" s="13">
        <v>43948.708333333336</v>
      </c>
      <c r="B1334" s="12" t="s">
        <v>22</v>
      </c>
      <c r="C1334" s="157">
        <v>3</v>
      </c>
      <c r="D1334" s="12" t="s">
        <v>50</v>
      </c>
      <c r="E1334" s="157">
        <v>4546679409</v>
      </c>
      <c r="F1334" s="157">
        <v>9190347404</v>
      </c>
      <c r="G1334" s="157">
        <v>7525</v>
      </c>
      <c r="H1334" s="157">
        <v>680</v>
      </c>
      <c r="I1334" s="157">
        <v>8205</v>
      </c>
      <c r="J1334" s="157">
        <v>27236</v>
      </c>
      <c r="K1334" s="157">
        <v>35441</v>
      </c>
      <c r="L1334" s="157">
        <v>275</v>
      </c>
      <c r="M1334" s="157">
        <v>590</v>
      </c>
      <c r="N1334" s="157">
        <v>24589</v>
      </c>
      <c r="O1334" s="157">
        <v>13449</v>
      </c>
      <c r="P1334" s="157">
        <v>73479</v>
      </c>
      <c r="Q1334" s="157">
        <v>342850</v>
      </c>
      <c r="R1334" s="12" t="s">
        <v>4367</v>
      </c>
      <c r="S1334" s="12" t="s">
        <v>25</v>
      </c>
      <c r="T1334" s="12" t="s">
        <v>25</v>
      </c>
    </row>
    <row r="1335" spans="1:20" x14ac:dyDescent="0.3">
      <c r="A1335" s="13">
        <v>43948.708333333336</v>
      </c>
      <c r="B1335" s="12" t="s">
        <v>22</v>
      </c>
      <c r="C1335" s="157">
        <v>11</v>
      </c>
      <c r="D1335" s="12" t="s">
        <v>51</v>
      </c>
      <c r="E1335" s="157">
        <v>4361675973</v>
      </c>
      <c r="F1335" s="157">
        <v>135188753</v>
      </c>
      <c r="G1335" s="157">
        <v>667</v>
      </c>
      <c r="H1335" s="157">
        <v>58</v>
      </c>
      <c r="I1335" s="157">
        <v>725</v>
      </c>
      <c r="J1335" s="157">
        <v>2585</v>
      </c>
      <c r="K1335" s="157">
        <v>3310</v>
      </c>
      <c r="L1335" s="157">
        <v>2</v>
      </c>
      <c r="M1335" s="157">
        <v>16</v>
      </c>
      <c r="N1335" s="157">
        <v>1933</v>
      </c>
      <c r="O1335" s="157">
        <v>884</v>
      </c>
      <c r="P1335" s="157">
        <v>6127</v>
      </c>
      <c r="Q1335" s="157">
        <v>52765</v>
      </c>
      <c r="R1335" s="12" t="s">
        <v>4368</v>
      </c>
      <c r="S1335" s="12" t="s">
        <v>25</v>
      </c>
      <c r="T1335" s="12" t="s">
        <v>25</v>
      </c>
    </row>
    <row r="1336" spans="1:20" x14ac:dyDescent="0.3">
      <c r="A1336" s="13">
        <v>43948.708333333336</v>
      </c>
      <c r="B1336" s="12" t="s">
        <v>22</v>
      </c>
      <c r="C1336" s="157">
        <v>14</v>
      </c>
      <c r="D1336" s="12" t="s">
        <v>52</v>
      </c>
      <c r="E1336" s="157">
        <v>4155774754</v>
      </c>
      <c r="F1336" s="157">
        <v>1465916051</v>
      </c>
      <c r="G1336" s="157">
        <v>20</v>
      </c>
      <c r="H1336" s="157">
        <v>1</v>
      </c>
      <c r="I1336" s="157">
        <v>21</v>
      </c>
      <c r="J1336" s="157">
        <v>179</v>
      </c>
      <c r="K1336" s="157">
        <v>200</v>
      </c>
      <c r="L1336" s="157">
        <v>0</v>
      </c>
      <c r="M1336" s="157">
        <v>0</v>
      </c>
      <c r="N1336" s="157">
        <v>75</v>
      </c>
      <c r="O1336" s="157">
        <v>21</v>
      </c>
      <c r="P1336" s="157">
        <v>296</v>
      </c>
      <c r="Q1336" s="157">
        <v>5656</v>
      </c>
      <c r="R1336" s="12" t="s">
        <v>4369</v>
      </c>
      <c r="S1336" s="12" t="s">
        <v>25</v>
      </c>
      <c r="T1336" s="12" t="s">
        <v>25</v>
      </c>
    </row>
    <row r="1337" spans="1:20" x14ac:dyDescent="0.3">
      <c r="A1337" s="13">
        <v>43948.708333333336</v>
      </c>
      <c r="B1337" s="12" t="s">
        <v>22</v>
      </c>
      <c r="C1337" s="157">
        <v>1</v>
      </c>
      <c r="D1337" s="12" t="s">
        <v>53</v>
      </c>
      <c r="E1337" s="157">
        <v>450732745</v>
      </c>
      <c r="F1337" s="157">
        <v>7680687483</v>
      </c>
      <c r="G1337" s="157">
        <v>2830</v>
      </c>
      <c r="H1337" s="157">
        <v>214</v>
      </c>
      <c r="I1337" s="157">
        <v>3044</v>
      </c>
      <c r="J1337" s="157">
        <v>12464</v>
      </c>
      <c r="K1337" s="157">
        <v>15508</v>
      </c>
      <c r="L1337" s="157">
        <v>-11</v>
      </c>
      <c r="M1337" s="157">
        <v>278</v>
      </c>
      <c r="N1337" s="157">
        <v>6712</v>
      </c>
      <c r="O1337" s="157">
        <v>2878</v>
      </c>
      <c r="P1337" s="157">
        <v>25098</v>
      </c>
      <c r="Q1337" s="157">
        <v>139348</v>
      </c>
      <c r="R1337" s="12" t="s">
        <v>4370</v>
      </c>
      <c r="S1337" s="12" t="s">
        <v>25</v>
      </c>
      <c r="T1337" s="12" t="s">
        <v>25</v>
      </c>
    </row>
    <row r="1338" spans="1:20" x14ac:dyDescent="0.3">
      <c r="A1338" s="13">
        <v>43948.708333333336</v>
      </c>
      <c r="B1338" s="12" t="s">
        <v>22</v>
      </c>
      <c r="C1338" s="157">
        <v>16</v>
      </c>
      <c r="D1338" s="12" t="s">
        <v>54</v>
      </c>
      <c r="E1338" s="157">
        <v>4112559576</v>
      </c>
      <c r="F1338" s="157">
        <v>1686736689</v>
      </c>
      <c r="G1338" s="157">
        <v>449</v>
      </c>
      <c r="H1338" s="157">
        <v>51</v>
      </c>
      <c r="I1338" s="157">
        <v>500</v>
      </c>
      <c r="J1338" s="157">
        <v>2412</v>
      </c>
      <c r="K1338" s="157">
        <v>2912</v>
      </c>
      <c r="L1338" s="157">
        <v>-25</v>
      </c>
      <c r="M1338" s="157">
        <v>10</v>
      </c>
      <c r="N1338" s="157">
        <v>641</v>
      </c>
      <c r="O1338" s="157">
        <v>405</v>
      </c>
      <c r="P1338" s="157">
        <v>3958</v>
      </c>
      <c r="Q1338" s="157">
        <v>56976</v>
      </c>
      <c r="R1338" s="12" t="s">
        <v>4371</v>
      </c>
      <c r="S1338" s="12" t="s">
        <v>25</v>
      </c>
      <c r="T1338" s="12" t="s">
        <v>25</v>
      </c>
    </row>
    <row r="1339" spans="1:20" x14ac:dyDescent="0.3">
      <c r="A1339" s="13">
        <v>43948.708333333336</v>
      </c>
      <c r="B1339" s="12" t="s">
        <v>22</v>
      </c>
      <c r="C1339" s="157">
        <v>20</v>
      </c>
      <c r="D1339" s="12" t="s">
        <v>55</v>
      </c>
      <c r="E1339" s="157">
        <v>3921531192</v>
      </c>
      <c r="F1339" s="157">
        <v>9110616306</v>
      </c>
      <c r="G1339" s="157">
        <v>97</v>
      </c>
      <c r="H1339" s="157">
        <v>19</v>
      </c>
      <c r="I1339" s="157">
        <v>116</v>
      </c>
      <c r="J1339" s="157">
        <v>660</v>
      </c>
      <c r="K1339" s="157">
        <v>776</v>
      </c>
      <c r="L1339" s="157">
        <v>-7</v>
      </c>
      <c r="M1339" s="157">
        <v>3</v>
      </c>
      <c r="N1339" s="157">
        <v>398</v>
      </c>
      <c r="O1339" s="157">
        <v>109</v>
      </c>
      <c r="P1339" s="157">
        <v>1283</v>
      </c>
      <c r="Q1339" s="157">
        <v>21395</v>
      </c>
      <c r="R1339" s="12" t="s">
        <v>4372</v>
      </c>
      <c r="S1339" s="12" t="s">
        <v>25</v>
      </c>
      <c r="T1339" s="12" t="s">
        <v>25</v>
      </c>
    </row>
    <row r="1340" spans="1:20" x14ac:dyDescent="0.3">
      <c r="A1340" s="13">
        <v>43948.708333333336</v>
      </c>
      <c r="B1340" s="12" t="s">
        <v>22</v>
      </c>
      <c r="C1340" s="157">
        <v>19</v>
      </c>
      <c r="D1340" s="12" t="s">
        <v>56</v>
      </c>
      <c r="E1340" s="157">
        <v>3811569725</v>
      </c>
      <c r="F1340" s="157">
        <v>133623567</v>
      </c>
      <c r="G1340" s="157">
        <v>440</v>
      </c>
      <c r="H1340" s="157">
        <v>35</v>
      </c>
      <c r="I1340" s="157">
        <v>475</v>
      </c>
      <c r="J1340" s="157">
        <v>1648</v>
      </c>
      <c r="K1340" s="157">
        <v>2123</v>
      </c>
      <c r="L1340" s="157">
        <v>16</v>
      </c>
      <c r="M1340" s="157">
        <v>30</v>
      </c>
      <c r="N1340" s="157">
        <v>731</v>
      </c>
      <c r="O1340" s="157">
        <v>231</v>
      </c>
      <c r="P1340" s="157">
        <v>3085</v>
      </c>
      <c r="Q1340" s="157">
        <v>70650</v>
      </c>
      <c r="R1340" s="12" t="s">
        <v>4373</v>
      </c>
      <c r="S1340" s="12" t="s">
        <v>25</v>
      </c>
      <c r="T1340" s="12" t="s">
        <v>25</v>
      </c>
    </row>
    <row r="1341" spans="1:20" x14ac:dyDescent="0.3">
      <c r="A1341" s="13">
        <v>43948.708333333336</v>
      </c>
      <c r="B1341" s="12" t="s">
        <v>22</v>
      </c>
      <c r="C1341" s="157">
        <v>9</v>
      </c>
      <c r="D1341" s="12" t="s">
        <v>57</v>
      </c>
      <c r="E1341" s="157">
        <v>4376923077</v>
      </c>
      <c r="F1341" s="157">
        <v>1125588885</v>
      </c>
      <c r="G1341" s="157">
        <v>671</v>
      </c>
      <c r="H1341" s="157">
        <v>154</v>
      </c>
      <c r="I1341" s="157">
        <v>825</v>
      </c>
      <c r="J1341" s="157">
        <v>5158</v>
      </c>
      <c r="K1341" s="157">
        <v>5983</v>
      </c>
      <c r="L1341" s="157">
        <v>-86</v>
      </c>
      <c r="M1341" s="157">
        <v>32</v>
      </c>
      <c r="N1341" s="157">
        <v>2401</v>
      </c>
      <c r="O1341" s="157">
        <v>795</v>
      </c>
      <c r="P1341" s="157">
        <v>9179</v>
      </c>
      <c r="Q1341" s="157">
        <v>129048</v>
      </c>
      <c r="R1341" s="12" t="s">
        <v>4374</v>
      </c>
      <c r="S1341" s="12" t="s">
        <v>25</v>
      </c>
      <c r="T1341" s="12" t="s">
        <v>25</v>
      </c>
    </row>
    <row r="1342" spans="1:20" x14ac:dyDescent="0.3">
      <c r="A1342" s="13">
        <v>43948.708333333336</v>
      </c>
      <c r="B1342" s="12" t="s">
        <v>22</v>
      </c>
      <c r="C1342" s="157">
        <v>4</v>
      </c>
      <c r="D1342" s="12" t="s">
        <v>58</v>
      </c>
      <c r="E1342" s="157">
        <v>4606893511</v>
      </c>
      <c r="F1342" s="157">
        <v>1112123097</v>
      </c>
      <c r="G1342" s="157">
        <v>201</v>
      </c>
      <c r="H1342" s="157">
        <v>23</v>
      </c>
      <c r="I1342" s="157">
        <v>224</v>
      </c>
      <c r="J1342" s="157">
        <v>1483</v>
      </c>
      <c r="K1342" s="157">
        <v>1707</v>
      </c>
      <c r="L1342" s="157">
        <v>25</v>
      </c>
      <c r="M1342" s="157">
        <v>101</v>
      </c>
      <c r="N1342" s="157">
        <v>1881</v>
      </c>
      <c r="O1342" s="157">
        <v>407</v>
      </c>
      <c r="P1342" s="157">
        <v>3995</v>
      </c>
      <c r="Q1342" s="157">
        <v>33152</v>
      </c>
      <c r="R1342" s="12" t="s">
        <v>4375</v>
      </c>
      <c r="S1342" s="12" t="s">
        <v>25</v>
      </c>
      <c r="T1342" s="12" t="s">
        <v>25</v>
      </c>
    </row>
    <row r="1343" spans="1:20" x14ac:dyDescent="0.3">
      <c r="A1343" s="13">
        <v>43948.708333333336</v>
      </c>
      <c r="B1343" s="12" t="s">
        <v>22</v>
      </c>
      <c r="C1343" s="157">
        <v>10</v>
      </c>
      <c r="D1343" s="12" t="s">
        <v>59</v>
      </c>
      <c r="E1343" s="157">
        <v>4310675841</v>
      </c>
      <c r="F1343" s="157">
        <v>1238824698</v>
      </c>
      <c r="G1343" s="157">
        <v>90</v>
      </c>
      <c r="H1343" s="157">
        <v>16</v>
      </c>
      <c r="I1343" s="157">
        <v>106</v>
      </c>
      <c r="J1343" s="157">
        <v>181</v>
      </c>
      <c r="K1343" s="157">
        <v>287</v>
      </c>
      <c r="L1343" s="157">
        <v>-9</v>
      </c>
      <c r="M1343" s="157">
        <v>2</v>
      </c>
      <c r="N1343" s="157">
        <v>1018</v>
      </c>
      <c r="O1343" s="157">
        <v>65</v>
      </c>
      <c r="P1343" s="157">
        <v>1370</v>
      </c>
      <c r="Q1343" s="157">
        <v>32823</v>
      </c>
      <c r="R1343" s="12" t="s">
        <v>4376</v>
      </c>
      <c r="S1343" s="12" t="s">
        <v>25</v>
      </c>
      <c r="T1343" s="12" t="s">
        <v>25</v>
      </c>
    </row>
    <row r="1344" spans="1:20" x14ac:dyDescent="0.3">
      <c r="A1344" s="13">
        <v>43948.708333333336</v>
      </c>
      <c r="B1344" s="12" t="s">
        <v>22</v>
      </c>
      <c r="C1344" s="157">
        <v>2</v>
      </c>
      <c r="D1344" s="12" t="s">
        <v>60</v>
      </c>
      <c r="E1344" s="157">
        <v>4573750286</v>
      </c>
      <c r="F1344" s="157">
        <v>7320149366</v>
      </c>
      <c r="G1344" s="157">
        <v>86</v>
      </c>
      <c r="H1344" s="157">
        <v>7</v>
      </c>
      <c r="I1344" s="157">
        <v>93</v>
      </c>
      <c r="J1344" s="157">
        <v>142</v>
      </c>
      <c r="K1344" s="157">
        <v>235</v>
      </c>
      <c r="L1344" s="157">
        <v>-19</v>
      </c>
      <c r="M1344" s="157">
        <v>5</v>
      </c>
      <c r="N1344" s="157">
        <v>743</v>
      </c>
      <c r="O1344" s="157">
        <v>133</v>
      </c>
      <c r="P1344" s="157">
        <v>1111</v>
      </c>
      <c r="Q1344" s="157">
        <v>6551</v>
      </c>
      <c r="R1344" s="12" t="s">
        <v>3755</v>
      </c>
      <c r="S1344" s="12" t="s">
        <v>25</v>
      </c>
      <c r="T1344" s="12" t="s">
        <v>25</v>
      </c>
    </row>
    <row r="1345" spans="1:20" x14ac:dyDescent="0.3">
      <c r="A1345" s="13">
        <v>43948.708333333336</v>
      </c>
      <c r="B1345" s="12" t="s">
        <v>22</v>
      </c>
      <c r="C1345" s="235">
        <v>5</v>
      </c>
      <c r="D1345" s="12" t="s">
        <v>61</v>
      </c>
      <c r="E1345" s="235">
        <v>4543490485</v>
      </c>
      <c r="F1345" s="235">
        <v>1233845213</v>
      </c>
      <c r="G1345" s="235">
        <v>1099</v>
      </c>
      <c r="H1345" s="235">
        <v>123</v>
      </c>
      <c r="I1345" s="235">
        <v>1222</v>
      </c>
      <c r="J1345" s="235">
        <v>7638</v>
      </c>
      <c r="K1345" s="235">
        <v>8860</v>
      </c>
      <c r="L1345" s="235">
        <v>-278</v>
      </c>
      <c r="M1345" s="235">
        <v>108</v>
      </c>
      <c r="N1345" s="235">
        <v>7375</v>
      </c>
      <c r="O1345" s="235">
        <v>1344</v>
      </c>
      <c r="P1345" s="235">
        <v>17579</v>
      </c>
      <c r="Q1345" s="235">
        <v>320027</v>
      </c>
      <c r="R1345" s="12" t="s">
        <v>4377</v>
      </c>
      <c r="S1345" s="12" t="s">
        <v>25</v>
      </c>
      <c r="T1345" s="12" t="s">
        <v>25</v>
      </c>
    </row>
    <row r="1346" spans="1:20" x14ac:dyDescent="0.3">
      <c r="A1346" s="13">
        <v>43949.708333333336</v>
      </c>
      <c r="B1346" s="12" t="s">
        <v>22</v>
      </c>
      <c r="C1346" s="235">
        <v>13</v>
      </c>
      <c r="D1346" s="12" t="s">
        <v>42</v>
      </c>
      <c r="E1346" s="235">
        <v>4235122196</v>
      </c>
      <c r="F1346" s="235">
        <v>1339843823</v>
      </c>
      <c r="G1346" s="235">
        <v>312</v>
      </c>
      <c r="H1346" s="235">
        <v>21</v>
      </c>
      <c r="I1346" s="235">
        <v>333</v>
      </c>
      <c r="J1346" s="235">
        <v>1657</v>
      </c>
      <c r="K1346" s="235">
        <v>1990</v>
      </c>
      <c r="L1346" s="235">
        <v>-40</v>
      </c>
      <c r="M1346" s="235">
        <v>25</v>
      </c>
      <c r="N1346" s="235">
        <v>599</v>
      </c>
      <c r="O1346" s="235">
        <v>310</v>
      </c>
      <c r="P1346" s="235">
        <v>2899</v>
      </c>
      <c r="Q1346" s="235">
        <v>35356</v>
      </c>
      <c r="R1346" s="12" t="s">
        <v>4404</v>
      </c>
      <c r="S1346" s="12" t="s">
        <v>25</v>
      </c>
      <c r="T1346" s="12" t="s">
        <v>25</v>
      </c>
    </row>
    <row r="1347" spans="1:20" x14ac:dyDescent="0.3">
      <c r="A1347" s="13">
        <v>43949.708333333336</v>
      </c>
      <c r="B1347" s="12" t="s">
        <v>22</v>
      </c>
      <c r="C1347" s="235">
        <v>17</v>
      </c>
      <c r="D1347" s="12" t="s">
        <v>43</v>
      </c>
      <c r="E1347" s="235">
        <v>4063947052</v>
      </c>
      <c r="F1347" s="235">
        <v>1580514834</v>
      </c>
      <c r="G1347" s="235">
        <v>56</v>
      </c>
      <c r="H1347" s="235">
        <v>7</v>
      </c>
      <c r="I1347" s="235">
        <v>63</v>
      </c>
      <c r="J1347" s="235">
        <v>142</v>
      </c>
      <c r="K1347" s="235">
        <v>205</v>
      </c>
      <c r="L1347" s="235">
        <v>-12</v>
      </c>
      <c r="M1347" s="235">
        <v>0</v>
      </c>
      <c r="N1347" s="235">
        <v>136</v>
      </c>
      <c r="O1347" s="235">
        <v>25</v>
      </c>
      <c r="P1347" s="235">
        <v>366</v>
      </c>
      <c r="Q1347" s="235">
        <v>10889</v>
      </c>
      <c r="R1347" s="12" t="s">
        <v>4405</v>
      </c>
      <c r="S1347" s="12" t="s">
        <v>25</v>
      </c>
      <c r="T1347" s="12" t="s">
        <v>25</v>
      </c>
    </row>
    <row r="1348" spans="1:20" x14ac:dyDescent="0.3">
      <c r="A1348" s="13">
        <v>43949.708333333336</v>
      </c>
      <c r="B1348" s="12" t="s">
        <v>22</v>
      </c>
      <c r="C1348" s="235">
        <v>4</v>
      </c>
      <c r="D1348" s="12" t="s">
        <v>44</v>
      </c>
      <c r="E1348" s="235">
        <v>4649933453</v>
      </c>
      <c r="F1348" s="235">
        <v>1135662422</v>
      </c>
      <c r="G1348" s="235">
        <v>136</v>
      </c>
      <c r="H1348" s="235">
        <v>15</v>
      </c>
      <c r="I1348" s="235">
        <v>151</v>
      </c>
      <c r="J1348" s="235">
        <v>759</v>
      </c>
      <c r="K1348" s="235">
        <v>910</v>
      </c>
      <c r="L1348" s="235">
        <v>-30</v>
      </c>
      <c r="M1348" s="235">
        <v>2</v>
      </c>
      <c r="N1348" s="235">
        <v>1316</v>
      </c>
      <c r="O1348" s="235">
        <v>272</v>
      </c>
      <c r="P1348" s="235">
        <v>2498</v>
      </c>
      <c r="Q1348" s="235">
        <v>39130</v>
      </c>
      <c r="R1348" s="12" t="s">
        <v>4406</v>
      </c>
      <c r="S1348" s="12" t="s">
        <v>25</v>
      </c>
      <c r="T1348" s="12" t="s">
        <v>25</v>
      </c>
    </row>
    <row r="1349" spans="1:20" x14ac:dyDescent="0.3">
      <c r="A1349" s="13">
        <v>43949.708333333336</v>
      </c>
      <c r="B1349" s="12" t="s">
        <v>22</v>
      </c>
      <c r="C1349" s="235">
        <v>18</v>
      </c>
      <c r="D1349" s="12" t="s">
        <v>45</v>
      </c>
      <c r="E1349" s="235">
        <v>3890597598</v>
      </c>
      <c r="F1349" s="235">
        <v>1659440194</v>
      </c>
      <c r="G1349" s="235">
        <v>113</v>
      </c>
      <c r="H1349" s="235">
        <v>6</v>
      </c>
      <c r="I1349" s="235">
        <v>119</v>
      </c>
      <c r="J1349" s="235">
        <v>645</v>
      </c>
      <c r="K1349" s="235">
        <v>764</v>
      </c>
      <c r="L1349" s="235">
        <v>-18</v>
      </c>
      <c r="M1349" s="235">
        <v>1</v>
      </c>
      <c r="N1349" s="235">
        <v>248</v>
      </c>
      <c r="O1349" s="235">
        <v>85</v>
      </c>
      <c r="P1349" s="235">
        <v>1097</v>
      </c>
      <c r="Q1349" s="235">
        <v>33755</v>
      </c>
      <c r="R1349" s="12" t="s">
        <v>4407</v>
      </c>
      <c r="S1349" s="12" t="s">
        <v>25</v>
      </c>
      <c r="T1349" s="12" t="s">
        <v>25</v>
      </c>
    </row>
    <row r="1350" spans="1:20" x14ac:dyDescent="0.3">
      <c r="A1350" s="13">
        <v>43949.708333333336</v>
      </c>
      <c r="B1350" s="12" t="s">
        <v>22</v>
      </c>
      <c r="C1350" s="235">
        <v>15</v>
      </c>
      <c r="D1350" s="12" t="s">
        <v>46</v>
      </c>
      <c r="E1350" s="235">
        <v>4083956555</v>
      </c>
      <c r="F1350" s="235">
        <v>1425084984</v>
      </c>
      <c r="G1350" s="235">
        <v>544</v>
      </c>
      <c r="H1350" s="235">
        <v>33</v>
      </c>
      <c r="I1350" s="235">
        <v>577</v>
      </c>
      <c r="J1350" s="235">
        <v>2225</v>
      </c>
      <c r="K1350" s="235">
        <v>2802</v>
      </c>
      <c r="L1350" s="235">
        <v>-75</v>
      </c>
      <c r="M1350" s="235">
        <v>31</v>
      </c>
      <c r="N1350" s="235">
        <v>1220</v>
      </c>
      <c r="O1350" s="235">
        <v>358</v>
      </c>
      <c r="P1350" s="235">
        <v>4380</v>
      </c>
      <c r="Q1350" s="235">
        <v>70566</v>
      </c>
      <c r="R1350" s="12" t="s">
        <v>4408</v>
      </c>
      <c r="S1350" s="12" t="s">
        <v>25</v>
      </c>
      <c r="T1350" s="12" t="s">
        <v>25</v>
      </c>
    </row>
    <row r="1351" spans="1:20" x14ac:dyDescent="0.3">
      <c r="A1351" s="13">
        <v>43949.708333333336</v>
      </c>
      <c r="B1351" s="12" t="s">
        <v>22</v>
      </c>
      <c r="C1351" s="235">
        <v>8</v>
      </c>
      <c r="D1351" s="12" t="s">
        <v>95</v>
      </c>
      <c r="E1351" s="235">
        <v>4449436681</v>
      </c>
      <c r="F1351" s="235">
        <v>113417208</v>
      </c>
      <c r="G1351" s="235">
        <v>2574</v>
      </c>
      <c r="H1351" s="235">
        <v>228</v>
      </c>
      <c r="I1351" s="235">
        <v>2802</v>
      </c>
      <c r="J1351" s="235">
        <v>9201</v>
      </c>
      <c r="K1351" s="235">
        <v>12003</v>
      </c>
      <c r="L1351" s="235">
        <v>-222</v>
      </c>
      <c r="M1351" s="235">
        <v>252</v>
      </c>
      <c r="N1351" s="235">
        <v>9439</v>
      </c>
      <c r="O1351" s="235">
        <v>3472</v>
      </c>
      <c r="P1351" s="235">
        <v>24914</v>
      </c>
      <c r="Q1351" s="235">
        <v>172589</v>
      </c>
      <c r="R1351" s="12" t="s">
        <v>4409</v>
      </c>
      <c r="S1351" s="12" t="s">
        <v>25</v>
      </c>
      <c r="T1351" s="12" t="s">
        <v>25</v>
      </c>
    </row>
    <row r="1352" spans="1:20" x14ac:dyDescent="0.3">
      <c r="A1352" s="13">
        <v>43949.708333333336</v>
      </c>
      <c r="B1352" s="12" t="s">
        <v>22</v>
      </c>
      <c r="C1352" s="235">
        <v>6</v>
      </c>
      <c r="D1352" s="12" t="s">
        <v>47</v>
      </c>
      <c r="E1352" s="235">
        <v>456494354</v>
      </c>
      <c r="F1352" s="235">
        <v>1376813649</v>
      </c>
      <c r="G1352" s="235">
        <v>136</v>
      </c>
      <c r="H1352" s="235">
        <v>13</v>
      </c>
      <c r="I1352" s="235">
        <v>149</v>
      </c>
      <c r="J1352" s="235">
        <v>1090</v>
      </c>
      <c r="K1352" s="235">
        <v>1239</v>
      </c>
      <c r="L1352" s="235">
        <v>-19</v>
      </c>
      <c r="M1352" s="235">
        <v>18</v>
      </c>
      <c r="N1352" s="235">
        <v>1478</v>
      </c>
      <c r="O1352" s="235">
        <v>278</v>
      </c>
      <c r="P1352" s="235">
        <v>2995</v>
      </c>
      <c r="Q1352" s="235">
        <v>64151</v>
      </c>
      <c r="R1352" s="12" t="s">
        <v>4410</v>
      </c>
      <c r="S1352" s="12" t="s">
        <v>25</v>
      </c>
      <c r="T1352" s="12" t="s">
        <v>25</v>
      </c>
    </row>
    <row r="1353" spans="1:20" x14ac:dyDescent="0.3">
      <c r="A1353" s="13">
        <v>43949.708333333336</v>
      </c>
      <c r="B1353" s="12" t="s">
        <v>22</v>
      </c>
      <c r="C1353" s="235">
        <v>12</v>
      </c>
      <c r="D1353" s="12" t="s">
        <v>48</v>
      </c>
      <c r="E1353" s="235">
        <v>4189277044</v>
      </c>
      <c r="F1353" s="235">
        <v>1248366722</v>
      </c>
      <c r="G1353" s="235">
        <v>1468</v>
      </c>
      <c r="H1353" s="235">
        <v>132</v>
      </c>
      <c r="I1353" s="235">
        <v>1600</v>
      </c>
      <c r="J1353" s="235">
        <v>2962</v>
      </c>
      <c r="K1353" s="235">
        <v>4562</v>
      </c>
      <c r="L1353" s="235">
        <v>0</v>
      </c>
      <c r="M1353" s="235">
        <v>75</v>
      </c>
      <c r="N1353" s="235">
        <v>1491</v>
      </c>
      <c r="O1353" s="235">
        <v>414</v>
      </c>
      <c r="P1353" s="235">
        <v>6467</v>
      </c>
      <c r="Q1353" s="235">
        <v>128664</v>
      </c>
      <c r="R1353" s="12" t="s">
        <v>4411</v>
      </c>
      <c r="S1353" s="12" t="s">
        <v>25</v>
      </c>
      <c r="T1353" s="12" t="s">
        <v>25</v>
      </c>
    </row>
    <row r="1354" spans="1:20" x14ac:dyDescent="0.3">
      <c r="A1354" s="13">
        <v>43949.708333333336</v>
      </c>
      <c r="B1354" s="12" t="s">
        <v>22</v>
      </c>
      <c r="C1354" s="235">
        <v>7</v>
      </c>
      <c r="D1354" s="12" t="s">
        <v>49</v>
      </c>
      <c r="E1354" s="235">
        <v>4441149315</v>
      </c>
      <c r="F1354" s="235">
        <v>89326992</v>
      </c>
      <c r="G1354" s="235">
        <v>718</v>
      </c>
      <c r="H1354" s="235">
        <v>81</v>
      </c>
      <c r="I1354" s="235">
        <v>799</v>
      </c>
      <c r="J1354" s="235">
        <v>2772</v>
      </c>
      <c r="K1354" s="235">
        <v>3571</v>
      </c>
      <c r="L1354" s="235">
        <v>-9</v>
      </c>
      <c r="M1354" s="235">
        <v>130</v>
      </c>
      <c r="N1354" s="235">
        <v>3060</v>
      </c>
      <c r="O1354" s="235">
        <v>1141</v>
      </c>
      <c r="P1354" s="235">
        <v>7772</v>
      </c>
      <c r="Q1354" s="235">
        <v>45719</v>
      </c>
      <c r="R1354" s="12" t="s">
        <v>4412</v>
      </c>
      <c r="S1354" s="12" t="s">
        <v>25</v>
      </c>
      <c r="T1354" s="12" t="s">
        <v>25</v>
      </c>
    </row>
    <row r="1355" spans="1:20" x14ac:dyDescent="0.3">
      <c r="A1355" s="13">
        <v>43949.708333333336</v>
      </c>
      <c r="B1355" s="12" t="s">
        <v>22</v>
      </c>
      <c r="C1355" s="235">
        <v>3</v>
      </c>
      <c r="D1355" s="12" t="s">
        <v>50</v>
      </c>
      <c r="E1355" s="235">
        <v>4546679409</v>
      </c>
      <c r="F1355" s="235">
        <v>9190347404</v>
      </c>
      <c r="G1355" s="235">
        <v>7280</v>
      </c>
      <c r="H1355" s="235">
        <v>655</v>
      </c>
      <c r="I1355" s="235">
        <v>7935</v>
      </c>
      <c r="J1355" s="235">
        <v>27809</v>
      </c>
      <c r="K1355" s="235">
        <v>35744</v>
      </c>
      <c r="L1355" s="235">
        <v>303</v>
      </c>
      <c r="M1355" s="235">
        <v>869</v>
      </c>
      <c r="N1355" s="235">
        <v>25029</v>
      </c>
      <c r="O1355" s="235">
        <v>13575</v>
      </c>
      <c r="P1355" s="235">
        <v>74348</v>
      </c>
      <c r="Q1355" s="235">
        <v>351423</v>
      </c>
      <c r="R1355" s="12" t="s">
        <v>4413</v>
      </c>
      <c r="S1355" s="12" t="s">
        <v>25</v>
      </c>
      <c r="T1355" s="12" t="s">
        <v>25</v>
      </c>
    </row>
    <row r="1356" spans="1:20" x14ac:dyDescent="0.3">
      <c r="A1356" s="13">
        <v>43949.708333333336</v>
      </c>
      <c r="B1356" s="12" t="s">
        <v>22</v>
      </c>
      <c r="C1356" s="235">
        <v>11</v>
      </c>
      <c r="D1356" s="12" t="s">
        <v>51</v>
      </c>
      <c r="E1356" s="235">
        <v>4361675973</v>
      </c>
      <c r="F1356" s="235">
        <v>135188753</v>
      </c>
      <c r="G1356" s="235">
        <v>666</v>
      </c>
      <c r="H1356" s="235">
        <v>58</v>
      </c>
      <c r="I1356" s="235">
        <v>724</v>
      </c>
      <c r="J1356" s="235">
        <v>2610</v>
      </c>
      <c r="K1356" s="235">
        <v>3334</v>
      </c>
      <c r="L1356" s="235">
        <v>24</v>
      </c>
      <c r="M1356" s="235">
        <v>48</v>
      </c>
      <c r="N1356" s="235">
        <v>1948</v>
      </c>
      <c r="O1356" s="235">
        <v>893</v>
      </c>
      <c r="P1356" s="235">
        <v>6175</v>
      </c>
      <c r="Q1356" s="235">
        <v>54313</v>
      </c>
      <c r="R1356" s="12" t="s">
        <v>4414</v>
      </c>
      <c r="S1356" s="12" t="s">
        <v>25</v>
      </c>
      <c r="T1356" s="12" t="s">
        <v>25</v>
      </c>
    </row>
    <row r="1357" spans="1:20" x14ac:dyDescent="0.3">
      <c r="A1357" s="13">
        <v>43949.708333333336</v>
      </c>
      <c r="B1357" s="12" t="s">
        <v>22</v>
      </c>
      <c r="C1357" s="235">
        <v>14</v>
      </c>
      <c r="D1357" s="12" t="s">
        <v>52</v>
      </c>
      <c r="E1357" s="235">
        <v>4155774754</v>
      </c>
      <c r="F1357" s="235">
        <v>1465916051</v>
      </c>
      <c r="G1357" s="235">
        <v>18</v>
      </c>
      <c r="H1357" s="235">
        <v>1</v>
      </c>
      <c r="I1357" s="235">
        <v>19</v>
      </c>
      <c r="J1357" s="235">
        <v>176</v>
      </c>
      <c r="K1357" s="235">
        <v>195</v>
      </c>
      <c r="L1357" s="235">
        <v>-5</v>
      </c>
      <c r="M1357" s="235">
        <v>1</v>
      </c>
      <c r="N1357" s="235">
        <v>81</v>
      </c>
      <c r="O1357" s="235">
        <v>21</v>
      </c>
      <c r="P1357" s="235">
        <v>297</v>
      </c>
      <c r="Q1357" s="235">
        <v>5776</v>
      </c>
      <c r="R1357" s="12" t="s">
        <v>4415</v>
      </c>
      <c r="S1357" s="12" t="s">
        <v>25</v>
      </c>
      <c r="T1357" s="12" t="s">
        <v>25</v>
      </c>
    </row>
    <row r="1358" spans="1:20" x14ac:dyDescent="0.3">
      <c r="A1358" s="13">
        <v>43949.708333333336</v>
      </c>
      <c r="B1358" s="12" t="s">
        <v>22</v>
      </c>
      <c r="C1358" s="235">
        <v>1</v>
      </c>
      <c r="D1358" s="12" t="s">
        <v>53</v>
      </c>
      <c r="E1358" s="235">
        <v>450732745</v>
      </c>
      <c r="F1358" s="235">
        <v>7680687483</v>
      </c>
      <c r="G1358" s="235">
        <v>2701</v>
      </c>
      <c r="H1358" s="235">
        <v>202</v>
      </c>
      <c r="I1358" s="235">
        <v>2903</v>
      </c>
      <c r="J1358" s="235">
        <v>12603</v>
      </c>
      <c r="K1358" s="235">
        <v>15506</v>
      </c>
      <c r="L1358" s="235">
        <v>-2</v>
      </c>
      <c r="M1358" s="235">
        <v>352</v>
      </c>
      <c r="N1358" s="235">
        <v>7008</v>
      </c>
      <c r="O1358" s="235">
        <v>2936</v>
      </c>
      <c r="P1358" s="235">
        <v>25450</v>
      </c>
      <c r="Q1358" s="235">
        <v>144531</v>
      </c>
      <c r="R1358" s="12" t="s">
        <v>4416</v>
      </c>
      <c r="S1358" s="12" t="s">
        <v>25</v>
      </c>
      <c r="T1358" s="12" t="s">
        <v>25</v>
      </c>
    </row>
    <row r="1359" spans="1:20" x14ac:dyDescent="0.3">
      <c r="A1359" s="13">
        <v>43949.708333333336</v>
      </c>
      <c r="B1359" s="12" t="s">
        <v>22</v>
      </c>
      <c r="C1359" s="235">
        <v>16</v>
      </c>
      <c r="D1359" s="12" t="s">
        <v>54</v>
      </c>
      <c r="E1359" s="235">
        <v>4112559576</v>
      </c>
      <c r="F1359" s="235">
        <v>1686736689</v>
      </c>
      <c r="G1359" s="235">
        <v>448</v>
      </c>
      <c r="H1359" s="235">
        <v>51</v>
      </c>
      <c r="I1359" s="235">
        <v>499</v>
      </c>
      <c r="J1359" s="235">
        <v>2420</v>
      </c>
      <c r="K1359" s="235">
        <v>2919</v>
      </c>
      <c r="L1359" s="235">
        <v>7</v>
      </c>
      <c r="M1359" s="235">
        <v>22</v>
      </c>
      <c r="N1359" s="235">
        <v>654</v>
      </c>
      <c r="O1359" s="235">
        <v>407</v>
      </c>
      <c r="P1359" s="235">
        <v>3980</v>
      </c>
      <c r="Q1359" s="235">
        <v>58496</v>
      </c>
      <c r="R1359" s="12" t="s">
        <v>4417</v>
      </c>
      <c r="S1359" s="12" t="s">
        <v>25</v>
      </c>
      <c r="T1359" s="12" t="s">
        <v>25</v>
      </c>
    </row>
    <row r="1360" spans="1:20" x14ac:dyDescent="0.3">
      <c r="A1360" s="13">
        <v>43949.708333333336</v>
      </c>
      <c r="B1360" s="12" t="s">
        <v>22</v>
      </c>
      <c r="C1360" s="235">
        <v>20</v>
      </c>
      <c r="D1360" s="12" t="s">
        <v>55</v>
      </c>
      <c r="E1360" s="235">
        <v>3921531192</v>
      </c>
      <c r="F1360" s="235">
        <v>9110616306</v>
      </c>
      <c r="G1360" s="235">
        <v>96</v>
      </c>
      <c r="H1360" s="235">
        <v>18</v>
      </c>
      <c r="I1360" s="235">
        <v>114</v>
      </c>
      <c r="J1360" s="235">
        <v>658</v>
      </c>
      <c r="K1360" s="235">
        <v>772</v>
      </c>
      <c r="L1360" s="235">
        <v>-4</v>
      </c>
      <c r="M1360" s="235">
        <v>2</v>
      </c>
      <c r="N1360" s="235">
        <v>404</v>
      </c>
      <c r="O1360" s="235">
        <v>109</v>
      </c>
      <c r="P1360" s="235">
        <v>1285</v>
      </c>
      <c r="Q1360" s="235">
        <v>22116</v>
      </c>
      <c r="R1360" s="12" t="s">
        <v>4418</v>
      </c>
      <c r="S1360" s="12" t="s">
        <v>25</v>
      </c>
      <c r="T1360" s="12" t="s">
        <v>25</v>
      </c>
    </row>
    <row r="1361" spans="1:20" x14ac:dyDescent="0.3">
      <c r="A1361" s="13">
        <v>43949.708333333336</v>
      </c>
      <c r="B1361" s="12" t="s">
        <v>22</v>
      </c>
      <c r="C1361" s="235">
        <v>19</v>
      </c>
      <c r="D1361" s="12" t="s">
        <v>56</v>
      </c>
      <c r="E1361" s="235">
        <v>3811569725</v>
      </c>
      <c r="F1361" s="235">
        <v>133623567</v>
      </c>
      <c r="G1361" s="235">
        <v>428</v>
      </c>
      <c r="H1361" s="235">
        <v>34</v>
      </c>
      <c r="I1361" s="235">
        <v>462</v>
      </c>
      <c r="J1361" s="235">
        <v>1681</v>
      </c>
      <c r="K1361" s="235">
        <v>2143</v>
      </c>
      <c r="L1361" s="235">
        <v>20</v>
      </c>
      <c r="M1361" s="235">
        <v>35</v>
      </c>
      <c r="N1361" s="235">
        <v>745</v>
      </c>
      <c r="O1361" s="235">
        <v>232</v>
      </c>
      <c r="P1361" s="235">
        <v>3120</v>
      </c>
      <c r="Q1361" s="235">
        <v>73008</v>
      </c>
      <c r="R1361" s="12" t="s">
        <v>4419</v>
      </c>
      <c r="S1361" s="12" t="s">
        <v>25</v>
      </c>
      <c r="T1361" s="12" t="s">
        <v>25</v>
      </c>
    </row>
    <row r="1362" spans="1:20" x14ac:dyDescent="0.3">
      <c r="A1362" s="13">
        <v>43949.708333333336</v>
      </c>
      <c r="B1362" s="12" t="s">
        <v>22</v>
      </c>
      <c r="C1362" s="235">
        <v>9</v>
      </c>
      <c r="D1362" s="12" t="s">
        <v>57</v>
      </c>
      <c r="E1362" s="235">
        <v>4376923077</v>
      </c>
      <c r="F1362" s="235">
        <v>1125588885</v>
      </c>
      <c r="G1362" s="235">
        <v>619</v>
      </c>
      <c r="H1362" s="235">
        <v>144</v>
      </c>
      <c r="I1362" s="235">
        <v>763</v>
      </c>
      <c r="J1362" s="235">
        <v>5133</v>
      </c>
      <c r="K1362" s="235">
        <v>5896</v>
      </c>
      <c r="L1362" s="235">
        <v>-87</v>
      </c>
      <c r="M1362" s="235">
        <v>52</v>
      </c>
      <c r="N1362" s="235">
        <v>2524</v>
      </c>
      <c r="O1362" s="235">
        <v>811</v>
      </c>
      <c r="P1362" s="235">
        <v>9231</v>
      </c>
      <c r="Q1362" s="235">
        <v>133617</v>
      </c>
      <c r="R1362" s="12" t="s">
        <v>4420</v>
      </c>
      <c r="S1362" s="12" t="s">
        <v>25</v>
      </c>
      <c r="T1362" s="12" t="s">
        <v>25</v>
      </c>
    </row>
    <row r="1363" spans="1:20" x14ac:dyDescent="0.3">
      <c r="A1363" s="13">
        <v>43949.708333333336</v>
      </c>
      <c r="B1363" s="12" t="s">
        <v>22</v>
      </c>
      <c r="C1363" s="235">
        <v>4</v>
      </c>
      <c r="D1363" s="12" t="s">
        <v>58</v>
      </c>
      <c r="E1363" s="235">
        <v>4606893511</v>
      </c>
      <c r="F1363" s="235">
        <v>1112123097</v>
      </c>
      <c r="G1363" s="235">
        <v>182</v>
      </c>
      <c r="H1363" s="235">
        <v>22</v>
      </c>
      <c r="I1363" s="235">
        <v>204</v>
      </c>
      <c r="J1363" s="235">
        <v>1361</v>
      </c>
      <c r="K1363" s="235">
        <v>1565</v>
      </c>
      <c r="L1363" s="235">
        <v>-142</v>
      </c>
      <c r="M1363" s="235">
        <v>30</v>
      </c>
      <c r="N1363" s="235">
        <v>2048</v>
      </c>
      <c r="O1363" s="235">
        <v>412</v>
      </c>
      <c r="P1363" s="235">
        <v>4025</v>
      </c>
      <c r="Q1363" s="235">
        <v>33839</v>
      </c>
      <c r="R1363" s="12" t="s">
        <v>4421</v>
      </c>
      <c r="S1363" s="12" t="s">
        <v>25</v>
      </c>
      <c r="T1363" s="12" t="s">
        <v>25</v>
      </c>
    </row>
    <row r="1364" spans="1:20" x14ac:dyDescent="0.3">
      <c r="A1364" s="13">
        <v>43949.708333333336</v>
      </c>
      <c r="B1364" s="12" t="s">
        <v>22</v>
      </c>
      <c r="C1364" s="235">
        <v>10</v>
      </c>
      <c r="D1364" s="12" t="s">
        <v>59</v>
      </c>
      <c r="E1364" s="235">
        <v>4310675841</v>
      </c>
      <c r="F1364" s="235">
        <v>1238824698</v>
      </c>
      <c r="G1364" s="235">
        <v>80</v>
      </c>
      <c r="H1364" s="235">
        <v>17</v>
      </c>
      <c r="I1364" s="235">
        <v>97</v>
      </c>
      <c r="J1364" s="235">
        <v>178</v>
      </c>
      <c r="K1364" s="235">
        <v>275</v>
      </c>
      <c r="L1364" s="235">
        <v>-12</v>
      </c>
      <c r="M1364" s="235">
        <v>9</v>
      </c>
      <c r="N1364" s="235">
        <v>1039</v>
      </c>
      <c r="O1364" s="235">
        <v>65</v>
      </c>
      <c r="P1364" s="235">
        <v>1379</v>
      </c>
      <c r="Q1364" s="235">
        <v>33881</v>
      </c>
      <c r="R1364" s="12" t="s">
        <v>4422</v>
      </c>
      <c r="S1364" s="12" t="s">
        <v>25</v>
      </c>
      <c r="T1364" s="12" t="s">
        <v>25</v>
      </c>
    </row>
    <row r="1365" spans="1:20" x14ac:dyDescent="0.3">
      <c r="A1365" s="13">
        <v>43949.708333333336</v>
      </c>
      <c r="B1365" s="12" t="s">
        <v>22</v>
      </c>
      <c r="C1365" s="235">
        <v>2</v>
      </c>
      <c r="D1365" s="12" t="s">
        <v>60</v>
      </c>
      <c r="E1365" s="235">
        <v>4573750286</v>
      </c>
      <c r="F1365" s="235">
        <v>7320149366</v>
      </c>
      <c r="G1365" s="235">
        <v>81</v>
      </c>
      <c r="H1365" s="235">
        <v>5</v>
      </c>
      <c r="I1365" s="235">
        <v>86</v>
      </c>
      <c r="J1365" s="235">
        <v>123</v>
      </c>
      <c r="K1365" s="235">
        <v>209</v>
      </c>
      <c r="L1365" s="235">
        <v>-26</v>
      </c>
      <c r="M1365" s="235">
        <v>8</v>
      </c>
      <c r="N1365" s="235">
        <v>775</v>
      </c>
      <c r="O1365" s="235">
        <v>135</v>
      </c>
      <c r="P1365" s="235">
        <v>1119</v>
      </c>
      <c r="Q1365" s="235">
        <v>6897</v>
      </c>
      <c r="R1365" s="12" t="s">
        <v>4423</v>
      </c>
      <c r="S1365" s="12" t="s">
        <v>25</v>
      </c>
      <c r="T1365" s="12" t="s">
        <v>25</v>
      </c>
    </row>
    <row r="1366" spans="1:20" x14ac:dyDescent="0.3">
      <c r="A1366" s="13">
        <v>43949.708333333336</v>
      </c>
      <c r="B1366" s="12" t="s">
        <v>22</v>
      </c>
      <c r="C1366" s="265">
        <v>5</v>
      </c>
      <c r="D1366" s="12" t="s">
        <v>61</v>
      </c>
      <c r="E1366" s="265">
        <v>4543490485</v>
      </c>
      <c r="F1366" s="265">
        <v>1233845213</v>
      </c>
      <c r="G1366" s="265">
        <v>1067</v>
      </c>
      <c r="H1366" s="265">
        <v>120</v>
      </c>
      <c r="I1366" s="265">
        <v>1187</v>
      </c>
      <c r="J1366" s="265">
        <v>7414</v>
      </c>
      <c r="K1366" s="265">
        <v>8601</v>
      </c>
      <c r="L1366" s="265">
        <v>-259</v>
      </c>
      <c r="M1366" s="265">
        <v>129</v>
      </c>
      <c r="N1366" s="265">
        <v>7699</v>
      </c>
      <c r="O1366" s="265">
        <v>1408</v>
      </c>
      <c r="P1366" s="265">
        <v>17708</v>
      </c>
      <c r="Q1366" s="265">
        <v>328218</v>
      </c>
      <c r="R1366" s="12" t="s">
        <v>4424</v>
      </c>
      <c r="S1366" s="12" t="s">
        <v>25</v>
      </c>
      <c r="T1366" s="12" t="s">
        <v>25</v>
      </c>
    </row>
    <row r="1367" spans="1:20" x14ac:dyDescent="0.3">
      <c r="A1367" s="13">
        <v>43950.708333333336</v>
      </c>
      <c r="B1367" s="12" t="s">
        <v>22</v>
      </c>
      <c r="C1367" s="265">
        <v>13</v>
      </c>
      <c r="D1367" s="12" t="s">
        <v>42</v>
      </c>
      <c r="E1367" s="265">
        <v>4235122196</v>
      </c>
      <c r="F1367" s="265">
        <v>1339843823</v>
      </c>
      <c r="G1367" s="265">
        <v>309</v>
      </c>
      <c r="H1367" s="265">
        <v>19</v>
      </c>
      <c r="I1367" s="265">
        <v>328</v>
      </c>
      <c r="J1367" s="265">
        <v>1648</v>
      </c>
      <c r="K1367" s="265">
        <v>1976</v>
      </c>
      <c r="L1367" s="265">
        <v>-14</v>
      </c>
      <c r="M1367" s="265">
        <v>24</v>
      </c>
      <c r="N1367" s="265">
        <v>632</v>
      </c>
      <c r="O1367" s="265">
        <v>315</v>
      </c>
      <c r="P1367" s="265">
        <v>2923</v>
      </c>
      <c r="Q1367" s="265">
        <v>36614</v>
      </c>
      <c r="R1367" s="12" t="s">
        <v>4439</v>
      </c>
      <c r="S1367" s="12" t="s">
        <v>25</v>
      </c>
      <c r="T1367" s="12" t="s">
        <v>25</v>
      </c>
    </row>
    <row r="1368" spans="1:20" x14ac:dyDescent="0.3">
      <c r="A1368" s="13">
        <v>43950.708333333336</v>
      </c>
      <c r="B1368" s="12" t="s">
        <v>22</v>
      </c>
      <c r="C1368" s="265">
        <v>17</v>
      </c>
      <c r="D1368" s="12" t="s">
        <v>43</v>
      </c>
      <c r="E1368" s="265">
        <v>4063947052</v>
      </c>
      <c r="F1368" s="265">
        <v>1580514834</v>
      </c>
      <c r="G1368" s="265">
        <v>51</v>
      </c>
      <c r="H1368" s="265">
        <v>4</v>
      </c>
      <c r="I1368" s="265">
        <v>55</v>
      </c>
      <c r="J1368" s="265">
        <v>139</v>
      </c>
      <c r="K1368" s="265">
        <v>194</v>
      </c>
      <c r="L1368" s="265">
        <v>-11</v>
      </c>
      <c r="M1368" s="265">
        <v>0</v>
      </c>
      <c r="N1368" s="265">
        <v>147</v>
      </c>
      <c r="O1368" s="265">
        <v>25</v>
      </c>
      <c r="P1368" s="265">
        <v>366</v>
      </c>
      <c r="Q1368" s="265">
        <v>11331</v>
      </c>
      <c r="R1368" s="12" t="s">
        <v>4440</v>
      </c>
      <c r="S1368" s="12" t="s">
        <v>25</v>
      </c>
      <c r="T1368" s="12" t="s">
        <v>25</v>
      </c>
    </row>
    <row r="1369" spans="1:20" x14ac:dyDescent="0.3">
      <c r="A1369" s="13">
        <v>43950.708333333336</v>
      </c>
      <c r="B1369" s="12" t="s">
        <v>22</v>
      </c>
      <c r="C1369" s="265">
        <v>4</v>
      </c>
      <c r="D1369" s="12" t="s">
        <v>44</v>
      </c>
      <c r="E1369" s="265">
        <v>4649933453</v>
      </c>
      <c r="F1369" s="265">
        <v>1135662422</v>
      </c>
      <c r="G1369" s="265">
        <v>119</v>
      </c>
      <c r="H1369" s="265">
        <v>14</v>
      </c>
      <c r="I1369" s="265">
        <v>133</v>
      </c>
      <c r="J1369" s="265">
        <v>712</v>
      </c>
      <c r="K1369" s="265">
        <v>845</v>
      </c>
      <c r="L1369" s="265">
        <v>-65</v>
      </c>
      <c r="M1369" s="265">
        <v>9</v>
      </c>
      <c r="N1369" s="265">
        <v>1388</v>
      </c>
      <c r="O1369" s="265">
        <v>274</v>
      </c>
      <c r="P1369" s="265">
        <v>2507</v>
      </c>
      <c r="Q1369" s="265">
        <v>40218</v>
      </c>
      <c r="R1369" s="12" t="s">
        <v>4441</v>
      </c>
      <c r="S1369" s="12" t="s">
        <v>25</v>
      </c>
      <c r="T1369" s="12" t="s">
        <v>25</v>
      </c>
    </row>
    <row r="1370" spans="1:20" x14ac:dyDescent="0.3">
      <c r="A1370" s="13">
        <v>43950.708333333336</v>
      </c>
      <c r="B1370" s="12" t="s">
        <v>22</v>
      </c>
      <c r="C1370" s="265">
        <v>18</v>
      </c>
      <c r="D1370" s="12" t="s">
        <v>45</v>
      </c>
      <c r="E1370" s="265">
        <v>3890597598</v>
      </c>
      <c r="F1370" s="265">
        <v>1659440194</v>
      </c>
      <c r="G1370" s="265">
        <v>107</v>
      </c>
      <c r="H1370" s="265">
        <v>6</v>
      </c>
      <c r="I1370" s="265">
        <v>113</v>
      </c>
      <c r="J1370" s="265">
        <v>640</v>
      </c>
      <c r="K1370" s="265">
        <v>753</v>
      </c>
      <c r="L1370" s="265">
        <v>-11</v>
      </c>
      <c r="M1370" s="265">
        <v>5</v>
      </c>
      <c r="N1370" s="265">
        <v>263</v>
      </c>
      <c r="O1370" s="265">
        <v>86</v>
      </c>
      <c r="P1370" s="265">
        <v>1102</v>
      </c>
      <c r="Q1370" s="265">
        <v>34914</v>
      </c>
      <c r="R1370" s="12" t="s">
        <v>4442</v>
      </c>
      <c r="S1370" s="12" t="s">
        <v>25</v>
      </c>
      <c r="T1370" s="12" t="s">
        <v>25</v>
      </c>
    </row>
    <row r="1371" spans="1:20" x14ac:dyDescent="0.3">
      <c r="A1371" s="13">
        <v>43950.708333333336</v>
      </c>
      <c r="B1371" s="12" t="s">
        <v>22</v>
      </c>
      <c r="C1371" s="265">
        <v>15</v>
      </c>
      <c r="D1371" s="12" t="s">
        <v>46</v>
      </c>
      <c r="E1371" s="265">
        <v>4083956555</v>
      </c>
      <c r="F1371" s="265">
        <v>1425084984</v>
      </c>
      <c r="G1371" s="265">
        <v>518</v>
      </c>
      <c r="H1371" s="265">
        <v>31</v>
      </c>
      <c r="I1371" s="265">
        <v>549</v>
      </c>
      <c r="J1371" s="265">
        <v>2233</v>
      </c>
      <c r="K1371" s="265">
        <v>2782</v>
      </c>
      <c r="L1371" s="265">
        <v>-20</v>
      </c>
      <c r="M1371" s="265">
        <v>30</v>
      </c>
      <c r="N1371" s="265">
        <v>1269</v>
      </c>
      <c r="O1371" s="265">
        <v>359</v>
      </c>
      <c r="P1371" s="265">
        <v>4410</v>
      </c>
      <c r="Q1371" s="265">
        <v>73094</v>
      </c>
      <c r="R1371" s="12" t="s">
        <v>4443</v>
      </c>
      <c r="S1371" s="12" t="s">
        <v>25</v>
      </c>
      <c r="T1371" s="12" t="s">
        <v>25</v>
      </c>
    </row>
    <row r="1372" spans="1:20" x14ac:dyDescent="0.3">
      <c r="A1372" s="13">
        <v>43950.708333333336</v>
      </c>
      <c r="B1372" s="12" t="s">
        <v>22</v>
      </c>
      <c r="C1372" s="265">
        <v>8</v>
      </c>
      <c r="D1372" s="12" t="s">
        <v>95</v>
      </c>
      <c r="E1372" s="265">
        <v>4449436681</v>
      </c>
      <c r="F1372" s="265">
        <v>113417208</v>
      </c>
      <c r="G1372" s="265">
        <v>2527</v>
      </c>
      <c r="H1372" s="265">
        <v>226</v>
      </c>
      <c r="I1372" s="265">
        <v>2753</v>
      </c>
      <c r="J1372" s="265">
        <v>9109</v>
      </c>
      <c r="K1372" s="265">
        <v>11862</v>
      </c>
      <c r="L1372" s="265">
        <v>-141</v>
      </c>
      <c r="M1372" s="265">
        <v>263</v>
      </c>
      <c r="N1372" s="265">
        <v>9803</v>
      </c>
      <c r="O1372" s="265">
        <v>3512</v>
      </c>
      <c r="P1372" s="265">
        <v>25177</v>
      </c>
      <c r="Q1372" s="265">
        <v>176865</v>
      </c>
      <c r="R1372" s="12" t="s">
        <v>4444</v>
      </c>
      <c r="S1372" s="12" t="s">
        <v>25</v>
      </c>
      <c r="T1372" s="12" t="s">
        <v>25</v>
      </c>
    </row>
    <row r="1373" spans="1:20" x14ac:dyDescent="0.3">
      <c r="A1373" s="13">
        <v>43950.708333333336</v>
      </c>
      <c r="B1373" s="12" t="s">
        <v>22</v>
      </c>
      <c r="C1373" s="265">
        <v>6</v>
      </c>
      <c r="D1373" s="12" t="s">
        <v>47</v>
      </c>
      <c r="E1373" s="265">
        <v>456494354</v>
      </c>
      <c r="F1373" s="265">
        <v>1376813649</v>
      </c>
      <c r="G1373" s="265">
        <v>134</v>
      </c>
      <c r="H1373" s="265">
        <v>12</v>
      </c>
      <c r="I1373" s="265">
        <v>146</v>
      </c>
      <c r="J1373" s="265">
        <v>1081</v>
      </c>
      <c r="K1373" s="265">
        <v>1227</v>
      </c>
      <c r="L1373" s="265">
        <v>-12</v>
      </c>
      <c r="M1373" s="265">
        <v>15</v>
      </c>
      <c r="N1373" s="265">
        <v>1498</v>
      </c>
      <c r="O1373" s="265">
        <v>285</v>
      </c>
      <c r="P1373" s="265">
        <v>3010</v>
      </c>
      <c r="Q1373" s="265">
        <v>66769</v>
      </c>
      <c r="R1373" s="12" t="s">
        <v>4445</v>
      </c>
      <c r="S1373" s="12" t="s">
        <v>25</v>
      </c>
      <c r="T1373" s="12" t="s">
        <v>25</v>
      </c>
    </row>
    <row r="1374" spans="1:20" x14ac:dyDescent="0.3">
      <c r="A1374" s="13">
        <v>43950.708333333336</v>
      </c>
      <c r="B1374" s="12" t="s">
        <v>22</v>
      </c>
      <c r="C1374" s="265">
        <v>12</v>
      </c>
      <c r="D1374" s="12" t="s">
        <v>48</v>
      </c>
      <c r="E1374" s="265">
        <v>4189277044</v>
      </c>
      <c r="F1374" s="265">
        <v>1248366722</v>
      </c>
      <c r="G1374" s="265">
        <v>1445</v>
      </c>
      <c r="H1374" s="265">
        <v>130</v>
      </c>
      <c r="I1374" s="265">
        <v>1575</v>
      </c>
      <c r="J1374" s="265">
        <v>2960</v>
      </c>
      <c r="K1374" s="265">
        <v>4535</v>
      </c>
      <c r="L1374" s="265">
        <v>-27</v>
      </c>
      <c r="M1374" s="265">
        <v>78</v>
      </c>
      <c r="N1374" s="265">
        <v>1579</v>
      </c>
      <c r="O1374" s="265">
        <v>431</v>
      </c>
      <c r="P1374" s="265">
        <v>6545</v>
      </c>
      <c r="Q1374" s="265">
        <v>133503</v>
      </c>
      <c r="R1374" s="12" t="s">
        <v>4446</v>
      </c>
      <c r="S1374" s="12" t="s">
        <v>25</v>
      </c>
      <c r="T1374" s="12" t="s">
        <v>25</v>
      </c>
    </row>
    <row r="1375" spans="1:20" x14ac:dyDescent="0.3">
      <c r="A1375" s="13">
        <v>43950.708333333336</v>
      </c>
      <c r="B1375" s="12" t="s">
        <v>22</v>
      </c>
      <c r="C1375" s="265">
        <v>7</v>
      </c>
      <c r="D1375" s="12" t="s">
        <v>49</v>
      </c>
      <c r="E1375" s="265">
        <v>4441149315</v>
      </c>
      <c r="F1375" s="265">
        <v>89326992</v>
      </c>
      <c r="G1375" s="265">
        <v>697</v>
      </c>
      <c r="H1375" s="265">
        <v>70</v>
      </c>
      <c r="I1375" s="265">
        <v>767</v>
      </c>
      <c r="J1375" s="265">
        <v>2809</v>
      </c>
      <c r="K1375" s="265">
        <v>3576</v>
      </c>
      <c r="L1375" s="265">
        <v>5</v>
      </c>
      <c r="M1375" s="265">
        <v>117</v>
      </c>
      <c r="N1375" s="265">
        <v>3161</v>
      </c>
      <c r="O1375" s="265">
        <v>1152</v>
      </c>
      <c r="P1375" s="265">
        <v>7889</v>
      </c>
      <c r="Q1375" s="265">
        <v>47220</v>
      </c>
      <c r="R1375" s="12" t="s">
        <v>4447</v>
      </c>
      <c r="S1375" s="12" t="s">
        <v>25</v>
      </c>
      <c r="T1375" s="12" t="s">
        <v>25</v>
      </c>
    </row>
    <row r="1376" spans="1:20" x14ac:dyDescent="0.3">
      <c r="A1376" s="13">
        <v>43950.708333333336</v>
      </c>
      <c r="B1376" s="12" t="s">
        <v>22</v>
      </c>
      <c r="C1376" s="265">
        <v>3</v>
      </c>
      <c r="D1376" s="12" t="s">
        <v>50</v>
      </c>
      <c r="E1376" s="265">
        <v>4546679409</v>
      </c>
      <c r="F1376" s="265">
        <v>9190347404</v>
      </c>
      <c r="G1376" s="265">
        <v>7120</v>
      </c>
      <c r="H1376" s="265">
        <v>634</v>
      </c>
      <c r="I1376" s="265">
        <v>7754</v>
      </c>
      <c r="J1376" s="265">
        <v>28368</v>
      </c>
      <c r="K1376" s="265">
        <v>36122</v>
      </c>
      <c r="L1376" s="265">
        <v>378</v>
      </c>
      <c r="M1376" s="265">
        <v>786</v>
      </c>
      <c r="N1376" s="265">
        <v>25333</v>
      </c>
      <c r="O1376" s="265">
        <v>13679</v>
      </c>
      <c r="P1376" s="265">
        <v>75134</v>
      </c>
      <c r="Q1376" s="265">
        <v>365895</v>
      </c>
      <c r="R1376" s="12" t="s">
        <v>4448</v>
      </c>
      <c r="S1376" s="12" t="s">
        <v>25</v>
      </c>
      <c r="T1376" s="12" t="s">
        <v>25</v>
      </c>
    </row>
    <row r="1377" spans="1:20" x14ac:dyDescent="0.3">
      <c r="A1377" s="13">
        <v>43950.708333333336</v>
      </c>
      <c r="B1377" s="12" t="s">
        <v>22</v>
      </c>
      <c r="C1377" s="265">
        <v>11</v>
      </c>
      <c r="D1377" s="12" t="s">
        <v>51</v>
      </c>
      <c r="E1377" s="265">
        <v>4361675973</v>
      </c>
      <c r="F1377" s="265">
        <v>135188753</v>
      </c>
      <c r="G1377" s="265">
        <v>640</v>
      </c>
      <c r="H1377" s="265">
        <v>52</v>
      </c>
      <c r="I1377" s="265">
        <v>692</v>
      </c>
      <c r="J1377" s="265">
        <v>2655</v>
      </c>
      <c r="K1377" s="265">
        <v>3347</v>
      </c>
      <c r="L1377" s="265">
        <v>13</v>
      </c>
      <c r="M1377" s="265">
        <v>35</v>
      </c>
      <c r="N1377" s="265">
        <v>1964</v>
      </c>
      <c r="O1377" s="265">
        <v>899</v>
      </c>
      <c r="P1377" s="265">
        <v>6210</v>
      </c>
      <c r="Q1377" s="265">
        <v>55905</v>
      </c>
      <c r="R1377" s="12" t="s">
        <v>4449</v>
      </c>
      <c r="S1377" s="12" t="s">
        <v>25</v>
      </c>
      <c r="T1377" s="12" t="s">
        <v>25</v>
      </c>
    </row>
    <row r="1378" spans="1:20" x14ac:dyDescent="0.3">
      <c r="A1378" s="13">
        <v>43950.708333333336</v>
      </c>
      <c r="B1378" s="12" t="s">
        <v>22</v>
      </c>
      <c r="C1378" s="265">
        <v>14</v>
      </c>
      <c r="D1378" s="12" t="s">
        <v>52</v>
      </c>
      <c r="E1378" s="265">
        <v>4155774754</v>
      </c>
      <c r="F1378" s="265">
        <v>1465916051</v>
      </c>
      <c r="G1378" s="265">
        <v>17</v>
      </c>
      <c r="H1378" s="265">
        <v>1</v>
      </c>
      <c r="I1378" s="265">
        <v>18</v>
      </c>
      <c r="J1378" s="265">
        <v>175</v>
      </c>
      <c r="K1378" s="265">
        <v>193</v>
      </c>
      <c r="L1378" s="265">
        <v>-2</v>
      </c>
      <c r="M1378" s="265">
        <v>0</v>
      </c>
      <c r="N1378" s="265">
        <v>83</v>
      </c>
      <c r="O1378" s="265">
        <v>21</v>
      </c>
      <c r="P1378" s="265">
        <v>297</v>
      </c>
      <c r="Q1378" s="265">
        <v>5910</v>
      </c>
      <c r="R1378" s="12" t="s">
        <v>4450</v>
      </c>
      <c r="S1378" s="12" t="s">
        <v>25</v>
      </c>
      <c r="T1378" s="12" t="s">
        <v>25</v>
      </c>
    </row>
    <row r="1379" spans="1:20" x14ac:dyDescent="0.3">
      <c r="A1379" s="13">
        <v>43950.708333333336</v>
      </c>
      <c r="B1379" s="12" t="s">
        <v>22</v>
      </c>
      <c r="C1379" s="265">
        <v>1</v>
      </c>
      <c r="D1379" s="12" t="s">
        <v>53</v>
      </c>
      <c r="E1379" s="265">
        <v>450732745</v>
      </c>
      <c r="F1379" s="265">
        <v>7680687483</v>
      </c>
      <c r="G1379" s="265">
        <v>2637</v>
      </c>
      <c r="H1379" s="265">
        <v>202</v>
      </c>
      <c r="I1379" s="265">
        <v>2839</v>
      </c>
      <c r="J1379" s="265">
        <v>12682</v>
      </c>
      <c r="K1379" s="265">
        <v>15521</v>
      </c>
      <c r="L1379" s="265">
        <v>15</v>
      </c>
      <c r="M1379" s="265">
        <v>411</v>
      </c>
      <c r="N1379" s="265">
        <v>7337</v>
      </c>
      <c r="O1379" s="265">
        <v>3003</v>
      </c>
      <c r="P1379" s="265">
        <v>25861</v>
      </c>
      <c r="Q1379" s="265">
        <v>151266</v>
      </c>
      <c r="R1379" s="12" t="s">
        <v>4451</v>
      </c>
      <c r="S1379" s="12" t="s">
        <v>25</v>
      </c>
      <c r="T1379" s="12" t="s">
        <v>25</v>
      </c>
    </row>
    <row r="1380" spans="1:20" x14ac:dyDescent="0.3">
      <c r="A1380" s="13">
        <v>43950.708333333336</v>
      </c>
      <c r="B1380" s="12" t="s">
        <v>22</v>
      </c>
      <c r="C1380" s="265">
        <v>16</v>
      </c>
      <c r="D1380" s="12" t="s">
        <v>54</v>
      </c>
      <c r="E1380" s="265">
        <v>4112559576</v>
      </c>
      <c r="F1380" s="265">
        <v>1686736689</v>
      </c>
      <c r="G1380" s="265">
        <v>449</v>
      </c>
      <c r="H1380" s="265">
        <v>47</v>
      </c>
      <c r="I1380" s="265">
        <v>496</v>
      </c>
      <c r="J1380" s="265">
        <v>2431</v>
      </c>
      <c r="K1380" s="265">
        <v>2927</v>
      </c>
      <c r="L1380" s="265">
        <v>8</v>
      </c>
      <c r="M1380" s="265">
        <v>49</v>
      </c>
      <c r="N1380" s="265">
        <v>692</v>
      </c>
      <c r="O1380" s="265">
        <v>410</v>
      </c>
      <c r="P1380" s="265">
        <v>4029</v>
      </c>
      <c r="Q1380" s="265">
        <v>60334</v>
      </c>
      <c r="R1380" s="12" t="s">
        <v>4452</v>
      </c>
      <c r="S1380" s="12" t="s">
        <v>25</v>
      </c>
      <c r="T1380" s="12" t="s">
        <v>25</v>
      </c>
    </row>
    <row r="1381" spans="1:20" x14ac:dyDescent="0.3">
      <c r="A1381" s="13">
        <v>43950.708333333336</v>
      </c>
      <c r="B1381" s="12" t="s">
        <v>22</v>
      </c>
      <c r="C1381" s="265">
        <v>20</v>
      </c>
      <c r="D1381" s="12" t="s">
        <v>55</v>
      </c>
      <c r="E1381" s="265">
        <v>3921531192</v>
      </c>
      <c r="F1381" s="265">
        <v>9110616306</v>
      </c>
      <c r="G1381" s="265">
        <v>87</v>
      </c>
      <c r="H1381" s="265">
        <v>17</v>
      </c>
      <c r="I1381" s="265">
        <v>104</v>
      </c>
      <c r="J1381" s="265">
        <v>657</v>
      </c>
      <c r="K1381" s="265">
        <v>761</v>
      </c>
      <c r="L1381" s="265">
        <v>-11</v>
      </c>
      <c r="M1381" s="265">
        <v>5</v>
      </c>
      <c r="N1381" s="265">
        <v>413</v>
      </c>
      <c r="O1381" s="265">
        <v>116</v>
      </c>
      <c r="P1381" s="265">
        <v>1290</v>
      </c>
      <c r="Q1381" s="265">
        <v>23299</v>
      </c>
      <c r="R1381" s="12" t="s">
        <v>4453</v>
      </c>
      <c r="S1381" s="12" t="s">
        <v>25</v>
      </c>
      <c r="T1381" s="12" t="s">
        <v>25</v>
      </c>
    </row>
    <row r="1382" spans="1:20" x14ac:dyDescent="0.3">
      <c r="A1382" s="13">
        <v>43950.708333333336</v>
      </c>
      <c r="B1382" s="12" t="s">
        <v>22</v>
      </c>
      <c r="C1382" s="265">
        <v>19</v>
      </c>
      <c r="D1382" s="12" t="s">
        <v>56</v>
      </c>
      <c r="E1382" s="265">
        <v>3811569725</v>
      </c>
      <c r="F1382" s="265">
        <v>133623567</v>
      </c>
      <c r="G1382" s="265">
        <v>415</v>
      </c>
      <c r="H1382" s="265">
        <v>34</v>
      </c>
      <c r="I1382" s="265">
        <v>449</v>
      </c>
      <c r="J1382" s="265">
        <v>1696</v>
      </c>
      <c r="K1382" s="265">
        <v>2145</v>
      </c>
      <c r="L1382" s="265">
        <v>2</v>
      </c>
      <c r="M1382" s="265">
        <v>20</v>
      </c>
      <c r="N1382" s="265">
        <v>763</v>
      </c>
      <c r="O1382" s="265">
        <v>232</v>
      </c>
      <c r="P1382" s="265">
        <v>3140</v>
      </c>
      <c r="Q1382" s="265">
        <v>75360</v>
      </c>
      <c r="R1382" s="12" t="s">
        <v>4454</v>
      </c>
      <c r="S1382" s="12" t="s">
        <v>25</v>
      </c>
      <c r="T1382" s="12" t="s">
        <v>25</v>
      </c>
    </row>
    <row r="1383" spans="1:20" x14ac:dyDescent="0.3">
      <c r="A1383" s="13">
        <v>43950.708333333336</v>
      </c>
      <c r="B1383" s="12" t="s">
        <v>22</v>
      </c>
      <c r="C1383" s="265">
        <v>9</v>
      </c>
      <c r="D1383" s="12" t="s">
        <v>57</v>
      </c>
      <c r="E1383" s="265">
        <v>4376923077</v>
      </c>
      <c r="F1383" s="265">
        <v>1125588885</v>
      </c>
      <c r="G1383" s="265">
        <v>576</v>
      </c>
      <c r="H1383" s="265">
        <v>139</v>
      </c>
      <c r="I1383" s="265">
        <v>715</v>
      </c>
      <c r="J1383" s="265">
        <v>4948</v>
      </c>
      <c r="K1383" s="265">
        <v>5663</v>
      </c>
      <c r="L1383" s="265">
        <v>-233</v>
      </c>
      <c r="M1383" s="265">
        <v>61</v>
      </c>
      <c r="N1383" s="265">
        <v>2802</v>
      </c>
      <c r="O1383" s="265">
        <v>827</v>
      </c>
      <c r="P1383" s="265">
        <v>9292</v>
      </c>
      <c r="Q1383" s="265">
        <v>137482</v>
      </c>
      <c r="R1383" s="12" t="s">
        <v>4455</v>
      </c>
      <c r="S1383" s="12" t="s">
        <v>25</v>
      </c>
      <c r="T1383" s="12" t="s">
        <v>25</v>
      </c>
    </row>
    <row r="1384" spans="1:20" x14ac:dyDescent="0.3">
      <c r="A1384" s="13">
        <v>43950.708333333336</v>
      </c>
      <c r="B1384" s="12" t="s">
        <v>22</v>
      </c>
      <c r="C1384" s="265">
        <v>4</v>
      </c>
      <c r="D1384" s="12" t="s">
        <v>58</v>
      </c>
      <c r="E1384" s="265">
        <v>4606893511</v>
      </c>
      <c r="F1384" s="265">
        <v>1112123097</v>
      </c>
      <c r="G1384" s="265">
        <v>165</v>
      </c>
      <c r="H1384" s="265">
        <v>22</v>
      </c>
      <c r="I1384" s="265">
        <v>187</v>
      </c>
      <c r="J1384" s="265">
        <v>1276</v>
      </c>
      <c r="K1384" s="265">
        <v>1463</v>
      </c>
      <c r="L1384" s="265">
        <v>-102</v>
      </c>
      <c r="M1384" s="265">
        <v>44</v>
      </c>
      <c r="N1384" s="265">
        <v>2190</v>
      </c>
      <c r="O1384" s="265">
        <v>416</v>
      </c>
      <c r="P1384" s="265">
        <v>4069</v>
      </c>
      <c r="Q1384" s="265">
        <v>35008</v>
      </c>
      <c r="R1384" s="12" t="s">
        <v>4456</v>
      </c>
      <c r="S1384" s="12" t="s">
        <v>25</v>
      </c>
      <c r="T1384" s="12" t="s">
        <v>25</v>
      </c>
    </row>
    <row r="1385" spans="1:20" x14ac:dyDescent="0.3">
      <c r="A1385" s="13">
        <v>43950.708333333336</v>
      </c>
      <c r="B1385" s="12" t="s">
        <v>22</v>
      </c>
      <c r="C1385" s="265">
        <v>10</v>
      </c>
      <c r="D1385" s="12" t="s">
        <v>59</v>
      </c>
      <c r="E1385" s="265">
        <v>4310675841</v>
      </c>
      <c r="F1385" s="265">
        <v>1238824698</v>
      </c>
      <c r="G1385" s="265">
        <v>77</v>
      </c>
      <c r="H1385" s="265">
        <v>16</v>
      </c>
      <c r="I1385" s="265">
        <v>93</v>
      </c>
      <c r="J1385" s="265">
        <v>168</v>
      </c>
      <c r="K1385" s="265">
        <v>261</v>
      </c>
      <c r="L1385" s="265">
        <v>-14</v>
      </c>
      <c r="M1385" s="265">
        <v>12</v>
      </c>
      <c r="N1385" s="265">
        <v>1064</v>
      </c>
      <c r="O1385" s="265">
        <v>66</v>
      </c>
      <c r="P1385" s="265">
        <v>1391</v>
      </c>
      <c r="Q1385" s="265">
        <v>34937</v>
      </c>
      <c r="R1385" s="12" t="s">
        <v>4457</v>
      </c>
      <c r="S1385" s="12" t="s">
        <v>25</v>
      </c>
      <c r="T1385" s="12" t="s">
        <v>25</v>
      </c>
    </row>
    <row r="1386" spans="1:20" x14ac:dyDescent="0.3">
      <c r="A1386" s="13">
        <v>43950.708333333336</v>
      </c>
      <c r="B1386" s="12" t="s">
        <v>22</v>
      </c>
      <c r="C1386" s="265">
        <v>2</v>
      </c>
      <c r="D1386" s="12" t="s">
        <v>60</v>
      </c>
      <c r="E1386" s="265">
        <v>4573750286</v>
      </c>
      <c r="F1386" s="265">
        <v>7320149366</v>
      </c>
      <c r="G1386" s="265">
        <v>78</v>
      </c>
      <c r="H1386" s="265">
        <v>5</v>
      </c>
      <c r="I1386" s="265">
        <v>83</v>
      </c>
      <c r="J1386" s="265">
        <v>52</v>
      </c>
      <c r="K1386" s="265">
        <v>135</v>
      </c>
      <c r="L1386" s="265">
        <v>-74</v>
      </c>
      <c r="M1386" s="265">
        <v>5</v>
      </c>
      <c r="N1386" s="265">
        <v>852</v>
      </c>
      <c r="O1386" s="265">
        <v>137</v>
      </c>
      <c r="P1386" s="265">
        <v>1124</v>
      </c>
      <c r="Q1386" s="265">
        <v>7181</v>
      </c>
      <c r="R1386" s="12" t="s">
        <v>4458</v>
      </c>
      <c r="S1386" s="12" t="s">
        <v>25</v>
      </c>
      <c r="T1386" s="12" t="s">
        <v>25</v>
      </c>
    </row>
    <row r="1387" spans="1:20" x14ac:dyDescent="0.3">
      <c r="A1387" s="13">
        <v>43950.708333333336</v>
      </c>
      <c r="B1387" s="12" t="s">
        <v>22</v>
      </c>
      <c r="C1387" s="265">
        <v>5</v>
      </c>
      <c r="D1387" s="12" t="s">
        <v>61</v>
      </c>
      <c r="E1387" s="265">
        <v>4543490485</v>
      </c>
      <c r="F1387" s="265">
        <v>1233845213</v>
      </c>
      <c r="G1387" s="265">
        <v>1042</v>
      </c>
      <c r="H1387" s="265">
        <v>114</v>
      </c>
      <c r="I1387" s="265">
        <v>1156</v>
      </c>
      <c r="J1387" s="265">
        <v>7213</v>
      </c>
      <c r="K1387" s="265">
        <v>8369</v>
      </c>
      <c r="L1387" s="265">
        <v>-232</v>
      </c>
      <c r="M1387" s="265">
        <v>117</v>
      </c>
      <c r="N1387" s="265">
        <v>8019</v>
      </c>
      <c r="O1387" s="265">
        <v>1437</v>
      </c>
      <c r="P1387" s="265">
        <v>17825</v>
      </c>
      <c r="Q1387" s="265">
        <v>337656</v>
      </c>
      <c r="R1387" s="12" t="s">
        <v>4459</v>
      </c>
      <c r="S1387" s="12" t="s">
        <v>25</v>
      </c>
      <c r="T1387" s="12" t="s">
        <v>25</v>
      </c>
    </row>
    <row r="1388" spans="1:20" x14ac:dyDescent="0.3">
      <c r="A1388" s="13">
        <v>43951.708333333336</v>
      </c>
      <c r="B1388" s="12" t="s">
        <v>22</v>
      </c>
      <c r="C1388" s="265">
        <v>13</v>
      </c>
      <c r="D1388" s="12" t="s">
        <v>42</v>
      </c>
      <c r="E1388" s="265">
        <v>4235122196</v>
      </c>
      <c r="F1388" s="265">
        <v>1339843823</v>
      </c>
      <c r="G1388" s="265">
        <v>306</v>
      </c>
      <c r="H1388" s="265">
        <v>16</v>
      </c>
      <c r="I1388" s="265">
        <v>322</v>
      </c>
      <c r="J1388" s="265">
        <v>1593</v>
      </c>
      <c r="K1388" s="265">
        <v>1915</v>
      </c>
      <c r="L1388" s="265">
        <v>-61</v>
      </c>
      <c r="M1388" s="265">
        <v>7</v>
      </c>
      <c r="N1388" s="265">
        <v>695</v>
      </c>
      <c r="O1388" s="265">
        <v>320</v>
      </c>
      <c r="P1388" s="265">
        <v>2930</v>
      </c>
      <c r="Q1388" s="265">
        <v>37996</v>
      </c>
      <c r="R1388" s="12" t="s">
        <v>4460</v>
      </c>
      <c r="S1388" s="12" t="s">
        <v>25</v>
      </c>
      <c r="T1388" s="12" t="s">
        <v>25</v>
      </c>
    </row>
    <row r="1389" spans="1:20" x14ac:dyDescent="0.3">
      <c r="A1389" s="13">
        <v>43951.708333333336</v>
      </c>
      <c r="B1389" s="12" t="s">
        <v>22</v>
      </c>
      <c r="C1389" s="265">
        <v>17</v>
      </c>
      <c r="D1389" s="12" t="s">
        <v>43</v>
      </c>
      <c r="E1389" s="265">
        <v>4063947052</v>
      </c>
      <c r="F1389" s="265">
        <v>1580514834</v>
      </c>
      <c r="G1389" s="265">
        <v>49</v>
      </c>
      <c r="H1389" s="265">
        <v>4</v>
      </c>
      <c r="I1389" s="265">
        <v>53</v>
      </c>
      <c r="J1389" s="265">
        <v>139</v>
      </c>
      <c r="K1389" s="265">
        <v>192</v>
      </c>
      <c r="L1389" s="265">
        <v>-2</v>
      </c>
      <c r="M1389" s="265">
        <v>1</v>
      </c>
      <c r="N1389" s="265">
        <v>150</v>
      </c>
      <c r="O1389" s="265">
        <v>25</v>
      </c>
      <c r="P1389" s="265">
        <v>367</v>
      </c>
      <c r="Q1389" s="265">
        <v>12774</v>
      </c>
      <c r="R1389" s="12" t="s">
        <v>4461</v>
      </c>
      <c r="S1389" s="12" t="s">
        <v>25</v>
      </c>
      <c r="T1389" s="12" t="s">
        <v>25</v>
      </c>
    </row>
    <row r="1390" spans="1:20" x14ac:dyDescent="0.3">
      <c r="A1390" s="13">
        <v>43951.708333333336</v>
      </c>
      <c r="B1390" s="12" t="s">
        <v>22</v>
      </c>
      <c r="C1390" s="265">
        <v>4</v>
      </c>
      <c r="D1390" s="12" t="s">
        <v>44</v>
      </c>
      <c r="E1390" s="265">
        <v>4649933453</v>
      </c>
      <c r="F1390" s="265">
        <v>1135662422</v>
      </c>
      <c r="G1390" s="265">
        <v>126</v>
      </c>
      <c r="H1390" s="265">
        <v>13</v>
      </c>
      <c r="I1390" s="265">
        <v>139</v>
      </c>
      <c r="J1390" s="265">
        <v>663</v>
      </c>
      <c r="K1390" s="265">
        <v>802</v>
      </c>
      <c r="L1390" s="265">
        <v>-43</v>
      </c>
      <c r="M1390" s="265">
        <v>11</v>
      </c>
      <c r="N1390" s="265">
        <v>1441</v>
      </c>
      <c r="O1390" s="265">
        <v>275</v>
      </c>
      <c r="P1390" s="265">
        <v>2518</v>
      </c>
      <c r="Q1390" s="265">
        <v>41297</v>
      </c>
      <c r="R1390" s="12" t="s">
        <v>4462</v>
      </c>
      <c r="S1390" s="12" t="s">
        <v>25</v>
      </c>
      <c r="T1390" s="12" t="s">
        <v>25</v>
      </c>
    </row>
    <row r="1391" spans="1:20" x14ac:dyDescent="0.3">
      <c r="A1391" s="13">
        <v>43951.708333333336</v>
      </c>
      <c r="B1391" s="12" t="s">
        <v>22</v>
      </c>
      <c r="C1391" s="265">
        <v>18</v>
      </c>
      <c r="D1391" s="12" t="s">
        <v>45</v>
      </c>
      <c r="E1391" s="265">
        <v>3890597598</v>
      </c>
      <c r="F1391" s="265">
        <v>1659440194</v>
      </c>
      <c r="G1391" s="265">
        <v>105</v>
      </c>
      <c r="H1391" s="265">
        <v>6</v>
      </c>
      <c r="I1391" s="265">
        <v>111</v>
      </c>
      <c r="J1391" s="265">
        <v>629</v>
      </c>
      <c r="K1391" s="265">
        <v>740</v>
      </c>
      <c r="L1391" s="265">
        <v>-13</v>
      </c>
      <c r="M1391" s="265">
        <v>6</v>
      </c>
      <c r="N1391" s="265">
        <v>282</v>
      </c>
      <c r="O1391" s="265">
        <v>86</v>
      </c>
      <c r="P1391" s="265">
        <v>1108</v>
      </c>
      <c r="Q1391" s="265">
        <v>35903</v>
      </c>
      <c r="R1391" s="12" t="s">
        <v>4463</v>
      </c>
      <c r="S1391" s="12" t="s">
        <v>25</v>
      </c>
      <c r="T1391" s="12" t="s">
        <v>25</v>
      </c>
    </row>
    <row r="1392" spans="1:20" x14ac:dyDescent="0.3">
      <c r="A1392" s="13">
        <v>43951.708333333336</v>
      </c>
      <c r="B1392" s="12" t="s">
        <v>22</v>
      </c>
      <c r="C1392" s="265">
        <v>15</v>
      </c>
      <c r="D1392" s="12" t="s">
        <v>46</v>
      </c>
      <c r="E1392" s="265">
        <v>4083956555</v>
      </c>
      <c r="F1392" s="265">
        <v>1425084984</v>
      </c>
      <c r="G1392" s="265">
        <v>484</v>
      </c>
      <c r="H1392" s="265">
        <v>29</v>
      </c>
      <c r="I1392" s="265">
        <v>513</v>
      </c>
      <c r="J1392" s="265">
        <v>2260</v>
      </c>
      <c r="K1392" s="265">
        <v>2773</v>
      </c>
      <c r="L1392" s="265">
        <v>-9</v>
      </c>
      <c r="M1392" s="265">
        <v>13</v>
      </c>
      <c r="N1392" s="265">
        <v>1291</v>
      </c>
      <c r="O1392" s="265">
        <v>359</v>
      </c>
      <c r="P1392" s="265">
        <v>4423</v>
      </c>
      <c r="Q1392" s="265">
        <v>76108</v>
      </c>
      <c r="R1392" s="12" t="s">
        <v>4464</v>
      </c>
      <c r="S1392" s="12" t="s">
        <v>25</v>
      </c>
      <c r="T1392" s="12" t="s">
        <v>25</v>
      </c>
    </row>
    <row r="1393" spans="1:20" x14ac:dyDescent="0.3">
      <c r="A1393" s="13">
        <v>43951.708333333336</v>
      </c>
      <c r="B1393" s="12" t="s">
        <v>22</v>
      </c>
      <c r="C1393" s="265">
        <v>8</v>
      </c>
      <c r="D1393" s="12" t="s">
        <v>95</v>
      </c>
      <c r="E1393" s="265">
        <v>4449436681</v>
      </c>
      <c r="F1393" s="265">
        <v>113417208</v>
      </c>
      <c r="G1393" s="265">
        <v>2146</v>
      </c>
      <c r="H1393" s="265">
        <v>206</v>
      </c>
      <c r="I1393" s="265">
        <v>2352</v>
      </c>
      <c r="J1393" s="265">
        <v>7211</v>
      </c>
      <c r="K1393" s="265">
        <v>9563</v>
      </c>
      <c r="L1393" s="265">
        <v>-2299</v>
      </c>
      <c r="M1393" s="265">
        <v>259</v>
      </c>
      <c r="N1393" s="265">
        <v>12322</v>
      </c>
      <c r="O1393" s="265">
        <v>3551</v>
      </c>
      <c r="P1393" s="265">
        <v>25436</v>
      </c>
      <c r="Q1393" s="265">
        <v>182857</v>
      </c>
      <c r="R1393" s="12" t="s">
        <v>4465</v>
      </c>
      <c r="S1393" s="12" t="s">
        <v>25</v>
      </c>
      <c r="T1393" s="12" t="s">
        <v>25</v>
      </c>
    </row>
    <row r="1394" spans="1:20" x14ac:dyDescent="0.3">
      <c r="A1394" s="13">
        <v>43951.708333333336</v>
      </c>
      <c r="B1394" s="12" t="s">
        <v>22</v>
      </c>
      <c r="C1394" s="265">
        <v>6</v>
      </c>
      <c r="D1394" s="12" t="s">
        <v>47</v>
      </c>
      <c r="E1394" s="265">
        <v>456494354</v>
      </c>
      <c r="F1394" s="265">
        <v>1376813649</v>
      </c>
      <c r="G1394" s="265">
        <v>109</v>
      </c>
      <c r="H1394" s="265">
        <v>11</v>
      </c>
      <c r="I1394" s="265">
        <v>120</v>
      </c>
      <c r="J1394" s="265">
        <v>1050</v>
      </c>
      <c r="K1394" s="265">
        <v>1170</v>
      </c>
      <c r="L1394" s="265">
        <v>-57</v>
      </c>
      <c r="M1394" s="265">
        <v>15</v>
      </c>
      <c r="N1394" s="265">
        <v>1566</v>
      </c>
      <c r="O1394" s="265">
        <v>289</v>
      </c>
      <c r="P1394" s="265">
        <v>3025</v>
      </c>
      <c r="Q1394" s="265">
        <v>67930</v>
      </c>
      <c r="R1394" s="12" t="s">
        <v>4466</v>
      </c>
      <c r="S1394" s="12" t="s">
        <v>25</v>
      </c>
      <c r="T1394" s="12" t="s">
        <v>25</v>
      </c>
    </row>
    <row r="1395" spans="1:20" x14ac:dyDescent="0.3">
      <c r="A1395" s="13">
        <v>43951.708333333336</v>
      </c>
      <c r="B1395" s="12" t="s">
        <v>22</v>
      </c>
      <c r="C1395" s="265">
        <v>12</v>
      </c>
      <c r="D1395" s="12" t="s">
        <v>48</v>
      </c>
      <c r="E1395" s="265">
        <v>4189277044</v>
      </c>
      <c r="F1395" s="265">
        <v>1248366722</v>
      </c>
      <c r="G1395" s="265">
        <v>1417</v>
      </c>
      <c r="H1395" s="265">
        <v>115</v>
      </c>
      <c r="I1395" s="265">
        <v>1532</v>
      </c>
      <c r="J1395" s="265">
        <v>2936</v>
      </c>
      <c r="K1395" s="265">
        <v>4468</v>
      </c>
      <c r="L1395" s="265">
        <v>-67</v>
      </c>
      <c r="M1395" s="265">
        <v>71</v>
      </c>
      <c r="N1395" s="265">
        <v>1707</v>
      </c>
      <c r="O1395" s="265">
        <v>441</v>
      </c>
      <c r="P1395" s="265">
        <v>6616</v>
      </c>
      <c r="Q1395" s="265">
        <v>137596</v>
      </c>
      <c r="R1395" s="12" t="s">
        <v>4467</v>
      </c>
      <c r="S1395" s="12" t="s">
        <v>25</v>
      </c>
      <c r="T1395" s="12" t="s">
        <v>25</v>
      </c>
    </row>
    <row r="1396" spans="1:20" x14ac:dyDescent="0.3">
      <c r="A1396" s="13">
        <v>43951.708333333336</v>
      </c>
      <c r="B1396" s="12" t="s">
        <v>22</v>
      </c>
      <c r="C1396" s="265">
        <v>7</v>
      </c>
      <c r="D1396" s="12" t="s">
        <v>49</v>
      </c>
      <c r="E1396" s="265">
        <v>4441149315</v>
      </c>
      <c r="F1396" s="265">
        <v>89326992</v>
      </c>
      <c r="G1396" s="265">
        <v>676</v>
      </c>
      <c r="H1396" s="265">
        <v>69</v>
      </c>
      <c r="I1396" s="265">
        <v>745</v>
      </c>
      <c r="J1396" s="265">
        <v>2806</v>
      </c>
      <c r="K1396" s="265">
        <v>3551</v>
      </c>
      <c r="L1396" s="265">
        <v>-25</v>
      </c>
      <c r="M1396" s="265">
        <v>104</v>
      </c>
      <c r="N1396" s="265">
        <v>3275</v>
      </c>
      <c r="O1396" s="265">
        <v>1167</v>
      </c>
      <c r="P1396" s="265">
        <v>7993</v>
      </c>
      <c r="Q1396" s="265">
        <v>48762</v>
      </c>
      <c r="R1396" s="12" t="s">
        <v>4468</v>
      </c>
      <c r="S1396" s="12" t="s">
        <v>25</v>
      </c>
      <c r="T1396" s="12" t="s">
        <v>25</v>
      </c>
    </row>
    <row r="1397" spans="1:20" x14ac:dyDescent="0.3">
      <c r="A1397" s="13">
        <v>43951.708333333336</v>
      </c>
      <c r="B1397" s="12" t="s">
        <v>22</v>
      </c>
      <c r="C1397" s="265">
        <v>3</v>
      </c>
      <c r="D1397" s="12" t="s">
        <v>50</v>
      </c>
      <c r="E1397" s="265">
        <v>4546679409</v>
      </c>
      <c r="F1397" s="265">
        <v>9190347404</v>
      </c>
      <c r="G1397" s="265">
        <v>6834</v>
      </c>
      <c r="H1397" s="265">
        <v>605</v>
      </c>
      <c r="I1397" s="265">
        <v>7439</v>
      </c>
      <c r="J1397" s="265">
        <v>28772</v>
      </c>
      <c r="K1397" s="265">
        <v>36211</v>
      </c>
      <c r="L1397" s="265">
        <v>89</v>
      </c>
      <c r="M1397" s="265">
        <v>598</v>
      </c>
      <c r="N1397" s="265">
        <v>25749</v>
      </c>
      <c r="O1397" s="265">
        <v>13772</v>
      </c>
      <c r="P1397" s="265">
        <v>75732</v>
      </c>
      <c r="Q1397" s="265">
        <v>376943</v>
      </c>
      <c r="R1397" s="12" t="s">
        <v>4469</v>
      </c>
      <c r="S1397" s="12" t="s">
        <v>25</v>
      </c>
      <c r="T1397" s="12" t="s">
        <v>25</v>
      </c>
    </row>
    <row r="1398" spans="1:20" x14ac:dyDescent="0.3">
      <c r="A1398" s="13">
        <v>43951.708333333336</v>
      </c>
      <c r="B1398" s="12" t="s">
        <v>22</v>
      </c>
      <c r="C1398" s="265">
        <v>11</v>
      </c>
      <c r="D1398" s="12" t="s">
        <v>51</v>
      </c>
      <c r="E1398" s="265">
        <v>4361675973</v>
      </c>
      <c r="F1398" s="265">
        <v>135188753</v>
      </c>
      <c r="G1398" s="265">
        <v>465</v>
      </c>
      <c r="H1398" s="265">
        <v>48</v>
      </c>
      <c r="I1398" s="265">
        <v>513</v>
      </c>
      <c r="J1398" s="265">
        <v>2697</v>
      </c>
      <c r="K1398" s="265">
        <v>3210</v>
      </c>
      <c r="L1398" s="265">
        <v>-137</v>
      </c>
      <c r="M1398" s="265">
        <v>37</v>
      </c>
      <c r="N1398" s="265">
        <v>2131</v>
      </c>
      <c r="O1398" s="265">
        <v>906</v>
      </c>
      <c r="P1398" s="265">
        <v>6247</v>
      </c>
      <c r="Q1398" s="265">
        <v>59488</v>
      </c>
      <c r="R1398" s="12" t="s">
        <v>4470</v>
      </c>
      <c r="S1398" s="12" t="s">
        <v>25</v>
      </c>
      <c r="T1398" s="12" t="s">
        <v>25</v>
      </c>
    </row>
    <row r="1399" spans="1:20" x14ac:dyDescent="0.3">
      <c r="A1399" s="13">
        <v>43951.708333333336</v>
      </c>
      <c r="B1399" s="12" t="s">
        <v>22</v>
      </c>
      <c r="C1399" s="265">
        <v>14</v>
      </c>
      <c r="D1399" s="12" t="s">
        <v>52</v>
      </c>
      <c r="E1399" s="265">
        <v>4155774754</v>
      </c>
      <c r="F1399" s="265">
        <v>1465916051</v>
      </c>
      <c r="G1399" s="265">
        <v>17</v>
      </c>
      <c r="H1399" s="265">
        <v>1</v>
      </c>
      <c r="I1399" s="265">
        <v>18</v>
      </c>
      <c r="J1399" s="265">
        <v>172</v>
      </c>
      <c r="K1399" s="265">
        <v>190</v>
      </c>
      <c r="L1399" s="265">
        <v>-3</v>
      </c>
      <c r="M1399" s="265">
        <v>1</v>
      </c>
      <c r="N1399" s="265">
        <v>87</v>
      </c>
      <c r="O1399" s="265">
        <v>21</v>
      </c>
      <c r="P1399" s="265">
        <v>298</v>
      </c>
      <c r="Q1399" s="265">
        <v>6446</v>
      </c>
      <c r="R1399" s="12" t="s">
        <v>4471</v>
      </c>
      <c r="S1399" s="12" t="s">
        <v>25</v>
      </c>
      <c r="T1399" s="12" t="s">
        <v>25</v>
      </c>
    </row>
    <row r="1400" spans="1:20" x14ac:dyDescent="0.3">
      <c r="A1400" s="13">
        <v>43951.708333333336</v>
      </c>
      <c r="B1400" s="12" t="s">
        <v>22</v>
      </c>
      <c r="C1400" s="265">
        <v>1</v>
      </c>
      <c r="D1400" s="12" t="s">
        <v>53</v>
      </c>
      <c r="E1400" s="265">
        <v>450732745</v>
      </c>
      <c r="F1400" s="265">
        <v>7680687483</v>
      </c>
      <c r="G1400" s="265">
        <v>2621</v>
      </c>
      <c r="H1400" s="265">
        <v>199</v>
      </c>
      <c r="I1400" s="265">
        <v>2820</v>
      </c>
      <c r="J1400" s="265">
        <v>12673</v>
      </c>
      <c r="K1400" s="265">
        <v>15493</v>
      </c>
      <c r="L1400" s="265">
        <v>-28</v>
      </c>
      <c r="M1400" s="265">
        <v>428</v>
      </c>
      <c r="N1400" s="265">
        <v>7730</v>
      </c>
      <c r="O1400" s="265">
        <v>3066</v>
      </c>
      <c r="P1400" s="265">
        <v>26289</v>
      </c>
      <c r="Q1400" s="265">
        <v>156534</v>
      </c>
      <c r="R1400" s="12" t="s">
        <v>4472</v>
      </c>
      <c r="S1400" s="12" t="s">
        <v>25</v>
      </c>
      <c r="T1400" s="12" t="s">
        <v>25</v>
      </c>
    </row>
    <row r="1401" spans="1:20" x14ac:dyDescent="0.3">
      <c r="A1401" s="13">
        <v>43951.708333333336</v>
      </c>
      <c r="B1401" s="12" t="s">
        <v>22</v>
      </c>
      <c r="C1401" s="265">
        <v>16</v>
      </c>
      <c r="D1401" s="12" t="s">
        <v>54</v>
      </c>
      <c r="E1401" s="265">
        <v>4112559576</v>
      </c>
      <c r="F1401" s="265">
        <v>1686736689</v>
      </c>
      <c r="G1401" s="265">
        <v>439</v>
      </c>
      <c r="H1401" s="265">
        <v>42</v>
      </c>
      <c r="I1401" s="265">
        <v>481</v>
      </c>
      <c r="J1401" s="265">
        <v>2468</v>
      </c>
      <c r="K1401" s="265">
        <v>2949</v>
      </c>
      <c r="L1401" s="265">
        <v>22</v>
      </c>
      <c r="M1401" s="265">
        <v>43</v>
      </c>
      <c r="N1401" s="265">
        <v>708</v>
      </c>
      <c r="O1401" s="265">
        <v>415</v>
      </c>
      <c r="P1401" s="265">
        <v>4072</v>
      </c>
      <c r="Q1401" s="265">
        <v>62460</v>
      </c>
      <c r="R1401" s="12" t="s">
        <v>4473</v>
      </c>
      <c r="S1401" s="12" t="s">
        <v>25</v>
      </c>
      <c r="T1401" s="12" t="s">
        <v>25</v>
      </c>
    </row>
    <row r="1402" spans="1:20" x14ac:dyDescent="0.3">
      <c r="A1402" s="13">
        <v>43951.708333333336</v>
      </c>
      <c r="B1402" s="12" t="s">
        <v>22</v>
      </c>
      <c r="C1402" s="265">
        <v>20</v>
      </c>
      <c r="D1402" s="12" t="s">
        <v>55</v>
      </c>
      <c r="E1402" s="265">
        <v>3921531192</v>
      </c>
      <c r="F1402" s="265">
        <v>9110616306</v>
      </c>
      <c r="G1402" s="265">
        <v>87</v>
      </c>
      <c r="H1402" s="265">
        <v>16</v>
      </c>
      <c r="I1402" s="265">
        <v>103</v>
      </c>
      <c r="J1402" s="265">
        <v>641</v>
      </c>
      <c r="K1402" s="265">
        <v>744</v>
      </c>
      <c r="L1402" s="265">
        <v>-17</v>
      </c>
      <c r="M1402" s="265">
        <v>5</v>
      </c>
      <c r="N1402" s="265">
        <v>435</v>
      </c>
      <c r="O1402" s="265">
        <v>116</v>
      </c>
      <c r="P1402" s="265">
        <v>1295</v>
      </c>
      <c r="Q1402" s="265">
        <v>24754</v>
      </c>
      <c r="R1402" s="12" t="s">
        <v>4474</v>
      </c>
      <c r="S1402" s="12" t="s">
        <v>25</v>
      </c>
      <c r="T1402" s="12" t="s">
        <v>25</v>
      </c>
    </row>
    <row r="1403" spans="1:20" x14ac:dyDescent="0.3">
      <c r="A1403" s="13">
        <v>43951.708333333336</v>
      </c>
      <c r="B1403" s="12" t="s">
        <v>22</v>
      </c>
      <c r="C1403" s="265">
        <v>19</v>
      </c>
      <c r="D1403" s="12" t="s">
        <v>56</v>
      </c>
      <c r="E1403" s="265">
        <v>3811569725</v>
      </c>
      <c r="F1403" s="265">
        <v>133623567</v>
      </c>
      <c r="G1403" s="265">
        <v>408</v>
      </c>
      <c r="H1403" s="265">
        <v>33</v>
      </c>
      <c r="I1403" s="265">
        <v>441</v>
      </c>
      <c r="J1403" s="265">
        <v>1716</v>
      </c>
      <c r="K1403" s="265">
        <v>2157</v>
      </c>
      <c r="L1403" s="265">
        <v>12</v>
      </c>
      <c r="M1403" s="265">
        <v>26</v>
      </c>
      <c r="N1403" s="265">
        <v>774</v>
      </c>
      <c r="O1403" s="265">
        <v>235</v>
      </c>
      <c r="P1403" s="265">
        <v>3166</v>
      </c>
      <c r="Q1403" s="265">
        <v>79669</v>
      </c>
      <c r="R1403" s="12" t="s">
        <v>4475</v>
      </c>
      <c r="S1403" s="12" t="s">
        <v>25</v>
      </c>
      <c r="T1403" s="12" t="s">
        <v>25</v>
      </c>
    </row>
    <row r="1404" spans="1:20" x14ac:dyDescent="0.3">
      <c r="A1404" s="13">
        <v>43951.708333333336</v>
      </c>
      <c r="B1404" s="12" t="s">
        <v>22</v>
      </c>
      <c r="C1404" s="265">
        <v>9</v>
      </c>
      <c r="D1404" s="12" t="s">
        <v>57</v>
      </c>
      <c r="E1404" s="265">
        <v>4376923077</v>
      </c>
      <c r="F1404" s="265">
        <v>1125588885</v>
      </c>
      <c r="G1404" s="265">
        <v>546</v>
      </c>
      <c r="H1404" s="265">
        <v>126</v>
      </c>
      <c r="I1404" s="265">
        <v>672</v>
      </c>
      <c r="J1404" s="265">
        <v>4912</v>
      </c>
      <c r="K1404" s="265">
        <v>5584</v>
      </c>
      <c r="L1404" s="265">
        <v>-79</v>
      </c>
      <c r="M1404" s="265">
        <v>60</v>
      </c>
      <c r="N1404" s="265">
        <v>2926</v>
      </c>
      <c r="O1404" s="265">
        <v>842</v>
      </c>
      <c r="P1404" s="265">
        <v>9352</v>
      </c>
      <c r="Q1404" s="265">
        <v>141849</v>
      </c>
      <c r="R1404" s="12" t="s">
        <v>4476</v>
      </c>
      <c r="S1404" s="12" t="s">
        <v>25</v>
      </c>
      <c r="T1404" s="12" t="s">
        <v>25</v>
      </c>
    </row>
    <row r="1405" spans="1:20" x14ac:dyDescent="0.3">
      <c r="A1405" s="13">
        <v>43951.708333333336</v>
      </c>
      <c r="B1405" s="12" t="s">
        <v>22</v>
      </c>
      <c r="C1405" s="265">
        <v>4</v>
      </c>
      <c r="D1405" s="12" t="s">
        <v>58</v>
      </c>
      <c r="E1405" s="265">
        <v>4606893511</v>
      </c>
      <c r="F1405" s="265">
        <v>1112123097</v>
      </c>
      <c r="G1405" s="265">
        <v>158</v>
      </c>
      <c r="H1405" s="265">
        <v>21</v>
      </c>
      <c r="I1405" s="265">
        <v>179</v>
      </c>
      <c r="J1405" s="265">
        <v>1191</v>
      </c>
      <c r="K1405" s="265">
        <v>1370</v>
      </c>
      <c r="L1405" s="265">
        <v>-93</v>
      </c>
      <c r="M1405" s="265">
        <v>47</v>
      </c>
      <c r="N1405" s="265">
        <v>2328</v>
      </c>
      <c r="O1405" s="265">
        <v>418</v>
      </c>
      <c r="P1405" s="265">
        <v>4116</v>
      </c>
      <c r="Q1405" s="265">
        <v>36534</v>
      </c>
      <c r="R1405" s="12" t="s">
        <v>4477</v>
      </c>
      <c r="S1405" s="12" t="s">
        <v>25</v>
      </c>
      <c r="T1405" s="12" t="s">
        <v>25</v>
      </c>
    </row>
    <row r="1406" spans="1:20" x14ac:dyDescent="0.3">
      <c r="A1406" s="13">
        <v>43951.708333333336</v>
      </c>
      <c r="B1406" s="12" t="s">
        <v>22</v>
      </c>
      <c r="C1406" s="265">
        <v>10</v>
      </c>
      <c r="D1406" s="12" t="s">
        <v>59</v>
      </c>
      <c r="E1406" s="265">
        <v>4310675841</v>
      </c>
      <c r="F1406" s="265">
        <v>1238824698</v>
      </c>
      <c r="G1406" s="265">
        <v>68</v>
      </c>
      <c r="H1406" s="265">
        <v>16</v>
      </c>
      <c r="I1406" s="265">
        <v>84</v>
      </c>
      <c r="J1406" s="265">
        <v>149</v>
      </c>
      <c r="K1406" s="265">
        <v>233</v>
      </c>
      <c r="L1406" s="265">
        <v>-28</v>
      </c>
      <c r="M1406" s="265">
        <v>1</v>
      </c>
      <c r="N1406" s="265">
        <v>1092</v>
      </c>
      <c r="O1406" s="265">
        <v>67</v>
      </c>
      <c r="P1406" s="265">
        <v>1392</v>
      </c>
      <c r="Q1406" s="265">
        <v>36459</v>
      </c>
      <c r="R1406" s="12" t="s">
        <v>4478</v>
      </c>
      <c r="S1406" s="12" t="s">
        <v>25</v>
      </c>
      <c r="T1406" s="12" t="s">
        <v>25</v>
      </c>
    </row>
    <row r="1407" spans="1:20" x14ac:dyDescent="0.3">
      <c r="A1407" s="13">
        <v>43951.708333333336</v>
      </c>
      <c r="B1407" s="12" t="s">
        <v>22</v>
      </c>
      <c r="C1407" s="265">
        <v>2</v>
      </c>
      <c r="D1407" s="12" t="s">
        <v>60</v>
      </c>
      <c r="E1407" s="265">
        <v>4573750286</v>
      </c>
      <c r="F1407" s="265">
        <v>7320149366</v>
      </c>
      <c r="G1407" s="265">
        <v>76</v>
      </c>
      <c r="H1407" s="265">
        <v>4</v>
      </c>
      <c r="I1407" s="265">
        <v>80</v>
      </c>
      <c r="J1407" s="265">
        <v>9</v>
      </c>
      <c r="K1407" s="265">
        <v>89</v>
      </c>
      <c r="L1407" s="265">
        <v>-46</v>
      </c>
      <c r="M1407" s="265">
        <v>4</v>
      </c>
      <c r="N1407" s="265">
        <v>902</v>
      </c>
      <c r="O1407" s="265">
        <v>137</v>
      </c>
      <c r="P1407" s="265">
        <v>1128</v>
      </c>
      <c r="Q1407" s="265">
        <v>7631</v>
      </c>
      <c r="R1407" s="12" t="s">
        <v>4479</v>
      </c>
      <c r="S1407" s="12" t="s">
        <v>25</v>
      </c>
      <c r="T1407" s="12" t="s">
        <v>25</v>
      </c>
    </row>
    <row r="1408" spans="1:20" x14ac:dyDescent="0.3">
      <c r="A1408" s="13">
        <v>43951.708333333336</v>
      </c>
      <c r="B1408" s="12" t="s">
        <v>22</v>
      </c>
      <c r="C1408" s="265">
        <v>5</v>
      </c>
      <c r="D1408" s="12" t="s">
        <v>61</v>
      </c>
      <c r="E1408" s="265">
        <v>4543490485</v>
      </c>
      <c r="F1408" s="265">
        <v>1233845213</v>
      </c>
      <c r="G1408" s="265">
        <v>1012</v>
      </c>
      <c r="H1408" s="265">
        <v>114</v>
      </c>
      <c r="I1408" s="265">
        <v>1126</v>
      </c>
      <c r="J1408" s="265">
        <v>7021</v>
      </c>
      <c r="K1408" s="265">
        <v>8147</v>
      </c>
      <c r="L1408" s="265">
        <v>-222</v>
      </c>
      <c r="M1408" s="265">
        <v>135</v>
      </c>
      <c r="N1408" s="265">
        <v>8354</v>
      </c>
      <c r="O1408" s="265">
        <v>1459</v>
      </c>
      <c r="P1408" s="265">
        <v>17960</v>
      </c>
      <c r="Q1408" s="265">
        <v>349227</v>
      </c>
      <c r="R1408" s="12" t="s">
        <v>4480</v>
      </c>
      <c r="S1408" s="12" t="s">
        <v>25</v>
      </c>
      <c r="T1408" s="12" t="s">
        <v>25</v>
      </c>
    </row>
    <row r="1409" spans="1:20" x14ac:dyDescent="0.3">
      <c r="A1409" s="13">
        <v>43952.708333333336</v>
      </c>
      <c r="B1409" s="12" t="s">
        <v>22</v>
      </c>
      <c r="C1409" s="265">
        <v>13</v>
      </c>
      <c r="D1409" s="12" t="s">
        <v>42</v>
      </c>
      <c r="E1409" s="265">
        <v>4235122196</v>
      </c>
      <c r="F1409" s="265">
        <v>1339843823</v>
      </c>
      <c r="G1409" s="265">
        <v>297</v>
      </c>
      <c r="H1409" s="265">
        <v>16</v>
      </c>
      <c r="I1409" s="265">
        <v>313</v>
      </c>
      <c r="J1409" s="265">
        <v>1598</v>
      </c>
      <c r="K1409" s="265">
        <v>1911</v>
      </c>
      <c r="L1409" s="265">
        <v>-4</v>
      </c>
      <c r="M1409" s="265">
        <v>18</v>
      </c>
      <c r="N1409" s="265">
        <v>713</v>
      </c>
      <c r="O1409" s="265">
        <v>324</v>
      </c>
      <c r="P1409" s="265">
        <v>2948</v>
      </c>
      <c r="Q1409" s="265">
        <v>39385</v>
      </c>
      <c r="R1409" s="12" t="s">
        <v>4481</v>
      </c>
      <c r="S1409" s="12" t="s">
        <v>25</v>
      </c>
      <c r="T1409" s="12" t="s">
        <v>25</v>
      </c>
    </row>
    <row r="1410" spans="1:20" x14ac:dyDescent="0.3">
      <c r="A1410" s="13">
        <v>43952.708333333336</v>
      </c>
      <c r="B1410" s="12" t="s">
        <v>22</v>
      </c>
      <c r="C1410" s="265">
        <v>17</v>
      </c>
      <c r="D1410" s="12" t="s">
        <v>43</v>
      </c>
      <c r="E1410" s="265">
        <v>4063947052</v>
      </c>
      <c r="F1410" s="265">
        <v>1580514834</v>
      </c>
      <c r="G1410" s="265">
        <v>49</v>
      </c>
      <c r="H1410" s="265">
        <v>4</v>
      </c>
      <c r="I1410" s="265">
        <v>53</v>
      </c>
      <c r="J1410" s="265">
        <v>140</v>
      </c>
      <c r="K1410" s="265">
        <v>193</v>
      </c>
      <c r="L1410" s="265">
        <v>1</v>
      </c>
      <c r="M1410" s="265">
        <v>11</v>
      </c>
      <c r="N1410" s="265">
        <v>160</v>
      </c>
      <c r="O1410" s="265">
        <v>25</v>
      </c>
      <c r="P1410" s="265">
        <v>378</v>
      </c>
      <c r="Q1410" s="265">
        <v>13269</v>
      </c>
      <c r="R1410" s="12" t="s">
        <v>4482</v>
      </c>
      <c r="S1410" s="12" t="s">
        <v>25</v>
      </c>
      <c r="T1410" s="12" t="s">
        <v>25</v>
      </c>
    </row>
    <row r="1411" spans="1:20" x14ac:dyDescent="0.3">
      <c r="A1411" s="13">
        <v>43952.708333333336</v>
      </c>
      <c r="B1411" s="12" t="s">
        <v>22</v>
      </c>
      <c r="C1411" s="265">
        <v>4</v>
      </c>
      <c r="D1411" s="12" t="s">
        <v>44</v>
      </c>
      <c r="E1411" s="265">
        <v>4649933453</v>
      </c>
      <c r="F1411" s="265">
        <v>1135662422</v>
      </c>
      <c r="G1411" s="265">
        <v>112</v>
      </c>
      <c r="H1411" s="265">
        <v>11</v>
      </c>
      <c r="I1411" s="265">
        <v>123</v>
      </c>
      <c r="J1411" s="265">
        <v>634</v>
      </c>
      <c r="K1411" s="265">
        <v>757</v>
      </c>
      <c r="L1411" s="265">
        <v>-45</v>
      </c>
      <c r="M1411" s="265">
        <v>10</v>
      </c>
      <c r="N1411" s="265">
        <v>1493</v>
      </c>
      <c r="O1411" s="265">
        <v>278</v>
      </c>
      <c r="P1411" s="265">
        <v>2528</v>
      </c>
      <c r="Q1411" s="265">
        <v>42903</v>
      </c>
      <c r="R1411" s="12" t="s">
        <v>4483</v>
      </c>
      <c r="S1411" s="12" t="s">
        <v>25</v>
      </c>
      <c r="T1411" s="12" t="s">
        <v>25</v>
      </c>
    </row>
    <row r="1412" spans="1:20" x14ac:dyDescent="0.3">
      <c r="A1412" s="13">
        <v>43952.708333333336</v>
      </c>
      <c r="B1412" s="12" t="s">
        <v>22</v>
      </c>
      <c r="C1412" s="265">
        <v>18</v>
      </c>
      <c r="D1412" s="12" t="s">
        <v>45</v>
      </c>
      <c r="E1412" s="265">
        <v>3890597598</v>
      </c>
      <c r="F1412" s="265">
        <v>1659440194</v>
      </c>
      <c r="G1412" s="265">
        <v>105</v>
      </c>
      <c r="H1412" s="265">
        <v>3</v>
      </c>
      <c r="I1412" s="265">
        <v>108</v>
      </c>
      <c r="J1412" s="265">
        <v>619</v>
      </c>
      <c r="K1412" s="265">
        <v>727</v>
      </c>
      <c r="L1412" s="265">
        <v>-13</v>
      </c>
      <c r="M1412" s="265">
        <v>4</v>
      </c>
      <c r="N1412" s="265">
        <v>299</v>
      </c>
      <c r="O1412" s="265">
        <v>86</v>
      </c>
      <c r="P1412" s="265">
        <v>1112</v>
      </c>
      <c r="Q1412" s="265">
        <v>37054</v>
      </c>
      <c r="R1412" s="12" t="s">
        <v>4484</v>
      </c>
      <c r="S1412" s="12" t="s">
        <v>25</v>
      </c>
      <c r="T1412" s="12" t="s">
        <v>25</v>
      </c>
    </row>
    <row r="1413" spans="1:20" x14ac:dyDescent="0.3">
      <c r="A1413" s="13">
        <v>43952.708333333336</v>
      </c>
      <c r="B1413" s="12" t="s">
        <v>22</v>
      </c>
      <c r="C1413" s="265">
        <v>15</v>
      </c>
      <c r="D1413" s="12" t="s">
        <v>46</v>
      </c>
      <c r="E1413" s="265">
        <v>4083956555</v>
      </c>
      <c r="F1413" s="265">
        <v>1425084984</v>
      </c>
      <c r="G1413" s="265">
        <v>478</v>
      </c>
      <c r="H1413" s="265">
        <v>29</v>
      </c>
      <c r="I1413" s="265">
        <v>507</v>
      </c>
      <c r="J1413" s="265">
        <v>2246</v>
      </c>
      <c r="K1413" s="265">
        <v>2753</v>
      </c>
      <c r="L1413" s="265">
        <v>-20</v>
      </c>
      <c r="M1413" s="265">
        <v>21</v>
      </c>
      <c r="N1413" s="265">
        <v>1332</v>
      </c>
      <c r="O1413" s="265">
        <v>359</v>
      </c>
      <c r="P1413" s="265">
        <v>4444</v>
      </c>
      <c r="Q1413" s="265">
        <v>79940</v>
      </c>
      <c r="R1413" s="12" t="s">
        <v>4485</v>
      </c>
      <c r="S1413" s="12" t="s">
        <v>25</v>
      </c>
      <c r="T1413" s="12" t="s">
        <v>25</v>
      </c>
    </row>
    <row r="1414" spans="1:20" x14ac:dyDescent="0.3">
      <c r="A1414" s="13">
        <v>43952.708333333336</v>
      </c>
      <c r="B1414" s="12" t="s">
        <v>22</v>
      </c>
      <c r="C1414" s="265">
        <v>8</v>
      </c>
      <c r="D1414" s="12" t="s">
        <v>95</v>
      </c>
      <c r="E1414" s="265">
        <v>4449436681</v>
      </c>
      <c r="F1414" s="265">
        <v>113417208</v>
      </c>
      <c r="G1414" s="265">
        <v>2112</v>
      </c>
      <c r="H1414" s="265">
        <v>197</v>
      </c>
      <c r="I1414" s="265">
        <v>2309</v>
      </c>
      <c r="J1414" s="265">
        <v>7175</v>
      </c>
      <c r="K1414" s="265">
        <v>9484</v>
      </c>
      <c r="L1414" s="265">
        <v>-79</v>
      </c>
      <c r="M1414" s="265">
        <v>208</v>
      </c>
      <c r="N1414" s="265">
        <v>12581</v>
      </c>
      <c r="O1414" s="265">
        <v>3579</v>
      </c>
      <c r="P1414" s="265">
        <v>25644</v>
      </c>
      <c r="Q1414" s="265">
        <v>188264</v>
      </c>
      <c r="R1414" s="12" t="s">
        <v>4486</v>
      </c>
      <c r="S1414" s="12" t="s">
        <v>25</v>
      </c>
      <c r="T1414" s="12" t="s">
        <v>25</v>
      </c>
    </row>
    <row r="1415" spans="1:20" x14ac:dyDescent="0.3">
      <c r="A1415" s="13">
        <v>43952.708333333336</v>
      </c>
      <c r="B1415" s="12" t="s">
        <v>22</v>
      </c>
      <c r="C1415" s="265">
        <v>6</v>
      </c>
      <c r="D1415" s="12" t="s">
        <v>47</v>
      </c>
      <c r="E1415" s="265">
        <v>456494354</v>
      </c>
      <c r="F1415" s="265">
        <v>1376813649</v>
      </c>
      <c r="G1415" s="265">
        <v>131</v>
      </c>
      <c r="H1415" s="265">
        <v>6</v>
      </c>
      <c r="I1415" s="265">
        <v>137</v>
      </c>
      <c r="J1415" s="265">
        <v>978</v>
      </c>
      <c r="K1415" s="265">
        <v>1115</v>
      </c>
      <c r="L1415" s="265">
        <v>-55</v>
      </c>
      <c r="M1415" s="265">
        <v>16</v>
      </c>
      <c r="N1415" s="265">
        <v>1632</v>
      </c>
      <c r="O1415" s="265">
        <v>294</v>
      </c>
      <c r="P1415" s="265">
        <v>3041</v>
      </c>
      <c r="Q1415" s="265">
        <v>71013</v>
      </c>
      <c r="R1415" s="12" t="s">
        <v>4487</v>
      </c>
      <c r="S1415" s="12" t="s">
        <v>25</v>
      </c>
      <c r="T1415" s="12" t="s">
        <v>25</v>
      </c>
    </row>
    <row r="1416" spans="1:20" x14ac:dyDescent="0.3">
      <c r="A1416" s="13">
        <v>43952.708333333336</v>
      </c>
      <c r="B1416" s="12" t="s">
        <v>22</v>
      </c>
      <c r="C1416" s="265">
        <v>12</v>
      </c>
      <c r="D1416" s="12" t="s">
        <v>48</v>
      </c>
      <c r="E1416" s="265">
        <v>4189277044</v>
      </c>
      <c r="F1416" s="265">
        <v>1248366722</v>
      </c>
      <c r="G1416" s="265">
        <v>1372</v>
      </c>
      <c r="H1416" s="265">
        <v>105</v>
      </c>
      <c r="I1416" s="265">
        <v>1477</v>
      </c>
      <c r="J1416" s="265">
        <v>2969</v>
      </c>
      <c r="K1416" s="265">
        <v>4446</v>
      </c>
      <c r="L1416" s="265">
        <v>-22</v>
      </c>
      <c r="M1416" s="265">
        <v>56</v>
      </c>
      <c r="N1416" s="265">
        <v>1744</v>
      </c>
      <c r="O1416" s="265">
        <v>482</v>
      </c>
      <c r="P1416" s="265">
        <v>6672</v>
      </c>
      <c r="Q1416" s="265">
        <v>143804</v>
      </c>
      <c r="R1416" s="12" t="s">
        <v>4488</v>
      </c>
      <c r="S1416" s="12" t="s">
        <v>4489</v>
      </c>
      <c r="T1416" s="12" t="s">
        <v>4490</v>
      </c>
    </row>
    <row r="1417" spans="1:20" x14ac:dyDescent="0.3">
      <c r="A1417" s="13">
        <v>43952.708333333336</v>
      </c>
      <c r="B1417" s="12" t="s">
        <v>22</v>
      </c>
      <c r="C1417" s="265">
        <v>7</v>
      </c>
      <c r="D1417" s="12" t="s">
        <v>49</v>
      </c>
      <c r="E1417" s="265">
        <v>4441149315</v>
      </c>
      <c r="F1417" s="265">
        <v>89326992</v>
      </c>
      <c r="G1417" s="265">
        <v>666</v>
      </c>
      <c r="H1417" s="265">
        <v>68</v>
      </c>
      <c r="I1417" s="265">
        <v>734</v>
      </c>
      <c r="J1417" s="265">
        <v>2784</v>
      </c>
      <c r="K1417" s="265">
        <v>3518</v>
      </c>
      <c r="L1417" s="265">
        <v>-33</v>
      </c>
      <c r="M1417" s="265">
        <v>133</v>
      </c>
      <c r="N1417" s="265">
        <v>3424</v>
      </c>
      <c r="O1417" s="265">
        <v>1184</v>
      </c>
      <c r="P1417" s="265">
        <v>8126</v>
      </c>
      <c r="Q1417" s="265">
        <v>51199</v>
      </c>
      <c r="R1417" s="12" t="s">
        <v>4491</v>
      </c>
      <c r="S1417" s="12" t="s">
        <v>25</v>
      </c>
      <c r="T1417" s="12" t="s">
        <v>25</v>
      </c>
    </row>
    <row r="1418" spans="1:20" x14ac:dyDescent="0.3">
      <c r="A1418" s="13">
        <v>43952.708333333336</v>
      </c>
      <c r="B1418" s="12" t="s">
        <v>22</v>
      </c>
      <c r="C1418" s="265">
        <v>3</v>
      </c>
      <c r="D1418" s="12" t="s">
        <v>50</v>
      </c>
      <c r="E1418" s="265">
        <v>4546679409</v>
      </c>
      <c r="F1418" s="265">
        <v>9190347404</v>
      </c>
      <c r="G1418" s="265">
        <v>6628</v>
      </c>
      <c r="H1418" s="265">
        <v>563</v>
      </c>
      <c r="I1418" s="265">
        <v>7191</v>
      </c>
      <c r="J1418" s="265">
        <v>29282</v>
      </c>
      <c r="K1418" s="265">
        <v>36473</v>
      </c>
      <c r="L1418" s="265">
        <v>262</v>
      </c>
      <c r="M1418" s="265">
        <v>737</v>
      </c>
      <c r="N1418" s="265">
        <v>26136</v>
      </c>
      <c r="O1418" s="265">
        <v>13860</v>
      </c>
      <c r="P1418" s="265">
        <v>76469</v>
      </c>
      <c r="Q1418" s="265">
        <v>390644</v>
      </c>
      <c r="R1418" s="12" t="s">
        <v>4492</v>
      </c>
      <c r="S1418" s="12" t="s">
        <v>25</v>
      </c>
      <c r="T1418" s="12" t="s">
        <v>25</v>
      </c>
    </row>
    <row r="1419" spans="1:20" x14ac:dyDescent="0.3">
      <c r="A1419" s="13">
        <v>43952.708333333336</v>
      </c>
      <c r="B1419" s="12" t="s">
        <v>22</v>
      </c>
      <c r="C1419" s="265">
        <v>11</v>
      </c>
      <c r="D1419" s="12" t="s">
        <v>51</v>
      </c>
      <c r="E1419" s="265">
        <v>4361675973</v>
      </c>
      <c r="F1419" s="265">
        <v>135188753</v>
      </c>
      <c r="G1419" s="265">
        <v>413</v>
      </c>
      <c r="H1419" s="265">
        <v>44</v>
      </c>
      <c r="I1419" s="265">
        <v>457</v>
      </c>
      <c r="J1419" s="265">
        <v>2754</v>
      </c>
      <c r="K1419" s="265">
        <v>3211</v>
      </c>
      <c r="L1419" s="265">
        <v>1</v>
      </c>
      <c r="M1419" s="265">
        <v>28</v>
      </c>
      <c r="N1419" s="265">
        <v>2153</v>
      </c>
      <c r="O1419" s="265">
        <v>911</v>
      </c>
      <c r="P1419" s="265">
        <v>6275</v>
      </c>
      <c r="Q1419" s="265">
        <v>61241</v>
      </c>
      <c r="R1419" s="12" t="s">
        <v>4493</v>
      </c>
      <c r="S1419" s="12" t="s">
        <v>25</v>
      </c>
      <c r="T1419" s="12" t="s">
        <v>25</v>
      </c>
    </row>
    <row r="1420" spans="1:20" x14ac:dyDescent="0.3">
      <c r="A1420" s="13">
        <v>43952.708333333336</v>
      </c>
      <c r="B1420" s="12" t="s">
        <v>22</v>
      </c>
      <c r="C1420" s="265">
        <v>14</v>
      </c>
      <c r="D1420" s="12" t="s">
        <v>52</v>
      </c>
      <c r="E1420" s="265">
        <v>4155774754</v>
      </c>
      <c r="F1420" s="265">
        <v>1465916051</v>
      </c>
      <c r="G1420" s="265">
        <v>17</v>
      </c>
      <c r="H1420" s="265">
        <v>1</v>
      </c>
      <c r="I1420" s="265">
        <v>18</v>
      </c>
      <c r="J1420" s="265">
        <v>172</v>
      </c>
      <c r="K1420" s="265">
        <v>190</v>
      </c>
      <c r="L1420" s="265">
        <v>0</v>
      </c>
      <c r="M1420" s="265">
        <v>2</v>
      </c>
      <c r="N1420" s="265">
        <v>89</v>
      </c>
      <c r="O1420" s="265">
        <v>21</v>
      </c>
      <c r="P1420" s="265">
        <v>300</v>
      </c>
      <c r="Q1420" s="265">
        <v>6463</v>
      </c>
      <c r="R1420" s="12" t="s">
        <v>4494</v>
      </c>
      <c r="S1420" s="12" t="s">
        <v>25</v>
      </c>
      <c r="T1420" s="12" t="s">
        <v>25</v>
      </c>
    </row>
    <row r="1421" spans="1:20" x14ac:dyDescent="0.3">
      <c r="A1421" s="13">
        <v>43952.708333333336</v>
      </c>
      <c r="B1421" s="12" t="s">
        <v>22</v>
      </c>
      <c r="C1421" s="265">
        <v>1</v>
      </c>
      <c r="D1421" s="12" t="s">
        <v>53</v>
      </c>
      <c r="E1421" s="265">
        <v>450732745</v>
      </c>
      <c r="F1421" s="265">
        <v>7680687483</v>
      </c>
      <c r="G1421" s="265">
        <v>2503</v>
      </c>
      <c r="H1421" s="265">
        <v>181</v>
      </c>
      <c r="I1421" s="265">
        <v>2684</v>
      </c>
      <c r="J1421" s="265">
        <v>12878</v>
      </c>
      <c r="K1421" s="265">
        <v>15562</v>
      </c>
      <c r="L1421" s="265">
        <v>69</v>
      </c>
      <c r="M1421" s="265">
        <v>395</v>
      </c>
      <c r="N1421" s="265">
        <v>8025</v>
      </c>
      <c r="O1421" s="265">
        <v>3097</v>
      </c>
      <c r="P1421" s="265">
        <v>26684</v>
      </c>
      <c r="Q1421" s="265">
        <v>162568</v>
      </c>
      <c r="R1421" s="12" t="s">
        <v>4495</v>
      </c>
      <c r="S1421" s="12" t="s">
        <v>25</v>
      </c>
      <c r="T1421" s="12" t="s">
        <v>25</v>
      </c>
    </row>
    <row r="1422" spans="1:20" x14ac:dyDescent="0.3">
      <c r="A1422" s="13">
        <v>43952.708333333336</v>
      </c>
      <c r="B1422" s="12" t="s">
        <v>22</v>
      </c>
      <c r="C1422" s="265">
        <v>16</v>
      </c>
      <c r="D1422" s="12" t="s">
        <v>54</v>
      </c>
      <c r="E1422" s="265">
        <v>4112559576</v>
      </c>
      <c r="F1422" s="265">
        <v>1686736689</v>
      </c>
      <c r="G1422" s="265">
        <v>428</v>
      </c>
      <c r="H1422" s="265">
        <v>39</v>
      </c>
      <c r="I1422" s="265">
        <v>467</v>
      </c>
      <c r="J1422" s="265">
        <v>2480</v>
      </c>
      <c r="K1422" s="265">
        <v>2947</v>
      </c>
      <c r="L1422" s="265">
        <v>-2</v>
      </c>
      <c r="M1422" s="265">
        <v>27</v>
      </c>
      <c r="N1422" s="265">
        <v>731</v>
      </c>
      <c r="O1422" s="265">
        <v>421</v>
      </c>
      <c r="P1422" s="265">
        <v>4099</v>
      </c>
      <c r="Q1422" s="265">
        <v>64292</v>
      </c>
      <c r="R1422" s="12" t="s">
        <v>4496</v>
      </c>
      <c r="S1422" s="12" t="s">
        <v>25</v>
      </c>
      <c r="T1422" s="12" t="s">
        <v>25</v>
      </c>
    </row>
    <row r="1423" spans="1:20" x14ac:dyDescent="0.3">
      <c r="A1423" s="13">
        <v>43952.708333333336</v>
      </c>
      <c r="B1423" s="12" t="s">
        <v>22</v>
      </c>
      <c r="C1423" s="265">
        <v>20</v>
      </c>
      <c r="D1423" s="12" t="s">
        <v>55</v>
      </c>
      <c r="E1423" s="265">
        <v>3921531192</v>
      </c>
      <c r="F1423" s="265">
        <v>9110616306</v>
      </c>
      <c r="G1423" s="265">
        <v>84</v>
      </c>
      <c r="H1423" s="265">
        <v>12</v>
      </c>
      <c r="I1423" s="265">
        <v>96</v>
      </c>
      <c r="J1423" s="265">
        <v>648</v>
      </c>
      <c r="K1423" s="265">
        <v>744</v>
      </c>
      <c r="L1423" s="265">
        <v>0</v>
      </c>
      <c r="M1423" s="265">
        <v>18</v>
      </c>
      <c r="N1423" s="265">
        <v>452</v>
      </c>
      <c r="O1423" s="265">
        <v>117</v>
      </c>
      <c r="P1423" s="265">
        <v>1313</v>
      </c>
      <c r="Q1423" s="265">
        <v>26242</v>
      </c>
      <c r="R1423" s="12" t="s">
        <v>4497</v>
      </c>
      <c r="S1423" s="12" t="s">
        <v>25</v>
      </c>
      <c r="T1423" s="12" t="s">
        <v>25</v>
      </c>
    </row>
    <row r="1424" spans="1:20" x14ac:dyDescent="0.3">
      <c r="A1424" s="13">
        <v>43952.708333333336</v>
      </c>
      <c r="B1424" s="12" t="s">
        <v>22</v>
      </c>
      <c r="C1424" s="265">
        <v>19</v>
      </c>
      <c r="D1424" s="12" t="s">
        <v>56</v>
      </c>
      <c r="E1424" s="265">
        <v>3811569725</v>
      </c>
      <c r="F1424" s="265">
        <v>133623567</v>
      </c>
      <c r="G1424" s="265">
        <v>399</v>
      </c>
      <c r="H1424" s="265">
        <v>30</v>
      </c>
      <c r="I1424" s="265">
        <v>429</v>
      </c>
      <c r="J1424" s="265">
        <v>1742</v>
      </c>
      <c r="K1424" s="265">
        <v>2171</v>
      </c>
      <c r="L1424" s="265">
        <v>14</v>
      </c>
      <c r="M1424" s="265">
        <v>28</v>
      </c>
      <c r="N1424" s="265">
        <v>786</v>
      </c>
      <c r="O1424" s="265">
        <v>237</v>
      </c>
      <c r="P1424" s="265">
        <v>3194</v>
      </c>
      <c r="Q1424" s="265">
        <v>82860</v>
      </c>
      <c r="R1424" s="12" t="s">
        <v>4498</v>
      </c>
      <c r="S1424" s="12" t="s">
        <v>25</v>
      </c>
      <c r="T1424" s="12" t="s">
        <v>25</v>
      </c>
    </row>
    <row r="1425" spans="1:20" x14ac:dyDescent="0.3">
      <c r="A1425" s="13">
        <v>43952.708333333336</v>
      </c>
      <c r="B1425" s="12" t="s">
        <v>22</v>
      </c>
      <c r="C1425" s="265">
        <v>9</v>
      </c>
      <c r="D1425" s="12" t="s">
        <v>57</v>
      </c>
      <c r="E1425" s="265">
        <v>4376923077</v>
      </c>
      <c r="F1425" s="265">
        <v>1125588885</v>
      </c>
      <c r="G1425" s="265">
        <v>520</v>
      </c>
      <c r="H1425" s="265">
        <v>124</v>
      </c>
      <c r="I1425" s="265">
        <v>644</v>
      </c>
      <c r="J1425" s="265">
        <v>4729</v>
      </c>
      <c r="K1425" s="265">
        <v>5373</v>
      </c>
      <c r="L1425" s="265">
        <v>-211</v>
      </c>
      <c r="M1425" s="265">
        <v>93</v>
      </c>
      <c r="N1425" s="265">
        <v>3218</v>
      </c>
      <c r="O1425" s="265">
        <v>854</v>
      </c>
      <c r="P1425" s="265">
        <v>9445</v>
      </c>
      <c r="Q1425" s="265">
        <v>146456</v>
      </c>
      <c r="R1425" s="12" t="s">
        <v>4499</v>
      </c>
      <c r="S1425" s="12" t="s">
        <v>25</v>
      </c>
      <c r="T1425" s="12" t="s">
        <v>25</v>
      </c>
    </row>
    <row r="1426" spans="1:20" x14ac:dyDescent="0.3">
      <c r="A1426" s="13">
        <v>43952.708333333336</v>
      </c>
      <c r="B1426" s="12" t="s">
        <v>22</v>
      </c>
      <c r="C1426" s="265">
        <v>4</v>
      </c>
      <c r="D1426" s="12" t="s">
        <v>58</v>
      </c>
      <c r="E1426" s="265">
        <v>4606893511</v>
      </c>
      <c r="F1426" s="265">
        <v>1112123097</v>
      </c>
      <c r="G1426" s="265">
        <v>146</v>
      </c>
      <c r="H1426" s="265">
        <v>19</v>
      </c>
      <c r="I1426" s="265">
        <v>165</v>
      </c>
      <c r="J1426" s="265">
        <v>1128</v>
      </c>
      <c r="K1426" s="265">
        <v>1293</v>
      </c>
      <c r="L1426" s="265">
        <v>-77</v>
      </c>
      <c r="M1426" s="265">
        <v>16</v>
      </c>
      <c r="N1426" s="265">
        <v>2416</v>
      </c>
      <c r="O1426" s="265">
        <v>423</v>
      </c>
      <c r="P1426" s="265">
        <v>4132</v>
      </c>
      <c r="Q1426" s="265">
        <v>37838</v>
      </c>
      <c r="R1426" s="12" t="s">
        <v>4500</v>
      </c>
      <c r="S1426" s="12" t="s">
        <v>25</v>
      </c>
      <c r="T1426" s="12" t="s">
        <v>25</v>
      </c>
    </row>
    <row r="1427" spans="1:20" x14ac:dyDescent="0.3">
      <c r="A1427" s="13">
        <v>43952.708333333336</v>
      </c>
      <c r="B1427" s="12" t="s">
        <v>22</v>
      </c>
      <c r="C1427" s="265">
        <v>10</v>
      </c>
      <c r="D1427" s="12" t="s">
        <v>59</v>
      </c>
      <c r="E1427" s="265">
        <v>4310675841</v>
      </c>
      <c r="F1427" s="265">
        <v>1238824698</v>
      </c>
      <c r="G1427" s="265">
        <v>60</v>
      </c>
      <c r="H1427" s="265">
        <v>13</v>
      </c>
      <c r="I1427" s="265">
        <v>73</v>
      </c>
      <c r="J1427" s="265">
        <v>131</v>
      </c>
      <c r="K1427" s="265">
        <v>204</v>
      </c>
      <c r="L1427" s="265">
        <v>-29</v>
      </c>
      <c r="M1427" s="265">
        <v>1</v>
      </c>
      <c r="N1427" s="265">
        <v>1121</v>
      </c>
      <c r="O1427" s="265">
        <v>68</v>
      </c>
      <c r="P1427" s="265">
        <v>1393</v>
      </c>
      <c r="Q1427" s="265">
        <v>37762</v>
      </c>
      <c r="R1427" s="12" t="s">
        <v>4501</v>
      </c>
      <c r="S1427" s="12" t="s">
        <v>25</v>
      </c>
      <c r="T1427" s="12" t="s">
        <v>25</v>
      </c>
    </row>
    <row r="1428" spans="1:20" x14ac:dyDescent="0.3">
      <c r="A1428" s="13">
        <v>43952.708333333336</v>
      </c>
      <c r="B1428" s="12" t="s">
        <v>22</v>
      </c>
      <c r="C1428" s="265">
        <v>2</v>
      </c>
      <c r="D1428" s="12" t="s">
        <v>60</v>
      </c>
      <c r="E1428" s="265">
        <v>4573750286</v>
      </c>
      <c r="F1428" s="265">
        <v>7320149366</v>
      </c>
      <c r="G1428" s="265">
        <v>72</v>
      </c>
      <c r="H1428" s="265">
        <v>3</v>
      </c>
      <c r="I1428" s="265">
        <v>75</v>
      </c>
      <c r="J1428" s="265">
        <v>17</v>
      </c>
      <c r="K1428" s="265">
        <v>92</v>
      </c>
      <c r="L1428" s="265">
        <v>3</v>
      </c>
      <c r="M1428" s="265">
        <v>5</v>
      </c>
      <c r="N1428" s="265">
        <v>904</v>
      </c>
      <c r="O1428" s="265">
        <v>137</v>
      </c>
      <c r="P1428" s="265">
        <v>1133</v>
      </c>
      <c r="Q1428" s="265">
        <v>7769</v>
      </c>
      <c r="R1428" s="12" t="s">
        <v>4502</v>
      </c>
      <c r="S1428" s="12" t="s">
        <v>25</v>
      </c>
      <c r="T1428" s="12" t="s">
        <v>25</v>
      </c>
    </row>
    <row r="1429" spans="1:20" x14ac:dyDescent="0.3">
      <c r="A1429" s="13">
        <v>43952.708333333336</v>
      </c>
      <c r="B1429" s="12" t="s">
        <v>22</v>
      </c>
      <c r="C1429" s="265">
        <v>5</v>
      </c>
      <c r="D1429" s="12" t="s">
        <v>61</v>
      </c>
      <c r="E1429" s="265">
        <v>4543490485</v>
      </c>
      <c r="F1429" s="265">
        <v>1233845213</v>
      </c>
      <c r="G1429" s="265">
        <v>977</v>
      </c>
      <c r="H1429" s="265">
        <v>110</v>
      </c>
      <c r="I1429" s="265">
        <v>1087</v>
      </c>
      <c r="J1429" s="265">
        <v>6692</v>
      </c>
      <c r="K1429" s="265">
        <v>7779</v>
      </c>
      <c r="L1429" s="265">
        <v>-368</v>
      </c>
      <c r="M1429" s="265">
        <v>138</v>
      </c>
      <c r="N1429" s="265">
        <v>8840</v>
      </c>
      <c r="O1429" s="265">
        <v>1479</v>
      </c>
      <c r="P1429" s="265">
        <v>18098</v>
      </c>
      <c r="Q1429" s="265">
        <v>362459</v>
      </c>
      <c r="R1429" s="12" t="s">
        <v>4503</v>
      </c>
      <c r="S1429" s="12" t="s">
        <v>25</v>
      </c>
      <c r="T1429" s="12" t="s">
        <v>25</v>
      </c>
    </row>
    <row r="1430" spans="1:20" x14ac:dyDescent="0.3">
      <c r="A1430" s="13">
        <v>43953.708333333336</v>
      </c>
      <c r="B1430" s="12" t="s">
        <v>22</v>
      </c>
      <c r="C1430" s="265">
        <v>13</v>
      </c>
      <c r="D1430" s="12" t="s">
        <v>42</v>
      </c>
      <c r="E1430" s="265">
        <v>4235122196</v>
      </c>
      <c r="F1430" s="265">
        <v>1339843823</v>
      </c>
      <c r="G1430" s="265">
        <v>303</v>
      </c>
      <c r="H1430" s="265">
        <v>16</v>
      </c>
      <c r="I1430" s="265">
        <v>319</v>
      </c>
      <c r="J1430" s="265">
        <v>1560</v>
      </c>
      <c r="K1430" s="265">
        <v>1879</v>
      </c>
      <c r="L1430" s="265">
        <v>-32</v>
      </c>
      <c r="M1430" s="265">
        <v>16</v>
      </c>
      <c r="N1430" s="265">
        <v>758</v>
      </c>
      <c r="O1430" s="265">
        <v>327</v>
      </c>
      <c r="P1430" s="265">
        <v>2964</v>
      </c>
      <c r="Q1430" s="265">
        <v>39916</v>
      </c>
      <c r="R1430" s="12" t="s">
        <v>4504</v>
      </c>
      <c r="S1430" s="12" t="s">
        <v>25</v>
      </c>
      <c r="T1430" s="12" t="s">
        <v>25</v>
      </c>
    </row>
    <row r="1431" spans="1:20" x14ac:dyDescent="0.3">
      <c r="A1431" s="13">
        <v>43953.708333333336</v>
      </c>
      <c r="B1431" s="12" t="s">
        <v>22</v>
      </c>
      <c r="C1431" s="265">
        <v>17</v>
      </c>
      <c r="D1431" s="12" t="s">
        <v>43</v>
      </c>
      <c r="E1431" s="265">
        <v>4063947052</v>
      </c>
      <c r="F1431" s="265">
        <v>1580514834</v>
      </c>
      <c r="G1431" s="265">
        <v>48</v>
      </c>
      <c r="H1431" s="265">
        <v>4</v>
      </c>
      <c r="I1431" s="265">
        <v>52</v>
      </c>
      <c r="J1431" s="265">
        <v>139</v>
      </c>
      <c r="K1431" s="265">
        <v>191</v>
      </c>
      <c r="L1431" s="265">
        <v>-2</v>
      </c>
      <c r="M1431" s="265">
        <v>2</v>
      </c>
      <c r="N1431" s="265">
        <v>164</v>
      </c>
      <c r="O1431" s="265">
        <v>25</v>
      </c>
      <c r="P1431" s="265">
        <v>380</v>
      </c>
      <c r="Q1431" s="265">
        <v>13722</v>
      </c>
      <c r="R1431" s="12" t="s">
        <v>4505</v>
      </c>
      <c r="S1431" s="12" t="s">
        <v>25</v>
      </c>
      <c r="T1431" s="12" t="s">
        <v>25</v>
      </c>
    </row>
    <row r="1432" spans="1:20" x14ac:dyDescent="0.3">
      <c r="A1432" s="13">
        <v>43953.708333333336</v>
      </c>
      <c r="B1432" s="12" t="s">
        <v>22</v>
      </c>
      <c r="C1432" s="265">
        <v>4</v>
      </c>
      <c r="D1432" s="12" t="s">
        <v>44</v>
      </c>
      <c r="E1432" s="265">
        <v>4649933453</v>
      </c>
      <c r="F1432" s="265">
        <v>1135662422</v>
      </c>
      <c r="G1432" s="265">
        <v>113</v>
      </c>
      <c r="H1432" s="265">
        <v>10</v>
      </c>
      <c r="I1432" s="265">
        <v>123</v>
      </c>
      <c r="J1432" s="265">
        <v>580</v>
      </c>
      <c r="K1432" s="265">
        <v>703</v>
      </c>
      <c r="L1432" s="265">
        <v>-54</v>
      </c>
      <c r="M1432" s="265">
        <v>7</v>
      </c>
      <c r="N1432" s="265">
        <v>1553</v>
      </c>
      <c r="O1432" s="265">
        <v>279</v>
      </c>
      <c r="P1432" s="265">
        <v>2535</v>
      </c>
      <c r="Q1432" s="265">
        <v>43804</v>
      </c>
      <c r="R1432" s="12" t="s">
        <v>4506</v>
      </c>
      <c r="S1432" s="12" t="s">
        <v>25</v>
      </c>
      <c r="T1432" s="12" t="s">
        <v>25</v>
      </c>
    </row>
    <row r="1433" spans="1:20" x14ac:dyDescent="0.3">
      <c r="A1433" s="13">
        <v>43953.708333333336</v>
      </c>
      <c r="B1433" s="12" t="s">
        <v>22</v>
      </c>
      <c r="C1433" s="265">
        <v>18</v>
      </c>
      <c r="D1433" s="12" t="s">
        <v>45</v>
      </c>
      <c r="E1433" s="265">
        <v>3890597598</v>
      </c>
      <c r="F1433" s="265">
        <v>1659440194</v>
      </c>
      <c r="G1433" s="265">
        <v>100</v>
      </c>
      <c r="H1433" s="265">
        <v>4</v>
      </c>
      <c r="I1433" s="265">
        <v>104</v>
      </c>
      <c r="J1433" s="265">
        <v>609</v>
      </c>
      <c r="K1433" s="265">
        <v>713</v>
      </c>
      <c r="L1433" s="265">
        <v>-14</v>
      </c>
      <c r="M1433" s="265">
        <v>0</v>
      </c>
      <c r="N1433" s="265">
        <v>311</v>
      </c>
      <c r="O1433" s="265">
        <v>88</v>
      </c>
      <c r="P1433" s="265">
        <v>1112</v>
      </c>
      <c r="Q1433" s="265">
        <v>37928</v>
      </c>
      <c r="R1433" s="12" t="s">
        <v>4507</v>
      </c>
      <c r="S1433" s="12" t="s">
        <v>25</v>
      </c>
      <c r="T1433" s="12" t="s">
        <v>25</v>
      </c>
    </row>
    <row r="1434" spans="1:20" x14ac:dyDescent="0.3">
      <c r="A1434" s="13">
        <v>43953.708333333336</v>
      </c>
      <c r="B1434" s="12" t="s">
        <v>22</v>
      </c>
      <c r="C1434" s="265">
        <v>15</v>
      </c>
      <c r="D1434" s="12" t="s">
        <v>46</v>
      </c>
      <c r="E1434" s="265">
        <v>4083956555</v>
      </c>
      <c r="F1434" s="265">
        <v>1425084984</v>
      </c>
      <c r="G1434" s="265">
        <v>470</v>
      </c>
      <c r="H1434" s="265">
        <v>27</v>
      </c>
      <c r="I1434" s="265">
        <v>497</v>
      </c>
      <c r="J1434" s="265">
        <v>2224</v>
      </c>
      <c r="K1434" s="265">
        <v>2721</v>
      </c>
      <c r="L1434" s="265">
        <v>-32</v>
      </c>
      <c r="M1434" s="265">
        <v>15</v>
      </c>
      <c r="N1434" s="265">
        <v>1376</v>
      </c>
      <c r="O1434" s="265">
        <v>362</v>
      </c>
      <c r="P1434" s="265">
        <v>4459</v>
      </c>
      <c r="Q1434" s="265">
        <v>83592</v>
      </c>
      <c r="R1434" s="12" t="s">
        <v>4508</v>
      </c>
      <c r="S1434" s="12" t="s">
        <v>25</v>
      </c>
      <c r="T1434" s="12" t="s">
        <v>25</v>
      </c>
    </row>
    <row r="1435" spans="1:20" x14ac:dyDescent="0.3">
      <c r="A1435" s="13">
        <v>43953.708333333336</v>
      </c>
      <c r="B1435" s="12" t="s">
        <v>22</v>
      </c>
      <c r="C1435" s="265">
        <v>8</v>
      </c>
      <c r="D1435" s="12" t="s">
        <v>95</v>
      </c>
      <c r="E1435" s="265">
        <v>4449436681</v>
      </c>
      <c r="F1435" s="265">
        <v>113417208</v>
      </c>
      <c r="G1435" s="265">
        <v>2033</v>
      </c>
      <c r="H1435" s="265">
        <v>196</v>
      </c>
      <c r="I1435" s="265">
        <v>2229</v>
      </c>
      <c r="J1435" s="265">
        <v>7094</v>
      </c>
      <c r="K1435" s="265">
        <v>9323</v>
      </c>
      <c r="L1435" s="265">
        <v>-161</v>
      </c>
      <c r="M1435" s="265">
        <v>206</v>
      </c>
      <c r="N1435" s="265">
        <v>12913</v>
      </c>
      <c r="O1435" s="265">
        <v>3614</v>
      </c>
      <c r="P1435" s="265">
        <v>25850</v>
      </c>
      <c r="Q1435" s="265">
        <v>192135</v>
      </c>
      <c r="R1435" s="12" t="s">
        <v>4509</v>
      </c>
      <c r="S1435" s="12" t="s">
        <v>25</v>
      </c>
      <c r="T1435" s="12" t="s">
        <v>25</v>
      </c>
    </row>
    <row r="1436" spans="1:20" x14ac:dyDescent="0.3">
      <c r="A1436" s="13">
        <v>43953.708333333336</v>
      </c>
      <c r="B1436" s="12" t="s">
        <v>22</v>
      </c>
      <c r="C1436" s="265">
        <v>6</v>
      </c>
      <c r="D1436" s="12" t="s">
        <v>47</v>
      </c>
      <c r="E1436" s="265">
        <v>456494354</v>
      </c>
      <c r="F1436" s="265">
        <v>1376813649</v>
      </c>
      <c r="G1436" s="265">
        <v>131</v>
      </c>
      <c r="H1436" s="265">
        <v>5</v>
      </c>
      <c r="I1436" s="265">
        <v>136</v>
      </c>
      <c r="J1436" s="265">
        <v>973</v>
      </c>
      <c r="K1436" s="265">
        <v>1109</v>
      </c>
      <c r="L1436" s="265">
        <v>-6</v>
      </c>
      <c r="M1436" s="265">
        <v>18</v>
      </c>
      <c r="N1436" s="265">
        <v>1655</v>
      </c>
      <c r="O1436" s="265">
        <v>295</v>
      </c>
      <c r="P1436" s="265">
        <v>3059</v>
      </c>
      <c r="Q1436" s="265">
        <v>73855</v>
      </c>
      <c r="R1436" s="12" t="s">
        <v>4510</v>
      </c>
      <c r="S1436" s="12" t="s">
        <v>25</v>
      </c>
      <c r="T1436" s="12" t="s">
        <v>25</v>
      </c>
    </row>
    <row r="1437" spans="1:20" x14ac:dyDescent="0.3">
      <c r="A1437" s="13">
        <v>43953.708333333336</v>
      </c>
      <c r="B1437" s="12" t="s">
        <v>22</v>
      </c>
      <c r="C1437" s="265">
        <v>12</v>
      </c>
      <c r="D1437" s="12" t="s">
        <v>48</v>
      </c>
      <c r="E1437" s="265">
        <v>4189277044</v>
      </c>
      <c r="F1437" s="265">
        <v>1248366722</v>
      </c>
      <c r="G1437" s="265">
        <v>1370</v>
      </c>
      <c r="H1437" s="265">
        <v>96</v>
      </c>
      <c r="I1437" s="265">
        <v>1466</v>
      </c>
      <c r="J1437" s="265">
        <v>2986</v>
      </c>
      <c r="K1437" s="265">
        <v>4452</v>
      </c>
      <c r="L1437" s="265">
        <v>6</v>
      </c>
      <c r="M1437" s="265">
        <v>84</v>
      </c>
      <c r="N1437" s="265">
        <v>1807</v>
      </c>
      <c r="O1437" s="265">
        <v>497</v>
      </c>
      <c r="P1437" s="265">
        <v>6756</v>
      </c>
      <c r="Q1437" s="265">
        <v>147078</v>
      </c>
      <c r="R1437" s="12" t="s">
        <v>4511</v>
      </c>
      <c r="S1437" s="12" t="s">
        <v>25</v>
      </c>
      <c r="T1437" s="12" t="s">
        <v>25</v>
      </c>
    </row>
    <row r="1438" spans="1:20" x14ac:dyDescent="0.3">
      <c r="A1438" s="13">
        <v>43953.708333333336</v>
      </c>
      <c r="B1438" s="12" t="s">
        <v>22</v>
      </c>
      <c r="C1438" s="265">
        <v>7</v>
      </c>
      <c r="D1438" s="12" t="s">
        <v>49</v>
      </c>
      <c r="E1438" s="265">
        <v>4441149315</v>
      </c>
      <c r="F1438" s="265">
        <v>89326992</v>
      </c>
      <c r="G1438" s="265">
        <v>647</v>
      </c>
      <c r="H1438" s="265">
        <v>68</v>
      </c>
      <c r="I1438" s="265">
        <v>715</v>
      </c>
      <c r="J1438" s="265">
        <v>2883</v>
      </c>
      <c r="K1438" s="265">
        <v>3598</v>
      </c>
      <c r="L1438" s="265">
        <v>80</v>
      </c>
      <c r="M1438" s="265">
        <v>186</v>
      </c>
      <c r="N1438" s="265">
        <v>3519</v>
      </c>
      <c r="O1438" s="265">
        <v>1195</v>
      </c>
      <c r="P1438" s="265">
        <v>8312</v>
      </c>
      <c r="Q1438" s="265">
        <v>53202</v>
      </c>
      <c r="R1438" s="12" t="s">
        <v>4512</v>
      </c>
      <c r="S1438" s="12" t="s">
        <v>25</v>
      </c>
      <c r="T1438" s="12" t="s">
        <v>25</v>
      </c>
    </row>
    <row r="1439" spans="1:20" x14ac:dyDescent="0.3">
      <c r="A1439" s="13">
        <v>43953.708333333336</v>
      </c>
      <c r="B1439" s="12" t="s">
        <v>22</v>
      </c>
      <c r="C1439" s="265">
        <v>3</v>
      </c>
      <c r="D1439" s="12" t="s">
        <v>50</v>
      </c>
      <c r="E1439" s="265">
        <v>4546679409</v>
      </c>
      <c r="F1439" s="265">
        <v>9190347404</v>
      </c>
      <c r="G1439" s="265">
        <v>6529</v>
      </c>
      <c r="H1439" s="265">
        <v>545</v>
      </c>
      <c r="I1439" s="265">
        <v>7074</v>
      </c>
      <c r="J1439" s="265">
        <v>29593</v>
      </c>
      <c r="K1439" s="265">
        <v>36667</v>
      </c>
      <c r="L1439" s="265">
        <v>194</v>
      </c>
      <c r="M1439" s="265">
        <v>533</v>
      </c>
      <c r="N1439" s="265">
        <v>26146</v>
      </c>
      <c r="O1439" s="265">
        <v>14189</v>
      </c>
      <c r="P1439" s="265">
        <v>77002</v>
      </c>
      <c r="Q1439" s="265">
        <v>403702</v>
      </c>
      <c r="R1439" s="12" t="s">
        <v>4513</v>
      </c>
      <c r="S1439" s="12" t="s">
        <v>4514</v>
      </c>
      <c r="T1439" s="12" t="s">
        <v>4515</v>
      </c>
    </row>
    <row r="1440" spans="1:20" x14ac:dyDescent="0.3">
      <c r="A1440" s="13">
        <v>43953.708333333336</v>
      </c>
      <c r="B1440" s="12" t="s">
        <v>22</v>
      </c>
      <c r="C1440" s="265">
        <v>11</v>
      </c>
      <c r="D1440" s="12" t="s">
        <v>51</v>
      </c>
      <c r="E1440" s="265">
        <v>4361675973</v>
      </c>
      <c r="F1440" s="265">
        <v>135188753</v>
      </c>
      <c r="G1440" s="265">
        <v>399</v>
      </c>
      <c r="H1440" s="265">
        <v>46</v>
      </c>
      <c r="I1440" s="265">
        <v>445</v>
      </c>
      <c r="J1440" s="265">
        <v>2760</v>
      </c>
      <c r="K1440" s="265">
        <v>3205</v>
      </c>
      <c r="L1440" s="265">
        <v>-6</v>
      </c>
      <c r="M1440" s="265">
        <v>23</v>
      </c>
      <c r="N1440" s="265">
        <v>2177</v>
      </c>
      <c r="O1440" s="265">
        <v>916</v>
      </c>
      <c r="P1440" s="265">
        <v>6298</v>
      </c>
      <c r="Q1440" s="265">
        <v>62834</v>
      </c>
      <c r="R1440" s="12" t="s">
        <v>4516</v>
      </c>
      <c r="S1440" s="12" t="s">
        <v>25</v>
      </c>
      <c r="T1440" s="12" t="s">
        <v>25</v>
      </c>
    </row>
    <row r="1441" spans="1:20" x14ac:dyDescent="0.3">
      <c r="A1441" s="13">
        <v>43953.708333333336</v>
      </c>
      <c r="B1441" s="12" t="s">
        <v>22</v>
      </c>
      <c r="C1441" s="265">
        <v>14</v>
      </c>
      <c r="D1441" s="12" t="s">
        <v>52</v>
      </c>
      <c r="E1441" s="265">
        <v>4155774754</v>
      </c>
      <c r="F1441" s="265">
        <v>1465916051</v>
      </c>
      <c r="G1441" s="265">
        <v>9</v>
      </c>
      <c r="H1441" s="265">
        <v>1</v>
      </c>
      <c r="I1441" s="265">
        <v>10</v>
      </c>
      <c r="J1441" s="265">
        <v>172</v>
      </c>
      <c r="K1441" s="265">
        <v>182</v>
      </c>
      <c r="L1441" s="265">
        <v>-8</v>
      </c>
      <c r="M1441" s="265">
        <v>1</v>
      </c>
      <c r="N1441" s="265">
        <v>98</v>
      </c>
      <c r="O1441" s="265">
        <v>21</v>
      </c>
      <c r="P1441" s="265">
        <v>301</v>
      </c>
      <c r="Q1441" s="265">
        <v>7075</v>
      </c>
      <c r="R1441" s="12" t="s">
        <v>4517</v>
      </c>
      <c r="S1441" s="12" t="s">
        <v>25</v>
      </c>
      <c r="T1441" s="12" t="s">
        <v>25</v>
      </c>
    </row>
    <row r="1442" spans="1:20" x14ac:dyDescent="0.3">
      <c r="A1442" s="13">
        <v>43953.708333333336</v>
      </c>
      <c r="B1442" s="12" t="s">
        <v>22</v>
      </c>
      <c r="C1442" s="265">
        <v>1</v>
      </c>
      <c r="D1442" s="12" t="s">
        <v>53</v>
      </c>
      <c r="E1442" s="265">
        <v>450732745</v>
      </c>
      <c r="F1442" s="265">
        <v>7680687483</v>
      </c>
      <c r="G1442" s="265">
        <v>2550</v>
      </c>
      <c r="H1442" s="265">
        <v>178</v>
      </c>
      <c r="I1442" s="265">
        <v>2728</v>
      </c>
      <c r="J1442" s="265">
        <v>12991</v>
      </c>
      <c r="K1442" s="265">
        <v>15719</v>
      </c>
      <c r="L1442" s="265">
        <v>157</v>
      </c>
      <c r="M1442" s="265">
        <v>495</v>
      </c>
      <c r="N1442" s="265">
        <v>8334</v>
      </c>
      <c r="O1442" s="265">
        <v>3126</v>
      </c>
      <c r="P1442" s="265">
        <v>27179</v>
      </c>
      <c r="Q1442" s="265">
        <v>168479</v>
      </c>
      <c r="R1442" s="12" t="s">
        <v>4518</v>
      </c>
      <c r="S1442" s="12" t="s">
        <v>25</v>
      </c>
      <c r="T1442" s="12" t="s">
        <v>25</v>
      </c>
    </row>
    <row r="1443" spans="1:20" x14ac:dyDescent="0.3">
      <c r="A1443" s="13">
        <v>43953.708333333336</v>
      </c>
      <c r="B1443" s="12" t="s">
        <v>22</v>
      </c>
      <c r="C1443" s="265">
        <v>16</v>
      </c>
      <c r="D1443" s="12" t="s">
        <v>54</v>
      </c>
      <c r="E1443" s="265">
        <v>4112559576</v>
      </c>
      <c r="F1443" s="265">
        <v>1686736689</v>
      </c>
      <c r="G1443" s="265">
        <v>416</v>
      </c>
      <c r="H1443" s="265">
        <v>39</v>
      </c>
      <c r="I1443" s="265">
        <v>455</v>
      </c>
      <c r="J1443" s="265">
        <v>2499</v>
      </c>
      <c r="K1443" s="265">
        <v>2954</v>
      </c>
      <c r="L1443" s="265">
        <v>7</v>
      </c>
      <c r="M1443" s="265">
        <v>34</v>
      </c>
      <c r="N1443" s="265">
        <v>757</v>
      </c>
      <c r="O1443" s="265">
        <v>422</v>
      </c>
      <c r="P1443" s="265">
        <v>4133</v>
      </c>
      <c r="Q1443" s="265">
        <v>65370</v>
      </c>
      <c r="R1443" s="12" t="s">
        <v>4519</v>
      </c>
      <c r="S1443" s="12" t="s">
        <v>25</v>
      </c>
      <c r="T1443" s="12" t="s">
        <v>25</v>
      </c>
    </row>
    <row r="1444" spans="1:20" x14ac:dyDescent="0.3">
      <c r="A1444" s="13">
        <v>43953.708333333336</v>
      </c>
      <c r="B1444" s="12" t="s">
        <v>22</v>
      </c>
      <c r="C1444" s="265">
        <v>20</v>
      </c>
      <c r="D1444" s="12" t="s">
        <v>55</v>
      </c>
      <c r="E1444" s="265">
        <v>3921531192</v>
      </c>
      <c r="F1444" s="265">
        <v>9110616306</v>
      </c>
      <c r="G1444" s="265">
        <v>86</v>
      </c>
      <c r="H1444" s="265">
        <v>13</v>
      </c>
      <c r="I1444" s="265">
        <v>99</v>
      </c>
      <c r="J1444" s="265">
        <v>631</v>
      </c>
      <c r="K1444" s="265">
        <v>730</v>
      </c>
      <c r="L1444" s="265">
        <v>-14</v>
      </c>
      <c r="M1444" s="265">
        <v>2</v>
      </c>
      <c r="N1444" s="265">
        <v>466</v>
      </c>
      <c r="O1444" s="265">
        <v>119</v>
      </c>
      <c r="P1444" s="265">
        <v>1315</v>
      </c>
      <c r="Q1444" s="265">
        <v>26990</v>
      </c>
      <c r="R1444" s="12" t="s">
        <v>4520</v>
      </c>
      <c r="S1444" s="12" t="s">
        <v>25</v>
      </c>
      <c r="T1444" s="12" t="s">
        <v>25</v>
      </c>
    </row>
    <row r="1445" spans="1:20" x14ac:dyDescent="0.3">
      <c r="A1445" s="13">
        <v>43953.708333333336</v>
      </c>
      <c r="B1445" s="12" t="s">
        <v>22</v>
      </c>
      <c r="C1445" s="265">
        <v>19</v>
      </c>
      <c r="D1445" s="12" t="s">
        <v>56</v>
      </c>
      <c r="E1445" s="265">
        <v>3811569725</v>
      </c>
      <c r="F1445" s="265">
        <v>133623567</v>
      </c>
      <c r="G1445" s="265">
        <v>396</v>
      </c>
      <c r="H1445" s="265">
        <v>30</v>
      </c>
      <c r="I1445" s="265">
        <v>426</v>
      </c>
      <c r="J1445" s="265">
        <v>1760</v>
      </c>
      <c r="K1445" s="265">
        <v>2186</v>
      </c>
      <c r="L1445" s="265">
        <v>15</v>
      </c>
      <c r="M1445" s="265">
        <v>19</v>
      </c>
      <c r="N1445" s="265">
        <v>787</v>
      </c>
      <c r="O1445" s="265">
        <v>240</v>
      </c>
      <c r="P1445" s="265">
        <v>3213</v>
      </c>
      <c r="Q1445" s="265">
        <v>84352</v>
      </c>
      <c r="R1445" s="12" t="s">
        <v>4521</v>
      </c>
      <c r="S1445" s="12" t="s">
        <v>25</v>
      </c>
      <c r="T1445" s="12" t="s">
        <v>25</v>
      </c>
    </row>
    <row r="1446" spans="1:20" x14ac:dyDescent="0.3">
      <c r="A1446" s="13">
        <v>43953.708333333336</v>
      </c>
      <c r="B1446" s="12" t="s">
        <v>22</v>
      </c>
      <c r="C1446" s="265">
        <v>9</v>
      </c>
      <c r="D1446" s="12" t="s">
        <v>57</v>
      </c>
      <c r="E1446" s="265">
        <v>4376923077</v>
      </c>
      <c r="F1446" s="265">
        <v>1125588885</v>
      </c>
      <c r="G1446" s="265">
        <v>519</v>
      </c>
      <c r="H1446" s="265">
        <v>118</v>
      </c>
      <c r="I1446" s="265">
        <v>637</v>
      </c>
      <c r="J1446" s="265">
        <v>4728</v>
      </c>
      <c r="K1446" s="265">
        <v>5365</v>
      </c>
      <c r="L1446" s="265">
        <v>-8</v>
      </c>
      <c r="M1446" s="265">
        <v>80</v>
      </c>
      <c r="N1446" s="265">
        <v>3297</v>
      </c>
      <c r="O1446" s="265">
        <v>863</v>
      </c>
      <c r="P1446" s="265">
        <v>9525</v>
      </c>
      <c r="Q1446" s="265">
        <v>148223</v>
      </c>
      <c r="R1446" s="12" t="s">
        <v>4522</v>
      </c>
      <c r="S1446" s="12" t="s">
        <v>25</v>
      </c>
      <c r="T1446" s="12" t="s">
        <v>25</v>
      </c>
    </row>
    <row r="1447" spans="1:20" x14ac:dyDescent="0.3">
      <c r="A1447" s="13">
        <v>43953.708333333336</v>
      </c>
      <c r="B1447" s="12" t="s">
        <v>22</v>
      </c>
      <c r="C1447" s="265">
        <v>4</v>
      </c>
      <c r="D1447" s="12" t="s">
        <v>58</v>
      </c>
      <c r="E1447" s="265">
        <v>4606893511</v>
      </c>
      <c r="F1447" s="265">
        <v>1112123097</v>
      </c>
      <c r="G1447" s="265">
        <v>138</v>
      </c>
      <c r="H1447" s="265">
        <v>19</v>
      </c>
      <c r="I1447" s="265">
        <v>157</v>
      </c>
      <c r="J1447" s="265">
        <v>1125</v>
      </c>
      <c r="K1447" s="265">
        <v>1282</v>
      </c>
      <c r="L1447" s="265">
        <v>-11</v>
      </c>
      <c r="M1447" s="265">
        <v>49</v>
      </c>
      <c r="N1447" s="265">
        <v>2474</v>
      </c>
      <c r="O1447" s="265">
        <v>425</v>
      </c>
      <c r="P1447" s="265">
        <v>4181</v>
      </c>
      <c r="Q1447" s="265">
        <v>39579</v>
      </c>
      <c r="R1447" s="12" t="s">
        <v>4523</v>
      </c>
      <c r="S1447" s="12" t="s">
        <v>25</v>
      </c>
      <c r="T1447" s="12" t="s">
        <v>25</v>
      </c>
    </row>
    <row r="1448" spans="1:20" x14ac:dyDescent="0.3">
      <c r="A1448" s="13">
        <v>43953.708333333336</v>
      </c>
      <c r="B1448" s="12" t="s">
        <v>22</v>
      </c>
      <c r="C1448" s="265">
        <v>10</v>
      </c>
      <c r="D1448" s="12" t="s">
        <v>59</v>
      </c>
      <c r="E1448" s="265">
        <v>4310675841</v>
      </c>
      <c r="F1448" s="265">
        <v>1238824698</v>
      </c>
      <c r="G1448" s="265">
        <v>60</v>
      </c>
      <c r="H1448" s="265">
        <v>13</v>
      </c>
      <c r="I1448" s="265">
        <v>73</v>
      </c>
      <c r="J1448" s="265">
        <v>123</v>
      </c>
      <c r="K1448" s="265">
        <v>196</v>
      </c>
      <c r="L1448" s="265">
        <v>-8</v>
      </c>
      <c r="M1448" s="265">
        <v>1</v>
      </c>
      <c r="N1448" s="265">
        <v>1130</v>
      </c>
      <c r="O1448" s="265">
        <v>68</v>
      </c>
      <c r="P1448" s="265">
        <v>1394</v>
      </c>
      <c r="Q1448" s="265">
        <v>38072</v>
      </c>
      <c r="R1448" s="12" t="s">
        <v>4524</v>
      </c>
      <c r="S1448" s="12" t="s">
        <v>25</v>
      </c>
      <c r="T1448" s="12" t="s">
        <v>25</v>
      </c>
    </row>
    <row r="1449" spans="1:20" x14ac:dyDescent="0.3">
      <c r="A1449" s="13">
        <v>43953.708333333336</v>
      </c>
      <c r="B1449" s="12" t="s">
        <v>22</v>
      </c>
      <c r="C1449" s="265">
        <v>2</v>
      </c>
      <c r="D1449" s="12" t="s">
        <v>60</v>
      </c>
      <c r="E1449" s="265">
        <v>4573750286</v>
      </c>
      <c r="F1449" s="265">
        <v>7320149366</v>
      </c>
      <c r="G1449" s="265">
        <v>70</v>
      </c>
      <c r="H1449" s="265">
        <v>3</v>
      </c>
      <c r="I1449" s="265">
        <v>73</v>
      </c>
      <c r="J1449" s="265">
        <v>25</v>
      </c>
      <c r="K1449" s="265">
        <v>98</v>
      </c>
      <c r="L1449" s="265">
        <v>6</v>
      </c>
      <c r="M1449" s="265">
        <v>3</v>
      </c>
      <c r="N1449" s="265">
        <v>901</v>
      </c>
      <c r="O1449" s="265">
        <v>137</v>
      </c>
      <c r="P1449" s="265">
        <v>1136</v>
      </c>
      <c r="Q1449" s="265">
        <v>7951</v>
      </c>
      <c r="R1449" s="12" t="s">
        <v>4525</v>
      </c>
      <c r="S1449" s="12" t="s">
        <v>25</v>
      </c>
      <c r="T1449" s="12" t="s">
        <v>25</v>
      </c>
    </row>
    <row r="1450" spans="1:20" x14ac:dyDescent="0.3">
      <c r="A1450" s="13">
        <v>43953.708333333336</v>
      </c>
      <c r="B1450" s="12" t="s">
        <v>22</v>
      </c>
      <c r="C1450" s="265">
        <v>5</v>
      </c>
      <c r="D1450" s="12" t="s">
        <v>61</v>
      </c>
      <c r="E1450" s="265">
        <v>4543490485</v>
      </c>
      <c r="F1450" s="265">
        <v>1233845213</v>
      </c>
      <c r="G1450" s="265">
        <v>970</v>
      </c>
      <c r="H1450" s="265">
        <v>108</v>
      </c>
      <c r="I1450" s="265">
        <v>1078</v>
      </c>
      <c r="J1450" s="265">
        <v>6353</v>
      </c>
      <c r="K1450" s="265">
        <v>7431</v>
      </c>
      <c r="L1450" s="265">
        <v>-348</v>
      </c>
      <c r="M1450" s="265">
        <v>126</v>
      </c>
      <c r="N1450" s="265">
        <v>9291</v>
      </c>
      <c r="O1450" s="265">
        <v>1502</v>
      </c>
      <c r="P1450" s="265">
        <v>18224</v>
      </c>
      <c r="Q1450" s="265">
        <v>370978</v>
      </c>
      <c r="R1450" s="12" t="s">
        <v>4526</v>
      </c>
      <c r="S1450" s="12" t="s">
        <v>25</v>
      </c>
      <c r="T1450" s="12" t="s">
        <v>25</v>
      </c>
    </row>
    <row r="1451" spans="1:20" x14ac:dyDescent="0.3">
      <c r="A1451" s="13">
        <v>43954.708333333336</v>
      </c>
      <c r="B1451" s="12" t="s">
        <v>22</v>
      </c>
      <c r="C1451" s="265">
        <v>13</v>
      </c>
      <c r="D1451" s="12" t="s">
        <v>42</v>
      </c>
      <c r="E1451" s="265">
        <v>4235122196</v>
      </c>
      <c r="F1451" s="265">
        <v>1339843823</v>
      </c>
      <c r="G1451" s="265">
        <v>300</v>
      </c>
      <c r="H1451" s="265">
        <v>16</v>
      </c>
      <c r="I1451" s="265">
        <v>316</v>
      </c>
      <c r="J1451" s="265">
        <v>1552</v>
      </c>
      <c r="K1451" s="265">
        <v>1868</v>
      </c>
      <c r="L1451" s="265">
        <v>-11</v>
      </c>
      <c r="M1451" s="265">
        <v>32</v>
      </c>
      <c r="N1451" s="265">
        <v>798</v>
      </c>
      <c r="O1451" s="265">
        <v>330</v>
      </c>
      <c r="P1451" s="265">
        <v>2996</v>
      </c>
      <c r="Q1451" s="265">
        <v>40699</v>
      </c>
      <c r="R1451" s="12" t="s">
        <v>4527</v>
      </c>
      <c r="S1451" s="12" t="s">
        <v>25</v>
      </c>
      <c r="T1451" s="12" t="s">
        <v>25</v>
      </c>
    </row>
    <row r="1452" spans="1:20" x14ac:dyDescent="0.3">
      <c r="A1452" s="13">
        <v>43954.708333333336</v>
      </c>
      <c r="B1452" s="12" t="s">
        <v>22</v>
      </c>
      <c r="C1452" s="265">
        <v>17</v>
      </c>
      <c r="D1452" s="12" t="s">
        <v>43</v>
      </c>
      <c r="E1452" s="265">
        <v>4063947052</v>
      </c>
      <c r="F1452" s="265">
        <v>1580514834</v>
      </c>
      <c r="G1452" s="265">
        <v>48</v>
      </c>
      <c r="H1452" s="265">
        <v>3</v>
      </c>
      <c r="I1452" s="265">
        <v>51</v>
      </c>
      <c r="J1452" s="265">
        <v>143</v>
      </c>
      <c r="K1452" s="265">
        <v>194</v>
      </c>
      <c r="L1452" s="265">
        <v>3</v>
      </c>
      <c r="M1452" s="265">
        <v>6</v>
      </c>
      <c r="N1452" s="265">
        <v>167</v>
      </c>
      <c r="O1452" s="265">
        <v>25</v>
      </c>
      <c r="P1452" s="265">
        <v>386</v>
      </c>
      <c r="Q1452" s="265">
        <v>14210</v>
      </c>
      <c r="R1452" s="12" t="s">
        <v>4528</v>
      </c>
      <c r="S1452" s="12" t="s">
        <v>25</v>
      </c>
      <c r="T1452" s="12" t="s">
        <v>25</v>
      </c>
    </row>
    <row r="1453" spans="1:20" x14ac:dyDescent="0.3">
      <c r="A1453" s="13">
        <v>43954.708333333336</v>
      </c>
      <c r="B1453" s="12" t="s">
        <v>22</v>
      </c>
      <c r="C1453" s="265">
        <v>4</v>
      </c>
      <c r="D1453" s="12" t="s">
        <v>44</v>
      </c>
      <c r="E1453" s="265">
        <v>4649933453</v>
      </c>
      <c r="F1453" s="265">
        <v>1135662422</v>
      </c>
      <c r="G1453" s="265">
        <v>109</v>
      </c>
      <c r="H1453" s="265">
        <v>11</v>
      </c>
      <c r="I1453" s="265">
        <v>120</v>
      </c>
      <c r="J1453" s="265">
        <v>545</v>
      </c>
      <c r="K1453" s="265">
        <v>665</v>
      </c>
      <c r="L1453" s="265">
        <v>-38</v>
      </c>
      <c r="M1453" s="265">
        <v>1</v>
      </c>
      <c r="N1453" s="265">
        <v>1590</v>
      </c>
      <c r="O1453" s="265">
        <v>281</v>
      </c>
      <c r="P1453" s="265">
        <v>2536</v>
      </c>
      <c r="Q1453" s="265">
        <v>44240</v>
      </c>
      <c r="R1453" s="12" t="s">
        <v>4529</v>
      </c>
      <c r="S1453" s="12" t="s">
        <v>25</v>
      </c>
      <c r="T1453" s="12" t="s">
        <v>25</v>
      </c>
    </row>
    <row r="1454" spans="1:20" x14ac:dyDescent="0.3">
      <c r="A1454" s="13">
        <v>43954.708333333336</v>
      </c>
      <c r="B1454" s="12" t="s">
        <v>22</v>
      </c>
      <c r="C1454" s="265">
        <v>18</v>
      </c>
      <c r="D1454" s="12" t="s">
        <v>45</v>
      </c>
      <c r="E1454" s="265">
        <v>3890597598</v>
      </c>
      <c r="F1454" s="265">
        <v>1659440194</v>
      </c>
      <c r="G1454" s="265">
        <v>95</v>
      </c>
      <c r="H1454" s="265">
        <v>4</v>
      </c>
      <c r="I1454" s="265">
        <v>99</v>
      </c>
      <c r="J1454" s="265">
        <v>603</v>
      </c>
      <c r="K1454" s="265">
        <v>702</v>
      </c>
      <c r="L1454" s="265">
        <v>-11</v>
      </c>
      <c r="M1454" s="265">
        <v>2</v>
      </c>
      <c r="N1454" s="265">
        <v>324</v>
      </c>
      <c r="O1454" s="265">
        <v>88</v>
      </c>
      <c r="P1454" s="265">
        <v>1114</v>
      </c>
      <c r="Q1454" s="265">
        <v>38835</v>
      </c>
      <c r="R1454" s="12" t="s">
        <v>4530</v>
      </c>
      <c r="S1454" s="12" t="s">
        <v>25</v>
      </c>
      <c r="T1454" s="12" t="s">
        <v>25</v>
      </c>
    </row>
    <row r="1455" spans="1:20" x14ac:dyDescent="0.3">
      <c r="A1455" s="13">
        <v>43954.708333333336</v>
      </c>
      <c r="B1455" s="12" t="s">
        <v>22</v>
      </c>
      <c r="C1455" s="265">
        <v>15</v>
      </c>
      <c r="D1455" s="12" t="s">
        <v>46</v>
      </c>
      <c r="E1455" s="265">
        <v>4083956555</v>
      </c>
      <c r="F1455" s="265">
        <v>1425084984</v>
      </c>
      <c r="G1455" s="265">
        <v>455</v>
      </c>
      <c r="H1455" s="265">
        <v>30</v>
      </c>
      <c r="I1455" s="265">
        <v>485</v>
      </c>
      <c r="J1455" s="265">
        <v>2241</v>
      </c>
      <c r="K1455" s="265">
        <v>2726</v>
      </c>
      <c r="L1455" s="265">
        <v>5</v>
      </c>
      <c r="M1455" s="265">
        <v>25</v>
      </c>
      <c r="N1455" s="265">
        <v>1394</v>
      </c>
      <c r="O1455" s="265">
        <v>364</v>
      </c>
      <c r="P1455" s="265">
        <v>4484</v>
      </c>
      <c r="Q1455" s="265">
        <v>86498</v>
      </c>
      <c r="R1455" s="12" t="s">
        <v>4531</v>
      </c>
      <c r="S1455" s="12" t="s">
        <v>25</v>
      </c>
      <c r="T1455" s="12" t="s">
        <v>25</v>
      </c>
    </row>
    <row r="1456" spans="1:20" x14ac:dyDescent="0.3">
      <c r="A1456" s="13">
        <v>43954.708333333336</v>
      </c>
      <c r="B1456" s="12" t="s">
        <v>22</v>
      </c>
      <c r="C1456" s="265">
        <v>8</v>
      </c>
      <c r="D1456" s="12" t="s">
        <v>95</v>
      </c>
      <c r="E1456" s="265">
        <v>4449436681</v>
      </c>
      <c r="F1456" s="265">
        <v>113417208</v>
      </c>
      <c r="G1456" s="265">
        <v>1997</v>
      </c>
      <c r="H1456" s="265">
        <v>197</v>
      </c>
      <c r="I1456" s="265">
        <v>2194</v>
      </c>
      <c r="J1456" s="265">
        <v>6851</v>
      </c>
      <c r="K1456" s="265">
        <v>9045</v>
      </c>
      <c r="L1456" s="265">
        <v>-278</v>
      </c>
      <c r="M1456" s="265">
        <v>166</v>
      </c>
      <c r="N1456" s="265">
        <v>13329</v>
      </c>
      <c r="O1456" s="265">
        <v>3642</v>
      </c>
      <c r="P1456" s="265">
        <v>26016</v>
      </c>
      <c r="Q1456" s="265">
        <v>197075</v>
      </c>
      <c r="R1456" s="12" t="s">
        <v>4532</v>
      </c>
      <c r="S1456" s="12" t="s">
        <v>25</v>
      </c>
      <c r="T1456" s="12" t="s">
        <v>25</v>
      </c>
    </row>
    <row r="1457" spans="1:20" x14ac:dyDescent="0.3">
      <c r="A1457" s="13">
        <v>43954.708333333336</v>
      </c>
      <c r="B1457" s="12" t="s">
        <v>22</v>
      </c>
      <c r="C1457" s="265">
        <v>6</v>
      </c>
      <c r="D1457" s="12" t="s">
        <v>47</v>
      </c>
      <c r="E1457" s="265">
        <v>456494354</v>
      </c>
      <c r="F1457" s="265">
        <v>1376813649</v>
      </c>
      <c r="G1457" s="265">
        <v>131</v>
      </c>
      <c r="H1457" s="265">
        <v>6</v>
      </c>
      <c r="I1457" s="265">
        <v>137</v>
      </c>
      <c r="J1457" s="265">
        <v>950</v>
      </c>
      <c r="K1457" s="265">
        <v>1087</v>
      </c>
      <c r="L1457" s="265">
        <v>-22</v>
      </c>
      <c r="M1457" s="265">
        <v>13</v>
      </c>
      <c r="N1457" s="265">
        <v>1688</v>
      </c>
      <c r="O1457" s="265">
        <v>297</v>
      </c>
      <c r="P1457" s="265">
        <v>3072</v>
      </c>
      <c r="Q1457" s="265">
        <v>74990</v>
      </c>
      <c r="R1457" s="12" t="s">
        <v>4533</v>
      </c>
      <c r="S1457" s="12" t="s">
        <v>25</v>
      </c>
      <c r="T1457" s="12" t="s">
        <v>25</v>
      </c>
    </row>
    <row r="1458" spans="1:20" x14ac:dyDescent="0.3">
      <c r="A1458" s="13">
        <v>43954.708333333336</v>
      </c>
      <c r="B1458" s="12" t="s">
        <v>22</v>
      </c>
      <c r="C1458" s="265">
        <v>12</v>
      </c>
      <c r="D1458" s="12" t="s">
        <v>48</v>
      </c>
      <c r="E1458" s="265">
        <v>4189277044</v>
      </c>
      <c r="F1458" s="265">
        <v>1248366722</v>
      </c>
      <c r="G1458" s="265">
        <v>1346</v>
      </c>
      <c r="H1458" s="265">
        <v>95</v>
      </c>
      <c r="I1458" s="265">
        <v>1441</v>
      </c>
      <c r="J1458" s="265">
        <v>2944</v>
      </c>
      <c r="K1458" s="265">
        <v>4385</v>
      </c>
      <c r="L1458" s="265">
        <v>-67</v>
      </c>
      <c r="M1458" s="265">
        <v>53</v>
      </c>
      <c r="N1458" s="265">
        <v>1916</v>
      </c>
      <c r="O1458" s="265">
        <v>508</v>
      </c>
      <c r="P1458" s="265">
        <v>6809</v>
      </c>
      <c r="Q1458" s="265">
        <v>150912</v>
      </c>
      <c r="R1458" s="12" t="s">
        <v>4534</v>
      </c>
      <c r="S1458" s="12" t="s">
        <v>25</v>
      </c>
      <c r="T1458" s="12" t="s">
        <v>25</v>
      </c>
    </row>
    <row r="1459" spans="1:20" x14ac:dyDescent="0.3">
      <c r="A1459" s="13">
        <v>43954.708333333336</v>
      </c>
      <c r="B1459" s="12" t="s">
        <v>22</v>
      </c>
      <c r="C1459" s="265">
        <v>7</v>
      </c>
      <c r="D1459" s="12" t="s">
        <v>49</v>
      </c>
      <c r="E1459" s="265">
        <v>4441149315</v>
      </c>
      <c r="F1459" s="265">
        <v>89326992</v>
      </c>
      <c r="G1459" s="265">
        <v>627</v>
      </c>
      <c r="H1459" s="265">
        <v>68</v>
      </c>
      <c r="I1459" s="265">
        <v>695</v>
      </c>
      <c r="J1459" s="265">
        <v>2856</v>
      </c>
      <c r="K1459" s="265">
        <v>3551</v>
      </c>
      <c r="L1459" s="265">
        <v>-47</v>
      </c>
      <c r="M1459" s="265">
        <v>47</v>
      </c>
      <c r="N1459" s="265">
        <v>3599</v>
      </c>
      <c r="O1459" s="265">
        <v>1209</v>
      </c>
      <c r="P1459" s="265">
        <v>8359</v>
      </c>
      <c r="Q1459" s="265">
        <v>54492</v>
      </c>
      <c r="R1459" s="12" t="s">
        <v>4535</v>
      </c>
      <c r="S1459" s="12" t="s">
        <v>25</v>
      </c>
      <c r="T1459" s="12" t="s">
        <v>25</v>
      </c>
    </row>
    <row r="1460" spans="1:20" x14ac:dyDescent="0.3">
      <c r="A1460" s="13">
        <v>43954.708333333336</v>
      </c>
      <c r="B1460" s="12" t="s">
        <v>22</v>
      </c>
      <c r="C1460" s="265">
        <v>3</v>
      </c>
      <c r="D1460" s="12" t="s">
        <v>50</v>
      </c>
      <c r="E1460" s="265">
        <v>4546679409</v>
      </c>
      <c r="F1460" s="265">
        <v>9190347404</v>
      </c>
      <c r="G1460" s="265">
        <v>6609</v>
      </c>
      <c r="H1460" s="265">
        <v>532</v>
      </c>
      <c r="I1460" s="265">
        <v>7141</v>
      </c>
      <c r="J1460" s="265">
        <v>29785</v>
      </c>
      <c r="K1460" s="265">
        <v>36926</v>
      </c>
      <c r="L1460" s="265">
        <v>259</v>
      </c>
      <c r="M1460" s="265">
        <v>526</v>
      </c>
      <c r="N1460" s="265">
        <v>26371</v>
      </c>
      <c r="O1460" s="265">
        <v>14231</v>
      </c>
      <c r="P1460" s="265">
        <v>77528</v>
      </c>
      <c r="Q1460" s="265">
        <v>410857</v>
      </c>
      <c r="R1460" s="12" t="s">
        <v>4536</v>
      </c>
      <c r="S1460" s="12" t="s">
        <v>25</v>
      </c>
      <c r="T1460" s="12" t="s">
        <v>25</v>
      </c>
    </row>
    <row r="1461" spans="1:20" x14ac:dyDescent="0.3">
      <c r="A1461" s="13">
        <v>43954.708333333336</v>
      </c>
      <c r="B1461" s="12" t="s">
        <v>22</v>
      </c>
      <c r="C1461" s="265">
        <v>11</v>
      </c>
      <c r="D1461" s="12" t="s">
        <v>51</v>
      </c>
      <c r="E1461" s="265">
        <v>4361675973</v>
      </c>
      <c r="F1461" s="265">
        <v>135188753</v>
      </c>
      <c r="G1461" s="265">
        <v>400</v>
      </c>
      <c r="H1461" s="265">
        <v>43</v>
      </c>
      <c r="I1461" s="265">
        <v>443</v>
      </c>
      <c r="J1461" s="265">
        <v>2755</v>
      </c>
      <c r="K1461" s="265">
        <v>3198</v>
      </c>
      <c r="L1461" s="265">
        <v>-7</v>
      </c>
      <c r="M1461" s="265">
        <v>21</v>
      </c>
      <c r="N1461" s="265">
        <v>2194</v>
      </c>
      <c r="O1461" s="265">
        <v>927</v>
      </c>
      <c r="P1461" s="265">
        <v>6319</v>
      </c>
      <c r="Q1461" s="265">
        <v>64412</v>
      </c>
      <c r="R1461" s="12" t="s">
        <v>4537</v>
      </c>
      <c r="S1461" s="12" t="s">
        <v>25</v>
      </c>
      <c r="T1461" s="12" t="s">
        <v>25</v>
      </c>
    </row>
    <row r="1462" spans="1:20" x14ac:dyDescent="0.3">
      <c r="A1462" s="13">
        <v>43954.708333333336</v>
      </c>
      <c r="B1462" s="12" t="s">
        <v>22</v>
      </c>
      <c r="C1462" s="265">
        <v>14</v>
      </c>
      <c r="D1462" s="12" t="s">
        <v>52</v>
      </c>
      <c r="E1462" s="265">
        <v>4155774754</v>
      </c>
      <c r="F1462" s="265">
        <v>1465916051</v>
      </c>
      <c r="G1462" s="265">
        <v>8</v>
      </c>
      <c r="H1462" s="265">
        <v>1</v>
      </c>
      <c r="I1462" s="265">
        <v>9</v>
      </c>
      <c r="J1462" s="265">
        <v>172</v>
      </c>
      <c r="K1462" s="265">
        <v>181</v>
      </c>
      <c r="L1462" s="265">
        <v>-1</v>
      </c>
      <c r="M1462" s="265">
        <v>0</v>
      </c>
      <c r="N1462" s="265">
        <v>98</v>
      </c>
      <c r="O1462" s="265">
        <v>22</v>
      </c>
      <c r="P1462" s="265">
        <v>301</v>
      </c>
      <c r="Q1462" s="265">
        <v>7075</v>
      </c>
      <c r="R1462" s="12" t="s">
        <v>4517</v>
      </c>
      <c r="S1462" s="12" t="s">
        <v>25</v>
      </c>
      <c r="T1462" s="12" t="s">
        <v>25</v>
      </c>
    </row>
    <row r="1463" spans="1:20" x14ac:dyDescent="0.3">
      <c r="A1463" s="13">
        <v>43954.708333333336</v>
      </c>
      <c r="B1463" s="12" t="s">
        <v>22</v>
      </c>
      <c r="C1463" s="265">
        <v>1</v>
      </c>
      <c r="D1463" s="12" t="s">
        <v>53</v>
      </c>
      <c r="E1463" s="265">
        <v>450732745</v>
      </c>
      <c r="F1463" s="265">
        <v>7680687483</v>
      </c>
      <c r="G1463" s="265">
        <v>2496</v>
      </c>
      <c r="H1463" s="265">
        <v>169</v>
      </c>
      <c r="I1463" s="265">
        <v>2665</v>
      </c>
      <c r="J1463" s="265">
        <v>12973</v>
      </c>
      <c r="K1463" s="265">
        <v>15638</v>
      </c>
      <c r="L1463" s="265">
        <v>-81</v>
      </c>
      <c r="M1463" s="265">
        <v>251</v>
      </c>
      <c r="N1463" s="265">
        <v>8640</v>
      </c>
      <c r="O1463" s="265">
        <v>3152</v>
      </c>
      <c r="P1463" s="265">
        <v>27430</v>
      </c>
      <c r="Q1463" s="265">
        <v>172208</v>
      </c>
      <c r="R1463" s="12" t="s">
        <v>4538</v>
      </c>
      <c r="S1463" s="12" t="s">
        <v>25</v>
      </c>
      <c r="T1463" s="12" t="s">
        <v>25</v>
      </c>
    </row>
    <row r="1464" spans="1:20" x14ac:dyDescent="0.3">
      <c r="A1464" s="13">
        <v>43954.708333333336</v>
      </c>
      <c r="B1464" s="12" t="s">
        <v>22</v>
      </c>
      <c r="C1464" s="265">
        <v>16</v>
      </c>
      <c r="D1464" s="12" t="s">
        <v>54</v>
      </c>
      <c r="E1464" s="265">
        <v>4112559576</v>
      </c>
      <c r="F1464" s="265">
        <v>1686736689</v>
      </c>
      <c r="G1464" s="265">
        <v>410</v>
      </c>
      <c r="H1464" s="265">
        <v>40</v>
      </c>
      <c r="I1464" s="265">
        <v>450</v>
      </c>
      <c r="J1464" s="265">
        <v>2505</v>
      </c>
      <c r="K1464" s="265">
        <v>2955</v>
      </c>
      <c r="L1464" s="265">
        <v>1</v>
      </c>
      <c r="M1464" s="265">
        <v>11</v>
      </c>
      <c r="N1464" s="265">
        <v>765</v>
      </c>
      <c r="O1464" s="265">
        <v>424</v>
      </c>
      <c r="P1464" s="265">
        <v>4144</v>
      </c>
      <c r="Q1464" s="265">
        <v>66443</v>
      </c>
      <c r="R1464" s="12" t="s">
        <v>4539</v>
      </c>
      <c r="S1464" s="12" t="s">
        <v>25</v>
      </c>
      <c r="T1464" s="12" t="s">
        <v>25</v>
      </c>
    </row>
    <row r="1465" spans="1:20" x14ac:dyDescent="0.3">
      <c r="A1465" s="13">
        <v>43954.708333333336</v>
      </c>
      <c r="B1465" s="12" t="s">
        <v>22</v>
      </c>
      <c r="C1465" s="265">
        <v>20</v>
      </c>
      <c r="D1465" s="12" t="s">
        <v>55</v>
      </c>
      <c r="E1465" s="265">
        <v>3921531192</v>
      </c>
      <c r="F1465" s="265">
        <v>9110616306</v>
      </c>
      <c r="G1465" s="265">
        <v>92</v>
      </c>
      <c r="H1465" s="265">
        <v>10</v>
      </c>
      <c r="I1465" s="265">
        <v>102</v>
      </c>
      <c r="J1465" s="265">
        <v>587</v>
      </c>
      <c r="K1465" s="265">
        <v>689</v>
      </c>
      <c r="L1465" s="265">
        <v>-41</v>
      </c>
      <c r="M1465" s="265">
        <v>4</v>
      </c>
      <c r="N1465" s="265">
        <v>511</v>
      </c>
      <c r="O1465" s="265">
        <v>119</v>
      </c>
      <c r="P1465" s="265">
        <v>1319</v>
      </c>
      <c r="Q1465" s="265">
        <v>27737</v>
      </c>
      <c r="R1465" s="12" t="s">
        <v>4540</v>
      </c>
      <c r="S1465" s="12" t="s">
        <v>25</v>
      </c>
      <c r="T1465" s="12" t="s">
        <v>25</v>
      </c>
    </row>
    <row r="1466" spans="1:20" x14ac:dyDescent="0.3">
      <c r="A1466" s="13">
        <v>43954.708333333336</v>
      </c>
      <c r="B1466" s="12" t="s">
        <v>22</v>
      </c>
      <c r="C1466" s="265">
        <v>19</v>
      </c>
      <c r="D1466" s="12" t="s">
        <v>56</v>
      </c>
      <c r="E1466" s="265">
        <v>3811569725</v>
      </c>
      <c r="F1466" s="265">
        <v>133623567</v>
      </c>
      <c r="G1466" s="265">
        <v>383</v>
      </c>
      <c r="H1466" s="265">
        <v>29</v>
      </c>
      <c r="I1466" s="265">
        <v>412</v>
      </c>
      <c r="J1466" s="265">
        <v>1791</v>
      </c>
      <c r="K1466" s="265">
        <v>2203</v>
      </c>
      <c r="L1466" s="265">
        <v>17</v>
      </c>
      <c r="M1466" s="265">
        <v>27</v>
      </c>
      <c r="N1466" s="265">
        <v>795</v>
      </c>
      <c r="O1466" s="265">
        <v>242</v>
      </c>
      <c r="P1466" s="265">
        <v>3240</v>
      </c>
      <c r="Q1466" s="265">
        <v>85955</v>
      </c>
      <c r="R1466" s="12" t="s">
        <v>4541</v>
      </c>
      <c r="S1466" s="12" t="s">
        <v>25</v>
      </c>
      <c r="T1466" s="12" t="s">
        <v>25</v>
      </c>
    </row>
    <row r="1467" spans="1:20" x14ac:dyDescent="0.3">
      <c r="A1467" s="13">
        <v>43954.708333333336</v>
      </c>
      <c r="B1467" s="12" t="s">
        <v>22</v>
      </c>
      <c r="C1467" s="265">
        <v>9</v>
      </c>
      <c r="D1467" s="12" t="s">
        <v>57</v>
      </c>
      <c r="E1467" s="265">
        <v>4376923077</v>
      </c>
      <c r="F1467" s="265">
        <v>1125588885</v>
      </c>
      <c r="G1467" s="265">
        <v>513</v>
      </c>
      <c r="H1467" s="265">
        <v>112</v>
      </c>
      <c r="I1467" s="265">
        <v>625</v>
      </c>
      <c r="J1467" s="265">
        <v>4703</v>
      </c>
      <c r="K1467" s="265">
        <v>5328</v>
      </c>
      <c r="L1467" s="265">
        <v>-37</v>
      </c>
      <c r="M1467" s="265">
        <v>38</v>
      </c>
      <c r="N1467" s="265">
        <v>3363</v>
      </c>
      <c r="O1467" s="265">
        <v>872</v>
      </c>
      <c r="P1467" s="265">
        <v>9563</v>
      </c>
      <c r="Q1467" s="265">
        <v>150914</v>
      </c>
      <c r="R1467" s="12" t="s">
        <v>4542</v>
      </c>
      <c r="S1467" s="12" t="s">
        <v>25</v>
      </c>
      <c r="T1467" s="12" t="s">
        <v>25</v>
      </c>
    </row>
    <row r="1468" spans="1:20" x14ac:dyDescent="0.3">
      <c r="A1468" s="13">
        <v>43954.708333333336</v>
      </c>
      <c r="B1468" s="12" t="s">
        <v>22</v>
      </c>
      <c r="C1468" s="265">
        <v>4</v>
      </c>
      <c r="D1468" s="12" t="s">
        <v>58</v>
      </c>
      <c r="E1468" s="265">
        <v>4606893511</v>
      </c>
      <c r="F1468" s="265">
        <v>1112123097</v>
      </c>
      <c r="G1468" s="265">
        <v>136</v>
      </c>
      <c r="H1468" s="265">
        <v>17</v>
      </c>
      <c r="I1468" s="265">
        <v>153</v>
      </c>
      <c r="J1468" s="265">
        <v>1094</v>
      </c>
      <c r="K1468" s="265">
        <v>1247</v>
      </c>
      <c r="L1468" s="265">
        <v>-35</v>
      </c>
      <c r="M1468" s="265">
        <v>66</v>
      </c>
      <c r="N1468" s="265">
        <v>2571</v>
      </c>
      <c r="O1468" s="265">
        <v>429</v>
      </c>
      <c r="P1468" s="265">
        <v>4247</v>
      </c>
      <c r="Q1468" s="265">
        <v>41095</v>
      </c>
      <c r="R1468" s="12" t="s">
        <v>4543</v>
      </c>
      <c r="S1468" s="12" t="s">
        <v>25</v>
      </c>
      <c r="T1468" s="12" t="s">
        <v>25</v>
      </c>
    </row>
    <row r="1469" spans="1:20" x14ac:dyDescent="0.3">
      <c r="A1469" s="13">
        <v>43954.708333333336</v>
      </c>
      <c r="B1469" s="12" t="s">
        <v>22</v>
      </c>
      <c r="C1469" s="265">
        <v>10</v>
      </c>
      <c r="D1469" s="12" t="s">
        <v>59</v>
      </c>
      <c r="E1469" s="265">
        <v>4310675841</v>
      </c>
      <c r="F1469" s="265">
        <v>1238824698</v>
      </c>
      <c r="G1469" s="265">
        <v>58</v>
      </c>
      <c r="H1469" s="265">
        <v>13</v>
      </c>
      <c r="I1469" s="265">
        <v>71</v>
      </c>
      <c r="J1469" s="265">
        <v>112</v>
      </c>
      <c r="K1469" s="265">
        <v>183</v>
      </c>
      <c r="L1469" s="265">
        <v>-13</v>
      </c>
      <c r="M1469" s="265">
        <v>0</v>
      </c>
      <c r="N1469" s="265">
        <v>1143</v>
      </c>
      <c r="O1469" s="265">
        <v>68</v>
      </c>
      <c r="P1469" s="265">
        <v>1394</v>
      </c>
      <c r="Q1469" s="265">
        <v>38823</v>
      </c>
      <c r="R1469" s="12" t="s">
        <v>4544</v>
      </c>
      <c r="S1469" s="12" t="s">
        <v>25</v>
      </c>
      <c r="T1469" s="12" t="s">
        <v>25</v>
      </c>
    </row>
    <row r="1470" spans="1:20" x14ac:dyDescent="0.3">
      <c r="A1470" s="13">
        <v>43954.708333333336</v>
      </c>
      <c r="B1470" s="12" t="s">
        <v>22</v>
      </c>
      <c r="C1470" s="265">
        <v>2</v>
      </c>
      <c r="D1470" s="12" t="s">
        <v>60</v>
      </c>
      <c r="E1470" s="265">
        <v>4573750286</v>
      </c>
      <c r="F1470" s="265">
        <v>7320149366</v>
      </c>
      <c r="G1470" s="265">
        <v>74</v>
      </c>
      <c r="H1470" s="265">
        <v>2</v>
      </c>
      <c r="I1470" s="265">
        <v>76</v>
      </c>
      <c r="J1470" s="265">
        <v>33</v>
      </c>
      <c r="K1470" s="265">
        <v>109</v>
      </c>
      <c r="L1470" s="265">
        <v>11</v>
      </c>
      <c r="M1470" s="265">
        <v>6</v>
      </c>
      <c r="N1470" s="265">
        <v>895</v>
      </c>
      <c r="O1470" s="265">
        <v>138</v>
      </c>
      <c r="P1470" s="265">
        <v>1142</v>
      </c>
      <c r="Q1470" s="265">
        <v>8100</v>
      </c>
      <c r="R1470" s="12" t="s">
        <v>4545</v>
      </c>
      <c r="S1470" s="12" t="s">
        <v>25</v>
      </c>
      <c r="T1470" s="12" t="s">
        <v>25</v>
      </c>
    </row>
    <row r="1471" spans="1:20" x14ac:dyDescent="0.3">
      <c r="A1471" s="13">
        <v>43954.708333333336</v>
      </c>
      <c r="B1471" s="12" t="s">
        <v>22</v>
      </c>
      <c r="C1471" s="265">
        <v>5</v>
      </c>
      <c r="D1471" s="12" t="s">
        <v>61</v>
      </c>
      <c r="E1471" s="265">
        <v>4543490485</v>
      </c>
      <c r="F1471" s="265">
        <v>1233845213</v>
      </c>
      <c r="G1471" s="265">
        <v>955</v>
      </c>
      <c r="H1471" s="265">
        <v>103</v>
      </c>
      <c r="I1471" s="265">
        <v>1058</v>
      </c>
      <c r="J1471" s="265">
        <v>6241</v>
      </c>
      <c r="K1471" s="265">
        <v>7299</v>
      </c>
      <c r="L1471" s="265">
        <v>-132</v>
      </c>
      <c r="M1471" s="265">
        <v>94</v>
      </c>
      <c r="N1471" s="265">
        <v>9503</v>
      </c>
      <c r="O1471" s="265">
        <v>1516</v>
      </c>
      <c r="P1471" s="265">
        <v>18318</v>
      </c>
      <c r="Q1471" s="265">
        <v>378202</v>
      </c>
      <c r="R1471" s="12" t="s">
        <v>4546</v>
      </c>
      <c r="S1471" s="12" t="s">
        <v>25</v>
      </c>
      <c r="T1471" s="12" t="s">
        <v>25</v>
      </c>
    </row>
    <row r="1472" spans="1:20" x14ac:dyDescent="0.3">
      <c r="A1472" s="13">
        <v>43955.708333333336</v>
      </c>
      <c r="B1472" s="12" t="s">
        <v>22</v>
      </c>
      <c r="C1472" s="265">
        <v>13</v>
      </c>
      <c r="D1472" s="12" t="s">
        <v>42</v>
      </c>
      <c r="E1472" s="265">
        <v>4235122196</v>
      </c>
      <c r="F1472" s="265">
        <v>1339843823</v>
      </c>
      <c r="G1472" s="265">
        <v>301</v>
      </c>
      <c r="H1472" s="265">
        <v>15</v>
      </c>
      <c r="I1472" s="265">
        <v>316</v>
      </c>
      <c r="J1472" s="265">
        <v>1521</v>
      </c>
      <c r="K1472" s="265">
        <v>1837</v>
      </c>
      <c r="L1472" s="265">
        <v>-31</v>
      </c>
      <c r="M1472" s="265">
        <v>4</v>
      </c>
      <c r="N1472" s="265">
        <v>831</v>
      </c>
      <c r="O1472" s="265">
        <v>332</v>
      </c>
      <c r="P1472" s="265">
        <v>3000</v>
      </c>
      <c r="Q1472" s="265">
        <v>41108</v>
      </c>
      <c r="R1472" s="12" t="s">
        <v>4547</v>
      </c>
      <c r="S1472" s="12" t="s">
        <v>25</v>
      </c>
      <c r="T1472" s="12" t="s">
        <v>25</v>
      </c>
    </row>
    <row r="1473" spans="1:20" x14ac:dyDescent="0.3">
      <c r="A1473" s="13">
        <v>43955.708333333336</v>
      </c>
      <c r="B1473" s="12" t="s">
        <v>22</v>
      </c>
      <c r="C1473" s="265">
        <v>17</v>
      </c>
      <c r="D1473" s="12" t="s">
        <v>43</v>
      </c>
      <c r="E1473" s="265">
        <v>4063947052</v>
      </c>
      <c r="F1473" s="265">
        <v>1580514834</v>
      </c>
      <c r="G1473" s="265">
        <v>50</v>
      </c>
      <c r="H1473" s="265">
        <v>3</v>
      </c>
      <c r="I1473" s="265">
        <v>53</v>
      </c>
      <c r="J1473" s="265">
        <v>120</v>
      </c>
      <c r="K1473" s="265">
        <v>173</v>
      </c>
      <c r="L1473" s="265">
        <v>-21</v>
      </c>
      <c r="M1473" s="265">
        <v>0</v>
      </c>
      <c r="N1473" s="265">
        <v>188</v>
      </c>
      <c r="O1473" s="265">
        <v>25</v>
      </c>
      <c r="P1473" s="265">
        <v>386</v>
      </c>
      <c r="Q1473" s="265">
        <v>14901</v>
      </c>
      <c r="R1473" s="12" t="s">
        <v>4548</v>
      </c>
      <c r="S1473" s="12" t="s">
        <v>25</v>
      </c>
      <c r="T1473" s="12" t="s">
        <v>25</v>
      </c>
    </row>
    <row r="1474" spans="1:20" x14ac:dyDescent="0.3">
      <c r="A1474" s="13">
        <v>43955.708333333336</v>
      </c>
      <c r="B1474" s="12" t="s">
        <v>22</v>
      </c>
      <c r="C1474" s="265">
        <v>4</v>
      </c>
      <c r="D1474" s="12" t="s">
        <v>44</v>
      </c>
      <c r="E1474" s="265">
        <v>4649933453</v>
      </c>
      <c r="F1474" s="265">
        <v>1135662422</v>
      </c>
      <c r="G1474" s="265">
        <v>103</v>
      </c>
      <c r="H1474" s="265">
        <v>10</v>
      </c>
      <c r="I1474" s="265">
        <v>113</v>
      </c>
      <c r="J1474" s="265">
        <v>523</v>
      </c>
      <c r="K1474" s="265">
        <v>636</v>
      </c>
      <c r="L1474" s="265">
        <v>-29</v>
      </c>
      <c r="M1474" s="265">
        <v>5</v>
      </c>
      <c r="N1474" s="265">
        <v>1621</v>
      </c>
      <c r="O1474" s="265">
        <v>284</v>
      </c>
      <c r="P1474" s="265">
        <v>2541</v>
      </c>
      <c r="Q1474" s="265">
        <v>44673</v>
      </c>
      <c r="R1474" s="12" t="s">
        <v>4549</v>
      </c>
      <c r="S1474" s="12" t="s">
        <v>25</v>
      </c>
      <c r="T1474" s="12" t="s">
        <v>25</v>
      </c>
    </row>
    <row r="1475" spans="1:20" x14ac:dyDescent="0.3">
      <c r="A1475" s="13">
        <v>43955.708333333336</v>
      </c>
      <c r="B1475" s="12" t="s">
        <v>22</v>
      </c>
      <c r="C1475" s="265">
        <v>18</v>
      </c>
      <c r="D1475" s="12" t="s">
        <v>45</v>
      </c>
      <c r="E1475" s="265">
        <v>3890597598</v>
      </c>
      <c r="F1475" s="265">
        <v>1659440194</v>
      </c>
      <c r="G1475" s="265">
        <v>93</v>
      </c>
      <c r="H1475" s="265">
        <v>4</v>
      </c>
      <c r="I1475" s="265">
        <v>97</v>
      </c>
      <c r="J1475" s="265">
        <v>577</v>
      </c>
      <c r="K1475" s="265">
        <v>674</v>
      </c>
      <c r="L1475" s="265">
        <v>-28</v>
      </c>
      <c r="M1475" s="265">
        <v>4</v>
      </c>
      <c r="N1475" s="265">
        <v>356</v>
      </c>
      <c r="O1475" s="265">
        <v>88</v>
      </c>
      <c r="P1475" s="265">
        <v>1118</v>
      </c>
      <c r="Q1475" s="265">
        <v>39438</v>
      </c>
      <c r="R1475" s="12" t="s">
        <v>4550</v>
      </c>
      <c r="S1475" s="12" t="s">
        <v>25</v>
      </c>
      <c r="T1475" s="12" t="s">
        <v>25</v>
      </c>
    </row>
    <row r="1476" spans="1:20" x14ac:dyDescent="0.3">
      <c r="A1476" s="13">
        <v>43955.708333333336</v>
      </c>
      <c r="B1476" s="12" t="s">
        <v>22</v>
      </c>
      <c r="C1476" s="265">
        <v>15</v>
      </c>
      <c r="D1476" s="12" t="s">
        <v>46</v>
      </c>
      <c r="E1476" s="265">
        <v>4083956555</v>
      </c>
      <c r="F1476" s="265">
        <v>1425084984</v>
      </c>
      <c r="G1476" s="265">
        <v>438</v>
      </c>
      <c r="H1476" s="265">
        <v>24</v>
      </c>
      <c r="I1476" s="265">
        <v>462</v>
      </c>
      <c r="J1476" s="265">
        <v>2249</v>
      </c>
      <c r="K1476" s="265">
        <v>2711</v>
      </c>
      <c r="L1476" s="265">
        <v>-15</v>
      </c>
      <c r="M1476" s="265">
        <v>14</v>
      </c>
      <c r="N1476" s="265">
        <v>1421</v>
      </c>
      <c r="O1476" s="265">
        <v>366</v>
      </c>
      <c r="P1476" s="265">
        <v>4498</v>
      </c>
      <c r="Q1476" s="265">
        <v>90543</v>
      </c>
      <c r="R1476" s="12" t="s">
        <v>4551</v>
      </c>
      <c r="S1476" s="12" t="s">
        <v>25</v>
      </c>
      <c r="T1476" s="12" t="s">
        <v>25</v>
      </c>
    </row>
    <row r="1477" spans="1:20" x14ac:dyDescent="0.3">
      <c r="A1477" s="13">
        <v>43955.708333333336</v>
      </c>
      <c r="B1477" s="12" t="s">
        <v>22</v>
      </c>
      <c r="C1477" s="265">
        <v>8</v>
      </c>
      <c r="D1477" s="12" t="s">
        <v>95</v>
      </c>
      <c r="E1477" s="265">
        <v>4449436681</v>
      </c>
      <c r="F1477" s="265">
        <v>113417208</v>
      </c>
      <c r="G1477" s="265">
        <v>1968</v>
      </c>
      <c r="H1477" s="265">
        <v>199</v>
      </c>
      <c r="I1477" s="265">
        <v>2167</v>
      </c>
      <c r="J1477" s="265">
        <v>6817</v>
      </c>
      <c r="K1477" s="265">
        <v>8984</v>
      </c>
      <c r="L1477" s="265">
        <v>-61</v>
      </c>
      <c r="M1477" s="265">
        <v>159</v>
      </c>
      <c r="N1477" s="265">
        <v>13525</v>
      </c>
      <c r="O1477" s="265">
        <v>3666</v>
      </c>
      <c r="P1477" s="265">
        <v>26175</v>
      </c>
      <c r="Q1477" s="265">
        <v>200427</v>
      </c>
      <c r="R1477" s="12" t="s">
        <v>4552</v>
      </c>
      <c r="S1477" s="12" t="s">
        <v>25</v>
      </c>
      <c r="T1477" s="12" t="s">
        <v>25</v>
      </c>
    </row>
    <row r="1478" spans="1:20" x14ac:dyDescent="0.3">
      <c r="A1478" s="13">
        <v>43955.708333333336</v>
      </c>
      <c r="B1478" s="12" t="s">
        <v>22</v>
      </c>
      <c r="C1478" s="265">
        <v>6</v>
      </c>
      <c r="D1478" s="12" t="s">
        <v>47</v>
      </c>
      <c r="E1478" s="265">
        <v>456494354</v>
      </c>
      <c r="F1478" s="265">
        <v>1376813649</v>
      </c>
      <c r="G1478" s="265">
        <v>130</v>
      </c>
      <c r="H1478" s="265">
        <v>4</v>
      </c>
      <c r="I1478" s="265">
        <v>134</v>
      </c>
      <c r="J1478" s="265">
        <v>916</v>
      </c>
      <c r="K1478" s="265">
        <v>1050</v>
      </c>
      <c r="L1478" s="265">
        <v>-37</v>
      </c>
      <c r="M1478" s="265">
        <v>4</v>
      </c>
      <c r="N1478" s="265">
        <v>1727</v>
      </c>
      <c r="O1478" s="265">
        <v>299</v>
      </c>
      <c r="P1478" s="265">
        <v>3076</v>
      </c>
      <c r="Q1478" s="265">
        <v>75421</v>
      </c>
      <c r="R1478" s="12" t="s">
        <v>4553</v>
      </c>
      <c r="S1478" s="12" t="s">
        <v>25</v>
      </c>
      <c r="T1478" s="12" t="s">
        <v>25</v>
      </c>
    </row>
    <row r="1479" spans="1:20" x14ac:dyDescent="0.3">
      <c r="A1479" s="13">
        <v>43955.708333333336</v>
      </c>
      <c r="B1479" s="12" t="s">
        <v>22</v>
      </c>
      <c r="C1479" s="265">
        <v>12</v>
      </c>
      <c r="D1479" s="12" t="s">
        <v>48</v>
      </c>
      <c r="E1479" s="265">
        <v>4189277044</v>
      </c>
      <c r="F1479" s="265">
        <v>1248366722</v>
      </c>
      <c r="G1479" s="265">
        <v>1335</v>
      </c>
      <c r="H1479" s="265">
        <v>95</v>
      </c>
      <c r="I1479" s="265">
        <v>1430</v>
      </c>
      <c r="J1479" s="265">
        <v>2955</v>
      </c>
      <c r="K1479" s="265">
        <v>4385</v>
      </c>
      <c r="L1479" s="265">
        <v>0</v>
      </c>
      <c r="M1479" s="265">
        <v>38</v>
      </c>
      <c r="N1479" s="265">
        <v>1938</v>
      </c>
      <c r="O1479" s="265">
        <v>524</v>
      </c>
      <c r="P1479" s="265">
        <v>6847</v>
      </c>
      <c r="Q1479" s="265">
        <v>153293</v>
      </c>
      <c r="R1479" s="12" t="s">
        <v>4554</v>
      </c>
      <c r="S1479" s="12" t="s">
        <v>25</v>
      </c>
      <c r="T1479" s="12" t="s">
        <v>25</v>
      </c>
    </row>
    <row r="1480" spans="1:20" x14ac:dyDescent="0.3">
      <c r="A1480" s="13">
        <v>43955.708333333336</v>
      </c>
      <c r="B1480" s="12" t="s">
        <v>22</v>
      </c>
      <c r="C1480" s="265">
        <v>7</v>
      </c>
      <c r="D1480" s="12" t="s">
        <v>49</v>
      </c>
      <c r="E1480" s="265">
        <v>4441149315</v>
      </c>
      <c r="F1480" s="265">
        <v>89326992</v>
      </c>
      <c r="G1480" s="265">
        <v>606</v>
      </c>
      <c r="H1480" s="265">
        <v>72</v>
      </c>
      <c r="I1480" s="265">
        <v>678</v>
      </c>
      <c r="J1480" s="265">
        <v>2830</v>
      </c>
      <c r="K1480" s="265">
        <v>3508</v>
      </c>
      <c r="L1480" s="265">
        <v>-43</v>
      </c>
      <c r="M1480" s="265">
        <v>53</v>
      </c>
      <c r="N1480" s="265">
        <v>3683</v>
      </c>
      <c r="O1480" s="265">
        <v>1221</v>
      </c>
      <c r="P1480" s="265">
        <v>8412</v>
      </c>
      <c r="Q1480" s="265">
        <v>56092</v>
      </c>
      <c r="R1480" s="12" t="s">
        <v>4555</v>
      </c>
      <c r="S1480" s="12" t="s">
        <v>25</v>
      </c>
      <c r="T1480" s="12" t="s">
        <v>25</v>
      </c>
    </row>
    <row r="1481" spans="1:20" x14ac:dyDescent="0.3">
      <c r="A1481" s="13">
        <v>43955.708333333336</v>
      </c>
      <c r="B1481" s="12" t="s">
        <v>22</v>
      </c>
      <c r="C1481" s="265">
        <v>3</v>
      </c>
      <c r="D1481" s="12" t="s">
        <v>50</v>
      </c>
      <c r="E1481" s="265">
        <v>4546679409</v>
      </c>
      <c r="F1481" s="265">
        <v>9190347404</v>
      </c>
      <c r="G1481" s="265">
        <v>6414</v>
      </c>
      <c r="H1481" s="265">
        <v>532</v>
      </c>
      <c r="I1481" s="265">
        <v>6946</v>
      </c>
      <c r="J1481" s="265">
        <v>30361</v>
      </c>
      <c r="K1481" s="265">
        <v>37307</v>
      </c>
      <c r="L1481" s="265">
        <v>381</v>
      </c>
      <c r="M1481" s="265">
        <v>577</v>
      </c>
      <c r="N1481" s="265">
        <v>26504</v>
      </c>
      <c r="O1481" s="265">
        <v>14294</v>
      </c>
      <c r="P1481" s="265">
        <v>78105</v>
      </c>
      <c r="Q1481" s="265">
        <v>418835</v>
      </c>
      <c r="R1481" s="12" t="s">
        <v>4556</v>
      </c>
      <c r="S1481" s="12" t="s">
        <v>25</v>
      </c>
      <c r="T1481" s="12" t="s">
        <v>25</v>
      </c>
    </row>
    <row r="1482" spans="1:20" x14ac:dyDescent="0.3">
      <c r="A1482" s="13">
        <v>43955.708333333336</v>
      </c>
      <c r="B1482" s="12" t="s">
        <v>22</v>
      </c>
      <c r="C1482" s="265">
        <v>11</v>
      </c>
      <c r="D1482" s="12" t="s">
        <v>51</v>
      </c>
      <c r="E1482" s="265">
        <v>4361675973</v>
      </c>
      <c r="F1482" s="265">
        <v>135188753</v>
      </c>
      <c r="G1482" s="265">
        <v>389</v>
      </c>
      <c r="H1482" s="265">
        <v>44</v>
      </c>
      <c r="I1482" s="265">
        <v>433</v>
      </c>
      <c r="J1482" s="265">
        <v>2773</v>
      </c>
      <c r="K1482" s="265">
        <v>3206</v>
      </c>
      <c r="L1482" s="265">
        <v>8</v>
      </c>
      <c r="M1482" s="265">
        <v>44</v>
      </c>
      <c r="N1482" s="265">
        <v>2225</v>
      </c>
      <c r="O1482" s="265">
        <v>932</v>
      </c>
      <c r="P1482" s="265">
        <v>6363</v>
      </c>
      <c r="Q1482" s="265">
        <v>65398</v>
      </c>
      <c r="R1482" s="12" t="s">
        <v>4557</v>
      </c>
      <c r="S1482" s="12" t="s">
        <v>25</v>
      </c>
      <c r="T1482" s="12" t="s">
        <v>25</v>
      </c>
    </row>
    <row r="1483" spans="1:20" x14ac:dyDescent="0.3">
      <c r="A1483" s="13">
        <v>43955.708333333336</v>
      </c>
      <c r="B1483" s="12" t="s">
        <v>22</v>
      </c>
      <c r="C1483" s="265">
        <v>14</v>
      </c>
      <c r="D1483" s="12" t="s">
        <v>52</v>
      </c>
      <c r="E1483" s="265">
        <v>4155774754</v>
      </c>
      <c r="F1483" s="265">
        <v>1465916051</v>
      </c>
      <c r="G1483" s="265">
        <v>9</v>
      </c>
      <c r="H1483" s="265">
        <v>1</v>
      </c>
      <c r="I1483" s="265">
        <v>10</v>
      </c>
      <c r="J1483" s="265">
        <v>168</v>
      </c>
      <c r="K1483" s="265">
        <v>178</v>
      </c>
      <c r="L1483" s="265">
        <v>-3</v>
      </c>
      <c r="M1483" s="265">
        <v>0</v>
      </c>
      <c r="N1483" s="265">
        <v>101</v>
      </c>
      <c r="O1483" s="265">
        <v>22</v>
      </c>
      <c r="P1483" s="265">
        <v>301</v>
      </c>
      <c r="Q1483" s="265">
        <v>7328</v>
      </c>
      <c r="R1483" s="12" t="s">
        <v>4558</v>
      </c>
      <c r="S1483" s="12" t="s">
        <v>25</v>
      </c>
      <c r="T1483" s="12" t="s">
        <v>25</v>
      </c>
    </row>
    <row r="1484" spans="1:20" x14ac:dyDescent="0.3">
      <c r="A1484" s="13">
        <v>43955.708333333336</v>
      </c>
      <c r="B1484" s="12" t="s">
        <v>22</v>
      </c>
      <c r="C1484" s="265">
        <v>1</v>
      </c>
      <c r="D1484" s="12" t="s">
        <v>53</v>
      </c>
      <c r="E1484" s="265">
        <v>450732745</v>
      </c>
      <c r="F1484" s="265">
        <v>7680687483</v>
      </c>
      <c r="G1484" s="265">
        <v>2391</v>
      </c>
      <c r="H1484" s="265">
        <v>161</v>
      </c>
      <c r="I1484" s="265">
        <v>2552</v>
      </c>
      <c r="J1484" s="265">
        <v>13010</v>
      </c>
      <c r="K1484" s="265">
        <v>15562</v>
      </c>
      <c r="L1484" s="265">
        <v>-76</v>
      </c>
      <c r="M1484" s="265">
        <v>192</v>
      </c>
      <c r="N1484" s="265">
        <v>8874</v>
      </c>
      <c r="O1484" s="265">
        <v>3186</v>
      </c>
      <c r="P1484" s="265">
        <v>27622</v>
      </c>
      <c r="Q1484" s="265">
        <v>176078</v>
      </c>
      <c r="R1484" s="12" t="s">
        <v>4559</v>
      </c>
      <c r="S1484" s="12" t="s">
        <v>25</v>
      </c>
      <c r="T1484" s="12" t="s">
        <v>25</v>
      </c>
    </row>
    <row r="1485" spans="1:20" x14ac:dyDescent="0.3">
      <c r="A1485" s="13">
        <v>43955.708333333336</v>
      </c>
      <c r="B1485" s="12" t="s">
        <v>22</v>
      </c>
      <c r="C1485" s="265">
        <v>16</v>
      </c>
      <c r="D1485" s="12" t="s">
        <v>54</v>
      </c>
      <c r="E1485" s="265">
        <v>4112559576</v>
      </c>
      <c r="F1485" s="265">
        <v>1686736689</v>
      </c>
      <c r="G1485" s="265">
        <v>397</v>
      </c>
      <c r="H1485" s="265">
        <v>39</v>
      </c>
      <c r="I1485" s="265">
        <v>436</v>
      </c>
      <c r="J1485" s="265">
        <v>2509</v>
      </c>
      <c r="K1485" s="265">
        <v>2945</v>
      </c>
      <c r="L1485" s="265">
        <v>-10</v>
      </c>
      <c r="M1485" s="265">
        <v>9</v>
      </c>
      <c r="N1485" s="265">
        <v>779</v>
      </c>
      <c r="O1485" s="265">
        <v>429</v>
      </c>
      <c r="P1485" s="265">
        <v>4153</v>
      </c>
      <c r="Q1485" s="265">
        <v>67167</v>
      </c>
      <c r="R1485" s="12" t="s">
        <v>4560</v>
      </c>
      <c r="S1485" s="12" t="s">
        <v>25</v>
      </c>
      <c r="T1485" s="12" t="s">
        <v>25</v>
      </c>
    </row>
    <row r="1486" spans="1:20" x14ac:dyDescent="0.3">
      <c r="A1486" s="13">
        <v>43955.708333333336</v>
      </c>
      <c r="B1486" s="12" t="s">
        <v>22</v>
      </c>
      <c r="C1486" s="265">
        <v>20</v>
      </c>
      <c r="D1486" s="12" t="s">
        <v>55</v>
      </c>
      <c r="E1486" s="265">
        <v>3921531192</v>
      </c>
      <c r="F1486" s="265">
        <v>9110616306</v>
      </c>
      <c r="G1486" s="265">
        <v>91</v>
      </c>
      <c r="H1486" s="265">
        <v>9</v>
      </c>
      <c r="I1486" s="265">
        <v>100</v>
      </c>
      <c r="J1486" s="265">
        <v>553</v>
      </c>
      <c r="K1486" s="265">
        <v>653</v>
      </c>
      <c r="L1486" s="265">
        <v>-36</v>
      </c>
      <c r="M1486" s="265">
        <v>-2</v>
      </c>
      <c r="N1486" s="265">
        <v>545</v>
      </c>
      <c r="O1486" s="265">
        <v>119</v>
      </c>
      <c r="P1486" s="265">
        <v>1317</v>
      </c>
      <c r="Q1486" s="265">
        <v>28052</v>
      </c>
      <c r="R1486" s="12" t="s">
        <v>4561</v>
      </c>
      <c r="S1486" s="12" t="s">
        <v>4562</v>
      </c>
      <c r="T1486" s="12" t="s">
        <v>4563</v>
      </c>
    </row>
    <row r="1487" spans="1:20" x14ac:dyDescent="0.3">
      <c r="A1487" s="13">
        <v>43955.708333333336</v>
      </c>
      <c r="B1487" s="12" t="s">
        <v>22</v>
      </c>
      <c r="C1487" s="265">
        <v>19</v>
      </c>
      <c r="D1487" s="12" t="s">
        <v>56</v>
      </c>
      <c r="E1487" s="265">
        <v>3811569725</v>
      </c>
      <c r="F1487" s="265">
        <v>133623567</v>
      </c>
      <c r="G1487" s="265">
        <v>376</v>
      </c>
      <c r="H1487" s="265">
        <v>27</v>
      </c>
      <c r="I1487" s="265">
        <v>403</v>
      </c>
      <c r="J1487" s="265">
        <v>1799</v>
      </c>
      <c r="K1487" s="265">
        <v>2202</v>
      </c>
      <c r="L1487" s="265">
        <v>-1</v>
      </c>
      <c r="M1487" s="265">
        <v>15</v>
      </c>
      <c r="N1487" s="265">
        <v>809</v>
      </c>
      <c r="O1487" s="265">
        <v>244</v>
      </c>
      <c r="P1487" s="265">
        <v>3255</v>
      </c>
      <c r="Q1487" s="265">
        <v>87166</v>
      </c>
      <c r="R1487" s="12" t="s">
        <v>4564</v>
      </c>
      <c r="S1487" s="12" t="s">
        <v>25</v>
      </c>
      <c r="T1487" s="12" t="s">
        <v>25</v>
      </c>
    </row>
    <row r="1488" spans="1:20" x14ac:dyDescent="0.3">
      <c r="A1488" s="13">
        <v>43955.708333333336</v>
      </c>
      <c r="B1488" s="12" t="s">
        <v>22</v>
      </c>
      <c r="C1488" s="265">
        <v>9</v>
      </c>
      <c r="D1488" s="12" t="s">
        <v>57</v>
      </c>
      <c r="E1488" s="265">
        <v>4376923077</v>
      </c>
      <c r="F1488" s="265">
        <v>1125588885</v>
      </c>
      <c r="G1488" s="265">
        <v>512</v>
      </c>
      <c r="H1488" s="265">
        <v>107</v>
      </c>
      <c r="I1488" s="265">
        <v>619</v>
      </c>
      <c r="J1488" s="265">
        <v>4660</v>
      </c>
      <c r="K1488" s="265">
        <v>5279</v>
      </c>
      <c r="L1488" s="265">
        <v>-49</v>
      </c>
      <c r="M1488" s="265">
        <v>38</v>
      </c>
      <c r="N1488" s="265">
        <v>3441</v>
      </c>
      <c r="O1488" s="265">
        <v>881</v>
      </c>
      <c r="P1488" s="265">
        <v>9601</v>
      </c>
      <c r="Q1488" s="265">
        <v>152447</v>
      </c>
      <c r="R1488" s="12" t="s">
        <v>4565</v>
      </c>
      <c r="S1488" s="12" t="s">
        <v>25</v>
      </c>
      <c r="T1488" s="12" t="s">
        <v>25</v>
      </c>
    </row>
    <row r="1489" spans="1:20" x14ac:dyDescent="0.3">
      <c r="A1489" s="13">
        <v>43955.708333333336</v>
      </c>
      <c r="B1489" s="12" t="s">
        <v>22</v>
      </c>
      <c r="C1489" s="265">
        <v>4</v>
      </c>
      <c r="D1489" s="12" t="s">
        <v>58</v>
      </c>
      <c r="E1489" s="265">
        <v>4606893511</v>
      </c>
      <c r="F1489" s="265">
        <v>1112123097</v>
      </c>
      <c r="G1489" s="265">
        <v>135</v>
      </c>
      <c r="H1489" s="265">
        <v>17</v>
      </c>
      <c r="I1489" s="265">
        <v>152</v>
      </c>
      <c r="J1489" s="265">
        <v>1013</v>
      </c>
      <c r="K1489" s="265">
        <v>1165</v>
      </c>
      <c r="L1489" s="265">
        <v>-82</v>
      </c>
      <c r="M1489" s="265">
        <v>11</v>
      </c>
      <c r="N1489" s="265">
        <v>2663</v>
      </c>
      <c r="O1489" s="265">
        <v>430</v>
      </c>
      <c r="P1489" s="265">
        <v>4258</v>
      </c>
      <c r="Q1489" s="265">
        <v>42061</v>
      </c>
      <c r="R1489" s="12" t="s">
        <v>4566</v>
      </c>
      <c r="S1489" s="12" t="s">
        <v>25</v>
      </c>
      <c r="T1489" s="12" t="s">
        <v>25</v>
      </c>
    </row>
    <row r="1490" spans="1:20" x14ac:dyDescent="0.3">
      <c r="A1490" s="13">
        <v>43955.708333333336</v>
      </c>
      <c r="B1490" s="12" t="s">
        <v>22</v>
      </c>
      <c r="C1490" s="265">
        <v>10</v>
      </c>
      <c r="D1490" s="12" t="s">
        <v>59</v>
      </c>
      <c r="E1490" s="265">
        <v>4310675841</v>
      </c>
      <c r="F1490" s="265">
        <v>1238824698</v>
      </c>
      <c r="G1490" s="265">
        <v>56</v>
      </c>
      <c r="H1490" s="265">
        <v>13</v>
      </c>
      <c r="I1490" s="265">
        <v>69</v>
      </c>
      <c r="J1490" s="265">
        <v>112</v>
      </c>
      <c r="K1490" s="265">
        <v>181</v>
      </c>
      <c r="L1490" s="265">
        <v>-2</v>
      </c>
      <c r="M1490" s="265">
        <v>0</v>
      </c>
      <c r="N1490" s="265">
        <v>1143</v>
      </c>
      <c r="O1490" s="265">
        <v>70</v>
      </c>
      <c r="P1490" s="265">
        <v>1394</v>
      </c>
      <c r="Q1490" s="265">
        <v>39044</v>
      </c>
      <c r="R1490" s="12" t="s">
        <v>4567</v>
      </c>
      <c r="S1490" s="12" t="s">
        <v>25</v>
      </c>
      <c r="T1490" s="12" t="s">
        <v>25</v>
      </c>
    </row>
    <row r="1491" spans="1:20" x14ac:dyDescent="0.3">
      <c r="A1491" s="13">
        <v>43955.708333333336</v>
      </c>
      <c r="B1491" s="12" t="s">
        <v>22</v>
      </c>
      <c r="C1491" s="265">
        <v>2</v>
      </c>
      <c r="D1491" s="12" t="s">
        <v>60</v>
      </c>
      <c r="E1491" s="265">
        <v>4573750286</v>
      </c>
      <c r="F1491" s="265">
        <v>7320149366</v>
      </c>
      <c r="G1491" s="265">
        <v>74</v>
      </c>
      <c r="H1491" s="265">
        <v>2</v>
      </c>
      <c r="I1491" s="265">
        <v>76</v>
      </c>
      <c r="J1491" s="265">
        <v>34</v>
      </c>
      <c r="K1491" s="265">
        <v>110</v>
      </c>
      <c r="L1491" s="265">
        <v>1</v>
      </c>
      <c r="M1491" s="265">
        <v>1</v>
      </c>
      <c r="N1491" s="265">
        <v>894</v>
      </c>
      <c r="O1491" s="265">
        <v>139</v>
      </c>
      <c r="P1491" s="265">
        <v>1143</v>
      </c>
      <c r="Q1491" s="265">
        <v>8271</v>
      </c>
      <c r="R1491" s="12" t="s">
        <v>4568</v>
      </c>
      <c r="S1491" s="12" t="s">
        <v>25</v>
      </c>
      <c r="T1491" s="12" t="s">
        <v>25</v>
      </c>
    </row>
    <row r="1492" spans="1:20" x14ac:dyDescent="0.3">
      <c r="A1492" s="13">
        <v>43955.708333333336</v>
      </c>
      <c r="B1492" s="12" t="s">
        <v>22</v>
      </c>
      <c r="C1492" s="265">
        <v>5</v>
      </c>
      <c r="D1492" s="12" t="s">
        <v>61</v>
      </c>
      <c r="E1492" s="265">
        <v>4543490485</v>
      </c>
      <c r="F1492" s="265">
        <v>1233845213</v>
      </c>
      <c r="G1492" s="265">
        <v>955</v>
      </c>
      <c r="H1492" s="265">
        <v>101</v>
      </c>
      <c r="I1492" s="265">
        <v>1056</v>
      </c>
      <c r="J1492" s="265">
        <v>6178</v>
      </c>
      <c r="K1492" s="265">
        <v>7234</v>
      </c>
      <c r="L1492" s="265">
        <v>-65</v>
      </c>
      <c r="M1492" s="265">
        <v>55</v>
      </c>
      <c r="N1492" s="265">
        <v>9611</v>
      </c>
      <c r="O1492" s="265">
        <v>1528</v>
      </c>
      <c r="P1492" s="265">
        <v>18373</v>
      </c>
      <c r="Q1492" s="265">
        <v>383660</v>
      </c>
      <c r="R1492" s="12" t="s">
        <v>4569</v>
      </c>
      <c r="S1492" s="12" t="s">
        <v>25</v>
      </c>
      <c r="T1492" s="12" t="s">
        <v>25</v>
      </c>
    </row>
    <row r="1493" spans="1:20" x14ac:dyDescent="0.3">
      <c r="A1493" s="13">
        <v>43956.708333333336</v>
      </c>
      <c r="B1493" s="12" t="s">
        <v>22</v>
      </c>
      <c r="C1493" s="265">
        <v>13</v>
      </c>
      <c r="D1493" s="12" t="s">
        <v>42</v>
      </c>
      <c r="E1493" s="265">
        <v>4235122196</v>
      </c>
      <c r="F1493" s="265">
        <v>1339843823</v>
      </c>
      <c r="G1493" s="265">
        <v>289</v>
      </c>
      <c r="H1493" s="265">
        <v>11</v>
      </c>
      <c r="I1493" s="265">
        <v>300</v>
      </c>
      <c r="J1493" s="265">
        <v>1509</v>
      </c>
      <c r="K1493" s="265">
        <v>1809</v>
      </c>
      <c r="L1493" s="265">
        <v>-28</v>
      </c>
      <c r="M1493" s="265">
        <v>25</v>
      </c>
      <c r="N1493" s="265">
        <v>881</v>
      </c>
      <c r="O1493" s="265">
        <v>335</v>
      </c>
      <c r="P1493" s="265">
        <v>3025</v>
      </c>
      <c r="Q1493" s="265">
        <v>42489</v>
      </c>
      <c r="R1493" s="12" t="s">
        <v>4570</v>
      </c>
      <c r="S1493" s="12" t="s">
        <v>25</v>
      </c>
      <c r="T1493" s="12" t="s">
        <v>25</v>
      </c>
    </row>
    <row r="1494" spans="1:20" x14ac:dyDescent="0.3">
      <c r="A1494" s="13">
        <v>43956.708333333336</v>
      </c>
      <c r="B1494" s="12" t="s">
        <v>22</v>
      </c>
      <c r="C1494" s="265">
        <v>17</v>
      </c>
      <c r="D1494" s="12" t="s">
        <v>43</v>
      </c>
      <c r="E1494" s="265">
        <v>4063947052</v>
      </c>
      <c r="F1494" s="265">
        <v>1580514834</v>
      </c>
      <c r="G1494" s="265">
        <v>50</v>
      </c>
      <c r="H1494" s="265">
        <v>3</v>
      </c>
      <c r="I1494" s="265">
        <v>53</v>
      </c>
      <c r="J1494" s="265">
        <v>124</v>
      </c>
      <c r="K1494" s="265">
        <v>177</v>
      </c>
      <c r="L1494" s="265">
        <v>4</v>
      </c>
      <c r="M1494" s="265">
        <v>10</v>
      </c>
      <c r="N1494" s="265">
        <v>194</v>
      </c>
      <c r="O1494" s="265">
        <v>25</v>
      </c>
      <c r="P1494" s="265">
        <v>396</v>
      </c>
      <c r="Q1494" s="265">
        <v>15476</v>
      </c>
      <c r="R1494" s="12" t="s">
        <v>4571</v>
      </c>
      <c r="S1494" s="12" t="s">
        <v>25</v>
      </c>
      <c r="T1494" s="12" t="s">
        <v>25</v>
      </c>
    </row>
    <row r="1495" spans="1:20" x14ac:dyDescent="0.3">
      <c r="A1495" s="13">
        <v>43956.708333333336</v>
      </c>
      <c r="B1495" s="12" t="s">
        <v>22</v>
      </c>
      <c r="C1495" s="265">
        <v>4</v>
      </c>
      <c r="D1495" s="12" t="s">
        <v>44</v>
      </c>
      <c r="E1495" s="265">
        <v>4649933453</v>
      </c>
      <c r="F1495" s="265">
        <v>1135662422</v>
      </c>
      <c r="G1495" s="265">
        <v>99</v>
      </c>
      <c r="H1495" s="265">
        <v>11</v>
      </c>
      <c r="I1495" s="265">
        <v>110</v>
      </c>
      <c r="J1495" s="265">
        <v>502</v>
      </c>
      <c r="K1495" s="265">
        <v>612</v>
      </c>
      <c r="L1495" s="265">
        <v>-24</v>
      </c>
      <c r="M1495" s="265">
        <v>1</v>
      </c>
      <c r="N1495" s="265">
        <v>1644</v>
      </c>
      <c r="O1495" s="265">
        <v>286</v>
      </c>
      <c r="P1495" s="265">
        <v>2542</v>
      </c>
      <c r="Q1495" s="265">
        <v>45264</v>
      </c>
      <c r="R1495" s="12" t="s">
        <v>4572</v>
      </c>
      <c r="S1495" s="12" t="s">
        <v>25</v>
      </c>
      <c r="T1495" s="12" t="s">
        <v>25</v>
      </c>
    </row>
    <row r="1496" spans="1:20" x14ac:dyDescent="0.3">
      <c r="A1496" s="13">
        <v>43956.708333333336</v>
      </c>
      <c r="B1496" s="12" t="s">
        <v>22</v>
      </c>
      <c r="C1496" s="265">
        <v>18</v>
      </c>
      <c r="D1496" s="12" t="s">
        <v>45</v>
      </c>
      <c r="E1496" s="265">
        <v>3890597598</v>
      </c>
      <c r="F1496" s="265">
        <v>1659440194</v>
      </c>
      <c r="G1496" s="265">
        <v>92</v>
      </c>
      <c r="H1496" s="265">
        <v>4</v>
      </c>
      <c r="I1496" s="265">
        <v>96</v>
      </c>
      <c r="J1496" s="265">
        <v>554</v>
      </c>
      <c r="K1496" s="265">
        <v>650</v>
      </c>
      <c r="L1496" s="265">
        <v>-24</v>
      </c>
      <c r="M1496" s="265">
        <v>1</v>
      </c>
      <c r="N1496" s="265">
        <v>381</v>
      </c>
      <c r="O1496" s="265">
        <v>88</v>
      </c>
      <c r="P1496" s="265">
        <v>1119</v>
      </c>
      <c r="Q1496" s="265">
        <v>40509</v>
      </c>
      <c r="R1496" s="12" t="s">
        <v>4573</v>
      </c>
      <c r="S1496" s="12" t="s">
        <v>25</v>
      </c>
      <c r="T1496" s="12" t="s">
        <v>25</v>
      </c>
    </row>
    <row r="1497" spans="1:20" x14ac:dyDescent="0.3">
      <c r="A1497" s="13">
        <v>43956.708333333336</v>
      </c>
      <c r="B1497" s="12" t="s">
        <v>22</v>
      </c>
      <c r="C1497" s="265">
        <v>15</v>
      </c>
      <c r="D1497" s="12" t="s">
        <v>46</v>
      </c>
      <c r="E1497" s="265">
        <v>4083956555</v>
      </c>
      <c r="F1497" s="265">
        <v>1425084984</v>
      </c>
      <c r="G1497" s="265">
        <v>408</v>
      </c>
      <c r="H1497" s="265">
        <v>25</v>
      </c>
      <c r="I1497" s="265">
        <v>433</v>
      </c>
      <c r="J1497" s="265">
        <v>2097</v>
      </c>
      <c r="K1497" s="265">
        <v>2530</v>
      </c>
      <c r="L1497" s="265">
        <v>-181</v>
      </c>
      <c r="M1497" s="265">
        <v>20</v>
      </c>
      <c r="N1497" s="265">
        <v>1619</v>
      </c>
      <c r="O1497" s="265">
        <v>369</v>
      </c>
      <c r="P1497" s="265">
        <v>4518</v>
      </c>
      <c r="Q1497" s="265">
        <v>93068</v>
      </c>
      <c r="R1497" s="12" t="s">
        <v>4574</v>
      </c>
      <c r="S1497" s="12" t="s">
        <v>25</v>
      </c>
      <c r="T1497" s="12" t="s">
        <v>25</v>
      </c>
    </row>
    <row r="1498" spans="1:20" x14ac:dyDescent="0.3">
      <c r="A1498" s="13">
        <v>43956.708333333336</v>
      </c>
      <c r="B1498" s="12" t="s">
        <v>22</v>
      </c>
      <c r="C1498" s="265">
        <v>8</v>
      </c>
      <c r="D1498" s="12" t="s">
        <v>95</v>
      </c>
      <c r="E1498" s="265">
        <v>4449436681</v>
      </c>
      <c r="F1498" s="265">
        <v>113417208</v>
      </c>
      <c r="G1498" s="265">
        <v>1917</v>
      </c>
      <c r="H1498" s="265">
        <v>191</v>
      </c>
      <c r="I1498" s="265">
        <v>2108</v>
      </c>
      <c r="J1498" s="265">
        <v>6573</v>
      </c>
      <c r="K1498" s="265">
        <v>8681</v>
      </c>
      <c r="L1498" s="265">
        <v>-303</v>
      </c>
      <c r="M1498" s="265">
        <v>100</v>
      </c>
      <c r="N1498" s="265">
        <v>13889</v>
      </c>
      <c r="O1498" s="265">
        <v>3705</v>
      </c>
      <c r="P1498" s="265">
        <v>26275</v>
      </c>
      <c r="Q1498" s="265">
        <v>206166</v>
      </c>
      <c r="R1498" s="12" t="s">
        <v>4575</v>
      </c>
      <c r="S1498" s="12" t="s">
        <v>25</v>
      </c>
      <c r="T1498" s="12" t="s">
        <v>25</v>
      </c>
    </row>
    <row r="1499" spans="1:20" x14ac:dyDescent="0.3">
      <c r="A1499" s="13">
        <v>43956.708333333336</v>
      </c>
      <c r="B1499" s="12" t="s">
        <v>22</v>
      </c>
      <c r="C1499" s="265">
        <v>6</v>
      </c>
      <c r="D1499" s="12" t="s">
        <v>47</v>
      </c>
      <c r="E1499" s="265">
        <v>456494354</v>
      </c>
      <c r="F1499" s="265">
        <v>1376813649</v>
      </c>
      <c r="G1499" s="265">
        <v>120</v>
      </c>
      <c r="H1499" s="265">
        <v>4</v>
      </c>
      <c r="I1499" s="265">
        <v>124</v>
      </c>
      <c r="J1499" s="265">
        <v>860</v>
      </c>
      <c r="K1499" s="265">
        <v>984</v>
      </c>
      <c r="L1499" s="265">
        <v>-66</v>
      </c>
      <c r="M1499" s="265">
        <v>9</v>
      </c>
      <c r="N1499" s="265">
        <v>1798</v>
      </c>
      <c r="O1499" s="265">
        <v>303</v>
      </c>
      <c r="P1499" s="265">
        <v>3085</v>
      </c>
      <c r="Q1499" s="265">
        <v>78510</v>
      </c>
      <c r="R1499" s="12" t="s">
        <v>4576</v>
      </c>
      <c r="S1499" s="12" t="s">
        <v>25</v>
      </c>
      <c r="T1499" s="12" t="s">
        <v>25</v>
      </c>
    </row>
    <row r="1500" spans="1:20" x14ac:dyDescent="0.3">
      <c r="A1500" s="13">
        <v>43956.708333333336</v>
      </c>
      <c r="B1500" s="12" t="s">
        <v>22</v>
      </c>
      <c r="C1500" s="265">
        <v>12</v>
      </c>
      <c r="D1500" s="12" t="s">
        <v>48</v>
      </c>
      <c r="E1500" s="265">
        <v>4189277044</v>
      </c>
      <c r="F1500" s="265">
        <v>1248366722</v>
      </c>
      <c r="G1500" s="265">
        <v>1315</v>
      </c>
      <c r="H1500" s="265">
        <v>91</v>
      </c>
      <c r="I1500" s="265">
        <v>1406</v>
      </c>
      <c r="J1500" s="265">
        <v>2964</v>
      </c>
      <c r="K1500" s="265">
        <v>4370</v>
      </c>
      <c r="L1500" s="265">
        <v>-15</v>
      </c>
      <c r="M1500" s="265">
        <v>67</v>
      </c>
      <c r="N1500" s="265">
        <v>2010</v>
      </c>
      <c r="O1500" s="265">
        <v>534</v>
      </c>
      <c r="P1500" s="265">
        <v>6914</v>
      </c>
      <c r="Q1500" s="265">
        <v>157307</v>
      </c>
      <c r="R1500" s="12" t="s">
        <v>4577</v>
      </c>
      <c r="S1500" s="12" t="s">
        <v>25</v>
      </c>
      <c r="T1500" s="12" t="s">
        <v>25</v>
      </c>
    </row>
    <row r="1501" spans="1:20" x14ac:dyDescent="0.3">
      <c r="A1501" s="13">
        <v>43956.708333333336</v>
      </c>
      <c r="B1501" s="12" t="s">
        <v>22</v>
      </c>
      <c r="C1501" s="265">
        <v>7</v>
      </c>
      <c r="D1501" s="12" t="s">
        <v>49</v>
      </c>
      <c r="E1501" s="265">
        <v>4441149315</v>
      </c>
      <c r="F1501" s="265">
        <v>89326992</v>
      </c>
      <c r="G1501" s="265">
        <v>583</v>
      </c>
      <c r="H1501" s="265">
        <v>68</v>
      </c>
      <c r="I1501" s="265">
        <v>651</v>
      </c>
      <c r="J1501" s="265">
        <v>2776</v>
      </c>
      <c r="K1501" s="265">
        <v>3427</v>
      </c>
      <c r="L1501" s="265">
        <v>-81</v>
      </c>
      <c r="M1501" s="265">
        <v>63</v>
      </c>
      <c r="N1501" s="265">
        <v>3816</v>
      </c>
      <c r="O1501" s="265">
        <v>1232</v>
      </c>
      <c r="P1501" s="265">
        <v>8475</v>
      </c>
      <c r="Q1501" s="265">
        <v>57622</v>
      </c>
      <c r="R1501" s="12" t="s">
        <v>4578</v>
      </c>
      <c r="S1501" s="12" t="s">
        <v>25</v>
      </c>
      <c r="T1501" s="12" t="s">
        <v>25</v>
      </c>
    </row>
    <row r="1502" spans="1:20" x14ac:dyDescent="0.3">
      <c r="A1502" s="13">
        <v>43956.708333333336</v>
      </c>
      <c r="B1502" s="12" t="s">
        <v>22</v>
      </c>
      <c r="C1502" s="265">
        <v>3</v>
      </c>
      <c r="D1502" s="12" t="s">
        <v>50</v>
      </c>
      <c r="E1502" s="265">
        <v>4546679409</v>
      </c>
      <c r="F1502" s="265">
        <v>9190347404</v>
      </c>
      <c r="G1502" s="265">
        <v>6201</v>
      </c>
      <c r="H1502" s="265">
        <v>509</v>
      </c>
      <c r="I1502" s="265">
        <v>6710</v>
      </c>
      <c r="J1502" s="265">
        <v>30382</v>
      </c>
      <c r="K1502" s="265">
        <v>37092</v>
      </c>
      <c r="L1502" s="265">
        <v>-215</v>
      </c>
      <c r="M1502" s="265">
        <v>500</v>
      </c>
      <c r="N1502" s="265">
        <v>27124</v>
      </c>
      <c r="O1502" s="265">
        <v>14389</v>
      </c>
      <c r="P1502" s="265">
        <v>78605</v>
      </c>
      <c r="Q1502" s="265">
        <v>425290</v>
      </c>
      <c r="R1502" s="12" t="s">
        <v>4579</v>
      </c>
      <c r="S1502" s="12" t="s">
        <v>25</v>
      </c>
      <c r="T1502" s="12" t="s">
        <v>25</v>
      </c>
    </row>
    <row r="1503" spans="1:20" x14ac:dyDescent="0.3">
      <c r="A1503" s="13">
        <v>43956.708333333336</v>
      </c>
      <c r="B1503" s="12" t="s">
        <v>22</v>
      </c>
      <c r="C1503" s="265">
        <v>11</v>
      </c>
      <c r="D1503" s="12" t="s">
        <v>51</v>
      </c>
      <c r="E1503" s="265">
        <v>4361675973</v>
      </c>
      <c r="F1503" s="265">
        <v>135188753</v>
      </c>
      <c r="G1503" s="265">
        <v>387</v>
      </c>
      <c r="H1503" s="265">
        <v>42</v>
      </c>
      <c r="I1503" s="265">
        <v>429</v>
      </c>
      <c r="J1503" s="265">
        <v>2790</v>
      </c>
      <c r="K1503" s="265">
        <v>3219</v>
      </c>
      <c r="L1503" s="265">
        <v>13</v>
      </c>
      <c r="M1503" s="265">
        <v>29</v>
      </c>
      <c r="N1503" s="265">
        <v>2237</v>
      </c>
      <c r="O1503" s="265">
        <v>936</v>
      </c>
      <c r="P1503" s="265">
        <v>6392</v>
      </c>
      <c r="Q1503" s="265">
        <v>67256</v>
      </c>
      <c r="R1503" s="12" t="s">
        <v>4580</v>
      </c>
      <c r="S1503" s="12" t="s">
        <v>25</v>
      </c>
      <c r="T1503" s="12" t="s">
        <v>25</v>
      </c>
    </row>
    <row r="1504" spans="1:20" x14ac:dyDescent="0.3">
      <c r="A1504" s="13">
        <v>43956.708333333336</v>
      </c>
      <c r="B1504" s="12" t="s">
        <v>22</v>
      </c>
      <c r="C1504" s="265">
        <v>14</v>
      </c>
      <c r="D1504" s="12" t="s">
        <v>52</v>
      </c>
      <c r="E1504" s="265">
        <v>4155774754</v>
      </c>
      <c r="F1504" s="265">
        <v>1465916051</v>
      </c>
      <c r="G1504" s="265">
        <v>9</v>
      </c>
      <c r="H1504" s="265">
        <v>1</v>
      </c>
      <c r="I1504" s="265">
        <v>10</v>
      </c>
      <c r="J1504" s="265">
        <v>167</v>
      </c>
      <c r="K1504" s="265">
        <v>177</v>
      </c>
      <c r="L1504" s="265">
        <v>-1</v>
      </c>
      <c r="M1504" s="265">
        <v>0</v>
      </c>
      <c r="N1504" s="265">
        <v>102</v>
      </c>
      <c r="O1504" s="265">
        <v>22</v>
      </c>
      <c r="P1504" s="265">
        <v>301</v>
      </c>
      <c r="Q1504" s="265">
        <v>7528</v>
      </c>
      <c r="R1504" s="12" t="s">
        <v>4581</v>
      </c>
      <c r="S1504" s="12" t="s">
        <v>25</v>
      </c>
      <c r="T1504" s="12" t="s">
        <v>25</v>
      </c>
    </row>
    <row r="1505" spans="1:20" x14ac:dyDescent="0.3">
      <c r="A1505" s="13">
        <v>43956.708333333336</v>
      </c>
      <c r="B1505" s="12" t="s">
        <v>22</v>
      </c>
      <c r="C1505" s="265">
        <v>1</v>
      </c>
      <c r="D1505" s="12" t="s">
        <v>53</v>
      </c>
      <c r="E1505" s="265">
        <v>450732745</v>
      </c>
      <c r="F1505" s="265">
        <v>7680687483</v>
      </c>
      <c r="G1505" s="265">
        <v>2307</v>
      </c>
      <c r="H1505" s="265">
        <v>155</v>
      </c>
      <c r="I1505" s="265">
        <v>2462</v>
      </c>
      <c r="J1505" s="265">
        <v>12861</v>
      </c>
      <c r="K1505" s="265">
        <v>15323</v>
      </c>
      <c r="L1505" s="265">
        <v>-239</v>
      </c>
      <c r="M1505" s="265">
        <v>152</v>
      </c>
      <c r="N1505" s="265">
        <v>9235</v>
      </c>
      <c r="O1505" s="265">
        <v>3216</v>
      </c>
      <c r="P1505" s="265">
        <v>27774</v>
      </c>
      <c r="Q1505" s="265">
        <v>181316</v>
      </c>
      <c r="R1505" s="12" t="s">
        <v>4582</v>
      </c>
      <c r="S1505" s="12" t="s">
        <v>25</v>
      </c>
      <c r="T1505" s="12" t="s">
        <v>25</v>
      </c>
    </row>
    <row r="1506" spans="1:20" x14ac:dyDescent="0.3">
      <c r="A1506" s="13">
        <v>43956.708333333336</v>
      </c>
      <c r="B1506" s="12" t="s">
        <v>22</v>
      </c>
      <c r="C1506" s="265">
        <v>16</v>
      </c>
      <c r="D1506" s="12" t="s">
        <v>54</v>
      </c>
      <c r="E1506" s="265">
        <v>4112559576</v>
      </c>
      <c r="F1506" s="265">
        <v>1686736689</v>
      </c>
      <c r="G1506" s="265">
        <v>384</v>
      </c>
      <c r="H1506" s="265">
        <v>39</v>
      </c>
      <c r="I1506" s="265">
        <v>423</v>
      </c>
      <c r="J1506" s="265">
        <v>2516</v>
      </c>
      <c r="K1506" s="265">
        <v>2939</v>
      </c>
      <c r="L1506" s="265">
        <v>-6</v>
      </c>
      <c r="M1506" s="265">
        <v>17</v>
      </c>
      <c r="N1506" s="265">
        <v>798</v>
      </c>
      <c r="O1506" s="265">
        <v>433</v>
      </c>
      <c r="P1506" s="265">
        <v>4170</v>
      </c>
      <c r="Q1506" s="265">
        <v>69128</v>
      </c>
      <c r="R1506" s="12" t="s">
        <v>4583</v>
      </c>
      <c r="S1506" s="12" t="s">
        <v>25</v>
      </c>
      <c r="T1506" s="12" t="s">
        <v>25</v>
      </c>
    </row>
    <row r="1507" spans="1:20" x14ac:dyDescent="0.3">
      <c r="A1507" s="13">
        <v>43956.708333333336</v>
      </c>
      <c r="B1507" s="12" t="s">
        <v>22</v>
      </c>
      <c r="C1507" s="265">
        <v>20</v>
      </c>
      <c r="D1507" s="12" t="s">
        <v>55</v>
      </c>
      <c r="E1507" s="265">
        <v>3921531192</v>
      </c>
      <c r="F1507" s="265">
        <v>9110616306</v>
      </c>
      <c r="G1507" s="265">
        <v>94</v>
      </c>
      <c r="H1507" s="265">
        <v>9</v>
      </c>
      <c r="I1507" s="265">
        <v>103</v>
      </c>
      <c r="J1507" s="265">
        <v>539</v>
      </c>
      <c r="K1507" s="265">
        <v>642</v>
      </c>
      <c r="L1507" s="265">
        <v>-11</v>
      </c>
      <c r="M1507" s="265">
        <v>1</v>
      </c>
      <c r="N1507" s="265">
        <v>557</v>
      </c>
      <c r="O1507" s="265">
        <v>119</v>
      </c>
      <c r="P1507" s="265">
        <v>1318</v>
      </c>
      <c r="Q1507" s="265">
        <v>28867</v>
      </c>
      <c r="R1507" s="12" t="s">
        <v>4584</v>
      </c>
      <c r="S1507" s="12" t="s">
        <v>25</v>
      </c>
      <c r="T1507" s="12" t="s">
        <v>25</v>
      </c>
    </row>
    <row r="1508" spans="1:20" x14ac:dyDescent="0.3">
      <c r="A1508" s="13">
        <v>43956.708333333336</v>
      </c>
      <c r="B1508" s="12" t="s">
        <v>22</v>
      </c>
      <c r="C1508" s="265">
        <v>19</v>
      </c>
      <c r="D1508" s="12" t="s">
        <v>56</v>
      </c>
      <c r="E1508" s="265">
        <v>3811569725</v>
      </c>
      <c r="F1508" s="265">
        <v>133623567</v>
      </c>
      <c r="G1508" s="265">
        <v>367</v>
      </c>
      <c r="H1508" s="265">
        <v>26</v>
      </c>
      <c r="I1508" s="265">
        <v>393</v>
      </c>
      <c r="J1508" s="265">
        <v>1809</v>
      </c>
      <c r="K1508" s="265">
        <v>2202</v>
      </c>
      <c r="L1508" s="265">
        <v>0</v>
      </c>
      <c r="M1508" s="265">
        <v>12</v>
      </c>
      <c r="N1508" s="265">
        <v>818</v>
      </c>
      <c r="O1508" s="265">
        <v>247</v>
      </c>
      <c r="P1508" s="265">
        <v>3267</v>
      </c>
      <c r="Q1508" s="265">
        <v>91306</v>
      </c>
      <c r="R1508" s="12" t="s">
        <v>4585</v>
      </c>
      <c r="S1508" s="12" t="s">
        <v>25</v>
      </c>
      <c r="T1508" s="12" t="s">
        <v>25</v>
      </c>
    </row>
    <row r="1509" spans="1:20" x14ac:dyDescent="0.3">
      <c r="A1509" s="13">
        <v>43956.708333333336</v>
      </c>
      <c r="B1509" s="12" t="s">
        <v>22</v>
      </c>
      <c r="C1509" s="265">
        <v>9</v>
      </c>
      <c r="D1509" s="12" t="s">
        <v>57</v>
      </c>
      <c r="E1509" s="265">
        <v>4376923077</v>
      </c>
      <c r="F1509" s="265">
        <v>1125588885</v>
      </c>
      <c r="G1509" s="265">
        <v>484</v>
      </c>
      <c r="H1509" s="265">
        <v>111</v>
      </c>
      <c r="I1509" s="265">
        <v>595</v>
      </c>
      <c r="J1509" s="265">
        <v>4595</v>
      </c>
      <c r="K1509" s="265">
        <v>5190</v>
      </c>
      <c r="L1509" s="265">
        <v>-89</v>
      </c>
      <c r="M1509" s="265">
        <v>30</v>
      </c>
      <c r="N1509" s="265">
        <v>3552</v>
      </c>
      <c r="O1509" s="265">
        <v>889</v>
      </c>
      <c r="P1509" s="265">
        <v>9631</v>
      </c>
      <c r="Q1509" s="265">
        <v>157260</v>
      </c>
      <c r="R1509" s="12" t="s">
        <v>4586</v>
      </c>
      <c r="S1509" s="12" t="s">
        <v>25</v>
      </c>
      <c r="T1509" s="12" t="s">
        <v>25</v>
      </c>
    </row>
    <row r="1510" spans="1:20" x14ac:dyDescent="0.3">
      <c r="A1510" s="13">
        <v>43956.708333333336</v>
      </c>
      <c r="B1510" s="12" t="s">
        <v>22</v>
      </c>
      <c r="C1510" s="265">
        <v>4</v>
      </c>
      <c r="D1510" s="12" t="s">
        <v>58</v>
      </c>
      <c r="E1510" s="265">
        <v>4606893511</v>
      </c>
      <c r="F1510" s="265">
        <v>1112123097</v>
      </c>
      <c r="G1510" s="265">
        <v>126</v>
      </c>
      <c r="H1510" s="265">
        <v>15</v>
      </c>
      <c r="I1510" s="265">
        <v>141</v>
      </c>
      <c r="J1510" s="265">
        <v>900</v>
      </c>
      <c r="K1510" s="265">
        <v>1041</v>
      </c>
      <c r="L1510" s="265">
        <v>-124</v>
      </c>
      <c r="M1510" s="265">
        <v>3</v>
      </c>
      <c r="N1510" s="265">
        <v>2787</v>
      </c>
      <c r="O1510" s="265">
        <v>433</v>
      </c>
      <c r="P1510" s="265">
        <v>4261</v>
      </c>
      <c r="Q1510" s="265">
        <v>42870</v>
      </c>
      <c r="R1510" s="12" t="s">
        <v>4587</v>
      </c>
      <c r="S1510" s="12" t="s">
        <v>25</v>
      </c>
      <c r="T1510" s="12" t="s">
        <v>25</v>
      </c>
    </row>
    <row r="1511" spans="1:20" x14ac:dyDescent="0.3">
      <c r="A1511" s="13">
        <v>43956.708333333336</v>
      </c>
      <c r="B1511" s="12" t="s">
        <v>22</v>
      </c>
      <c r="C1511" s="265">
        <v>10</v>
      </c>
      <c r="D1511" s="12" t="s">
        <v>59</v>
      </c>
      <c r="E1511" s="265">
        <v>4310675841</v>
      </c>
      <c r="F1511" s="265">
        <v>1238824698</v>
      </c>
      <c r="G1511" s="265">
        <v>56</v>
      </c>
      <c r="H1511" s="265">
        <v>11</v>
      </c>
      <c r="I1511" s="265">
        <v>67</v>
      </c>
      <c r="J1511" s="265">
        <v>109</v>
      </c>
      <c r="K1511" s="265">
        <v>176</v>
      </c>
      <c r="L1511" s="265">
        <v>-5</v>
      </c>
      <c r="M1511" s="265">
        <v>6</v>
      </c>
      <c r="N1511" s="265">
        <v>1154</v>
      </c>
      <c r="O1511" s="265">
        <v>70</v>
      </c>
      <c r="P1511" s="265">
        <v>1400</v>
      </c>
      <c r="Q1511" s="265">
        <v>39998</v>
      </c>
      <c r="R1511" s="12" t="s">
        <v>4588</v>
      </c>
      <c r="S1511" s="12" t="s">
        <v>25</v>
      </c>
      <c r="T1511" s="12" t="s">
        <v>25</v>
      </c>
    </row>
    <row r="1512" spans="1:20" x14ac:dyDescent="0.3">
      <c r="A1512" s="13">
        <v>43956.708333333336</v>
      </c>
      <c r="B1512" s="12" t="s">
        <v>22</v>
      </c>
      <c r="C1512" s="265">
        <v>2</v>
      </c>
      <c r="D1512" s="12" t="s">
        <v>60</v>
      </c>
      <c r="E1512" s="265">
        <v>4573750286</v>
      </c>
      <c r="F1512" s="265">
        <v>7320149366</v>
      </c>
      <c r="G1512" s="265">
        <v>56</v>
      </c>
      <c r="H1512" s="265">
        <v>3</v>
      </c>
      <c r="I1512" s="265">
        <v>59</v>
      </c>
      <c r="J1512" s="265">
        <v>51</v>
      </c>
      <c r="K1512" s="265">
        <v>110</v>
      </c>
      <c r="L1512" s="265">
        <v>0</v>
      </c>
      <c r="M1512" s="265">
        <v>0</v>
      </c>
      <c r="N1512" s="265">
        <v>894</v>
      </c>
      <c r="O1512" s="265">
        <v>139</v>
      </c>
      <c r="P1512" s="265">
        <v>1143</v>
      </c>
      <c r="Q1512" s="265">
        <v>8484</v>
      </c>
      <c r="R1512" s="12" t="s">
        <v>4589</v>
      </c>
      <c r="S1512" s="12" t="s">
        <v>25</v>
      </c>
      <c r="T1512" s="12" t="s">
        <v>25</v>
      </c>
    </row>
    <row r="1513" spans="1:20" x14ac:dyDescent="0.3">
      <c r="A1513" s="13">
        <v>43956.708333333336</v>
      </c>
      <c r="B1513" s="12" t="s">
        <v>22</v>
      </c>
      <c r="C1513" s="265">
        <v>5</v>
      </c>
      <c r="D1513" s="12" t="s">
        <v>61</v>
      </c>
      <c r="E1513" s="265">
        <v>4543490485</v>
      </c>
      <c r="F1513" s="265">
        <v>1233845213</v>
      </c>
      <c r="G1513" s="265">
        <v>926</v>
      </c>
      <c r="H1513" s="265">
        <v>98</v>
      </c>
      <c r="I1513" s="265">
        <v>1024</v>
      </c>
      <c r="J1513" s="265">
        <v>6092</v>
      </c>
      <c r="K1513" s="265">
        <v>7116</v>
      </c>
      <c r="L1513" s="265">
        <v>-118</v>
      </c>
      <c r="M1513" s="265">
        <v>29</v>
      </c>
      <c r="N1513" s="265">
        <v>9741</v>
      </c>
      <c r="O1513" s="265">
        <v>1545</v>
      </c>
      <c r="P1513" s="265">
        <v>18402</v>
      </c>
      <c r="Q1513" s="265">
        <v>390952</v>
      </c>
      <c r="R1513" s="12" t="s">
        <v>4590</v>
      </c>
      <c r="S1513" s="12" t="s">
        <v>25</v>
      </c>
      <c r="T1513" s="12" t="s">
        <v>25</v>
      </c>
    </row>
    <row r="1514" spans="1:20" x14ac:dyDescent="0.3">
      <c r="A1514" s="13">
        <v>43957.708333333336</v>
      </c>
      <c r="B1514" s="12" t="s">
        <v>22</v>
      </c>
      <c r="C1514" s="265">
        <v>13</v>
      </c>
      <c r="D1514" s="12" t="s">
        <v>42</v>
      </c>
      <c r="E1514" s="265">
        <v>4235122196</v>
      </c>
      <c r="F1514" s="265">
        <v>1339843823</v>
      </c>
      <c r="G1514" s="265">
        <v>285</v>
      </c>
      <c r="H1514" s="265">
        <v>11</v>
      </c>
      <c r="I1514" s="265">
        <v>296</v>
      </c>
      <c r="J1514" s="265">
        <v>1495</v>
      </c>
      <c r="K1514" s="265">
        <v>1791</v>
      </c>
      <c r="L1514" s="265">
        <v>-18</v>
      </c>
      <c r="M1514" s="265">
        <v>22</v>
      </c>
      <c r="N1514" s="265">
        <v>915</v>
      </c>
      <c r="O1514" s="265">
        <v>341</v>
      </c>
      <c r="P1514" s="265">
        <v>3047</v>
      </c>
      <c r="Q1514" s="265">
        <v>43803</v>
      </c>
      <c r="R1514" s="12" t="s">
        <v>4591</v>
      </c>
      <c r="S1514" s="12" t="s">
        <v>25</v>
      </c>
      <c r="T1514" s="12" t="s">
        <v>25</v>
      </c>
    </row>
    <row r="1515" spans="1:20" x14ac:dyDescent="0.3">
      <c r="A1515" s="13">
        <v>43957.708333333336</v>
      </c>
      <c r="B1515" s="12" t="s">
        <v>22</v>
      </c>
      <c r="C1515" s="265">
        <v>17</v>
      </c>
      <c r="D1515" s="12" t="s">
        <v>43</v>
      </c>
      <c r="E1515" s="265">
        <v>4063947052</v>
      </c>
      <c r="F1515" s="265">
        <v>1580514834</v>
      </c>
      <c r="G1515" s="265">
        <v>47</v>
      </c>
      <c r="H1515" s="265">
        <v>3</v>
      </c>
      <c r="I1515" s="265">
        <v>50</v>
      </c>
      <c r="J1515" s="265">
        <v>122</v>
      </c>
      <c r="K1515" s="265">
        <v>172</v>
      </c>
      <c r="L1515" s="265">
        <v>-5</v>
      </c>
      <c r="M1515" s="265">
        <v>3</v>
      </c>
      <c r="N1515" s="265">
        <v>202</v>
      </c>
      <c r="O1515" s="265">
        <v>25</v>
      </c>
      <c r="P1515" s="265">
        <v>399</v>
      </c>
      <c r="Q1515" s="265">
        <v>16103</v>
      </c>
      <c r="R1515" s="12" t="s">
        <v>4592</v>
      </c>
      <c r="S1515" s="12" t="s">
        <v>25</v>
      </c>
      <c r="T1515" s="12" t="s">
        <v>25</v>
      </c>
    </row>
    <row r="1516" spans="1:20" x14ac:dyDescent="0.3">
      <c r="A1516" s="13">
        <v>43957.708333333336</v>
      </c>
      <c r="B1516" s="12" t="s">
        <v>22</v>
      </c>
      <c r="C1516" s="265">
        <v>4</v>
      </c>
      <c r="D1516" s="12" t="s">
        <v>44</v>
      </c>
      <c r="E1516" s="265">
        <v>4649933453</v>
      </c>
      <c r="F1516" s="265">
        <v>1135662422</v>
      </c>
      <c r="G1516" s="265">
        <v>99</v>
      </c>
      <c r="H1516" s="265">
        <v>11</v>
      </c>
      <c r="I1516" s="265">
        <v>110</v>
      </c>
      <c r="J1516" s="265">
        <v>469</v>
      </c>
      <c r="K1516" s="265">
        <v>579</v>
      </c>
      <c r="L1516" s="265">
        <v>-33</v>
      </c>
      <c r="M1516" s="265">
        <v>1</v>
      </c>
      <c r="N1516" s="265">
        <v>1678</v>
      </c>
      <c r="O1516" s="265">
        <v>286</v>
      </c>
      <c r="P1516" s="265">
        <v>2543</v>
      </c>
      <c r="Q1516" s="265">
        <v>46228</v>
      </c>
      <c r="R1516" s="12" t="s">
        <v>4593</v>
      </c>
      <c r="S1516" s="12" t="s">
        <v>25</v>
      </c>
      <c r="T1516" s="12" t="s">
        <v>25</v>
      </c>
    </row>
    <row r="1517" spans="1:20" x14ac:dyDescent="0.3">
      <c r="A1517" s="13">
        <v>43957.708333333336</v>
      </c>
      <c r="B1517" s="12" t="s">
        <v>22</v>
      </c>
      <c r="C1517" s="265">
        <v>18</v>
      </c>
      <c r="D1517" s="12" t="s">
        <v>45</v>
      </c>
      <c r="E1517" s="265">
        <v>3890597598</v>
      </c>
      <c r="F1517" s="265">
        <v>1659440194</v>
      </c>
      <c r="G1517" s="265">
        <v>87</v>
      </c>
      <c r="H1517" s="265">
        <v>3</v>
      </c>
      <c r="I1517" s="265">
        <v>90</v>
      </c>
      <c r="J1517" s="265">
        <v>554</v>
      </c>
      <c r="K1517" s="265">
        <v>644</v>
      </c>
      <c r="L1517" s="265">
        <v>-6</v>
      </c>
      <c r="M1517" s="265">
        <v>3</v>
      </c>
      <c r="N1517" s="265">
        <v>389</v>
      </c>
      <c r="O1517" s="265">
        <v>89</v>
      </c>
      <c r="P1517" s="265">
        <v>1122</v>
      </c>
      <c r="Q1517" s="265">
        <v>41828</v>
      </c>
      <c r="R1517" s="12" t="s">
        <v>4594</v>
      </c>
      <c r="S1517" s="12" t="s">
        <v>25</v>
      </c>
      <c r="T1517" s="12" t="s">
        <v>25</v>
      </c>
    </row>
    <row r="1518" spans="1:20" x14ac:dyDescent="0.3">
      <c r="A1518" s="13">
        <v>43957.708333333336</v>
      </c>
      <c r="B1518" s="12" t="s">
        <v>22</v>
      </c>
      <c r="C1518" s="265">
        <v>15</v>
      </c>
      <c r="D1518" s="12" t="s">
        <v>46</v>
      </c>
      <c r="E1518" s="265">
        <v>4083956555</v>
      </c>
      <c r="F1518" s="265">
        <v>1425084984</v>
      </c>
      <c r="G1518" s="265">
        <v>433</v>
      </c>
      <c r="H1518" s="265">
        <v>25</v>
      </c>
      <c r="I1518" s="265">
        <v>458</v>
      </c>
      <c r="J1518" s="265">
        <v>1882</v>
      </c>
      <c r="K1518" s="265">
        <v>2340</v>
      </c>
      <c r="L1518" s="265">
        <v>-190</v>
      </c>
      <c r="M1518" s="265">
        <v>14</v>
      </c>
      <c r="N1518" s="265">
        <v>1816</v>
      </c>
      <c r="O1518" s="265">
        <v>376</v>
      </c>
      <c r="P1518" s="265">
        <v>4532</v>
      </c>
      <c r="Q1518" s="265">
        <v>96548</v>
      </c>
      <c r="R1518" s="12" t="s">
        <v>4595</v>
      </c>
      <c r="S1518" s="12" t="s">
        <v>25</v>
      </c>
      <c r="T1518" s="12" t="s">
        <v>25</v>
      </c>
    </row>
    <row r="1519" spans="1:20" x14ac:dyDescent="0.3">
      <c r="A1519" s="13">
        <v>43957.708333333336</v>
      </c>
      <c r="B1519" s="12" t="s">
        <v>22</v>
      </c>
      <c r="C1519" s="265">
        <v>8</v>
      </c>
      <c r="D1519" s="12" t="s">
        <v>95</v>
      </c>
      <c r="E1519" s="265">
        <v>4449436681</v>
      </c>
      <c r="F1519" s="265">
        <v>113417208</v>
      </c>
      <c r="G1519" s="265">
        <v>1816</v>
      </c>
      <c r="H1519" s="265">
        <v>176</v>
      </c>
      <c r="I1519" s="265">
        <v>1992</v>
      </c>
      <c r="J1519" s="265">
        <v>6399</v>
      </c>
      <c r="K1519" s="265">
        <v>8391</v>
      </c>
      <c r="L1519" s="265">
        <v>-290</v>
      </c>
      <c r="M1519" s="265">
        <v>104</v>
      </c>
      <c r="N1519" s="265">
        <v>14251</v>
      </c>
      <c r="O1519" s="265">
        <v>3737</v>
      </c>
      <c r="P1519" s="265">
        <v>26379</v>
      </c>
      <c r="Q1519" s="265">
        <v>211652</v>
      </c>
      <c r="R1519" s="12" t="s">
        <v>4596</v>
      </c>
      <c r="S1519" s="12" t="s">
        <v>25</v>
      </c>
      <c r="T1519" s="12" t="s">
        <v>25</v>
      </c>
    </row>
    <row r="1520" spans="1:20" x14ac:dyDescent="0.3">
      <c r="A1520" s="13">
        <v>43957.708333333336</v>
      </c>
      <c r="B1520" s="12" t="s">
        <v>22</v>
      </c>
      <c r="C1520" s="265">
        <v>6</v>
      </c>
      <c r="D1520" s="12" t="s">
        <v>47</v>
      </c>
      <c r="E1520" s="265">
        <v>456494354</v>
      </c>
      <c r="F1520" s="265">
        <v>1376813649</v>
      </c>
      <c r="G1520" s="265">
        <v>115</v>
      </c>
      <c r="H1520" s="265">
        <v>3</v>
      </c>
      <c r="I1520" s="265">
        <v>118</v>
      </c>
      <c r="J1520" s="265">
        <v>844</v>
      </c>
      <c r="K1520" s="265">
        <v>962</v>
      </c>
      <c r="L1520" s="265">
        <v>-22</v>
      </c>
      <c r="M1520" s="265">
        <v>9</v>
      </c>
      <c r="N1520" s="265">
        <v>1826</v>
      </c>
      <c r="O1520" s="265">
        <v>306</v>
      </c>
      <c r="P1520" s="265">
        <v>3094</v>
      </c>
      <c r="Q1520" s="265">
        <v>79429</v>
      </c>
      <c r="R1520" s="12" t="s">
        <v>4597</v>
      </c>
      <c r="S1520" s="12" t="s">
        <v>25</v>
      </c>
      <c r="T1520" s="12" t="s">
        <v>25</v>
      </c>
    </row>
    <row r="1521" spans="1:20" x14ac:dyDescent="0.3">
      <c r="A1521" s="13">
        <v>43957.708333333336</v>
      </c>
      <c r="B1521" s="12" t="s">
        <v>22</v>
      </c>
      <c r="C1521" s="265">
        <v>12</v>
      </c>
      <c r="D1521" s="12" t="s">
        <v>48</v>
      </c>
      <c r="E1521" s="265">
        <v>4189277044</v>
      </c>
      <c r="F1521" s="265">
        <v>1248366722</v>
      </c>
      <c r="G1521" s="265">
        <v>1351</v>
      </c>
      <c r="H1521" s="265">
        <v>91</v>
      </c>
      <c r="I1521" s="265">
        <v>1442</v>
      </c>
      <c r="J1521" s="265">
        <v>2991</v>
      </c>
      <c r="K1521" s="265">
        <v>4433</v>
      </c>
      <c r="L1521" s="265">
        <v>63</v>
      </c>
      <c r="M1521" s="265">
        <v>81</v>
      </c>
      <c r="N1521" s="265">
        <v>2024</v>
      </c>
      <c r="O1521" s="265">
        <v>538</v>
      </c>
      <c r="P1521" s="265">
        <v>6995</v>
      </c>
      <c r="Q1521" s="265">
        <v>160894</v>
      </c>
      <c r="R1521" s="12" t="s">
        <v>4598</v>
      </c>
      <c r="S1521" s="12" t="s">
        <v>25</v>
      </c>
      <c r="T1521" s="12" t="s">
        <v>25</v>
      </c>
    </row>
    <row r="1522" spans="1:20" x14ac:dyDescent="0.3">
      <c r="A1522" s="13">
        <v>43957.708333333336</v>
      </c>
      <c r="B1522" s="12" t="s">
        <v>22</v>
      </c>
      <c r="C1522" s="265">
        <v>7</v>
      </c>
      <c r="D1522" s="12" t="s">
        <v>49</v>
      </c>
      <c r="E1522" s="265">
        <v>4441149315</v>
      </c>
      <c r="F1522" s="265">
        <v>89326992</v>
      </c>
      <c r="G1522" s="265">
        <v>548</v>
      </c>
      <c r="H1522" s="265">
        <v>59</v>
      </c>
      <c r="I1522" s="265">
        <v>607</v>
      </c>
      <c r="J1522" s="265">
        <v>2699</v>
      </c>
      <c r="K1522" s="265">
        <v>3306</v>
      </c>
      <c r="L1522" s="265">
        <v>-121</v>
      </c>
      <c r="M1522" s="265">
        <v>76</v>
      </c>
      <c r="N1522" s="265">
        <v>4002</v>
      </c>
      <c r="O1522" s="265">
        <v>1243</v>
      </c>
      <c r="P1522" s="265">
        <v>8551</v>
      </c>
      <c r="Q1522" s="265">
        <v>59693</v>
      </c>
      <c r="R1522" s="12" t="s">
        <v>4599</v>
      </c>
      <c r="S1522" s="12" t="s">
        <v>25</v>
      </c>
      <c r="T1522" s="12" t="s">
        <v>25</v>
      </c>
    </row>
    <row r="1523" spans="1:20" x14ac:dyDescent="0.3">
      <c r="A1523" s="13">
        <v>43957.708333333336</v>
      </c>
      <c r="B1523" s="12" t="s">
        <v>22</v>
      </c>
      <c r="C1523" s="265">
        <v>3</v>
      </c>
      <c r="D1523" s="12" t="s">
        <v>50</v>
      </c>
      <c r="E1523" s="265">
        <v>4546679409</v>
      </c>
      <c r="F1523" s="265">
        <v>9190347404</v>
      </c>
      <c r="G1523" s="265">
        <v>6079</v>
      </c>
      <c r="H1523" s="265">
        <v>480</v>
      </c>
      <c r="I1523" s="265">
        <v>6559</v>
      </c>
      <c r="J1523" s="265">
        <v>25194</v>
      </c>
      <c r="K1523" s="265">
        <v>31753</v>
      </c>
      <c r="L1523" s="265">
        <v>-5339</v>
      </c>
      <c r="M1523" s="265">
        <v>764</v>
      </c>
      <c r="N1523" s="265">
        <v>33005</v>
      </c>
      <c r="O1523" s="265">
        <v>14611</v>
      </c>
      <c r="P1523" s="265">
        <v>79369</v>
      </c>
      <c r="Q1523" s="265">
        <v>439806</v>
      </c>
      <c r="R1523" s="12" t="s">
        <v>4600</v>
      </c>
      <c r="S1523" s="12" t="s">
        <v>4601</v>
      </c>
      <c r="T1523" s="12" t="s">
        <v>4602</v>
      </c>
    </row>
    <row r="1524" spans="1:20" x14ac:dyDescent="0.3">
      <c r="A1524" s="13">
        <v>43957.708333333336</v>
      </c>
      <c r="B1524" s="12" t="s">
        <v>22</v>
      </c>
      <c r="C1524" s="265">
        <v>11</v>
      </c>
      <c r="D1524" s="12" t="s">
        <v>51</v>
      </c>
      <c r="E1524" s="265">
        <v>4361675973</v>
      </c>
      <c r="F1524" s="265">
        <v>135188753</v>
      </c>
      <c r="G1524" s="265">
        <v>353</v>
      </c>
      <c r="H1524" s="265">
        <v>42</v>
      </c>
      <c r="I1524" s="265">
        <v>395</v>
      </c>
      <c r="J1524" s="265">
        <v>2841</v>
      </c>
      <c r="K1524" s="265">
        <v>3236</v>
      </c>
      <c r="L1524" s="265">
        <v>17</v>
      </c>
      <c r="M1524" s="265">
        <v>29</v>
      </c>
      <c r="N1524" s="265">
        <v>2242</v>
      </c>
      <c r="O1524" s="265">
        <v>943</v>
      </c>
      <c r="P1524" s="265">
        <v>6421</v>
      </c>
      <c r="Q1524" s="265">
        <v>69037</v>
      </c>
      <c r="R1524" s="12" t="s">
        <v>4603</v>
      </c>
      <c r="S1524" s="12" t="s">
        <v>25</v>
      </c>
      <c r="T1524" s="12" t="s">
        <v>25</v>
      </c>
    </row>
    <row r="1525" spans="1:20" x14ac:dyDescent="0.3">
      <c r="A1525" s="13">
        <v>43957.708333333336</v>
      </c>
      <c r="B1525" s="12" t="s">
        <v>22</v>
      </c>
      <c r="C1525" s="265">
        <v>14</v>
      </c>
      <c r="D1525" s="12" t="s">
        <v>52</v>
      </c>
      <c r="E1525" s="265">
        <v>4155774754</v>
      </c>
      <c r="F1525" s="265">
        <v>1465916051</v>
      </c>
      <c r="G1525" s="265">
        <v>9</v>
      </c>
      <c r="H1525" s="265">
        <v>0</v>
      </c>
      <c r="I1525" s="265">
        <v>9</v>
      </c>
      <c r="J1525" s="265">
        <v>170</v>
      </c>
      <c r="K1525" s="265">
        <v>179</v>
      </c>
      <c r="L1525" s="265">
        <v>2</v>
      </c>
      <c r="M1525" s="265">
        <v>3</v>
      </c>
      <c r="N1525" s="265">
        <v>103</v>
      </c>
      <c r="O1525" s="265">
        <v>22</v>
      </c>
      <c r="P1525" s="265">
        <v>304</v>
      </c>
      <c r="Q1525" s="265">
        <v>7896</v>
      </c>
      <c r="R1525" s="12" t="s">
        <v>4604</v>
      </c>
      <c r="S1525" s="12" t="s">
        <v>25</v>
      </c>
      <c r="T1525" s="12" t="s">
        <v>25</v>
      </c>
    </row>
    <row r="1526" spans="1:20" x14ac:dyDescent="0.3">
      <c r="A1526" s="13">
        <v>43957.708333333336</v>
      </c>
      <c r="B1526" s="12" t="s">
        <v>22</v>
      </c>
      <c r="C1526" s="265">
        <v>1</v>
      </c>
      <c r="D1526" s="12" t="s">
        <v>53</v>
      </c>
      <c r="E1526" s="265">
        <v>450732745</v>
      </c>
      <c r="F1526" s="265">
        <v>7680687483</v>
      </c>
      <c r="G1526" s="265">
        <v>2147</v>
      </c>
      <c r="H1526" s="265">
        <v>150</v>
      </c>
      <c r="I1526" s="265">
        <v>2297</v>
      </c>
      <c r="J1526" s="265">
        <v>12561</v>
      </c>
      <c r="K1526" s="265">
        <v>14858</v>
      </c>
      <c r="L1526" s="265">
        <v>-465</v>
      </c>
      <c r="M1526" s="265">
        <v>165</v>
      </c>
      <c r="N1526" s="265">
        <v>9834</v>
      </c>
      <c r="O1526" s="265">
        <v>3247</v>
      </c>
      <c r="P1526" s="265">
        <v>27939</v>
      </c>
      <c r="Q1526" s="265">
        <v>188057</v>
      </c>
      <c r="R1526" s="12" t="s">
        <v>4605</v>
      </c>
      <c r="S1526" s="12" t="s">
        <v>25</v>
      </c>
      <c r="T1526" s="12" t="s">
        <v>25</v>
      </c>
    </row>
    <row r="1527" spans="1:20" x14ac:dyDescent="0.3">
      <c r="A1527" s="13">
        <v>43957.708333333336</v>
      </c>
      <c r="B1527" s="12" t="s">
        <v>22</v>
      </c>
      <c r="C1527" s="265">
        <v>16</v>
      </c>
      <c r="D1527" s="12" t="s">
        <v>54</v>
      </c>
      <c r="E1527" s="265">
        <v>4112559576</v>
      </c>
      <c r="F1527" s="265">
        <v>1686736689</v>
      </c>
      <c r="G1527" s="265">
        <v>365</v>
      </c>
      <c r="H1527" s="265">
        <v>36</v>
      </c>
      <c r="I1527" s="265">
        <v>401</v>
      </c>
      <c r="J1527" s="265">
        <v>2502</v>
      </c>
      <c r="K1527" s="265">
        <v>2903</v>
      </c>
      <c r="L1527" s="265">
        <v>-36</v>
      </c>
      <c r="M1527" s="265">
        <v>26</v>
      </c>
      <c r="N1527" s="265">
        <v>855</v>
      </c>
      <c r="O1527" s="265">
        <v>438</v>
      </c>
      <c r="P1527" s="265">
        <v>4196</v>
      </c>
      <c r="Q1527" s="265">
        <v>70944</v>
      </c>
      <c r="R1527" s="12" t="s">
        <v>4606</v>
      </c>
      <c r="S1527" s="12" t="s">
        <v>25</v>
      </c>
      <c r="T1527" s="12" t="s">
        <v>25</v>
      </c>
    </row>
    <row r="1528" spans="1:20" x14ac:dyDescent="0.3">
      <c r="A1528" s="13">
        <v>43957.708333333336</v>
      </c>
      <c r="B1528" s="12" t="s">
        <v>22</v>
      </c>
      <c r="C1528" s="265">
        <v>20</v>
      </c>
      <c r="D1528" s="12" t="s">
        <v>55</v>
      </c>
      <c r="E1528" s="265">
        <v>3921531192</v>
      </c>
      <c r="F1528" s="265">
        <v>9110616306</v>
      </c>
      <c r="G1528" s="265">
        <v>91</v>
      </c>
      <c r="H1528" s="265">
        <v>11</v>
      </c>
      <c r="I1528" s="265">
        <v>102</v>
      </c>
      <c r="J1528" s="265">
        <v>521</v>
      </c>
      <c r="K1528" s="265">
        <v>623</v>
      </c>
      <c r="L1528" s="265">
        <v>-19</v>
      </c>
      <c r="M1528" s="265">
        <v>1</v>
      </c>
      <c r="N1528" s="265">
        <v>577</v>
      </c>
      <c r="O1528" s="265">
        <v>119</v>
      </c>
      <c r="P1528" s="265">
        <v>1319</v>
      </c>
      <c r="Q1528" s="265">
        <v>29966</v>
      </c>
      <c r="R1528" s="12" t="s">
        <v>4607</v>
      </c>
      <c r="S1528" s="12" t="s">
        <v>25</v>
      </c>
      <c r="T1528" s="12" t="s">
        <v>25</v>
      </c>
    </row>
    <row r="1529" spans="1:20" x14ac:dyDescent="0.3">
      <c r="A1529" s="13">
        <v>43957.708333333336</v>
      </c>
      <c r="B1529" s="12" t="s">
        <v>22</v>
      </c>
      <c r="C1529" s="265">
        <v>19</v>
      </c>
      <c r="D1529" s="12" t="s">
        <v>56</v>
      </c>
      <c r="E1529" s="265">
        <v>3811569725</v>
      </c>
      <c r="F1529" s="265">
        <v>133623567</v>
      </c>
      <c r="G1529" s="265">
        <v>359</v>
      </c>
      <c r="H1529" s="265">
        <v>25</v>
      </c>
      <c r="I1529" s="265">
        <v>384</v>
      </c>
      <c r="J1529" s="265">
        <v>1817</v>
      </c>
      <c r="K1529" s="265">
        <v>2201</v>
      </c>
      <c r="L1529" s="265">
        <v>-1</v>
      </c>
      <c r="M1529" s="265">
        <v>14</v>
      </c>
      <c r="N1529" s="265">
        <v>830</v>
      </c>
      <c r="O1529" s="265">
        <v>250</v>
      </c>
      <c r="P1529" s="265">
        <v>3281</v>
      </c>
      <c r="Q1529" s="265">
        <v>92999</v>
      </c>
      <c r="R1529" s="12" t="s">
        <v>4608</v>
      </c>
      <c r="S1529" s="12" t="s">
        <v>25</v>
      </c>
      <c r="T1529" s="12" t="s">
        <v>25</v>
      </c>
    </row>
    <row r="1530" spans="1:20" x14ac:dyDescent="0.3">
      <c r="A1530" s="13">
        <v>43957.708333333336</v>
      </c>
      <c r="B1530" s="12" t="s">
        <v>22</v>
      </c>
      <c r="C1530" s="265">
        <v>9</v>
      </c>
      <c r="D1530" s="12" t="s">
        <v>57</v>
      </c>
      <c r="E1530" s="265">
        <v>4376923077</v>
      </c>
      <c r="F1530" s="265">
        <v>1125588885</v>
      </c>
      <c r="G1530" s="265">
        <v>462</v>
      </c>
      <c r="H1530" s="265">
        <v>92</v>
      </c>
      <c r="I1530" s="265">
        <v>554</v>
      </c>
      <c r="J1530" s="265">
        <v>4534</v>
      </c>
      <c r="K1530" s="265">
        <v>5088</v>
      </c>
      <c r="L1530" s="265">
        <v>-102</v>
      </c>
      <c r="M1530" s="265">
        <v>26</v>
      </c>
      <c r="N1530" s="265">
        <v>3670</v>
      </c>
      <c r="O1530" s="265">
        <v>899</v>
      </c>
      <c r="P1530" s="265">
        <v>9657</v>
      </c>
      <c r="Q1530" s="265">
        <v>161553</v>
      </c>
      <c r="R1530" s="12" t="s">
        <v>4609</v>
      </c>
      <c r="S1530" s="12" t="s">
        <v>25</v>
      </c>
      <c r="T1530" s="12" t="s">
        <v>25</v>
      </c>
    </row>
    <row r="1531" spans="1:20" x14ac:dyDescent="0.3">
      <c r="A1531" s="13">
        <v>43957.708333333336</v>
      </c>
      <c r="B1531" s="12" t="s">
        <v>22</v>
      </c>
      <c r="C1531" s="265">
        <v>4</v>
      </c>
      <c r="D1531" s="12" t="s">
        <v>58</v>
      </c>
      <c r="E1531" s="265">
        <v>4606893511</v>
      </c>
      <c r="F1531" s="265">
        <v>1112123097</v>
      </c>
      <c r="G1531" s="265">
        <v>116</v>
      </c>
      <c r="H1531" s="265">
        <v>13</v>
      </c>
      <c r="I1531" s="265">
        <v>129</v>
      </c>
      <c r="J1531" s="265">
        <v>853</v>
      </c>
      <c r="K1531" s="265">
        <v>982</v>
      </c>
      <c r="L1531" s="265">
        <v>-59</v>
      </c>
      <c r="M1531" s="265">
        <v>19</v>
      </c>
      <c r="N1531" s="265">
        <v>2861</v>
      </c>
      <c r="O1531" s="265">
        <v>437</v>
      </c>
      <c r="P1531" s="265">
        <v>4280</v>
      </c>
      <c r="Q1531" s="265">
        <v>44719</v>
      </c>
      <c r="R1531" s="12" t="s">
        <v>4610</v>
      </c>
      <c r="S1531" s="12" t="s">
        <v>25</v>
      </c>
      <c r="T1531" s="12" t="s">
        <v>25</v>
      </c>
    </row>
    <row r="1532" spans="1:20" x14ac:dyDescent="0.3">
      <c r="A1532" s="13">
        <v>43957.708333333336</v>
      </c>
      <c r="B1532" s="12" t="s">
        <v>22</v>
      </c>
      <c r="C1532" s="265">
        <v>10</v>
      </c>
      <c r="D1532" s="12" t="s">
        <v>59</v>
      </c>
      <c r="E1532" s="265">
        <v>4310675841</v>
      </c>
      <c r="F1532" s="265">
        <v>1238824698</v>
      </c>
      <c r="G1532" s="265">
        <v>55</v>
      </c>
      <c r="H1532" s="265">
        <v>9</v>
      </c>
      <c r="I1532" s="265">
        <v>64</v>
      </c>
      <c r="J1532" s="265">
        <v>107</v>
      </c>
      <c r="K1532" s="265">
        <v>171</v>
      </c>
      <c r="L1532" s="265">
        <v>-5</v>
      </c>
      <c r="M1532" s="265">
        <v>4</v>
      </c>
      <c r="N1532" s="265">
        <v>1163</v>
      </c>
      <c r="O1532" s="265">
        <v>70</v>
      </c>
      <c r="P1532" s="265">
        <v>1404</v>
      </c>
      <c r="Q1532" s="265">
        <v>41328</v>
      </c>
      <c r="R1532" s="12" t="s">
        <v>4611</v>
      </c>
      <c r="S1532" s="12" t="s">
        <v>25</v>
      </c>
      <c r="T1532" s="12" t="s">
        <v>25</v>
      </c>
    </row>
    <row r="1533" spans="1:20" x14ac:dyDescent="0.3">
      <c r="A1533" s="13">
        <v>43957.708333333336</v>
      </c>
      <c r="B1533" s="12" t="s">
        <v>22</v>
      </c>
      <c r="C1533" s="265">
        <v>2</v>
      </c>
      <c r="D1533" s="12" t="s">
        <v>60</v>
      </c>
      <c r="E1533" s="265">
        <v>4573750286</v>
      </c>
      <c r="F1533" s="265">
        <v>7320149366</v>
      </c>
      <c r="G1533" s="265">
        <v>50</v>
      </c>
      <c r="H1533" s="265">
        <v>3</v>
      </c>
      <c r="I1533" s="265">
        <v>53</v>
      </c>
      <c r="J1533" s="265">
        <v>74</v>
      </c>
      <c r="K1533" s="265">
        <v>127</v>
      </c>
      <c r="L1533" s="265">
        <v>17</v>
      </c>
      <c r="M1533" s="265">
        <v>3</v>
      </c>
      <c r="N1533" s="265">
        <v>880</v>
      </c>
      <c r="O1533" s="265">
        <v>139</v>
      </c>
      <c r="P1533" s="265">
        <v>1146</v>
      </c>
      <c r="Q1533" s="265">
        <v>8640</v>
      </c>
      <c r="R1533" s="12" t="s">
        <v>4612</v>
      </c>
      <c r="S1533" s="12" t="s">
        <v>25</v>
      </c>
      <c r="T1533" s="12" t="s">
        <v>25</v>
      </c>
    </row>
    <row r="1534" spans="1:20" x14ac:dyDescent="0.3">
      <c r="A1534" s="13">
        <v>43957.708333333336</v>
      </c>
      <c r="B1534" s="12" t="s">
        <v>22</v>
      </c>
      <c r="C1534" s="265">
        <v>5</v>
      </c>
      <c r="D1534" s="12" t="s">
        <v>61</v>
      </c>
      <c r="E1534" s="265">
        <v>4543490485</v>
      </c>
      <c r="F1534" s="265">
        <v>1233845213</v>
      </c>
      <c r="G1534" s="265">
        <v>902</v>
      </c>
      <c r="H1534" s="265">
        <v>90</v>
      </c>
      <c r="I1534" s="265">
        <v>992</v>
      </c>
      <c r="J1534" s="265">
        <v>5797</v>
      </c>
      <c r="K1534" s="265">
        <v>6789</v>
      </c>
      <c r="L1534" s="265">
        <v>-327</v>
      </c>
      <c r="M1534" s="265">
        <v>77</v>
      </c>
      <c r="N1534" s="265">
        <v>10122</v>
      </c>
      <c r="O1534" s="265">
        <v>1568</v>
      </c>
      <c r="P1534" s="265">
        <v>18479</v>
      </c>
      <c r="Q1534" s="265">
        <v>399806</v>
      </c>
      <c r="R1534" s="12" t="s">
        <v>4613</v>
      </c>
      <c r="S1534" s="12" t="s">
        <v>25</v>
      </c>
      <c r="T1534" s="12" t="s">
        <v>25</v>
      </c>
    </row>
    <row r="1535" spans="1:20" x14ac:dyDescent="0.3">
      <c r="A1535" s="13">
        <v>43958.708333333336</v>
      </c>
      <c r="B1535" s="12" t="s">
        <v>22</v>
      </c>
      <c r="C1535" s="265">
        <v>13</v>
      </c>
      <c r="D1535" s="12" t="s">
        <v>42</v>
      </c>
      <c r="E1535" s="265">
        <v>4235122196</v>
      </c>
      <c r="F1535" s="265">
        <v>1339843823</v>
      </c>
      <c r="G1535" s="265">
        <v>263</v>
      </c>
      <c r="H1535" s="265">
        <v>12</v>
      </c>
      <c r="I1535" s="265">
        <v>275</v>
      </c>
      <c r="J1535" s="265">
        <v>1495</v>
      </c>
      <c r="K1535" s="265">
        <v>1770</v>
      </c>
      <c r="L1535" s="265">
        <v>-21</v>
      </c>
      <c r="M1535" s="265">
        <v>25</v>
      </c>
      <c r="N1535" s="265">
        <v>954</v>
      </c>
      <c r="O1535" s="265">
        <v>348</v>
      </c>
      <c r="P1535" s="265">
        <v>3072</v>
      </c>
      <c r="Q1535" s="265">
        <v>45021</v>
      </c>
      <c r="R1535" s="12" t="s">
        <v>4614</v>
      </c>
      <c r="S1535" s="12" t="s">
        <v>25</v>
      </c>
      <c r="T1535" s="12" t="s">
        <v>25</v>
      </c>
    </row>
    <row r="1536" spans="1:20" x14ac:dyDescent="0.3">
      <c r="A1536" s="13">
        <v>43958.708333333336</v>
      </c>
      <c r="B1536" s="12" t="s">
        <v>22</v>
      </c>
      <c r="C1536" s="265">
        <v>17</v>
      </c>
      <c r="D1536" s="12" t="s">
        <v>43</v>
      </c>
      <c r="E1536" s="265">
        <v>4063947052</v>
      </c>
      <c r="F1536" s="265">
        <v>1580514834</v>
      </c>
      <c r="G1536" s="265">
        <v>48</v>
      </c>
      <c r="H1536" s="265">
        <v>2</v>
      </c>
      <c r="I1536" s="265">
        <v>50</v>
      </c>
      <c r="J1536" s="265">
        <v>105</v>
      </c>
      <c r="K1536" s="265">
        <v>155</v>
      </c>
      <c r="L1536" s="265">
        <v>-17</v>
      </c>
      <c r="M1536" s="265">
        <v>-16</v>
      </c>
      <c r="N1536" s="265">
        <v>202</v>
      </c>
      <c r="O1536" s="265">
        <v>26</v>
      </c>
      <c r="P1536" s="265">
        <v>383</v>
      </c>
      <c r="Q1536" s="265">
        <v>16272</v>
      </c>
      <c r="R1536" s="12" t="s">
        <v>4615</v>
      </c>
      <c r="S1536" s="12" t="s">
        <v>4616</v>
      </c>
      <c r="T1536" s="12" t="s">
        <v>4617</v>
      </c>
    </row>
    <row r="1537" spans="1:20" x14ac:dyDescent="0.3">
      <c r="A1537" s="13">
        <v>43958.708333333336</v>
      </c>
      <c r="B1537" s="12" t="s">
        <v>22</v>
      </c>
      <c r="C1537" s="265">
        <v>4</v>
      </c>
      <c r="D1537" s="12" t="s">
        <v>44</v>
      </c>
      <c r="E1537" s="265">
        <v>4649933453</v>
      </c>
      <c r="F1537" s="265">
        <v>1135662422</v>
      </c>
      <c r="G1537" s="265">
        <v>87</v>
      </c>
      <c r="H1537" s="265">
        <v>11</v>
      </c>
      <c r="I1537" s="265">
        <v>98</v>
      </c>
      <c r="J1537" s="265">
        <v>453</v>
      </c>
      <c r="K1537" s="265">
        <v>551</v>
      </c>
      <c r="L1537" s="265">
        <v>-28</v>
      </c>
      <c r="M1537" s="265">
        <v>9</v>
      </c>
      <c r="N1537" s="265">
        <v>1715</v>
      </c>
      <c r="O1537" s="265">
        <v>286</v>
      </c>
      <c r="P1537" s="265">
        <v>2552</v>
      </c>
      <c r="Q1537" s="265">
        <v>47091</v>
      </c>
      <c r="R1537" s="12" t="s">
        <v>4618</v>
      </c>
      <c r="S1537" s="12" t="s">
        <v>25</v>
      </c>
      <c r="T1537" s="12" t="s">
        <v>25</v>
      </c>
    </row>
    <row r="1538" spans="1:20" x14ac:dyDescent="0.3">
      <c r="A1538" s="13">
        <v>43958.708333333336</v>
      </c>
      <c r="B1538" s="12" t="s">
        <v>22</v>
      </c>
      <c r="C1538" s="265">
        <v>18</v>
      </c>
      <c r="D1538" s="12" t="s">
        <v>45</v>
      </c>
      <c r="E1538" s="265">
        <v>3890597598</v>
      </c>
      <c r="F1538" s="265">
        <v>1659440194</v>
      </c>
      <c r="G1538" s="265">
        <v>81</v>
      </c>
      <c r="H1538" s="265">
        <v>2</v>
      </c>
      <c r="I1538" s="265">
        <v>83</v>
      </c>
      <c r="J1538" s="265">
        <v>550</v>
      </c>
      <c r="K1538" s="265">
        <v>633</v>
      </c>
      <c r="L1538" s="265">
        <v>-11</v>
      </c>
      <c r="M1538" s="265">
        <v>3</v>
      </c>
      <c r="N1538" s="265">
        <v>403</v>
      </c>
      <c r="O1538" s="265">
        <v>89</v>
      </c>
      <c r="P1538" s="265">
        <v>1125</v>
      </c>
      <c r="Q1538" s="265">
        <v>42854</v>
      </c>
      <c r="R1538" s="12" t="s">
        <v>4619</v>
      </c>
      <c r="S1538" s="12" t="s">
        <v>25</v>
      </c>
      <c r="T1538" s="12" t="s">
        <v>25</v>
      </c>
    </row>
    <row r="1539" spans="1:20" x14ac:dyDescent="0.3">
      <c r="A1539" s="13">
        <v>43958.708333333336</v>
      </c>
      <c r="B1539" s="12" t="s">
        <v>22</v>
      </c>
      <c r="C1539" s="265">
        <v>15</v>
      </c>
      <c r="D1539" s="12" t="s">
        <v>46</v>
      </c>
      <c r="E1539" s="265">
        <v>4083956555</v>
      </c>
      <c r="F1539" s="265">
        <v>1425084984</v>
      </c>
      <c r="G1539" s="265">
        <v>415</v>
      </c>
      <c r="H1539" s="265">
        <v>27</v>
      </c>
      <c r="I1539" s="265">
        <v>442</v>
      </c>
      <c r="J1539" s="265">
        <v>1697</v>
      </c>
      <c r="K1539" s="265">
        <v>2139</v>
      </c>
      <c r="L1539" s="265">
        <v>-201</v>
      </c>
      <c r="M1539" s="265">
        <v>9</v>
      </c>
      <c r="N1539" s="265">
        <v>2023</v>
      </c>
      <c r="O1539" s="265">
        <v>379</v>
      </c>
      <c r="P1539" s="265">
        <v>4541</v>
      </c>
      <c r="Q1539" s="265">
        <v>101025</v>
      </c>
      <c r="R1539" s="12" t="s">
        <v>4620</v>
      </c>
      <c r="S1539" s="12" t="s">
        <v>25</v>
      </c>
      <c r="T1539" s="12" t="s">
        <v>25</v>
      </c>
    </row>
    <row r="1540" spans="1:20" x14ac:dyDescent="0.3">
      <c r="A1540" s="13">
        <v>43958.708333333336</v>
      </c>
      <c r="B1540" s="12" t="s">
        <v>22</v>
      </c>
      <c r="C1540" s="265">
        <v>8</v>
      </c>
      <c r="D1540" s="12" t="s">
        <v>95</v>
      </c>
      <c r="E1540" s="265">
        <v>4449436681</v>
      </c>
      <c r="F1540" s="265">
        <v>113417208</v>
      </c>
      <c r="G1540" s="265">
        <v>1726</v>
      </c>
      <c r="H1540" s="265">
        <v>173</v>
      </c>
      <c r="I1540" s="265">
        <v>1899</v>
      </c>
      <c r="J1540" s="265">
        <v>6112</v>
      </c>
      <c r="K1540" s="265">
        <v>8011</v>
      </c>
      <c r="L1540" s="265">
        <v>-380</v>
      </c>
      <c r="M1540" s="265">
        <v>108</v>
      </c>
      <c r="N1540" s="265">
        <v>14710</v>
      </c>
      <c r="O1540" s="265">
        <v>3766</v>
      </c>
      <c r="P1540" s="265">
        <v>26487</v>
      </c>
      <c r="Q1540" s="265">
        <v>217039</v>
      </c>
      <c r="R1540" s="12" t="s">
        <v>4621</v>
      </c>
      <c r="S1540" s="12" t="s">
        <v>25</v>
      </c>
      <c r="T1540" s="12" t="s">
        <v>25</v>
      </c>
    </row>
    <row r="1541" spans="1:20" x14ac:dyDescent="0.3">
      <c r="A1541" s="13">
        <v>43958.708333333336</v>
      </c>
      <c r="B1541" s="12" t="s">
        <v>22</v>
      </c>
      <c r="C1541" s="265">
        <v>6</v>
      </c>
      <c r="D1541" s="12" t="s">
        <v>47</v>
      </c>
      <c r="E1541" s="265">
        <v>456494354</v>
      </c>
      <c r="F1541" s="265">
        <v>1376813649</v>
      </c>
      <c r="G1541" s="265">
        <v>109</v>
      </c>
      <c r="H1541" s="265">
        <v>2</v>
      </c>
      <c r="I1541" s="265">
        <v>111</v>
      </c>
      <c r="J1541" s="265">
        <v>816</v>
      </c>
      <c r="K1541" s="265">
        <v>927</v>
      </c>
      <c r="L1541" s="265">
        <v>-35</v>
      </c>
      <c r="M1541" s="265">
        <v>13</v>
      </c>
      <c r="N1541" s="265">
        <v>1872</v>
      </c>
      <c r="O1541" s="265">
        <v>308</v>
      </c>
      <c r="P1541" s="265">
        <v>3107</v>
      </c>
      <c r="Q1541" s="265">
        <v>82012</v>
      </c>
      <c r="R1541" s="12" t="s">
        <v>4622</v>
      </c>
      <c r="S1541" s="12" t="s">
        <v>25</v>
      </c>
      <c r="T1541" s="12" t="s">
        <v>25</v>
      </c>
    </row>
    <row r="1542" spans="1:20" x14ac:dyDescent="0.3">
      <c r="A1542" s="13">
        <v>43958.708333333336</v>
      </c>
      <c r="B1542" s="12" t="s">
        <v>22</v>
      </c>
      <c r="C1542" s="265">
        <v>12</v>
      </c>
      <c r="D1542" s="12" t="s">
        <v>48</v>
      </c>
      <c r="E1542" s="265">
        <v>4189277044</v>
      </c>
      <c r="F1542" s="265">
        <v>1248366722</v>
      </c>
      <c r="G1542" s="265">
        <v>1291</v>
      </c>
      <c r="H1542" s="265">
        <v>89</v>
      </c>
      <c r="I1542" s="265">
        <v>1380</v>
      </c>
      <c r="J1542" s="265">
        <v>2968</v>
      </c>
      <c r="K1542" s="265">
        <v>4348</v>
      </c>
      <c r="L1542" s="265">
        <v>-85</v>
      </c>
      <c r="M1542" s="265">
        <v>39</v>
      </c>
      <c r="N1542" s="265">
        <v>2143</v>
      </c>
      <c r="O1542" s="265">
        <v>543</v>
      </c>
      <c r="P1542" s="265">
        <v>7034</v>
      </c>
      <c r="Q1542" s="265">
        <v>165340</v>
      </c>
      <c r="R1542" s="12" t="s">
        <v>4623</v>
      </c>
      <c r="S1542" s="12" t="s">
        <v>25</v>
      </c>
      <c r="T1542" s="12" t="s">
        <v>25</v>
      </c>
    </row>
    <row r="1543" spans="1:20" x14ac:dyDescent="0.3">
      <c r="A1543" s="13">
        <v>43958.708333333336</v>
      </c>
      <c r="B1543" s="12" t="s">
        <v>22</v>
      </c>
      <c r="C1543" s="265">
        <v>7</v>
      </c>
      <c r="D1543" s="12" t="s">
        <v>49</v>
      </c>
      <c r="E1543" s="265">
        <v>4441149315</v>
      </c>
      <c r="F1543" s="265">
        <v>89326992</v>
      </c>
      <c r="G1543" s="265">
        <v>525</v>
      </c>
      <c r="H1543" s="265">
        <v>57</v>
      </c>
      <c r="I1543" s="265">
        <v>582</v>
      </c>
      <c r="J1543" s="265">
        <v>2666</v>
      </c>
      <c r="K1543" s="265">
        <v>3248</v>
      </c>
      <c r="L1543" s="265">
        <v>-58</v>
      </c>
      <c r="M1543" s="265">
        <v>94</v>
      </c>
      <c r="N1543" s="265">
        <v>4143</v>
      </c>
      <c r="O1543" s="265">
        <v>1254</v>
      </c>
      <c r="P1543" s="265">
        <v>8645</v>
      </c>
      <c r="Q1543" s="265">
        <v>61446</v>
      </c>
      <c r="R1543" s="12" t="s">
        <v>4624</v>
      </c>
      <c r="S1543" s="12" t="s">
        <v>25</v>
      </c>
      <c r="T1543" s="12" t="s">
        <v>25</v>
      </c>
    </row>
    <row r="1544" spans="1:20" x14ac:dyDescent="0.3">
      <c r="A1544" s="13">
        <v>43958.708333333336</v>
      </c>
      <c r="B1544" s="12" t="s">
        <v>22</v>
      </c>
      <c r="C1544" s="265">
        <v>3</v>
      </c>
      <c r="D1544" s="12" t="s">
        <v>50</v>
      </c>
      <c r="E1544" s="265">
        <v>4546679409</v>
      </c>
      <c r="F1544" s="265">
        <v>9190347404</v>
      </c>
      <c r="G1544" s="265">
        <v>5848</v>
      </c>
      <c r="H1544" s="265">
        <v>480</v>
      </c>
      <c r="I1544" s="265">
        <v>6328</v>
      </c>
      <c r="J1544" s="265">
        <v>25687</v>
      </c>
      <c r="K1544" s="265">
        <v>32015</v>
      </c>
      <c r="L1544" s="265">
        <v>262</v>
      </c>
      <c r="M1544" s="265">
        <v>720</v>
      </c>
      <c r="N1544" s="265">
        <v>33329</v>
      </c>
      <c r="O1544" s="265">
        <v>14745</v>
      </c>
      <c r="P1544" s="265">
        <v>80089</v>
      </c>
      <c r="Q1544" s="265">
        <v>455294</v>
      </c>
      <c r="R1544" s="12" t="s">
        <v>4600</v>
      </c>
      <c r="S1544" s="12" t="s">
        <v>25</v>
      </c>
      <c r="T1544" s="12" t="s">
        <v>25</v>
      </c>
    </row>
    <row r="1545" spans="1:20" x14ac:dyDescent="0.3">
      <c r="A1545" s="13">
        <v>43958.708333333336</v>
      </c>
      <c r="B1545" s="12" t="s">
        <v>22</v>
      </c>
      <c r="C1545" s="265">
        <v>11</v>
      </c>
      <c r="D1545" s="12" t="s">
        <v>51</v>
      </c>
      <c r="E1545" s="265">
        <v>4361675973</v>
      </c>
      <c r="F1545" s="265">
        <v>135188753</v>
      </c>
      <c r="G1545" s="265">
        <v>328</v>
      </c>
      <c r="H1545" s="265">
        <v>41</v>
      </c>
      <c r="I1545" s="265">
        <v>369</v>
      </c>
      <c r="J1545" s="265">
        <v>2878</v>
      </c>
      <c r="K1545" s="265">
        <v>3247</v>
      </c>
      <c r="L1545" s="265">
        <v>11</v>
      </c>
      <c r="M1545" s="265">
        <v>31</v>
      </c>
      <c r="N1545" s="265">
        <v>2257</v>
      </c>
      <c r="O1545" s="265">
        <v>948</v>
      </c>
      <c r="P1545" s="265">
        <v>6452</v>
      </c>
      <c r="Q1545" s="265">
        <v>71017</v>
      </c>
      <c r="R1545" s="12" t="s">
        <v>4625</v>
      </c>
      <c r="S1545" s="12" t="s">
        <v>25</v>
      </c>
      <c r="T1545" s="12" t="s">
        <v>25</v>
      </c>
    </row>
    <row r="1546" spans="1:20" x14ac:dyDescent="0.3">
      <c r="A1546" s="13">
        <v>43958.708333333336</v>
      </c>
      <c r="B1546" s="12" t="s">
        <v>22</v>
      </c>
      <c r="C1546" s="265">
        <v>14</v>
      </c>
      <c r="D1546" s="12" t="s">
        <v>52</v>
      </c>
      <c r="E1546" s="265">
        <v>4155774754</v>
      </c>
      <c r="F1546" s="265">
        <v>1465916051</v>
      </c>
      <c r="G1546" s="265">
        <v>8</v>
      </c>
      <c r="H1546" s="265">
        <v>0</v>
      </c>
      <c r="I1546" s="265">
        <v>8</v>
      </c>
      <c r="J1546" s="265">
        <v>162</v>
      </c>
      <c r="K1546" s="265">
        <v>170</v>
      </c>
      <c r="L1546" s="265">
        <v>-9</v>
      </c>
      <c r="M1546" s="265">
        <v>1</v>
      </c>
      <c r="N1546" s="265">
        <v>113</v>
      </c>
      <c r="O1546" s="265">
        <v>22</v>
      </c>
      <c r="P1546" s="265">
        <v>305</v>
      </c>
      <c r="Q1546" s="265">
        <v>8237</v>
      </c>
      <c r="R1546" s="12" t="s">
        <v>2320</v>
      </c>
      <c r="S1546" s="12" t="s">
        <v>25</v>
      </c>
      <c r="T1546" s="12" t="s">
        <v>25</v>
      </c>
    </row>
    <row r="1547" spans="1:20" x14ac:dyDescent="0.3">
      <c r="A1547" s="13">
        <v>43958.708333333336</v>
      </c>
      <c r="B1547" s="12" t="s">
        <v>22</v>
      </c>
      <c r="C1547" s="265">
        <v>1</v>
      </c>
      <c r="D1547" s="12" t="s">
        <v>53</v>
      </c>
      <c r="E1547" s="265">
        <v>450732745</v>
      </c>
      <c r="F1547" s="265">
        <v>7680687483</v>
      </c>
      <c r="G1547" s="265">
        <v>2147</v>
      </c>
      <c r="H1547" s="265">
        <v>150</v>
      </c>
      <c r="I1547" s="265">
        <v>2297</v>
      </c>
      <c r="J1547" s="265">
        <v>12172</v>
      </c>
      <c r="K1547" s="265">
        <v>14469</v>
      </c>
      <c r="L1547" s="265">
        <v>-389</v>
      </c>
      <c r="M1547" s="265">
        <v>196</v>
      </c>
      <c r="N1547" s="265">
        <v>10384</v>
      </c>
      <c r="O1547" s="265">
        <v>3282</v>
      </c>
      <c r="P1547" s="265">
        <v>28135</v>
      </c>
      <c r="Q1547" s="265">
        <v>194584</v>
      </c>
      <c r="R1547" s="12" t="s">
        <v>4626</v>
      </c>
      <c r="S1547" s="12" t="s">
        <v>25</v>
      </c>
      <c r="T1547" s="12" t="s">
        <v>25</v>
      </c>
    </row>
    <row r="1548" spans="1:20" x14ac:dyDescent="0.3">
      <c r="A1548" s="13">
        <v>43958.708333333336</v>
      </c>
      <c r="B1548" s="12" t="s">
        <v>22</v>
      </c>
      <c r="C1548" s="265">
        <v>16</v>
      </c>
      <c r="D1548" s="12" t="s">
        <v>54</v>
      </c>
      <c r="E1548" s="265">
        <v>4112559576</v>
      </c>
      <c r="F1548" s="265">
        <v>1686736689</v>
      </c>
      <c r="G1548" s="265">
        <v>355</v>
      </c>
      <c r="H1548" s="265">
        <v>35</v>
      </c>
      <c r="I1548" s="265">
        <v>390</v>
      </c>
      <c r="J1548" s="265">
        <v>2410</v>
      </c>
      <c r="K1548" s="265">
        <v>2800</v>
      </c>
      <c r="L1548" s="265">
        <v>-103</v>
      </c>
      <c r="M1548" s="265">
        <v>49</v>
      </c>
      <c r="N1548" s="265">
        <v>1004</v>
      </c>
      <c r="O1548" s="265">
        <v>441</v>
      </c>
      <c r="P1548" s="265">
        <v>4245</v>
      </c>
      <c r="Q1548" s="265">
        <v>72796</v>
      </c>
      <c r="R1548" s="12" t="s">
        <v>4627</v>
      </c>
      <c r="S1548" s="12" t="s">
        <v>25</v>
      </c>
      <c r="T1548" s="12" t="s">
        <v>25</v>
      </c>
    </row>
    <row r="1549" spans="1:20" x14ac:dyDescent="0.3">
      <c r="A1549" s="13">
        <v>43958.708333333336</v>
      </c>
      <c r="B1549" s="12" t="s">
        <v>22</v>
      </c>
      <c r="C1549" s="265">
        <v>20</v>
      </c>
      <c r="D1549" s="12" t="s">
        <v>55</v>
      </c>
      <c r="E1549" s="265">
        <v>3921531192</v>
      </c>
      <c r="F1549" s="265">
        <v>9110616306</v>
      </c>
      <c r="G1549" s="265">
        <v>90</v>
      </c>
      <c r="H1549" s="265">
        <v>9</v>
      </c>
      <c r="I1549" s="265">
        <v>99</v>
      </c>
      <c r="J1549" s="265">
        <v>484</v>
      </c>
      <c r="K1549" s="265">
        <v>583</v>
      </c>
      <c r="L1549" s="265">
        <v>-40</v>
      </c>
      <c r="M1549" s="265">
        <v>5</v>
      </c>
      <c r="N1549" s="265">
        <v>622</v>
      </c>
      <c r="O1549" s="265">
        <v>119</v>
      </c>
      <c r="P1549" s="265">
        <v>1324</v>
      </c>
      <c r="Q1549" s="265">
        <v>31064</v>
      </c>
      <c r="R1549" s="12" t="s">
        <v>4628</v>
      </c>
      <c r="S1549" s="12" t="s">
        <v>25</v>
      </c>
      <c r="T1549" s="12" t="s">
        <v>25</v>
      </c>
    </row>
    <row r="1550" spans="1:20" x14ac:dyDescent="0.3">
      <c r="A1550" s="13">
        <v>43958.708333333336</v>
      </c>
      <c r="B1550" s="12" t="s">
        <v>22</v>
      </c>
      <c r="C1550" s="265">
        <v>19</v>
      </c>
      <c r="D1550" s="12" t="s">
        <v>56</v>
      </c>
      <c r="E1550" s="265">
        <v>3811569725</v>
      </c>
      <c r="F1550" s="265">
        <v>133623567</v>
      </c>
      <c r="G1550" s="265">
        <v>349</v>
      </c>
      <c r="H1550" s="265">
        <v>21</v>
      </c>
      <c r="I1550" s="265">
        <v>370</v>
      </c>
      <c r="J1550" s="265">
        <v>1757</v>
      </c>
      <c r="K1550" s="265">
        <v>2127</v>
      </c>
      <c r="L1550" s="265">
        <v>-74</v>
      </c>
      <c r="M1550" s="265">
        <v>7</v>
      </c>
      <c r="N1550" s="265">
        <v>910</v>
      </c>
      <c r="O1550" s="265">
        <v>251</v>
      </c>
      <c r="P1550" s="265">
        <v>3288</v>
      </c>
      <c r="Q1550" s="265">
        <v>95695</v>
      </c>
      <c r="R1550" s="12" t="s">
        <v>4629</v>
      </c>
      <c r="S1550" s="12" t="s">
        <v>25</v>
      </c>
      <c r="T1550" s="12" t="s">
        <v>25</v>
      </c>
    </row>
    <row r="1551" spans="1:20" x14ac:dyDescent="0.3">
      <c r="A1551" s="13">
        <v>43958.708333333336</v>
      </c>
      <c r="B1551" s="12" t="s">
        <v>22</v>
      </c>
      <c r="C1551" s="265">
        <v>9</v>
      </c>
      <c r="D1551" s="12" t="s">
        <v>57</v>
      </c>
      <c r="E1551" s="265">
        <v>4376923077</v>
      </c>
      <c r="F1551" s="265">
        <v>1125588885</v>
      </c>
      <c r="G1551" s="265">
        <v>437</v>
      </c>
      <c r="H1551" s="265">
        <v>91</v>
      </c>
      <c r="I1551" s="265">
        <v>528</v>
      </c>
      <c r="J1551" s="265">
        <v>4188</v>
      </c>
      <c r="K1551" s="265">
        <v>4716</v>
      </c>
      <c r="L1551" s="265">
        <v>-372</v>
      </c>
      <c r="M1551" s="265">
        <v>26</v>
      </c>
      <c r="N1551" s="265">
        <v>4052</v>
      </c>
      <c r="O1551" s="265">
        <v>915</v>
      </c>
      <c r="P1551" s="265">
        <v>9683</v>
      </c>
      <c r="Q1551" s="265">
        <v>166062</v>
      </c>
      <c r="R1551" s="12" t="s">
        <v>4630</v>
      </c>
      <c r="S1551" s="12" t="s">
        <v>25</v>
      </c>
      <c r="T1551" s="12" t="s">
        <v>25</v>
      </c>
    </row>
    <row r="1552" spans="1:20" x14ac:dyDescent="0.3">
      <c r="A1552" s="13">
        <v>43958.708333333336</v>
      </c>
      <c r="B1552" s="12" t="s">
        <v>22</v>
      </c>
      <c r="C1552" s="265">
        <v>4</v>
      </c>
      <c r="D1552" s="12" t="s">
        <v>58</v>
      </c>
      <c r="E1552" s="265">
        <v>4606893511</v>
      </c>
      <c r="F1552" s="265">
        <v>1112123097</v>
      </c>
      <c r="G1552" s="265">
        <v>99</v>
      </c>
      <c r="H1552" s="265">
        <v>11</v>
      </c>
      <c r="I1552" s="265">
        <v>110</v>
      </c>
      <c r="J1552" s="265">
        <v>800</v>
      </c>
      <c r="K1552" s="265">
        <v>910</v>
      </c>
      <c r="L1552" s="265">
        <v>-72</v>
      </c>
      <c r="M1552" s="265">
        <v>3</v>
      </c>
      <c r="N1552" s="265">
        <v>2935</v>
      </c>
      <c r="O1552" s="265">
        <v>438</v>
      </c>
      <c r="P1552" s="265">
        <v>4283</v>
      </c>
      <c r="Q1552" s="265">
        <v>46500</v>
      </c>
      <c r="R1552" s="12" t="s">
        <v>4631</v>
      </c>
      <c r="S1552" s="12" t="s">
        <v>25</v>
      </c>
      <c r="T1552" s="12" t="s">
        <v>25</v>
      </c>
    </row>
    <row r="1553" spans="1:20" x14ac:dyDescent="0.3">
      <c r="A1553" s="13">
        <v>43958.708333333336</v>
      </c>
      <c r="B1553" s="12" t="s">
        <v>22</v>
      </c>
      <c r="C1553" s="265">
        <v>10</v>
      </c>
      <c r="D1553" s="12" t="s">
        <v>59</v>
      </c>
      <c r="E1553" s="265">
        <v>4310675841</v>
      </c>
      <c r="F1553" s="265">
        <v>1238824698</v>
      </c>
      <c r="G1553" s="265">
        <v>47</v>
      </c>
      <c r="H1553" s="265">
        <v>9</v>
      </c>
      <c r="I1553" s="265">
        <v>56</v>
      </c>
      <c r="J1553" s="265">
        <v>85</v>
      </c>
      <c r="K1553" s="265">
        <v>141</v>
      </c>
      <c r="L1553" s="265">
        <v>-30</v>
      </c>
      <c r="M1553" s="265">
        <v>1</v>
      </c>
      <c r="N1553" s="265">
        <v>1194</v>
      </c>
      <c r="O1553" s="265">
        <v>70</v>
      </c>
      <c r="P1553" s="265">
        <v>1405</v>
      </c>
      <c r="Q1553" s="265">
        <v>42788</v>
      </c>
      <c r="R1553" s="12" t="s">
        <v>4632</v>
      </c>
      <c r="S1553" s="12" t="s">
        <v>25</v>
      </c>
      <c r="T1553" s="12" t="s">
        <v>25</v>
      </c>
    </row>
    <row r="1554" spans="1:20" x14ac:dyDescent="0.3">
      <c r="A1554" s="13">
        <v>43958.708333333336</v>
      </c>
      <c r="B1554" s="12" t="s">
        <v>22</v>
      </c>
      <c r="C1554" s="265">
        <v>2</v>
      </c>
      <c r="D1554" s="12" t="s">
        <v>60</v>
      </c>
      <c r="E1554" s="265">
        <v>4573750286</v>
      </c>
      <c r="F1554" s="265">
        <v>7320149366</v>
      </c>
      <c r="G1554" s="265">
        <v>49</v>
      </c>
      <c r="H1554" s="265">
        <v>2</v>
      </c>
      <c r="I1554" s="265">
        <v>51</v>
      </c>
      <c r="J1554" s="265">
        <v>79</v>
      </c>
      <c r="K1554" s="265">
        <v>130</v>
      </c>
      <c r="L1554" s="265">
        <v>3</v>
      </c>
      <c r="M1554" s="265">
        <v>4</v>
      </c>
      <c r="N1554" s="265">
        <v>881</v>
      </c>
      <c r="O1554" s="265">
        <v>139</v>
      </c>
      <c r="P1554" s="265">
        <v>1150</v>
      </c>
      <c r="Q1554" s="265">
        <v>8939</v>
      </c>
      <c r="R1554" s="12" t="s">
        <v>4633</v>
      </c>
      <c r="S1554" s="12" t="s">
        <v>25</v>
      </c>
      <c r="T1554" s="12" t="s">
        <v>25</v>
      </c>
    </row>
    <row r="1555" spans="1:20" x14ac:dyDescent="0.3">
      <c r="A1555" s="13">
        <v>43958.708333333336</v>
      </c>
      <c r="B1555" s="12" t="s">
        <v>22</v>
      </c>
      <c r="C1555" s="265">
        <v>5</v>
      </c>
      <c r="D1555" s="12" t="s">
        <v>61</v>
      </c>
      <c r="E1555" s="265">
        <v>4543490485</v>
      </c>
      <c r="F1555" s="265">
        <v>1233845213</v>
      </c>
      <c r="G1555" s="265">
        <v>872</v>
      </c>
      <c r="H1555" s="265">
        <v>87</v>
      </c>
      <c r="I1555" s="265">
        <v>959</v>
      </c>
      <c r="J1555" s="265">
        <v>5575</v>
      </c>
      <c r="K1555" s="265">
        <v>6534</v>
      </c>
      <c r="L1555" s="265">
        <v>-255</v>
      </c>
      <c r="M1555" s="265">
        <v>74</v>
      </c>
      <c r="N1555" s="265">
        <v>10430</v>
      </c>
      <c r="O1555" s="265">
        <v>1589</v>
      </c>
      <c r="P1555" s="265">
        <v>18553</v>
      </c>
      <c r="Q1555" s="265">
        <v>410212</v>
      </c>
      <c r="R1555" s="12" t="s">
        <v>4634</v>
      </c>
      <c r="S1555" s="12" t="s">
        <v>25</v>
      </c>
      <c r="T1555" s="12" t="s">
        <v>25</v>
      </c>
    </row>
    <row r="1556" spans="1:20" x14ac:dyDescent="0.3">
      <c r="A1556" s="13">
        <v>43959.708333333336</v>
      </c>
      <c r="B1556" s="12" t="s">
        <v>22</v>
      </c>
      <c r="C1556" s="265">
        <v>13</v>
      </c>
      <c r="D1556" s="12" t="s">
        <v>42</v>
      </c>
      <c r="E1556" s="265">
        <v>4235122196</v>
      </c>
      <c r="F1556" s="265">
        <v>1339843823</v>
      </c>
      <c r="G1556" s="265">
        <v>250</v>
      </c>
      <c r="H1556" s="265">
        <v>10</v>
      </c>
      <c r="I1556" s="265">
        <v>260</v>
      </c>
      <c r="J1556" s="265">
        <v>1453</v>
      </c>
      <c r="K1556" s="265">
        <v>1713</v>
      </c>
      <c r="L1556" s="265">
        <v>-57</v>
      </c>
      <c r="M1556" s="265">
        <v>6</v>
      </c>
      <c r="N1556" s="265">
        <v>1014</v>
      </c>
      <c r="O1556" s="265">
        <v>351</v>
      </c>
      <c r="P1556" s="265">
        <v>3078</v>
      </c>
      <c r="Q1556" s="265">
        <v>46103</v>
      </c>
      <c r="R1556" s="12" t="s">
        <v>4635</v>
      </c>
      <c r="S1556" s="12" t="s">
        <v>25</v>
      </c>
      <c r="T1556" s="12" t="s">
        <v>25</v>
      </c>
    </row>
    <row r="1557" spans="1:20" x14ac:dyDescent="0.3">
      <c r="A1557" s="13">
        <v>43959.708333333336</v>
      </c>
      <c r="B1557" s="12" t="s">
        <v>22</v>
      </c>
      <c r="C1557" s="265">
        <v>17</v>
      </c>
      <c r="D1557" s="12" t="s">
        <v>43</v>
      </c>
      <c r="E1557" s="265">
        <v>4063947052</v>
      </c>
      <c r="F1557" s="265">
        <v>1580514834</v>
      </c>
      <c r="G1557" s="265">
        <v>48</v>
      </c>
      <c r="H1557" s="265">
        <v>2</v>
      </c>
      <c r="I1557" s="265">
        <v>50</v>
      </c>
      <c r="J1557" s="265">
        <v>102</v>
      </c>
      <c r="K1557" s="265">
        <v>152</v>
      </c>
      <c r="L1557" s="265">
        <v>-3</v>
      </c>
      <c r="M1557" s="265">
        <v>-1</v>
      </c>
      <c r="N1557" s="265">
        <v>204</v>
      </c>
      <c r="O1557" s="265">
        <v>26</v>
      </c>
      <c r="P1557" s="265">
        <v>382</v>
      </c>
      <c r="Q1557" s="265">
        <v>16777</v>
      </c>
      <c r="R1557" s="12" t="s">
        <v>4636</v>
      </c>
      <c r="S1557" s="12" t="s">
        <v>4637</v>
      </c>
      <c r="T1557" s="12" t="s">
        <v>4638</v>
      </c>
    </row>
    <row r="1558" spans="1:20" x14ac:dyDescent="0.3">
      <c r="A1558" s="13">
        <v>43959.708333333336</v>
      </c>
      <c r="B1558" s="12" t="s">
        <v>22</v>
      </c>
      <c r="C1558" s="265">
        <v>4</v>
      </c>
      <c r="D1558" s="12" t="s">
        <v>44</v>
      </c>
      <c r="E1558" s="265">
        <v>4649933453</v>
      </c>
      <c r="F1558" s="265">
        <v>1135662422</v>
      </c>
      <c r="G1558" s="265">
        <v>78</v>
      </c>
      <c r="H1558" s="265">
        <v>9</v>
      </c>
      <c r="I1558" s="265">
        <v>87</v>
      </c>
      <c r="J1558" s="265">
        <v>415</v>
      </c>
      <c r="K1558" s="265">
        <v>502</v>
      </c>
      <c r="L1558" s="265">
        <v>-49</v>
      </c>
      <c r="M1558" s="265">
        <v>6</v>
      </c>
      <c r="N1558" s="265">
        <v>1767</v>
      </c>
      <c r="O1558" s="265">
        <v>289</v>
      </c>
      <c r="P1558" s="265">
        <v>2558</v>
      </c>
      <c r="Q1558" s="265">
        <v>47908</v>
      </c>
      <c r="R1558" s="12" t="s">
        <v>4639</v>
      </c>
      <c r="S1558" s="12" t="s">
        <v>25</v>
      </c>
      <c r="T1558" s="12" t="s">
        <v>25</v>
      </c>
    </row>
    <row r="1559" spans="1:20" x14ac:dyDescent="0.3">
      <c r="A1559" s="13">
        <v>43959.708333333336</v>
      </c>
      <c r="B1559" s="12" t="s">
        <v>22</v>
      </c>
      <c r="C1559" s="265">
        <v>18</v>
      </c>
      <c r="D1559" s="12" t="s">
        <v>45</v>
      </c>
      <c r="E1559" s="265">
        <v>3890597598</v>
      </c>
      <c r="F1559" s="265">
        <v>1659440194</v>
      </c>
      <c r="G1559" s="265">
        <v>73</v>
      </c>
      <c r="H1559" s="265">
        <v>2</v>
      </c>
      <c r="I1559" s="265">
        <v>75</v>
      </c>
      <c r="J1559" s="265">
        <v>544</v>
      </c>
      <c r="K1559" s="265">
        <v>619</v>
      </c>
      <c r="L1559" s="265">
        <v>-14</v>
      </c>
      <c r="M1559" s="265">
        <v>1</v>
      </c>
      <c r="N1559" s="265">
        <v>417</v>
      </c>
      <c r="O1559" s="265">
        <v>90</v>
      </c>
      <c r="P1559" s="265">
        <v>1126</v>
      </c>
      <c r="Q1559" s="265">
        <v>43980</v>
      </c>
      <c r="R1559" s="12" t="s">
        <v>4640</v>
      </c>
      <c r="S1559" s="12" t="s">
        <v>25</v>
      </c>
      <c r="T1559" s="12" t="s">
        <v>25</v>
      </c>
    </row>
    <row r="1560" spans="1:20" x14ac:dyDescent="0.3">
      <c r="A1560" s="13">
        <v>43959.708333333336</v>
      </c>
      <c r="B1560" s="12" t="s">
        <v>22</v>
      </c>
      <c r="C1560" s="265">
        <v>15</v>
      </c>
      <c r="D1560" s="12" t="s">
        <v>46</v>
      </c>
      <c r="E1560" s="265">
        <v>4083956555</v>
      </c>
      <c r="F1560" s="265">
        <v>1425084984</v>
      </c>
      <c r="G1560" s="265">
        <v>418</v>
      </c>
      <c r="H1560" s="265">
        <v>28</v>
      </c>
      <c r="I1560" s="265">
        <v>446</v>
      </c>
      <c r="J1560" s="265">
        <v>1566</v>
      </c>
      <c r="K1560" s="265">
        <v>2012</v>
      </c>
      <c r="L1560" s="265">
        <v>-127</v>
      </c>
      <c r="M1560" s="265">
        <v>21</v>
      </c>
      <c r="N1560" s="265">
        <v>2164</v>
      </c>
      <c r="O1560" s="265">
        <v>386</v>
      </c>
      <c r="P1560" s="265">
        <v>4562</v>
      </c>
      <c r="Q1560" s="265">
        <v>105399</v>
      </c>
      <c r="R1560" s="12" t="s">
        <v>4641</v>
      </c>
      <c r="S1560" s="12" t="s">
        <v>25</v>
      </c>
      <c r="T1560" s="12" t="s">
        <v>25</v>
      </c>
    </row>
    <row r="1561" spans="1:20" x14ac:dyDescent="0.3">
      <c r="A1561" s="13">
        <v>43959.708333333336</v>
      </c>
      <c r="B1561" s="12" t="s">
        <v>22</v>
      </c>
      <c r="C1561" s="265">
        <v>8</v>
      </c>
      <c r="D1561" s="12" t="s">
        <v>95</v>
      </c>
      <c r="E1561" s="265">
        <v>4449436681</v>
      </c>
      <c r="F1561" s="265">
        <v>113417208</v>
      </c>
      <c r="G1561" s="265">
        <v>1680</v>
      </c>
      <c r="H1561" s="265">
        <v>163</v>
      </c>
      <c r="I1561" s="265">
        <v>1843</v>
      </c>
      <c r="J1561" s="265">
        <v>5887</v>
      </c>
      <c r="K1561" s="265">
        <v>7730</v>
      </c>
      <c r="L1561" s="265">
        <v>-281</v>
      </c>
      <c r="M1561" s="265">
        <v>111</v>
      </c>
      <c r="N1561" s="265">
        <v>15071</v>
      </c>
      <c r="O1561" s="265">
        <v>3797</v>
      </c>
      <c r="P1561" s="265">
        <v>26598</v>
      </c>
      <c r="Q1561" s="265">
        <v>221866</v>
      </c>
      <c r="R1561" s="12" t="s">
        <v>4642</v>
      </c>
      <c r="S1561" s="12" t="s">
        <v>25</v>
      </c>
      <c r="T1561" s="12" t="s">
        <v>25</v>
      </c>
    </row>
    <row r="1562" spans="1:20" x14ac:dyDescent="0.3">
      <c r="A1562" s="13">
        <v>43959.708333333336</v>
      </c>
      <c r="B1562" s="12" t="s">
        <v>22</v>
      </c>
      <c r="C1562" s="265">
        <v>6</v>
      </c>
      <c r="D1562" s="12" t="s">
        <v>47</v>
      </c>
      <c r="E1562" s="265">
        <v>456494354</v>
      </c>
      <c r="F1562" s="265">
        <v>1376813649</v>
      </c>
      <c r="G1562" s="265">
        <v>105</v>
      </c>
      <c r="H1562" s="265">
        <v>2</v>
      </c>
      <c r="I1562" s="265">
        <v>107</v>
      </c>
      <c r="J1562" s="265">
        <v>804</v>
      </c>
      <c r="K1562" s="265">
        <v>911</v>
      </c>
      <c r="L1562" s="265">
        <v>-16</v>
      </c>
      <c r="M1562" s="265">
        <v>9</v>
      </c>
      <c r="N1562" s="265">
        <v>1897</v>
      </c>
      <c r="O1562" s="265">
        <v>308</v>
      </c>
      <c r="P1562" s="265">
        <v>3116</v>
      </c>
      <c r="Q1562" s="265">
        <v>82902</v>
      </c>
      <c r="R1562" s="12" t="s">
        <v>4643</v>
      </c>
      <c r="S1562" s="12" t="s">
        <v>25</v>
      </c>
      <c r="T1562" s="12" t="s">
        <v>25</v>
      </c>
    </row>
    <row r="1563" spans="1:20" x14ac:dyDescent="0.3">
      <c r="A1563" s="13">
        <v>43959.708333333336</v>
      </c>
      <c r="B1563" s="12" t="s">
        <v>22</v>
      </c>
      <c r="C1563" s="265">
        <v>12</v>
      </c>
      <c r="D1563" s="12" t="s">
        <v>48</v>
      </c>
      <c r="E1563" s="265">
        <v>4189277044</v>
      </c>
      <c r="F1563" s="265">
        <v>1248366722</v>
      </c>
      <c r="G1563" s="265">
        <v>1278</v>
      </c>
      <c r="H1563" s="265">
        <v>84</v>
      </c>
      <c r="I1563" s="265">
        <v>1362</v>
      </c>
      <c r="J1563" s="265">
        <v>2966</v>
      </c>
      <c r="K1563" s="265">
        <v>4328</v>
      </c>
      <c r="L1563" s="265">
        <v>-20</v>
      </c>
      <c r="M1563" s="265">
        <v>52</v>
      </c>
      <c r="N1563" s="265">
        <v>2209</v>
      </c>
      <c r="O1563" s="265">
        <v>549</v>
      </c>
      <c r="P1563" s="265">
        <v>7086</v>
      </c>
      <c r="Q1563" s="265">
        <v>169499</v>
      </c>
      <c r="R1563" s="12" t="s">
        <v>4644</v>
      </c>
      <c r="S1563" s="12" t="s">
        <v>25</v>
      </c>
      <c r="T1563" s="12" t="s">
        <v>25</v>
      </c>
    </row>
    <row r="1564" spans="1:20" x14ac:dyDescent="0.3">
      <c r="A1564" s="13">
        <v>43959.708333333336</v>
      </c>
      <c r="B1564" s="12" t="s">
        <v>22</v>
      </c>
      <c r="C1564" s="265">
        <v>7</v>
      </c>
      <c r="D1564" s="12" t="s">
        <v>49</v>
      </c>
      <c r="E1564" s="265">
        <v>4441149315</v>
      </c>
      <c r="F1564" s="265">
        <v>89326992</v>
      </c>
      <c r="G1564" s="265">
        <v>517</v>
      </c>
      <c r="H1564" s="265">
        <v>46</v>
      </c>
      <c r="I1564" s="265">
        <v>563</v>
      </c>
      <c r="J1564" s="265">
        <v>2613</v>
      </c>
      <c r="K1564" s="265">
        <v>3176</v>
      </c>
      <c r="L1564" s="265">
        <v>-72</v>
      </c>
      <c r="M1564" s="265">
        <v>78</v>
      </c>
      <c r="N1564" s="265">
        <v>4282</v>
      </c>
      <c r="O1564" s="265">
        <v>1265</v>
      </c>
      <c r="P1564" s="265">
        <v>8723</v>
      </c>
      <c r="Q1564" s="265">
        <v>63531</v>
      </c>
      <c r="R1564" s="12" t="s">
        <v>4470</v>
      </c>
      <c r="S1564" s="12" t="s">
        <v>25</v>
      </c>
      <c r="T1564" s="12" t="s">
        <v>25</v>
      </c>
    </row>
    <row r="1565" spans="1:20" x14ac:dyDescent="0.3">
      <c r="A1565" s="13">
        <v>43959.708333333336</v>
      </c>
      <c r="B1565" s="12" t="s">
        <v>22</v>
      </c>
      <c r="C1565" s="265">
        <v>3</v>
      </c>
      <c r="D1565" s="12" t="s">
        <v>50</v>
      </c>
      <c r="E1565" s="265">
        <v>4546679409</v>
      </c>
      <c r="F1565" s="265">
        <v>9190347404</v>
      </c>
      <c r="G1565" s="265">
        <v>5702</v>
      </c>
      <c r="H1565" s="265">
        <v>400</v>
      </c>
      <c r="I1565" s="265">
        <v>6102</v>
      </c>
      <c r="J1565" s="265">
        <v>25881</v>
      </c>
      <c r="K1565" s="265">
        <v>31983</v>
      </c>
      <c r="L1565" s="265">
        <v>-32</v>
      </c>
      <c r="M1565" s="265">
        <v>634</v>
      </c>
      <c r="N1565" s="265">
        <v>33901</v>
      </c>
      <c r="O1565" s="265">
        <v>14839</v>
      </c>
      <c r="P1565" s="265">
        <v>80723</v>
      </c>
      <c r="Q1565" s="265">
        <v>466287</v>
      </c>
      <c r="R1565" s="12" t="s">
        <v>4645</v>
      </c>
      <c r="S1565" s="12" t="s">
        <v>25</v>
      </c>
      <c r="T1565" s="12" t="s">
        <v>25</v>
      </c>
    </row>
    <row r="1566" spans="1:20" x14ac:dyDescent="0.3">
      <c r="A1566" s="13">
        <v>43959.708333333336</v>
      </c>
      <c r="B1566" s="12" t="s">
        <v>22</v>
      </c>
      <c r="C1566" s="265">
        <v>11</v>
      </c>
      <c r="D1566" s="12" t="s">
        <v>51</v>
      </c>
      <c r="E1566" s="265">
        <v>4361675973</v>
      </c>
      <c r="F1566" s="265">
        <v>135188753</v>
      </c>
      <c r="G1566" s="265">
        <v>303</v>
      </c>
      <c r="H1566" s="265">
        <v>38</v>
      </c>
      <c r="I1566" s="265">
        <v>341</v>
      </c>
      <c r="J1566" s="265">
        <v>2897</v>
      </c>
      <c r="K1566" s="265">
        <v>3238</v>
      </c>
      <c r="L1566" s="265">
        <v>-9</v>
      </c>
      <c r="M1566" s="265">
        <v>18</v>
      </c>
      <c r="N1566" s="265">
        <v>2278</v>
      </c>
      <c r="O1566" s="265">
        <v>954</v>
      </c>
      <c r="P1566" s="265">
        <v>6470</v>
      </c>
      <c r="Q1566" s="265">
        <v>72504</v>
      </c>
      <c r="R1566" s="12" t="s">
        <v>4646</v>
      </c>
      <c r="S1566" s="12" t="s">
        <v>25</v>
      </c>
      <c r="T1566" s="12" t="s">
        <v>25</v>
      </c>
    </row>
    <row r="1567" spans="1:20" x14ac:dyDescent="0.3">
      <c r="A1567" s="13">
        <v>43959.708333333336</v>
      </c>
      <c r="B1567" s="12" t="s">
        <v>22</v>
      </c>
      <c r="C1567" s="265">
        <v>14</v>
      </c>
      <c r="D1567" s="12" t="s">
        <v>52</v>
      </c>
      <c r="E1567" s="265">
        <v>4155774754</v>
      </c>
      <c r="F1567" s="265">
        <v>1465916051</v>
      </c>
      <c r="G1567" s="265">
        <v>6</v>
      </c>
      <c r="H1567" s="265">
        <v>0</v>
      </c>
      <c r="I1567" s="265">
        <v>6</v>
      </c>
      <c r="J1567" s="265">
        <v>178</v>
      </c>
      <c r="K1567" s="265">
        <v>184</v>
      </c>
      <c r="L1567" s="265">
        <v>14</v>
      </c>
      <c r="M1567" s="265">
        <v>22</v>
      </c>
      <c r="N1567" s="265">
        <v>121</v>
      </c>
      <c r="O1567" s="265">
        <v>22</v>
      </c>
      <c r="P1567" s="265">
        <v>327</v>
      </c>
      <c r="Q1567" s="265">
        <v>8502</v>
      </c>
      <c r="R1567" s="12" t="s">
        <v>4647</v>
      </c>
      <c r="S1567" s="12" t="s">
        <v>25</v>
      </c>
      <c r="T1567" s="12" t="s">
        <v>25</v>
      </c>
    </row>
    <row r="1568" spans="1:20" x14ac:dyDescent="0.3">
      <c r="A1568" s="13">
        <v>43959.708333333336</v>
      </c>
      <c r="B1568" s="12" t="s">
        <v>22</v>
      </c>
      <c r="C1568" s="265">
        <v>1</v>
      </c>
      <c r="D1568" s="12" t="s">
        <v>53</v>
      </c>
      <c r="E1568" s="265">
        <v>450732745</v>
      </c>
      <c r="F1568" s="265">
        <v>7680687483</v>
      </c>
      <c r="G1568" s="265">
        <v>2013</v>
      </c>
      <c r="H1568" s="265">
        <v>140</v>
      </c>
      <c r="I1568" s="265">
        <v>2153</v>
      </c>
      <c r="J1568" s="265">
        <v>11954</v>
      </c>
      <c r="K1568" s="265">
        <v>14107</v>
      </c>
      <c r="L1568" s="265">
        <v>-362</v>
      </c>
      <c r="M1568" s="265">
        <v>233</v>
      </c>
      <c r="N1568" s="265">
        <v>10956</v>
      </c>
      <c r="O1568" s="265">
        <v>3305</v>
      </c>
      <c r="P1568" s="265">
        <v>28368</v>
      </c>
      <c r="Q1568" s="265">
        <v>201183</v>
      </c>
      <c r="R1568" s="12" t="s">
        <v>4648</v>
      </c>
      <c r="S1568" s="12" t="s">
        <v>25</v>
      </c>
      <c r="T1568" s="12" t="s">
        <v>25</v>
      </c>
    </row>
    <row r="1569" spans="1:20" x14ac:dyDescent="0.3">
      <c r="A1569" s="13">
        <v>43959.708333333336</v>
      </c>
      <c r="B1569" s="12" t="s">
        <v>22</v>
      </c>
      <c r="C1569" s="265">
        <v>16</v>
      </c>
      <c r="D1569" s="12" t="s">
        <v>54</v>
      </c>
      <c r="E1569" s="265">
        <v>4112559576</v>
      </c>
      <c r="F1569" s="265">
        <v>1686736689</v>
      </c>
      <c r="G1569" s="265">
        <v>349</v>
      </c>
      <c r="H1569" s="265">
        <v>33</v>
      </c>
      <c r="I1569" s="265">
        <v>382</v>
      </c>
      <c r="J1569" s="265">
        <v>2351</v>
      </c>
      <c r="K1569" s="265">
        <v>2733</v>
      </c>
      <c r="L1569" s="265">
        <v>-67</v>
      </c>
      <c r="M1569" s="265">
        <v>11</v>
      </c>
      <c r="N1569" s="265">
        <v>1080</v>
      </c>
      <c r="O1569" s="265">
        <v>443</v>
      </c>
      <c r="P1569" s="265">
        <v>4256</v>
      </c>
      <c r="Q1569" s="265">
        <v>74724</v>
      </c>
      <c r="R1569" s="12" t="s">
        <v>4649</v>
      </c>
      <c r="S1569" s="12" t="s">
        <v>25</v>
      </c>
      <c r="T1569" s="12" t="s">
        <v>25</v>
      </c>
    </row>
    <row r="1570" spans="1:20" x14ac:dyDescent="0.3">
      <c r="A1570" s="13">
        <v>43959.708333333336</v>
      </c>
      <c r="B1570" s="12" t="s">
        <v>22</v>
      </c>
      <c r="C1570" s="265">
        <v>20</v>
      </c>
      <c r="D1570" s="12" t="s">
        <v>55</v>
      </c>
      <c r="E1570" s="265">
        <v>3921531192</v>
      </c>
      <c r="F1570" s="265">
        <v>9110616306</v>
      </c>
      <c r="G1570" s="265">
        <v>90</v>
      </c>
      <c r="H1570" s="265">
        <v>10</v>
      </c>
      <c r="I1570" s="265">
        <v>100</v>
      </c>
      <c r="J1570" s="265">
        <v>453</v>
      </c>
      <c r="K1570" s="265">
        <v>553</v>
      </c>
      <c r="L1570" s="265">
        <v>-30</v>
      </c>
      <c r="M1570" s="265">
        <v>6</v>
      </c>
      <c r="N1570" s="265">
        <v>658</v>
      </c>
      <c r="O1570" s="265">
        <v>119</v>
      </c>
      <c r="P1570" s="265">
        <v>1330</v>
      </c>
      <c r="Q1570" s="265">
        <v>32219</v>
      </c>
      <c r="R1570" s="12" t="s">
        <v>4650</v>
      </c>
      <c r="S1570" s="12" t="s">
        <v>25</v>
      </c>
      <c r="T1570" s="12" t="s">
        <v>25</v>
      </c>
    </row>
    <row r="1571" spans="1:20" x14ac:dyDescent="0.3">
      <c r="A1571" s="13">
        <v>43959.708333333336</v>
      </c>
      <c r="B1571" s="12" t="s">
        <v>22</v>
      </c>
      <c r="C1571" s="265">
        <v>19</v>
      </c>
      <c r="D1571" s="12" t="s">
        <v>56</v>
      </c>
      <c r="E1571" s="265">
        <v>3811569725</v>
      </c>
      <c r="F1571" s="265">
        <v>133623567</v>
      </c>
      <c r="G1571" s="265">
        <v>310</v>
      </c>
      <c r="H1571" s="265">
        <v>19</v>
      </c>
      <c r="I1571" s="265">
        <v>329</v>
      </c>
      <c r="J1571" s="265">
        <v>1798</v>
      </c>
      <c r="K1571" s="265">
        <v>2127</v>
      </c>
      <c r="L1571" s="265">
        <v>0</v>
      </c>
      <c r="M1571" s="265">
        <v>13</v>
      </c>
      <c r="N1571" s="265">
        <v>921</v>
      </c>
      <c r="O1571" s="265">
        <v>253</v>
      </c>
      <c r="P1571" s="265">
        <v>3301</v>
      </c>
      <c r="Q1571" s="265">
        <v>98711</v>
      </c>
      <c r="R1571" s="12" t="s">
        <v>4651</v>
      </c>
      <c r="S1571" s="12" t="s">
        <v>25</v>
      </c>
      <c r="T1571" s="12" t="s">
        <v>25</v>
      </c>
    </row>
    <row r="1572" spans="1:20" x14ac:dyDescent="0.3">
      <c r="A1572" s="13">
        <v>43959.708333333336</v>
      </c>
      <c r="B1572" s="12" t="s">
        <v>22</v>
      </c>
      <c r="C1572" s="265">
        <v>9</v>
      </c>
      <c r="D1572" s="12" t="s">
        <v>57</v>
      </c>
      <c r="E1572" s="265">
        <v>4376923077</v>
      </c>
      <c r="F1572" s="265">
        <v>1125588885</v>
      </c>
      <c r="G1572" s="265">
        <v>399</v>
      </c>
      <c r="H1572" s="265">
        <v>84</v>
      </c>
      <c r="I1572" s="265">
        <v>483</v>
      </c>
      <c r="J1572" s="265">
        <v>4109</v>
      </c>
      <c r="K1572" s="265">
        <v>4592</v>
      </c>
      <c r="L1572" s="265">
        <v>-124</v>
      </c>
      <c r="M1572" s="265">
        <v>38</v>
      </c>
      <c r="N1572" s="265">
        <v>4199</v>
      </c>
      <c r="O1572" s="265">
        <v>930</v>
      </c>
      <c r="P1572" s="265">
        <v>9721</v>
      </c>
      <c r="Q1572" s="265">
        <v>170296</v>
      </c>
      <c r="R1572" s="12" t="s">
        <v>4652</v>
      </c>
      <c r="S1572" s="12" t="s">
        <v>25</v>
      </c>
      <c r="T1572" s="12" t="s">
        <v>25</v>
      </c>
    </row>
    <row r="1573" spans="1:20" x14ac:dyDescent="0.3">
      <c r="A1573" s="13">
        <v>43959.708333333336</v>
      </c>
      <c r="B1573" s="12" t="s">
        <v>22</v>
      </c>
      <c r="C1573" s="265">
        <v>4</v>
      </c>
      <c r="D1573" s="12" t="s">
        <v>58</v>
      </c>
      <c r="E1573" s="265">
        <v>4606893511</v>
      </c>
      <c r="F1573" s="265">
        <v>1112123097</v>
      </c>
      <c r="G1573" s="265">
        <v>94</v>
      </c>
      <c r="H1573" s="265">
        <v>11</v>
      </c>
      <c r="I1573" s="265">
        <v>105</v>
      </c>
      <c r="J1573" s="265">
        <v>767</v>
      </c>
      <c r="K1573" s="265">
        <v>872</v>
      </c>
      <c r="L1573" s="265">
        <v>-38</v>
      </c>
      <c r="M1573" s="265">
        <v>2</v>
      </c>
      <c r="N1573" s="265">
        <v>2975</v>
      </c>
      <c r="O1573" s="265">
        <v>438</v>
      </c>
      <c r="P1573" s="265">
        <v>4285</v>
      </c>
      <c r="Q1573" s="265">
        <v>48220</v>
      </c>
      <c r="R1573" s="12" t="s">
        <v>4653</v>
      </c>
      <c r="S1573" s="12" t="s">
        <v>25</v>
      </c>
      <c r="T1573" s="12" t="s">
        <v>25</v>
      </c>
    </row>
    <row r="1574" spans="1:20" x14ac:dyDescent="0.3">
      <c r="A1574" s="13">
        <v>43959.708333333336</v>
      </c>
      <c r="B1574" s="12" t="s">
        <v>22</v>
      </c>
      <c r="C1574" s="265">
        <v>10</v>
      </c>
      <c r="D1574" s="12" t="s">
        <v>59</v>
      </c>
      <c r="E1574" s="265">
        <v>4310675841</v>
      </c>
      <c r="F1574" s="265">
        <v>1238824698</v>
      </c>
      <c r="G1574" s="265">
        <v>47</v>
      </c>
      <c r="H1574" s="265">
        <v>6</v>
      </c>
      <c r="I1574" s="265">
        <v>53</v>
      </c>
      <c r="J1574" s="265">
        <v>66</v>
      </c>
      <c r="K1574" s="265">
        <v>119</v>
      </c>
      <c r="L1574" s="265">
        <v>-22</v>
      </c>
      <c r="M1574" s="265">
        <v>1</v>
      </c>
      <c r="N1574" s="265">
        <v>1216</v>
      </c>
      <c r="O1574" s="265">
        <v>71</v>
      </c>
      <c r="P1574" s="265">
        <v>1406</v>
      </c>
      <c r="Q1574" s="265">
        <v>44223</v>
      </c>
      <c r="R1574" s="12" t="s">
        <v>4654</v>
      </c>
      <c r="S1574" s="12" t="s">
        <v>25</v>
      </c>
      <c r="T1574" s="12" t="s">
        <v>25</v>
      </c>
    </row>
    <row r="1575" spans="1:20" x14ac:dyDescent="0.3">
      <c r="A1575" s="13">
        <v>43959.708333333336</v>
      </c>
      <c r="B1575" s="12" t="s">
        <v>22</v>
      </c>
      <c r="C1575" s="265">
        <v>2</v>
      </c>
      <c r="D1575" s="12" t="s">
        <v>60</v>
      </c>
      <c r="E1575" s="265">
        <v>4573750286</v>
      </c>
      <c r="F1575" s="265">
        <v>7320149366</v>
      </c>
      <c r="G1575" s="265">
        <v>45</v>
      </c>
      <c r="H1575" s="265">
        <v>2</v>
      </c>
      <c r="I1575" s="265">
        <v>47</v>
      </c>
      <c r="J1575" s="265">
        <v>76</v>
      </c>
      <c r="K1575" s="265">
        <v>123</v>
      </c>
      <c r="L1575" s="265">
        <v>-7</v>
      </c>
      <c r="M1575" s="265">
        <v>1</v>
      </c>
      <c r="N1575" s="265">
        <v>889</v>
      </c>
      <c r="O1575" s="265">
        <v>139</v>
      </c>
      <c r="P1575" s="265">
        <v>1151</v>
      </c>
      <c r="Q1575" s="265">
        <v>9280</v>
      </c>
      <c r="R1575" s="12" t="s">
        <v>4655</v>
      </c>
      <c r="S1575" s="12" t="s">
        <v>25</v>
      </c>
      <c r="T1575" s="12" t="s">
        <v>25</v>
      </c>
    </row>
    <row r="1576" spans="1:20" x14ac:dyDescent="0.3">
      <c r="A1576" s="13">
        <v>43959.708333333336</v>
      </c>
      <c r="B1576" s="12" t="s">
        <v>22</v>
      </c>
      <c r="C1576" s="265">
        <v>5</v>
      </c>
      <c r="D1576" s="12" t="s">
        <v>61</v>
      </c>
      <c r="E1576" s="265">
        <v>4543490485</v>
      </c>
      <c r="F1576" s="265">
        <v>1233845213</v>
      </c>
      <c r="G1576" s="265">
        <v>831</v>
      </c>
      <c r="H1576" s="265">
        <v>79</v>
      </c>
      <c r="I1576" s="265">
        <v>910</v>
      </c>
      <c r="J1576" s="265">
        <v>5277</v>
      </c>
      <c r="K1576" s="265">
        <v>6187</v>
      </c>
      <c r="L1576" s="265">
        <v>-347</v>
      </c>
      <c r="M1576" s="265">
        <v>65</v>
      </c>
      <c r="N1576" s="265">
        <v>10804</v>
      </c>
      <c r="O1576" s="265">
        <v>1627</v>
      </c>
      <c r="P1576" s="265">
        <v>18618</v>
      </c>
      <c r="Q1576" s="265">
        <v>420949</v>
      </c>
      <c r="R1576" s="12" t="s">
        <v>4656</v>
      </c>
      <c r="S1576" s="12" t="s">
        <v>25</v>
      </c>
      <c r="T1576" s="12" t="s">
        <v>25</v>
      </c>
    </row>
    <row r="1577" spans="1:20" x14ac:dyDescent="0.3">
      <c r="A1577" s="13">
        <v>43960.708333333336</v>
      </c>
      <c r="B1577" s="12" t="s">
        <v>22</v>
      </c>
      <c r="C1577" s="265">
        <v>13</v>
      </c>
      <c r="D1577" s="12" t="s">
        <v>42</v>
      </c>
      <c r="E1577" s="265">
        <v>4235122196</v>
      </c>
      <c r="F1577" s="265">
        <v>1339843823</v>
      </c>
      <c r="G1577" s="265">
        <v>246</v>
      </c>
      <c r="H1577" s="265">
        <v>10</v>
      </c>
      <c r="I1577" s="265">
        <v>256</v>
      </c>
      <c r="J1577" s="265">
        <v>1420</v>
      </c>
      <c r="K1577" s="265">
        <v>1676</v>
      </c>
      <c r="L1577" s="265">
        <v>-37</v>
      </c>
      <c r="M1577" s="265">
        <v>8</v>
      </c>
      <c r="N1577" s="265">
        <v>1055</v>
      </c>
      <c r="O1577" s="265">
        <v>355</v>
      </c>
      <c r="P1577" s="265">
        <v>3086</v>
      </c>
      <c r="Q1577" s="265">
        <v>47190</v>
      </c>
      <c r="R1577" s="12" t="s">
        <v>4657</v>
      </c>
      <c r="S1577" s="12" t="s">
        <v>25</v>
      </c>
      <c r="T1577" s="12" t="s">
        <v>25</v>
      </c>
    </row>
    <row r="1578" spans="1:20" x14ac:dyDescent="0.3">
      <c r="A1578" s="13">
        <v>43960.708333333336</v>
      </c>
      <c r="B1578" s="12" t="s">
        <v>22</v>
      </c>
      <c r="C1578" s="265">
        <v>17</v>
      </c>
      <c r="D1578" s="12" t="s">
        <v>43</v>
      </c>
      <c r="E1578" s="265">
        <v>4063947052</v>
      </c>
      <c r="F1578" s="265">
        <v>1580514834</v>
      </c>
      <c r="G1578" s="265">
        <v>45</v>
      </c>
      <c r="H1578" s="265">
        <v>1</v>
      </c>
      <c r="I1578" s="265">
        <v>46</v>
      </c>
      <c r="J1578" s="265">
        <v>99</v>
      </c>
      <c r="K1578" s="265">
        <v>145</v>
      </c>
      <c r="L1578" s="265">
        <v>-7</v>
      </c>
      <c r="M1578" s="265">
        <v>0</v>
      </c>
      <c r="N1578" s="265">
        <v>210</v>
      </c>
      <c r="O1578" s="265">
        <v>27</v>
      </c>
      <c r="P1578" s="265">
        <v>382</v>
      </c>
      <c r="Q1578" s="265">
        <v>17433</v>
      </c>
      <c r="R1578" s="12" t="s">
        <v>4658</v>
      </c>
      <c r="S1578" s="12" t="s">
        <v>25</v>
      </c>
      <c r="T1578" s="12" t="s">
        <v>25</v>
      </c>
    </row>
    <row r="1579" spans="1:20" x14ac:dyDescent="0.3">
      <c r="A1579" s="13">
        <v>43960.708333333336</v>
      </c>
      <c r="B1579" s="12" t="s">
        <v>22</v>
      </c>
      <c r="C1579" s="265">
        <v>4</v>
      </c>
      <c r="D1579" s="12" t="s">
        <v>44</v>
      </c>
      <c r="E1579" s="265">
        <v>4649933453</v>
      </c>
      <c r="F1579" s="265">
        <v>1135662422</v>
      </c>
      <c r="G1579" s="265">
        <v>55</v>
      </c>
      <c r="H1579" s="265">
        <v>9</v>
      </c>
      <c r="I1579" s="265">
        <v>64</v>
      </c>
      <c r="J1579" s="265">
        <v>409</v>
      </c>
      <c r="K1579" s="265">
        <v>473</v>
      </c>
      <c r="L1579" s="265">
        <v>-29</v>
      </c>
      <c r="M1579" s="265">
        <v>9</v>
      </c>
      <c r="N1579" s="265">
        <v>1804</v>
      </c>
      <c r="O1579" s="265">
        <v>290</v>
      </c>
      <c r="P1579" s="265">
        <v>2567</v>
      </c>
      <c r="Q1579" s="265">
        <v>48858</v>
      </c>
      <c r="R1579" s="12" t="s">
        <v>4659</v>
      </c>
      <c r="S1579" s="12" t="s">
        <v>25</v>
      </c>
      <c r="T1579" s="12" t="s">
        <v>25</v>
      </c>
    </row>
    <row r="1580" spans="1:20" x14ac:dyDescent="0.3">
      <c r="A1580" s="13">
        <v>43960.708333333336</v>
      </c>
      <c r="B1580" s="12" t="s">
        <v>22</v>
      </c>
      <c r="C1580" s="265">
        <v>18</v>
      </c>
      <c r="D1580" s="12" t="s">
        <v>45</v>
      </c>
      <c r="E1580" s="265">
        <v>3890597598</v>
      </c>
      <c r="F1580" s="265">
        <v>1659440194</v>
      </c>
      <c r="G1580" s="265">
        <v>68</v>
      </c>
      <c r="H1580" s="265">
        <v>2</v>
      </c>
      <c r="I1580" s="265">
        <v>70</v>
      </c>
      <c r="J1580" s="265">
        <v>542</v>
      </c>
      <c r="K1580" s="265">
        <v>612</v>
      </c>
      <c r="L1580" s="265">
        <v>-7</v>
      </c>
      <c r="M1580" s="265">
        <v>3</v>
      </c>
      <c r="N1580" s="265">
        <v>427</v>
      </c>
      <c r="O1580" s="265">
        <v>90</v>
      </c>
      <c r="P1580" s="265">
        <v>1129</v>
      </c>
      <c r="Q1580" s="265">
        <v>45071</v>
      </c>
      <c r="R1580" s="12" t="s">
        <v>4660</v>
      </c>
      <c r="S1580" s="12" t="s">
        <v>25</v>
      </c>
      <c r="T1580" s="12" t="s">
        <v>25</v>
      </c>
    </row>
    <row r="1581" spans="1:20" x14ac:dyDescent="0.3">
      <c r="A1581" s="13">
        <v>43960.708333333336</v>
      </c>
      <c r="B1581" s="12" t="s">
        <v>22</v>
      </c>
      <c r="C1581" s="265">
        <v>15</v>
      </c>
      <c r="D1581" s="12" t="s">
        <v>46</v>
      </c>
      <c r="E1581" s="265">
        <v>4083956555</v>
      </c>
      <c r="F1581" s="265">
        <v>1425084984</v>
      </c>
      <c r="G1581" s="265">
        <v>415</v>
      </c>
      <c r="H1581" s="265">
        <v>26</v>
      </c>
      <c r="I1581" s="265">
        <v>441</v>
      </c>
      <c r="J1581" s="265">
        <v>1524</v>
      </c>
      <c r="K1581" s="265">
        <v>1965</v>
      </c>
      <c r="L1581" s="265">
        <v>-47</v>
      </c>
      <c r="M1581" s="265">
        <v>14</v>
      </c>
      <c r="N1581" s="265">
        <v>2223</v>
      </c>
      <c r="O1581" s="265">
        <v>388</v>
      </c>
      <c r="P1581" s="265">
        <v>4576</v>
      </c>
      <c r="Q1581" s="265">
        <v>110811</v>
      </c>
      <c r="R1581" s="12" t="s">
        <v>4661</v>
      </c>
      <c r="S1581" s="12" t="s">
        <v>25</v>
      </c>
      <c r="T1581" s="12" t="s">
        <v>25</v>
      </c>
    </row>
    <row r="1582" spans="1:20" x14ac:dyDescent="0.3">
      <c r="A1582" s="13">
        <v>43960.708333333336</v>
      </c>
      <c r="B1582" s="12" t="s">
        <v>22</v>
      </c>
      <c r="C1582" s="265">
        <v>8</v>
      </c>
      <c r="D1582" s="12" t="s">
        <v>95</v>
      </c>
      <c r="E1582" s="265">
        <v>4449436681</v>
      </c>
      <c r="F1582" s="265">
        <v>113417208</v>
      </c>
      <c r="G1582" s="265">
        <v>1604</v>
      </c>
      <c r="H1582" s="265">
        <v>155</v>
      </c>
      <c r="I1582" s="265">
        <v>1759</v>
      </c>
      <c r="J1582" s="265">
        <v>5642</v>
      </c>
      <c r="K1582" s="265">
        <v>7401</v>
      </c>
      <c r="L1582" s="265">
        <v>-329</v>
      </c>
      <c r="M1582" s="265">
        <v>121</v>
      </c>
      <c r="N1582" s="265">
        <v>15491</v>
      </c>
      <c r="O1582" s="265">
        <v>3827</v>
      </c>
      <c r="P1582" s="265">
        <v>26719</v>
      </c>
      <c r="Q1582" s="265">
        <v>227366</v>
      </c>
      <c r="R1582" s="12" t="s">
        <v>4662</v>
      </c>
      <c r="S1582" s="12" t="s">
        <v>25</v>
      </c>
      <c r="T1582" s="12" t="s">
        <v>25</v>
      </c>
    </row>
    <row r="1583" spans="1:20" x14ac:dyDescent="0.3">
      <c r="A1583" s="13">
        <v>43960.708333333336</v>
      </c>
      <c r="B1583" s="12" t="s">
        <v>22</v>
      </c>
      <c r="C1583" s="265">
        <v>6</v>
      </c>
      <c r="D1583" s="12" t="s">
        <v>47</v>
      </c>
      <c r="E1583" s="265">
        <v>456494354</v>
      </c>
      <c r="F1583" s="265">
        <v>1376813649</v>
      </c>
      <c r="G1583" s="265">
        <v>101</v>
      </c>
      <c r="H1583" s="265">
        <v>3</v>
      </c>
      <c r="I1583" s="265">
        <v>104</v>
      </c>
      <c r="J1583" s="265">
        <v>765</v>
      </c>
      <c r="K1583" s="265">
        <v>869</v>
      </c>
      <c r="L1583" s="265">
        <v>-42</v>
      </c>
      <c r="M1583" s="265">
        <v>8</v>
      </c>
      <c r="N1583" s="265">
        <v>1947</v>
      </c>
      <c r="O1583" s="265">
        <v>308</v>
      </c>
      <c r="P1583" s="265">
        <v>3124</v>
      </c>
      <c r="Q1583" s="265">
        <v>88384</v>
      </c>
      <c r="R1583" s="12" t="s">
        <v>4663</v>
      </c>
      <c r="S1583" s="12" t="s">
        <v>25</v>
      </c>
      <c r="T1583" s="12" t="s">
        <v>25</v>
      </c>
    </row>
    <row r="1584" spans="1:20" x14ac:dyDescent="0.3">
      <c r="A1584" s="13">
        <v>43960.708333333336</v>
      </c>
      <c r="B1584" s="12" t="s">
        <v>22</v>
      </c>
      <c r="C1584" s="265">
        <v>12</v>
      </c>
      <c r="D1584" s="12" t="s">
        <v>48</v>
      </c>
      <c r="E1584" s="265">
        <v>4189277044</v>
      </c>
      <c r="F1584" s="265">
        <v>1248366722</v>
      </c>
      <c r="G1584" s="265">
        <v>1277</v>
      </c>
      <c r="H1584" s="265">
        <v>82</v>
      </c>
      <c r="I1584" s="265">
        <v>1359</v>
      </c>
      <c r="J1584" s="265">
        <v>2986</v>
      </c>
      <c r="K1584" s="265">
        <v>4345</v>
      </c>
      <c r="L1584" s="265">
        <v>17</v>
      </c>
      <c r="M1584" s="265">
        <v>47</v>
      </c>
      <c r="N1584" s="265">
        <v>2235</v>
      </c>
      <c r="O1584" s="265">
        <v>553</v>
      </c>
      <c r="P1584" s="265">
        <v>7133</v>
      </c>
      <c r="Q1584" s="265">
        <v>174448</v>
      </c>
      <c r="R1584" s="12" t="s">
        <v>4664</v>
      </c>
      <c r="S1584" s="12" t="s">
        <v>25</v>
      </c>
      <c r="T1584" s="12" t="s">
        <v>25</v>
      </c>
    </row>
    <row r="1585" spans="1:20" x14ac:dyDescent="0.3">
      <c r="A1585" s="13">
        <v>43960.708333333336</v>
      </c>
      <c r="B1585" s="12" t="s">
        <v>22</v>
      </c>
      <c r="C1585" s="265">
        <v>7</v>
      </c>
      <c r="D1585" s="12" t="s">
        <v>49</v>
      </c>
      <c r="E1585" s="265">
        <v>4441149315</v>
      </c>
      <c r="F1585" s="265">
        <v>89326992</v>
      </c>
      <c r="G1585" s="265">
        <v>501</v>
      </c>
      <c r="H1585" s="265">
        <v>42</v>
      </c>
      <c r="I1585" s="265">
        <v>543</v>
      </c>
      <c r="J1585" s="265">
        <v>2439</v>
      </c>
      <c r="K1585" s="265">
        <v>2982</v>
      </c>
      <c r="L1585" s="265">
        <v>-194</v>
      </c>
      <c r="M1585" s="265">
        <v>15</v>
      </c>
      <c r="N1585" s="265">
        <v>4480</v>
      </c>
      <c r="O1585" s="265">
        <v>1276</v>
      </c>
      <c r="P1585" s="265">
        <v>8738</v>
      </c>
      <c r="Q1585" s="265">
        <v>64926</v>
      </c>
      <c r="R1585" s="12" t="s">
        <v>4665</v>
      </c>
      <c r="S1585" s="12" t="s">
        <v>25</v>
      </c>
      <c r="T1585" s="12" t="s">
        <v>25</v>
      </c>
    </row>
    <row r="1586" spans="1:20" x14ac:dyDescent="0.3">
      <c r="A1586" s="13">
        <v>43960.708333333336</v>
      </c>
      <c r="B1586" s="12" t="s">
        <v>22</v>
      </c>
      <c r="C1586" s="265">
        <v>3</v>
      </c>
      <c r="D1586" s="12" t="s">
        <v>50</v>
      </c>
      <c r="E1586" s="265">
        <v>4546679409</v>
      </c>
      <c r="F1586" s="265">
        <v>9190347404</v>
      </c>
      <c r="G1586" s="265">
        <v>5535</v>
      </c>
      <c r="H1586" s="265">
        <v>330</v>
      </c>
      <c r="I1586" s="265">
        <v>5865</v>
      </c>
      <c r="J1586" s="265">
        <v>24397</v>
      </c>
      <c r="K1586" s="265">
        <v>30262</v>
      </c>
      <c r="L1586" s="265">
        <v>-1721</v>
      </c>
      <c r="M1586" s="265">
        <v>502</v>
      </c>
      <c r="N1586" s="265">
        <v>36039</v>
      </c>
      <c r="O1586" s="265">
        <v>14924</v>
      </c>
      <c r="P1586" s="265">
        <v>81225</v>
      </c>
      <c r="Q1586" s="265">
        <v>477765</v>
      </c>
      <c r="R1586" s="12" t="s">
        <v>4666</v>
      </c>
      <c r="S1586" s="12" t="s">
        <v>25</v>
      </c>
      <c r="T1586" s="12" t="s">
        <v>25</v>
      </c>
    </row>
    <row r="1587" spans="1:20" x14ac:dyDescent="0.3">
      <c r="A1587" s="13">
        <v>43960.708333333336</v>
      </c>
      <c r="B1587" s="12" t="s">
        <v>22</v>
      </c>
      <c r="C1587" s="265">
        <v>11</v>
      </c>
      <c r="D1587" s="12" t="s">
        <v>51</v>
      </c>
      <c r="E1587" s="265">
        <v>4361675973</v>
      </c>
      <c r="F1587" s="265">
        <v>135188753</v>
      </c>
      <c r="G1587" s="265">
        <v>285</v>
      </c>
      <c r="H1587" s="265">
        <v>32</v>
      </c>
      <c r="I1587" s="265">
        <v>317</v>
      </c>
      <c r="J1587" s="265">
        <v>2913</v>
      </c>
      <c r="K1587" s="265">
        <v>3230</v>
      </c>
      <c r="L1587" s="265">
        <v>-8</v>
      </c>
      <c r="M1587" s="265">
        <v>23</v>
      </c>
      <c r="N1587" s="265">
        <v>2305</v>
      </c>
      <c r="O1587" s="265">
        <v>958</v>
      </c>
      <c r="P1587" s="265">
        <v>6493</v>
      </c>
      <c r="Q1587" s="265">
        <v>73965</v>
      </c>
      <c r="R1587" s="12" t="s">
        <v>4667</v>
      </c>
      <c r="S1587" s="12" t="s">
        <v>25</v>
      </c>
      <c r="T1587" s="12" t="s">
        <v>25</v>
      </c>
    </row>
    <row r="1588" spans="1:20" x14ac:dyDescent="0.3">
      <c r="A1588" s="13">
        <v>43960.708333333336</v>
      </c>
      <c r="B1588" s="12" t="s">
        <v>22</v>
      </c>
      <c r="C1588" s="265">
        <v>14</v>
      </c>
      <c r="D1588" s="12" t="s">
        <v>52</v>
      </c>
      <c r="E1588" s="265">
        <v>4155774754</v>
      </c>
      <c r="F1588" s="265">
        <v>1465916051</v>
      </c>
      <c r="G1588" s="265">
        <v>8</v>
      </c>
      <c r="H1588" s="265">
        <v>0</v>
      </c>
      <c r="I1588" s="265">
        <v>8</v>
      </c>
      <c r="J1588" s="265">
        <v>197</v>
      </c>
      <c r="K1588" s="265">
        <v>205</v>
      </c>
      <c r="L1588" s="265">
        <v>21</v>
      </c>
      <c r="M1588" s="265">
        <v>20</v>
      </c>
      <c r="N1588" s="265">
        <v>120</v>
      </c>
      <c r="O1588" s="265">
        <v>22</v>
      </c>
      <c r="P1588" s="265">
        <v>347</v>
      </c>
      <c r="Q1588" s="265">
        <v>8691</v>
      </c>
      <c r="R1588" s="12" t="s">
        <v>4668</v>
      </c>
      <c r="S1588" s="12" t="s">
        <v>25</v>
      </c>
      <c r="T1588" s="12" t="s">
        <v>25</v>
      </c>
    </row>
    <row r="1589" spans="1:20" x14ac:dyDescent="0.3">
      <c r="A1589" s="13">
        <v>43960.708333333336</v>
      </c>
      <c r="B1589" s="12" t="s">
        <v>22</v>
      </c>
      <c r="C1589" s="265">
        <v>1</v>
      </c>
      <c r="D1589" s="12" t="s">
        <v>53</v>
      </c>
      <c r="E1589" s="265">
        <v>450732745</v>
      </c>
      <c r="F1589" s="265">
        <v>7680687483</v>
      </c>
      <c r="G1589" s="265">
        <v>2010</v>
      </c>
      <c r="H1589" s="265">
        <v>143</v>
      </c>
      <c r="I1589" s="265">
        <v>2153</v>
      </c>
      <c r="J1589" s="265">
        <v>11781</v>
      </c>
      <c r="K1589" s="265">
        <v>13934</v>
      </c>
      <c r="L1589" s="265">
        <v>-173</v>
      </c>
      <c r="M1589" s="265">
        <v>181</v>
      </c>
      <c r="N1589" s="265">
        <v>11284</v>
      </c>
      <c r="O1589" s="265">
        <v>3331</v>
      </c>
      <c r="P1589" s="265">
        <v>28549</v>
      </c>
      <c r="Q1589" s="265">
        <v>205800</v>
      </c>
      <c r="R1589" s="12" t="s">
        <v>4669</v>
      </c>
      <c r="S1589" s="12" t="s">
        <v>25</v>
      </c>
      <c r="T1589" s="12" t="s">
        <v>25</v>
      </c>
    </row>
    <row r="1590" spans="1:20" x14ac:dyDescent="0.3">
      <c r="A1590" s="13">
        <v>43960.708333333336</v>
      </c>
      <c r="B1590" s="12" t="s">
        <v>22</v>
      </c>
      <c r="C1590" s="265">
        <v>16</v>
      </c>
      <c r="D1590" s="12" t="s">
        <v>54</v>
      </c>
      <c r="E1590" s="265">
        <v>4112559576</v>
      </c>
      <c r="F1590" s="265">
        <v>1686736689</v>
      </c>
      <c r="G1590" s="265">
        <v>344</v>
      </c>
      <c r="H1590" s="265">
        <v>33</v>
      </c>
      <c r="I1590" s="265">
        <v>377</v>
      </c>
      <c r="J1590" s="265">
        <v>2352</v>
      </c>
      <c r="K1590" s="265">
        <v>2729</v>
      </c>
      <c r="L1590" s="265">
        <v>-4</v>
      </c>
      <c r="M1590" s="265">
        <v>30</v>
      </c>
      <c r="N1590" s="265">
        <v>1114</v>
      </c>
      <c r="O1590" s="265">
        <v>443</v>
      </c>
      <c r="P1590" s="265">
        <v>4286</v>
      </c>
      <c r="Q1590" s="265">
        <v>76643</v>
      </c>
      <c r="R1590" s="12" t="s">
        <v>4670</v>
      </c>
      <c r="S1590" s="12" t="s">
        <v>25</v>
      </c>
      <c r="T1590" s="12" t="s">
        <v>25</v>
      </c>
    </row>
    <row r="1591" spans="1:20" x14ac:dyDescent="0.3">
      <c r="A1591" s="13">
        <v>43960.708333333336</v>
      </c>
      <c r="B1591" s="12" t="s">
        <v>22</v>
      </c>
      <c r="C1591" s="265">
        <v>20</v>
      </c>
      <c r="D1591" s="12" t="s">
        <v>55</v>
      </c>
      <c r="E1591" s="265">
        <v>3921531192</v>
      </c>
      <c r="F1591" s="265">
        <v>9110616306</v>
      </c>
      <c r="G1591" s="265">
        <v>87</v>
      </c>
      <c r="H1591" s="265">
        <v>11</v>
      </c>
      <c r="I1591" s="265">
        <v>98</v>
      </c>
      <c r="J1591" s="265">
        <v>452</v>
      </c>
      <c r="K1591" s="265">
        <v>550</v>
      </c>
      <c r="L1591" s="265">
        <v>-3</v>
      </c>
      <c r="M1591" s="265">
        <v>4</v>
      </c>
      <c r="N1591" s="265">
        <v>665</v>
      </c>
      <c r="O1591" s="265">
        <v>119</v>
      </c>
      <c r="P1591" s="265">
        <v>1334</v>
      </c>
      <c r="Q1591" s="265">
        <v>33330</v>
      </c>
      <c r="R1591" s="12" t="s">
        <v>4671</v>
      </c>
      <c r="S1591" s="12" t="s">
        <v>25</v>
      </c>
      <c r="T1591" s="12" t="s">
        <v>25</v>
      </c>
    </row>
    <row r="1592" spans="1:20" x14ac:dyDescent="0.3">
      <c r="A1592" s="13">
        <v>43960.708333333336</v>
      </c>
      <c r="B1592" s="12" t="s">
        <v>22</v>
      </c>
      <c r="C1592" s="265">
        <v>19</v>
      </c>
      <c r="D1592" s="12" t="s">
        <v>56</v>
      </c>
      <c r="E1592" s="265">
        <v>3811569725</v>
      </c>
      <c r="F1592" s="265">
        <v>133623567</v>
      </c>
      <c r="G1592" s="265">
        <v>277</v>
      </c>
      <c r="H1592" s="265">
        <v>17</v>
      </c>
      <c r="I1592" s="265">
        <v>294</v>
      </c>
      <c r="J1592" s="265">
        <v>1786</v>
      </c>
      <c r="K1592" s="265">
        <v>2080</v>
      </c>
      <c r="L1592" s="265">
        <v>-47</v>
      </c>
      <c r="M1592" s="265">
        <v>12</v>
      </c>
      <c r="N1592" s="265">
        <v>977</v>
      </c>
      <c r="O1592" s="265">
        <v>256</v>
      </c>
      <c r="P1592" s="265">
        <v>3313</v>
      </c>
      <c r="Q1592" s="265">
        <v>101548</v>
      </c>
      <c r="R1592" s="12" t="s">
        <v>4672</v>
      </c>
      <c r="S1592" s="12" t="s">
        <v>25</v>
      </c>
      <c r="T1592" s="12" t="s">
        <v>25</v>
      </c>
    </row>
    <row r="1593" spans="1:20" x14ac:dyDescent="0.3">
      <c r="A1593" s="13">
        <v>43960.708333333336</v>
      </c>
      <c r="B1593" s="12" t="s">
        <v>22</v>
      </c>
      <c r="C1593" s="265">
        <v>9</v>
      </c>
      <c r="D1593" s="12" t="s">
        <v>57</v>
      </c>
      <c r="E1593" s="265">
        <v>4376923077</v>
      </c>
      <c r="F1593" s="265">
        <v>1125588885</v>
      </c>
      <c r="G1593" s="265">
        <v>364</v>
      </c>
      <c r="H1593" s="265">
        <v>79</v>
      </c>
      <c r="I1593" s="265">
        <v>443</v>
      </c>
      <c r="J1593" s="265">
        <v>4005</v>
      </c>
      <c r="K1593" s="265">
        <v>4448</v>
      </c>
      <c r="L1593" s="265">
        <v>-144</v>
      </c>
      <c r="M1593" s="265">
        <v>24</v>
      </c>
      <c r="N1593" s="265">
        <v>4360</v>
      </c>
      <c r="O1593" s="265">
        <v>937</v>
      </c>
      <c r="P1593" s="265">
        <v>9745</v>
      </c>
      <c r="Q1593" s="265">
        <v>174596</v>
      </c>
      <c r="R1593" s="12" t="s">
        <v>4673</v>
      </c>
      <c r="S1593" s="12" t="s">
        <v>25</v>
      </c>
      <c r="T1593" s="12" t="s">
        <v>25</v>
      </c>
    </row>
    <row r="1594" spans="1:20" x14ac:dyDescent="0.3">
      <c r="A1594" s="13">
        <v>43960.708333333336</v>
      </c>
      <c r="B1594" s="12" t="s">
        <v>22</v>
      </c>
      <c r="C1594" s="265">
        <v>4</v>
      </c>
      <c r="D1594" s="12" t="s">
        <v>58</v>
      </c>
      <c r="E1594" s="265">
        <v>4606893511</v>
      </c>
      <c r="F1594" s="265">
        <v>1112123097</v>
      </c>
      <c r="G1594" s="265">
        <v>87</v>
      </c>
      <c r="H1594" s="265">
        <v>10</v>
      </c>
      <c r="I1594" s="265">
        <v>97</v>
      </c>
      <c r="J1594" s="265">
        <v>733</v>
      </c>
      <c r="K1594" s="265">
        <v>830</v>
      </c>
      <c r="L1594" s="265">
        <v>-42</v>
      </c>
      <c r="M1594" s="265">
        <v>7</v>
      </c>
      <c r="N1594" s="265">
        <v>3024</v>
      </c>
      <c r="O1594" s="265">
        <v>438</v>
      </c>
      <c r="P1594" s="265">
        <v>4292</v>
      </c>
      <c r="Q1594" s="265">
        <v>50278</v>
      </c>
      <c r="R1594" s="12" t="s">
        <v>4674</v>
      </c>
      <c r="S1594" s="12" t="s">
        <v>25</v>
      </c>
      <c r="T1594" s="12" t="s">
        <v>25</v>
      </c>
    </row>
    <row r="1595" spans="1:20" x14ac:dyDescent="0.3">
      <c r="A1595" s="13">
        <v>43960.708333333336</v>
      </c>
      <c r="B1595" s="12" t="s">
        <v>22</v>
      </c>
      <c r="C1595" s="265">
        <v>10</v>
      </c>
      <c r="D1595" s="12" t="s">
        <v>59</v>
      </c>
      <c r="E1595" s="265">
        <v>4310675841</v>
      </c>
      <c r="F1595" s="265">
        <v>1238824698</v>
      </c>
      <c r="G1595" s="265">
        <v>45</v>
      </c>
      <c r="H1595" s="265">
        <v>6</v>
      </c>
      <c r="I1595" s="265">
        <v>51</v>
      </c>
      <c r="J1595" s="265">
        <v>60</v>
      </c>
      <c r="K1595" s="265">
        <v>111</v>
      </c>
      <c r="L1595" s="265">
        <v>-8</v>
      </c>
      <c r="M1595" s="265">
        <v>1</v>
      </c>
      <c r="N1595" s="265">
        <v>1225</v>
      </c>
      <c r="O1595" s="265">
        <v>71</v>
      </c>
      <c r="P1595" s="265">
        <v>1407</v>
      </c>
      <c r="Q1595" s="265">
        <v>45574</v>
      </c>
      <c r="R1595" s="12" t="s">
        <v>4675</v>
      </c>
      <c r="S1595" s="12" t="s">
        <v>25</v>
      </c>
      <c r="T1595" s="12" t="s">
        <v>25</v>
      </c>
    </row>
    <row r="1596" spans="1:20" x14ac:dyDescent="0.3">
      <c r="A1596" s="13">
        <v>43960.708333333336</v>
      </c>
      <c r="B1596" s="12" t="s">
        <v>22</v>
      </c>
      <c r="C1596" s="265">
        <v>2</v>
      </c>
      <c r="D1596" s="12" t="s">
        <v>60</v>
      </c>
      <c r="E1596" s="265">
        <v>4573750286</v>
      </c>
      <c r="F1596" s="265">
        <v>7320149366</v>
      </c>
      <c r="G1596" s="265">
        <v>45</v>
      </c>
      <c r="H1596" s="265">
        <v>3</v>
      </c>
      <c r="I1596" s="265">
        <v>48</v>
      </c>
      <c r="J1596" s="265">
        <v>70</v>
      </c>
      <c r="K1596" s="265">
        <v>118</v>
      </c>
      <c r="L1596" s="265">
        <v>-5</v>
      </c>
      <c r="M1596" s="265">
        <v>1</v>
      </c>
      <c r="N1596" s="265">
        <v>895</v>
      </c>
      <c r="O1596" s="265">
        <v>139</v>
      </c>
      <c r="P1596" s="265">
        <v>1152</v>
      </c>
      <c r="Q1596" s="265">
        <v>9443</v>
      </c>
      <c r="R1596" s="12" t="s">
        <v>4676</v>
      </c>
      <c r="S1596" s="12" t="s">
        <v>25</v>
      </c>
      <c r="T1596" s="12" t="s">
        <v>25</v>
      </c>
    </row>
    <row r="1597" spans="1:20" x14ac:dyDescent="0.3">
      <c r="A1597" s="13">
        <v>43960.708333333336</v>
      </c>
      <c r="B1597" s="12" t="s">
        <v>22</v>
      </c>
      <c r="C1597" s="267">
        <v>5</v>
      </c>
      <c r="D1597" s="12" t="s">
        <v>61</v>
      </c>
      <c r="E1597" s="267">
        <v>4543490485</v>
      </c>
      <c r="F1597" s="267">
        <v>1233845213</v>
      </c>
      <c r="G1597" s="267">
        <v>435</v>
      </c>
      <c r="H1597" s="267">
        <v>40</v>
      </c>
      <c r="I1597" s="267">
        <v>475</v>
      </c>
      <c r="J1597" s="267">
        <v>5402</v>
      </c>
      <c r="K1597" s="267">
        <v>5877</v>
      </c>
      <c r="L1597" s="267">
        <v>-310</v>
      </c>
      <c r="M1597" s="267">
        <v>53</v>
      </c>
      <c r="N1597" s="267">
        <v>11151</v>
      </c>
      <c r="O1597" s="267">
        <v>1643</v>
      </c>
      <c r="P1597" s="267">
        <v>18671</v>
      </c>
      <c r="Q1597" s="267">
        <v>432114</v>
      </c>
      <c r="R1597" s="12" t="s">
        <v>4677</v>
      </c>
      <c r="S1597" s="12" t="s">
        <v>25</v>
      </c>
      <c r="T1597" s="12" t="s">
        <v>25</v>
      </c>
    </row>
    <row r="1598" spans="1:20" x14ac:dyDescent="0.3">
      <c r="A1598" s="13">
        <v>43961.708333333336</v>
      </c>
      <c r="B1598" s="12" t="s">
        <v>22</v>
      </c>
      <c r="C1598" s="267">
        <v>13</v>
      </c>
      <c r="D1598" s="12" t="s">
        <v>42</v>
      </c>
      <c r="E1598" s="267">
        <v>4235122196</v>
      </c>
      <c r="F1598" s="267">
        <v>1339843823</v>
      </c>
      <c r="G1598" s="267">
        <v>233</v>
      </c>
      <c r="H1598" s="267">
        <v>10</v>
      </c>
      <c r="I1598" s="267">
        <v>243</v>
      </c>
      <c r="J1598" s="267">
        <v>1428</v>
      </c>
      <c r="K1598" s="267">
        <v>1671</v>
      </c>
      <c r="L1598" s="267">
        <v>-5</v>
      </c>
      <c r="M1598" s="267">
        <v>17</v>
      </c>
      <c r="N1598" s="267">
        <v>1073</v>
      </c>
      <c r="O1598" s="267">
        <v>359</v>
      </c>
      <c r="P1598" s="267">
        <v>3103</v>
      </c>
      <c r="Q1598" s="267">
        <v>48110</v>
      </c>
      <c r="R1598" s="12" t="s">
        <v>4691</v>
      </c>
      <c r="S1598" s="12" t="s">
        <v>25</v>
      </c>
      <c r="T1598" s="12" t="s">
        <v>25</v>
      </c>
    </row>
    <row r="1599" spans="1:20" x14ac:dyDescent="0.3">
      <c r="A1599" s="13">
        <v>43961.708333333336</v>
      </c>
      <c r="B1599" s="12" t="s">
        <v>22</v>
      </c>
      <c r="C1599" s="267">
        <v>17</v>
      </c>
      <c r="D1599" s="12" t="s">
        <v>43</v>
      </c>
      <c r="E1599" s="267">
        <v>4063947052</v>
      </c>
      <c r="F1599" s="267">
        <v>1580514834</v>
      </c>
      <c r="G1599" s="267">
        <v>45</v>
      </c>
      <c r="H1599" s="267">
        <v>1</v>
      </c>
      <c r="I1599" s="267">
        <v>46</v>
      </c>
      <c r="J1599" s="267">
        <v>97</v>
      </c>
      <c r="K1599" s="267">
        <v>143</v>
      </c>
      <c r="L1599" s="267">
        <v>-2</v>
      </c>
      <c r="M1599" s="267">
        <v>3</v>
      </c>
      <c r="N1599" s="267">
        <v>215</v>
      </c>
      <c r="O1599" s="267">
        <v>27</v>
      </c>
      <c r="P1599" s="267">
        <v>385</v>
      </c>
      <c r="Q1599" s="267">
        <v>17916</v>
      </c>
      <c r="R1599" s="12" t="s">
        <v>4692</v>
      </c>
      <c r="S1599" s="12" t="s">
        <v>25</v>
      </c>
      <c r="T1599" s="12" t="s">
        <v>25</v>
      </c>
    </row>
    <row r="1600" spans="1:20" x14ac:dyDescent="0.3">
      <c r="A1600" s="13">
        <v>43961.708333333336</v>
      </c>
      <c r="B1600" s="12" t="s">
        <v>22</v>
      </c>
      <c r="C1600" s="267">
        <v>4</v>
      </c>
      <c r="D1600" s="12" t="s">
        <v>44</v>
      </c>
      <c r="E1600" s="267">
        <v>4649933453</v>
      </c>
      <c r="F1600" s="267">
        <v>1135662422</v>
      </c>
      <c r="G1600" s="267">
        <v>61</v>
      </c>
      <c r="H1600" s="267">
        <v>8</v>
      </c>
      <c r="I1600" s="267">
        <v>69</v>
      </c>
      <c r="J1600" s="267">
        <v>390</v>
      </c>
      <c r="K1600" s="267">
        <v>459</v>
      </c>
      <c r="L1600" s="267">
        <v>-14</v>
      </c>
      <c r="M1600" s="267">
        <v>2</v>
      </c>
      <c r="N1600" s="267">
        <v>1820</v>
      </c>
      <c r="O1600" s="267">
        <v>290</v>
      </c>
      <c r="P1600" s="267">
        <v>2569</v>
      </c>
      <c r="Q1600" s="267">
        <v>49571</v>
      </c>
      <c r="R1600" s="12" t="s">
        <v>4693</v>
      </c>
      <c r="S1600" s="12" t="s">
        <v>25</v>
      </c>
      <c r="T1600" s="12" t="s">
        <v>25</v>
      </c>
    </row>
    <row r="1601" spans="1:20" x14ac:dyDescent="0.3">
      <c r="A1601" s="13">
        <v>43961.708333333336</v>
      </c>
      <c r="B1601" s="12" t="s">
        <v>22</v>
      </c>
      <c r="C1601" s="267">
        <v>18</v>
      </c>
      <c r="D1601" s="12" t="s">
        <v>45</v>
      </c>
      <c r="E1601" s="267">
        <v>3890597598</v>
      </c>
      <c r="F1601" s="267">
        <v>1659440194</v>
      </c>
      <c r="G1601" s="267">
        <v>66</v>
      </c>
      <c r="H1601" s="267">
        <v>2</v>
      </c>
      <c r="I1601" s="267">
        <v>68</v>
      </c>
      <c r="J1601" s="267">
        <v>528</v>
      </c>
      <c r="K1601" s="267">
        <v>596</v>
      </c>
      <c r="L1601" s="267">
        <v>-16</v>
      </c>
      <c r="M1601" s="267">
        <v>3</v>
      </c>
      <c r="N1601" s="267">
        <v>445</v>
      </c>
      <c r="O1601" s="267">
        <v>91</v>
      </c>
      <c r="P1601" s="267">
        <v>1132</v>
      </c>
      <c r="Q1601" s="267">
        <v>46111</v>
      </c>
      <c r="R1601" s="12" t="s">
        <v>4694</v>
      </c>
      <c r="S1601" s="12" t="s">
        <v>25</v>
      </c>
      <c r="T1601" s="12" t="s">
        <v>25</v>
      </c>
    </row>
    <row r="1602" spans="1:20" x14ac:dyDescent="0.3">
      <c r="A1602" s="13">
        <v>43961.708333333336</v>
      </c>
      <c r="B1602" s="12" t="s">
        <v>22</v>
      </c>
      <c r="C1602" s="267">
        <v>15</v>
      </c>
      <c r="D1602" s="12" t="s">
        <v>46</v>
      </c>
      <c r="E1602" s="267">
        <v>4083956555</v>
      </c>
      <c r="F1602" s="267">
        <v>1425084984</v>
      </c>
      <c r="G1602" s="267">
        <v>435</v>
      </c>
      <c r="H1602" s="267">
        <v>20</v>
      </c>
      <c r="I1602" s="267">
        <v>455</v>
      </c>
      <c r="J1602" s="267">
        <v>1460</v>
      </c>
      <c r="K1602" s="267">
        <v>1915</v>
      </c>
      <c r="L1602" s="267">
        <v>-50</v>
      </c>
      <c r="M1602" s="267">
        <v>12</v>
      </c>
      <c r="N1602" s="267">
        <v>2282</v>
      </c>
      <c r="O1602" s="267">
        <v>391</v>
      </c>
      <c r="P1602" s="267">
        <v>4588</v>
      </c>
      <c r="Q1602" s="267">
        <v>114819</v>
      </c>
      <c r="R1602" s="12" t="s">
        <v>4695</v>
      </c>
      <c r="S1602" s="12" t="s">
        <v>25</v>
      </c>
      <c r="T1602" s="12" t="s">
        <v>25</v>
      </c>
    </row>
    <row r="1603" spans="1:20" x14ac:dyDescent="0.3">
      <c r="A1603" s="13">
        <v>43961.708333333336</v>
      </c>
      <c r="B1603" s="12" t="s">
        <v>22</v>
      </c>
      <c r="C1603" s="267">
        <v>8</v>
      </c>
      <c r="D1603" s="12" t="s">
        <v>95</v>
      </c>
      <c r="E1603" s="267">
        <v>4449436681</v>
      </c>
      <c r="F1603" s="267">
        <v>113417208</v>
      </c>
      <c r="G1603" s="267">
        <v>1562</v>
      </c>
      <c r="H1603" s="267">
        <v>150</v>
      </c>
      <c r="I1603" s="267">
        <v>1712</v>
      </c>
      <c r="J1603" s="267">
        <v>5479</v>
      </c>
      <c r="K1603" s="267">
        <v>7191</v>
      </c>
      <c r="L1603" s="267">
        <v>-210</v>
      </c>
      <c r="M1603" s="267">
        <v>77</v>
      </c>
      <c r="N1603" s="267">
        <v>15760</v>
      </c>
      <c r="O1603" s="267">
        <v>3845</v>
      </c>
      <c r="P1603" s="267">
        <v>26796</v>
      </c>
      <c r="Q1603" s="267">
        <v>231637</v>
      </c>
      <c r="R1603" s="12" t="s">
        <v>4696</v>
      </c>
      <c r="S1603" s="12" t="s">
        <v>25</v>
      </c>
      <c r="T1603" s="12" t="s">
        <v>25</v>
      </c>
    </row>
    <row r="1604" spans="1:20" x14ac:dyDescent="0.3">
      <c r="A1604" s="13">
        <v>43961.708333333336</v>
      </c>
      <c r="B1604" s="12" t="s">
        <v>22</v>
      </c>
      <c r="C1604" s="267">
        <v>6</v>
      </c>
      <c r="D1604" s="12" t="s">
        <v>47</v>
      </c>
      <c r="E1604" s="267">
        <v>456494354</v>
      </c>
      <c r="F1604" s="267">
        <v>1376813649</v>
      </c>
      <c r="G1604" s="267">
        <v>98</v>
      </c>
      <c r="H1604" s="267">
        <v>3</v>
      </c>
      <c r="I1604" s="267">
        <v>101</v>
      </c>
      <c r="J1604" s="267">
        <v>750</v>
      </c>
      <c r="K1604" s="267">
        <v>851</v>
      </c>
      <c r="L1604" s="267">
        <v>-18</v>
      </c>
      <c r="M1604" s="267">
        <v>6</v>
      </c>
      <c r="N1604" s="267">
        <v>1969</v>
      </c>
      <c r="O1604" s="267">
        <v>310</v>
      </c>
      <c r="P1604" s="267">
        <v>3130</v>
      </c>
      <c r="Q1604" s="267">
        <v>89449</v>
      </c>
      <c r="R1604" s="12" t="s">
        <v>4697</v>
      </c>
      <c r="S1604" s="12" t="s">
        <v>25</v>
      </c>
      <c r="T1604" s="12" t="s">
        <v>25</v>
      </c>
    </row>
    <row r="1605" spans="1:20" x14ac:dyDescent="0.3">
      <c r="A1605" s="13">
        <v>43961.708333333336</v>
      </c>
      <c r="B1605" s="12" t="s">
        <v>22</v>
      </c>
      <c r="C1605" s="267">
        <v>12</v>
      </c>
      <c r="D1605" s="12" t="s">
        <v>48</v>
      </c>
      <c r="E1605" s="267">
        <v>4189277044</v>
      </c>
      <c r="F1605" s="267">
        <v>1248366722</v>
      </c>
      <c r="G1605" s="267">
        <v>1265</v>
      </c>
      <c r="H1605" s="267">
        <v>84</v>
      </c>
      <c r="I1605" s="267">
        <v>1349</v>
      </c>
      <c r="J1605" s="267">
        <v>2937</v>
      </c>
      <c r="K1605" s="267">
        <v>4286</v>
      </c>
      <c r="L1605" s="267">
        <v>-59</v>
      </c>
      <c r="M1605" s="267">
        <v>32</v>
      </c>
      <c r="N1605" s="267">
        <v>2322</v>
      </c>
      <c r="O1605" s="267">
        <v>557</v>
      </c>
      <c r="P1605" s="267">
        <v>7165</v>
      </c>
      <c r="Q1605" s="267">
        <v>178569</v>
      </c>
      <c r="R1605" s="12" t="s">
        <v>4698</v>
      </c>
      <c r="S1605" s="12" t="s">
        <v>25</v>
      </c>
      <c r="T1605" s="12" t="s">
        <v>25</v>
      </c>
    </row>
    <row r="1606" spans="1:20" x14ac:dyDescent="0.3">
      <c r="A1606" s="13">
        <v>43961.708333333336</v>
      </c>
      <c r="B1606" s="12" t="s">
        <v>22</v>
      </c>
      <c r="C1606" s="267">
        <v>7</v>
      </c>
      <c r="D1606" s="12" t="s">
        <v>49</v>
      </c>
      <c r="E1606" s="267">
        <v>4441149315</v>
      </c>
      <c r="F1606" s="267">
        <v>89326992</v>
      </c>
      <c r="G1606" s="267">
        <v>481</v>
      </c>
      <c r="H1606" s="267">
        <v>41</v>
      </c>
      <c r="I1606" s="267">
        <v>522</v>
      </c>
      <c r="J1606" s="267">
        <v>2378</v>
      </c>
      <c r="K1606" s="267">
        <v>2900</v>
      </c>
      <c r="L1606" s="267">
        <v>-82</v>
      </c>
      <c r="M1606" s="267">
        <v>50</v>
      </c>
      <c r="N1606" s="267">
        <v>4607</v>
      </c>
      <c r="O1606" s="267">
        <v>1281</v>
      </c>
      <c r="P1606" s="267">
        <v>8788</v>
      </c>
      <c r="Q1606" s="267">
        <v>67322</v>
      </c>
      <c r="R1606" s="12" t="s">
        <v>4699</v>
      </c>
      <c r="S1606" s="12" t="s">
        <v>25</v>
      </c>
      <c r="T1606" s="12" t="s">
        <v>25</v>
      </c>
    </row>
    <row r="1607" spans="1:20" x14ac:dyDescent="0.3">
      <c r="A1607" s="13">
        <v>43961.708333333336</v>
      </c>
      <c r="B1607" s="12" t="s">
        <v>22</v>
      </c>
      <c r="C1607" s="267">
        <v>3</v>
      </c>
      <c r="D1607" s="12" t="s">
        <v>50</v>
      </c>
      <c r="E1607" s="267">
        <v>4546679409</v>
      </c>
      <c r="F1607" s="267">
        <v>9190347404</v>
      </c>
      <c r="G1607" s="267">
        <v>5428</v>
      </c>
      <c r="H1607" s="267">
        <v>348</v>
      </c>
      <c r="I1607" s="267">
        <v>5776</v>
      </c>
      <c r="J1607" s="267">
        <v>24414</v>
      </c>
      <c r="K1607" s="267">
        <v>30190</v>
      </c>
      <c r="L1607" s="267">
        <v>-72</v>
      </c>
      <c r="M1607" s="267">
        <v>282</v>
      </c>
      <c r="N1607" s="267">
        <v>36331</v>
      </c>
      <c r="O1607" s="267">
        <v>14986</v>
      </c>
      <c r="P1607" s="267">
        <v>81507</v>
      </c>
      <c r="Q1607" s="267">
        <v>485134</v>
      </c>
      <c r="R1607" s="12" t="s">
        <v>4700</v>
      </c>
      <c r="S1607" s="12" t="s">
        <v>25</v>
      </c>
      <c r="T1607" s="12" t="s">
        <v>25</v>
      </c>
    </row>
    <row r="1608" spans="1:20" x14ac:dyDescent="0.3">
      <c r="A1608" s="13">
        <v>43961.708333333336</v>
      </c>
      <c r="B1608" s="12" t="s">
        <v>22</v>
      </c>
      <c r="C1608" s="267">
        <v>11</v>
      </c>
      <c r="D1608" s="12" t="s">
        <v>51</v>
      </c>
      <c r="E1608" s="267">
        <v>4361675973</v>
      </c>
      <c r="F1608" s="267">
        <v>135188753</v>
      </c>
      <c r="G1608" s="267">
        <v>284</v>
      </c>
      <c r="H1608" s="267">
        <v>30</v>
      </c>
      <c r="I1608" s="267">
        <v>314</v>
      </c>
      <c r="J1608" s="267">
        <v>2937</v>
      </c>
      <c r="K1608" s="267">
        <v>3251</v>
      </c>
      <c r="L1608" s="267">
        <v>21</v>
      </c>
      <c r="M1608" s="267">
        <v>40</v>
      </c>
      <c r="N1608" s="267">
        <v>2322</v>
      </c>
      <c r="O1608" s="267">
        <v>960</v>
      </c>
      <c r="P1608" s="267">
        <v>6533</v>
      </c>
      <c r="Q1608" s="267">
        <v>76367</v>
      </c>
      <c r="R1608" s="12" t="s">
        <v>4701</v>
      </c>
      <c r="S1608" s="12" t="s">
        <v>25</v>
      </c>
      <c r="T1608" s="12" t="s">
        <v>25</v>
      </c>
    </row>
    <row r="1609" spans="1:20" x14ac:dyDescent="0.3">
      <c r="A1609" s="13">
        <v>43961.708333333336</v>
      </c>
      <c r="B1609" s="12" t="s">
        <v>22</v>
      </c>
      <c r="C1609" s="267">
        <v>14</v>
      </c>
      <c r="D1609" s="12" t="s">
        <v>52</v>
      </c>
      <c r="E1609" s="267">
        <v>4155774754</v>
      </c>
      <c r="F1609" s="267">
        <v>1465916051</v>
      </c>
      <c r="G1609" s="267">
        <v>9</v>
      </c>
      <c r="H1609" s="267">
        <v>0</v>
      </c>
      <c r="I1609" s="267">
        <v>9</v>
      </c>
      <c r="J1609" s="267">
        <v>209</v>
      </c>
      <c r="K1609" s="267">
        <v>218</v>
      </c>
      <c r="L1609" s="267">
        <v>13</v>
      </c>
      <c r="M1609" s="267">
        <v>23</v>
      </c>
      <c r="N1609" s="267">
        <v>130</v>
      </c>
      <c r="O1609" s="267">
        <v>22</v>
      </c>
      <c r="P1609" s="267">
        <v>370</v>
      </c>
      <c r="Q1609" s="267">
        <v>9164</v>
      </c>
      <c r="R1609" s="12" t="s">
        <v>4702</v>
      </c>
      <c r="S1609" s="12" t="s">
        <v>25</v>
      </c>
      <c r="T1609" s="12" t="s">
        <v>25</v>
      </c>
    </row>
    <row r="1610" spans="1:20" x14ac:dyDescent="0.3">
      <c r="A1610" s="13">
        <v>43961.708333333336</v>
      </c>
      <c r="B1610" s="12" t="s">
        <v>22</v>
      </c>
      <c r="C1610" s="267">
        <v>1</v>
      </c>
      <c r="D1610" s="12" t="s">
        <v>53</v>
      </c>
      <c r="E1610" s="267">
        <v>450732745</v>
      </c>
      <c r="F1610" s="267">
        <v>7680687483</v>
      </c>
      <c r="G1610" s="267">
        <v>2024</v>
      </c>
      <c r="H1610" s="267">
        <v>137</v>
      </c>
      <c r="I1610" s="267">
        <v>2161</v>
      </c>
      <c r="J1610" s="267">
        <v>11489</v>
      </c>
      <c r="K1610" s="267">
        <v>13650</v>
      </c>
      <c r="L1610" s="267">
        <v>-284</v>
      </c>
      <c r="M1610" s="267">
        <v>116</v>
      </c>
      <c r="N1610" s="267">
        <v>11648</v>
      </c>
      <c r="O1610" s="267">
        <v>3367</v>
      </c>
      <c r="P1610" s="267">
        <v>28665</v>
      </c>
      <c r="Q1610" s="267">
        <v>210370</v>
      </c>
      <c r="R1610" s="12" t="s">
        <v>4703</v>
      </c>
      <c r="S1610" s="12" t="s">
        <v>25</v>
      </c>
      <c r="T1610" s="12" t="s">
        <v>25</v>
      </c>
    </row>
    <row r="1611" spans="1:20" x14ac:dyDescent="0.3">
      <c r="A1611" s="13">
        <v>43961.708333333336</v>
      </c>
      <c r="B1611" s="12" t="s">
        <v>22</v>
      </c>
      <c r="C1611" s="267">
        <v>16</v>
      </c>
      <c r="D1611" s="12" t="s">
        <v>54</v>
      </c>
      <c r="E1611" s="267">
        <v>4112559576</v>
      </c>
      <c r="F1611" s="267">
        <v>1686736689</v>
      </c>
      <c r="G1611" s="267">
        <v>343</v>
      </c>
      <c r="H1611" s="267">
        <v>34</v>
      </c>
      <c r="I1611" s="267">
        <v>377</v>
      </c>
      <c r="J1611" s="267">
        <v>2292</v>
      </c>
      <c r="K1611" s="267">
        <v>2669</v>
      </c>
      <c r="L1611" s="267">
        <v>-60</v>
      </c>
      <c r="M1611" s="267">
        <v>27</v>
      </c>
      <c r="N1611" s="267">
        <v>1196</v>
      </c>
      <c r="O1611" s="267">
        <v>448</v>
      </c>
      <c r="P1611" s="267">
        <v>4313</v>
      </c>
      <c r="Q1611" s="267">
        <v>78399</v>
      </c>
      <c r="R1611" s="12" t="s">
        <v>4704</v>
      </c>
      <c r="S1611" s="12" t="s">
        <v>25</v>
      </c>
      <c r="T1611" s="12" t="s">
        <v>25</v>
      </c>
    </row>
    <row r="1612" spans="1:20" x14ac:dyDescent="0.3">
      <c r="A1612" s="13">
        <v>43961.708333333336</v>
      </c>
      <c r="B1612" s="12" t="s">
        <v>22</v>
      </c>
      <c r="C1612" s="267">
        <v>20</v>
      </c>
      <c r="D1612" s="12" t="s">
        <v>55</v>
      </c>
      <c r="E1612" s="267">
        <v>3921531192</v>
      </c>
      <c r="F1612" s="267">
        <v>9110616306</v>
      </c>
      <c r="G1612" s="267">
        <v>83</v>
      </c>
      <c r="H1612" s="267">
        <v>10</v>
      </c>
      <c r="I1612" s="267">
        <v>93</v>
      </c>
      <c r="J1612" s="267">
        <v>422</v>
      </c>
      <c r="K1612" s="267">
        <v>515</v>
      </c>
      <c r="L1612" s="267">
        <v>-35</v>
      </c>
      <c r="M1612" s="267">
        <v>6</v>
      </c>
      <c r="N1612" s="267">
        <v>705</v>
      </c>
      <c r="O1612" s="267">
        <v>120</v>
      </c>
      <c r="P1612" s="267">
        <v>1340</v>
      </c>
      <c r="Q1612" s="267">
        <v>34046</v>
      </c>
      <c r="R1612" s="12" t="s">
        <v>4705</v>
      </c>
      <c r="S1612" s="12" t="s">
        <v>25</v>
      </c>
      <c r="T1612" s="12" t="s">
        <v>25</v>
      </c>
    </row>
    <row r="1613" spans="1:20" x14ac:dyDescent="0.3">
      <c r="A1613" s="13">
        <v>43961.708333333336</v>
      </c>
      <c r="B1613" s="12" t="s">
        <v>22</v>
      </c>
      <c r="C1613" s="267">
        <v>19</v>
      </c>
      <c r="D1613" s="12" t="s">
        <v>56</v>
      </c>
      <c r="E1613" s="267">
        <v>3811569725</v>
      </c>
      <c r="F1613" s="267">
        <v>133623567</v>
      </c>
      <c r="G1613" s="267">
        <v>273</v>
      </c>
      <c r="H1613" s="267">
        <v>16</v>
      </c>
      <c r="I1613" s="267">
        <v>289</v>
      </c>
      <c r="J1613" s="267">
        <v>1780</v>
      </c>
      <c r="K1613" s="267">
        <v>2069</v>
      </c>
      <c r="L1613" s="267">
        <v>-11</v>
      </c>
      <c r="M1613" s="267">
        <v>14</v>
      </c>
      <c r="N1613" s="267">
        <v>1002</v>
      </c>
      <c r="O1613" s="267">
        <v>256</v>
      </c>
      <c r="P1613" s="267">
        <v>3327</v>
      </c>
      <c r="Q1613" s="267">
        <v>102403</v>
      </c>
      <c r="R1613" s="12" t="s">
        <v>4706</v>
      </c>
      <c r="S1613" s="12" t="s">
        <v>25</v>
      </c>
      <c r="T1613" s="12" t="s">
        <v>25</v>
      </c>
    </row>
    <row r="1614" spans="1:20" x14ac:dyDescent="0.3">
      <c r="A1614" s="13">
        <v>43961.708333333336</v>
      </c>
      <c r="B1614" s="12" t="s">
        <v>22</v>
      </c>
      <c r="C1614" s="267">
        <v>9</v>
      </c>
      <c r="D1614" s="12" t="s">
        <v>57</v>
      </c>
      <c r="E1614" s="267">
        <v>4376923077</v>
      </c>
      <c r="F1614" s="267">
        <v>1125588885</v>
      </c>
      <c r="G1614" s="267">
        <v>350</v>
      </c>
      <c r="H1614" s="267">
        <v>78</v>
      </c>
      <c r="I1614" s="267">
        <v>428</v>
      </c>
      <c r="J1614" s="267">
        <v>3719</v>
      </c>
      <c r="K1614" s="267">
        <v>4147</v>
      </c>
      <c r="L1614" s="267">
        <v>-301</v>
      </c>
      <c r="M1614" s="267">
        <v>29</v>
      </c>
      <c r="N1614" s="267">
        <v>4685</v>
      </c>
      <c r="O1614" s="267">
        <v>942</v>
      </c>
      <c r="P1614" s="267">
        <v>9774</v>
      </c>
      <c r="Q1614" s="267">
        <v>178208</v>
      </c>
      <c r="R1614" s="12" t="s">
        <v>4707</v>
      </c>
      <c r="S1614" s="12" t="s">
        <v>25</v>
      </c>
      <c r="T1614" s="12" t="s">
        <v>25</v>
      </c>
    </row>
    <row r="1615" spans="1:20" x14ac:dyDescent="0.3">
      <c r="A1615" s="13">
        <v>43961.708333333336</v>
      </c>
      <c r="B1615" s="12" t="s">
        <v>22</v>
      </c>
      <c r="C1615" s="267">
        <v>4</v>
      </c>
      <c r="D1615" s="12" t="s">
        <v>58</v>
      </c>
      <c r="E1615" s="267">
        <v>4606893511</v>
      </c>
      <c r="F1615" s="267">
        <v>1112123097</v>
      </c>
      <c r="G1615" s="267">
        <v>82</v>
      </c>
      <c r="H1615" s="267">
        <v>10</v>
      </c>
      <c r="I1615" s="267">
        <v>92</v>
      </c>
      <c r="J1615" s="267">
        <v>694</v>
      </c>
      <c r="K1615" s="267">
        <v>786</v>
      </c>
      <c r="L1615" s="267">
        <v>-44</v>
      </c>
      <c r="M1615" s="267">
        <v>3</v>
      </c>
      <c r="N1615" s="267">
        <v>3068</v>
      </c>
      <c r="O1615" s="267">
        <v>441</v>
      </c>
      <c r="P1615" s="267">
        <v>4295</v>
      </c>
      <c r="Q1615" s="267">
        <v>52039</v>
      </c>
      <c r="R1615" s="12" t="s">
        <v>4708</v>
      </c>
      <c r="S1615" s="12" t="s">
        <v>25</v>
      </c>
      <c r="T1615" s="12" t="s">
        <v>25</v>
      </c>
    </row>
    <row r="1616" spans="1:20" x14ac:dyDescent="0.3">
      <c r="A1616" s="13">
        <v>43961.708333333336</v>
      </c>
      <c r="B1616" s="12" t="s">
        <v>22</v>
      </c>
      <c r="C1616" s="267">
        <v>10</v>
      </c>
      <c r="D1616" s="12" t="s">
        <v>59</v>
      </c>
      <c r="E1616" s="267">
        <v>4310675841</v>
      </c>
      <c r="F1616" s="267">
        <v>1238824698</v>
      </c>
      <c r="G1616" s="267">
        <v>42</v>
      </c>
      <c r="H1616" s="267">
        <v>6</v>
      </c>
      <c r="I1616" s="267">
        <v>48</v>
      </c>
      <c r="J1616" s="267">
        <v>65</v>
      </c>
      <c r="K1616" s="267">
        <v>113</v>
      </c>
      <c r="L1616" s="267">
        <v>2</v>
      </c>
      <c r="M1616" s="267">
        <v>4</v>
      </c>
      <c r="N1616" s="267">
        <v>1227</v>
      </c>
      <c r="O1616" s="267">
        <v>71</v>
      </c>
      <c r="P1616" s="267">
        <v>1411</v>
      </c>
      <c r="Q1616" s="267">
        <v>46923</v>
      </c>
      <c r="R1616" s="12" t="s">
        <v>4709</v>
      </c>
      <c r="S1616" s="12" t="s">
        <v>25</v>
      </c>
      <c r="T1616" s="12" t="s">
        <v>25</v>
      </c>
    </row>
    <row r="1617" spans="1:20" x14ac:dyDescent="0.3">
      <c r="A1617" s="13">
        <v>43961.708333333336</v>
      </c>
      <c r="B1617" s="12" t="s">
        <v>22</v>
      </c>
      <c r="C1617" s="267">
        <v>2</v>
      </c>
      <c r="D1617" s="12" t="s">
        <v>60</v>
      </c>
      <c r="E1617" s="267">
        <v>4573750286</v>
      </c>
      <c r="F1617" s="267">
        <v>7320149366</v>
      </c>
      <c r="G1617" s="267">
        <v>46</v>
      </c>
      <c r="H1617" s="267">
        <v>2</v>
      </c>
      <c r="I1617" s="267">
        <v>48</v>
      </c>
      <c r="J1617" s="267">
        <v>65</v>
      </c>
      <c r="K1617" s="267">
        <v>113</v>
      </c>
      <c r="L1617" s="267">
        <v>-5</v>
      </c>
      <c r="M1617" s="267">
        <v>5</v>
      </c>
      <c r="N1617" s="267">
        <v>905</v>
      </c>
      <c r="O1617" s="267">
        <v>139</v>
      </c>
      <c r="P1617" s="267">
        <v>1157</v>
      </c>
      <c r="Q1617" s="267">
        <v>9833</v>
      </c>
      <c r="R1617" s="12" t="s">
        <v>4710</v>
      </c>
      <c r="S1617" s="12" t="s">
        <v>25</v>
      </c>
      <c r="T1617" s="12" t="s">
        <v>25</v>
      </c>
    </row>
    <row r="1618" spans="1:20" x14ac:dyDescent="0.3">
      <c r="A1618" s="13">
        <v>43961.708333333336</v>
      </c>
      <c r="B1618" s="12" t="s">
        <v>22</v>
      </c>
      <c r="C1618" s="268">
        <v>5</v>
      </c>
      <c r="D1618" s="12" t="s">
        <v>61</v>
      </c>
      <c r="E1618" s="268">
        <v>4543490485</v>
      </c>
      <c r="F1618" s="268">
        <v>1233845213</v>
      </c>
      <c r="G1618" s="268">
        <v>408</v>
      </c>
      <c r="H1618" s="268">
        <v>37</v>
      </c>
      <c r="I1618" s="268">
        <v>445</v>
      </c>
      <c r="J1618" s="268">
        <v>5146</v>
      </c>
      <c r="K1618" s="268">
        <v>5591</v>
      </c>
      <c r="L1618" s="268">
        <v>-286</v>
      </c>
      <c r="M1618" s="268">
        <v>51</v>
      </c>
      <c r="N1618" s="268">
        <v>11474</v>
      </c>
      <c r="O1618" s="268">
        <v>1657</v>
      </c>
      <c r="P1618" s="268">
        <v>18722</v>
      </c>
      <c r="Q1618" s="268">
        <v>439522</v>
      </c>
      <c r="R1618" s="12" t="s">
        <v>4711</v>
      </c>
      <c r="S1618" s="12" t="s">
        <v>25</v>
      </c>
      <c r="T1618" s="12" t="s">
        <v>25</v>
      </c>
    </row>
    <row r="1619" spans="1:20" x14ac:dyDescent="0.3">
      <c r="A1619" s="13">
        <v>43962.708333333336</v>
      </c>
      <c r="B1619" s="12" t="s">
        <v>22</v>
      </c>
      <c r="C1619" s="268">
        <v>13</v>
      </c>
      <c r="D1619" s="12" t="s">
        <v>42</v>
      </c>
      <c r="E1619" s="268">
        <v>4235122196</v>
      </c>
      <c r="F1619" s="268">
        <v>1339843823</v>
      </c>
      <c r="G1619" s="268">
        <v>231</v>
      </c>
      <c r="H1619" s="268">
        <v>9</v>
      </c>
      <c r="I1619" s="268">
        <v>240</v>
      </c>
      <c r="J1619" s="268">
        <v>1369</v>
      </c>
      <c r="K1619" s="268">
        <v>1609</v>
      </c>
      <c r="L1619" s="268">
        <v>-62</v>
      </c>
      <c r="M1619" s="268">
        <v>4</v>
      </c>
      <c r="N1619" s="268">
        <v>1132</v>
      </c>
      <c r="O1619" s="268">
        <v>366</v>
      </c>
      <c r="P1619" s="268">
        <v>3107</v>
      </c>
      <c r="Q1619" s="268">
        <v>48903</v>
      </c>
      <c r="R1619" s="12" t="s">
        <v>4715</v>
      </c>
      <c r="S1619" s="12" t="s">
        <v>25</v>
      </c>
      <c r="T1619" s="12" t="s">
        <v>25</v>
      </c>
    </row>
    <row r="1620" spans="1:20" x14ac:dyDescent="0.3">
      <c r="A1620" s="13">
        <v>43962.708333333336</v>
      </c>
      <c r="B1620" s="12" t="s">
        <v>22</v>
      </c>
      <c r="C1620" s="268">
        <v>17</v>
      </c>
      <c r="D1620" s="12" t="s">
        <v>43</v>
      </c>
      <c r="E1620" s="268">
        <v>4063947052</v>
      </c>
      <c r="F1620" s="268">
        <v>1580514834</v>
      </c>
      <c r="G1620" s="268">
        <v>46</v>
      </c>
      <c r="H1620" s="268">
        <v>1</v>
      </c>
      <c r="I1620" s="268">
        <v>47</v>
      </c>
      <c r="J1620" s="268">
        <v>95</v>
      </c>
      <c r="K1620" s="268">
        <v>142</v>
      </c>
      <c r="L1620" s="268">
        <v>-1</v>
      </c>
      <c r="M1620" s="268">
        <v>1</v>
      </c>
      <c r="N1620" s="268">
        <v>217</v>
      </c>
      <c r="O1620" s="268">
        <v>27</v>
      </c>
      <c r="P1620" s="268">
        <v>386</v>
      </c>
      <c r="Q1620" s="268">
        <v>18266</v>
      </c>
      <c r="R1620" s="12" t="s">
        <v>4716</v>
      </c>
      <c r="S1620" s="12" t="s">
        <v>25</v>
      </c>
      <c r="T1620" s="12" t="s">
        <v>25</v>
      </c>
    </row>
    <row r="1621" spans="1:20" x14ac:dyDescent="0.3">
      <c r="A1621" s="13">
        <v>43962.708333333336</v>
      </c>
      <c r="B1621" s="12" t="s">
        <v>22</v>
      </c>
      <c r="C1621" s="268">
        <v>4</v>
      </c>
      <c r="D1621" s="12" t="s">
        <v>44</v>
      </c>
      <c r="E1621" s="268">
        <v>4649933453</v>
      </c>
      <c r="F1621" s="268">
        <v>1135662422</v>
      </c>
      <c r="G1621" s="268">
        <v>63</v>
      </c>
      <c r="H1621" s="268">
        <v>7</v>
      </c>
      <c r="I1621" s="268">
        <v>70</v>
      </c>
      <c r="J1621" s="268">
        <v>377</v>
      </c>
      <c r="K1621" s="268">
        <v>447</v>
      </c>
      <c r="L1621" s="268">
        <v>-12</v>
      </c>
      <c r="M1621" s="268">
        <v>3</v>
      </c>
      <c r="N1621" s="268">
        <v>1835</v>
      </c>
      <c r="O1621" s="268">
        <v>290</v>
      </c>
      <c r="P1621" s="268">
        <v>2572</v>
      </c>
      <c r="Q1621" s="268">
        <v>50019</v>
      </c>
      <c r="R1621" s="12" t="s">
        <v>4717</v>
      </c>
      <c r="S1621" s="12" t="s">
        <v>25</v>
      </c>
      <c r="T1621" s="12" t="s">
        <v>25</v>
      </c>
    </row>
    <row r="1622" spans="1:20" x14ac:dyDescent="0.3">
      <c r="A1622" s="13">
        <v>43962.708333333336</v>
      </c>
      <c r="B1622" s="12" t="s">
        <v>22</v>
      </c>
      <c r="C1622" s="268">
        <v>18</v>
      </c>
      <c r="D1622" s="12" t="s">
        <v>45</v>
      </c>
      <c r="E1622" s="268">
        <v>3890597598</v>
      </c>
      <c r="F1622" s="268">
        <v>1659440194</v>
      </c>
      <c r="G1622" s="268">
        <v>64</v>
      </c>
      <c r="H1622" s="268">
        <v>1</v>
      </c>
      <c r="I1622" s="268">
        <v>65</v>
      </c>
      <c r="J1622" s="268">
        <v>503</v>
      </c>
      <c r="K1622" s="268">
        <v>568</v>
      </c>
      <c r="L1622" s="268">
        <v>-28</v>
      </c>
      <c r="M1622" s="268">
        <v>2</v>
      </c>
      <c r="N1622" s="268">
        <v>473</v>
      </c>
      <c r="O1622" s="268">
        <v>93</v>
      </c>
      <c r="P1622" s="268">
        <v>1134</v>
      </c>
      <c r="Q1622" s="268">
        <v>47265</v>
      </c>
      <c r="R1622" s="12" t="s">
        <v>4718</v>
      </c>
      <c r="S1622" s="12" t="s">
        <v>25</v>
      </c>
      <c r="T1622" s="12" t="s">
        <v>25</v>
      </c>
    </row>
    <row r="1623" spans="1:20" x14ac:dyDescent="0.3">
      <c r="A1623" s="13">
        <v>43962.708333333336</v>
      </c>
      <c r="B1623" s="12" t="s">
        <v>22</v>
      </c>
      <c r="C1623" s="268">
        <v>15</v>
      </c>
      <c r="D1623" s="12" t="s">
        <v>46</v>
      </c>
      <c r="E1623" s="268">
        <v>4083956555</v>
      </c>
      <c r="F1623" s="268">
        <v>1425084984</v>
      </c>
      <c r="G1623" s="268">
        <v>436</v>
      </c>
      <c r="H1623" s="268">
        <v>23</v>
      </c>
      <c r="I1623" s="268">
        <v>459</v>
      </c>
      <c r="J1623" s="268">
        <v>1450</v>
      </c>
      <c r="K1623" s="268">
        <v>1909</v>
      </c>
      <c r="L1623" s="268">
        <v>-6</v>
      </c>
      <c r="M1623" s="268">
        <v>14</v>
      </c>
      <c r="N1623" s="268">
        <v>2301</v>
      </c>
      <c r="O1623" s="268">
        <v>392</v>
      </c>
      <c r="P1623" s="268">
        <v>4602</v>
      </c>
      <c r="Q1623" s="268">
        <v>119042</v>
      </c>
      <c r="R1623" s="12" t="s">
        <v>4719</v>
      </c>
      <c r="S1623" s="12" t="s">
        <v>25</v>
      </c>
      <c r="T1623" s="12" t="s">
        <v>25</v>
      </c>
    </row>
    <row r="1624" spans="1:20" x14ac:dyDescent="0.3">
      <c r="A1624" s="13">
        <v>43962.708333333336</v>
      </c>
      <c r="B1624" s="12" t="s">
        <v>22</v>
      </c>
      <c r="C1624" s="268">
        <v>8</v>
      </c>
      <c r="D1624" s="12" t="s">
        <v>95</v>
      </c>
      <c r="E1624" s="268">
        <v>4449436681</v>
      </c>
      <c r="F1624" s="268">
        <v>113417208</v>
      </c>
      <c r="G1624" s="268">
        <v>1537</v>
      </c>
      <c r="H1624" s="268">
        <v>141</v>
      </c>
      <c r="I1624" s="268">
        <v>1678</v>
      </c>
      <c r="J1624" s="268">
        <v>5362</v>
      </c>
      <c r="K1624" s="268">
        <v>7040</v>
      </c>
      <c r="L1624" s="268">
        <v>-151</v>
      </c>
      <c r="M1624" s="268">
        <v>80</v>
      </c>
      <c r="N1624" s="268">
        <v>15969</v>
      </c>
      <c r="O1624" s="268">
        <v>3867</v>
      </c>
      <c r="P1624" s="268">
        <v>26876</v>
      </c>
      <c r="Q1624" s="268">
        <v>234619</v>
      </c>
      <c r="R1624" s="12" t="s">
        <v>4720</v>
      </c>
      <c r="S1624" s="12" t="s">
        <v>25</v>
      </c>
      <c r="T1624" s="12" t="s">
        <v>25</v>
      </c>
    </row>
    <row r="1625" spans="1:20" x14ac:dyDescent="0.3">
      <c r="A1625" s="13">
        <v>43962.708333333336</v>
      </c>
      <c r="B1625" s="12" t="s">
        <v>22</v>
      </c>
      <c r="C1625" s="268">
        <v>6</v>
      </c>
      <c r="D1625" s="12" t="s">
        <v>47</v>
      </c>
      <c r="E1625" s="268">
        <v>456494354</v>
      </c>
      <c r="F1625" s="268">
        <v>1376813649</v>
      </c>
      <c r="G1625" s="268">
        <v>96</v>
      </c>
      <c r="H1625" s="268">
        <v>3</v>
      </c>
      <c r="I1625" s="268">
        <v>99</v>
      </c>
      <c r="J1625" s="268">
        <v>731</v>
      </c>
      <c r="K1625" s="268">
        <v>830</v>
      </c>
      <c r="L1625" s="268">
        <v>-21</v>
      </c>
      <c r="M1625" s="268">
        <v>8</v>
      </c>
      <c r="N1625" s="268">
        <v>1996</v>
      </c>
      <c r="O1625" s="268">
        <v>312</v>
      </c>
      <c r="P1625" s="268">
        <v>3138</v>
      </c>
      <c r="Q1625" s="268">
        <v>90860</v>
      </c>
      <c r="R1625" s="12" t="s">
        <v>4721</v>
      </c>
      <c r="S1625" s="12" t="s">
        <v>25</v>
      </c>
      <c r="T1625" s="12" t="s">
        <v>25</v>
      </c>
    </row>
    <row r="1626" spans="1:20" x14ac:dyDescent="0.3">
      <c r="A1626" s="13">
        <v>43962.708333333336</v>
      </c>
      <c r="B1626" s="12" t="s">
        <v>22</v>
      </c>
      <c r="C1626" s="268">
        <v>12</v>
      </c>
      <c r="D1626" s="12" t="s">
        <v>48</v>
      </c>
      <c r="E1626" s="268">
        <v>4189277044</v>
      </c>
      <c r="F1626" s="268">
        <v>1248366722</v>
      </c>
      <c r="G1626" s="268">
        <v>1266</v>
      </c>
      <c r="H1626" s="268">
        <v>83</v>
      </c>
      <c r="I1626" s="268">
        <v>1349</v>
      </c>
      <c r="J1626" s="268">
        <v>2945</v>
      </c>
      <c r="K1626" s="268">
        <v>4294</v>
      </c>
      <c r="L1626" s="268">
        <v>8</v>
      </c>
      <c r="M1626" s="268">
        <v>25</v>
      </c>
      <c r="N1626" s="268">
        <v>2334</v>
      </c>
      <c r="O1626" s="268">
        <v>562</v>
      </c>
      <c r="P1626" s="268">
        <v>7190</v>
      </c>
      <c r="Q1626" s="268">
        <v>181398</v>
      </c>
      <c r="R1626" s="12" t="s">
        <v>4722</v>
      </c>
      <c r="S1626" s="12" t="s">
        <v>25</v>
      </c>
      <c r="T1626" s="12" t="s">
        <v>25</v>
      </c>
    </row>
    <row r="1627" spans="1:20" x14ac:dyDescent="0.3">
      <c r="A1627" s="13">
        <v>43962.708333333336</v>
      </c>
      <c r="B1627" s="12" t="s">
        <v>22</v>
      </c>
      <c r="C1627" s="268">
        <v>7</v>
      </c>
      <c r="D1627" s="12" t="s">
        <v>49</v>
      </c>
      <c r="E1627" s="268">
        <v>4441149315</v>
      </c>
      <c r="F1627" s="268">
        <v>89326992</v>
      </c>
      <c r="G1627" s="268">
        <v>484</v>
      </c>
      <c r="H1627" s="268">
        <v>38</v>
      </c>
      <c r="I1627" s="268">
        <v>522</v>
      </c>
      <c r="J1627" s="268">
        <v>2322</v>
      </c>
      <c r="K1627" s="268">
        <v>2844</v>
      </c>
      <c r="L1627" s="268">
        <v>-56</v>
      </c>
      <c r="M1627" s="268">
        <v>44</v>
      </c>
      <c r="N1627" s="268">
        <v>4695</v>
      </c>
      <c r="O1627" s="268">
        <v>1293</v>
      </c>
      <c r="P1627" s="268">
        <v>8832</v>
      </c>
      <c r="Q1627" s="268">
        <v>68814</v>
      </c>
      <c r="R1627" s="12" t="s">
        <v>4723</v>
      </c>
      <c r="S1627" s="12" t="s">
        <v>25</v>
      </c>
      <c r="T1627" s="12" t="s">
        <v>25</v>
      </c>
    </row>
    <row r="1628" spans="1:20" x14ac:dyDescent="0.3">
      <c r="A1628" s="13">
        <v>43962.708333333336</v>
      </c>
      <c r="B1628" s="12" t="s">
        <v>22</v>
      </c>
      <c r="C1628" s="268">
        <v>3</v>
      </c>
      <c r="D1628" s="12" t="s">
        <v>50</v>
      </c>
      <c r="E1628" s="268">
        <v>4546679409</v>
      </c>
      <c r="F1628" s="268">
        <v>9190347404</v>
      </c>
      <c r="G1628" s="268">
        <v>5397</v>
      </c>
      <c r="H1628" s="268">
        <v>341</v>
      </c>
      <c r="I1628" s="268">
        <v>5738</v>
      </c>
      <c r="J1628" s="268">
        <v>24673</v>
      </c>
      <c r="K1628" s="268">
        <v>30411</v>
      </c>
      <c r="L1628" s="268">
        <v>221</v>
      </c>
      <c r="M1628" s="268">
        <v>364</v>
      </c>
      <c r="N1628" s="268">
        <v>36406</v>
      </c>
      <c r="O1628" s="268">
        <v>15054</v>
      </c>
      <c r="P1628" s="268">
        <v>81871</v>
      </c>
      <c r="Q1628" s="268">
        <v>492642</v>
      </c>
      <c r="R1628" s="12" t="s">
        <v>4724</v>
      </c>
      <c r="S1628" s="12" t="s">
        <v>25</v>
      </c>
      <c r="T1628" s="12" t="s">
        <v>25</v>
      </c>
    </row>
    <row r="1629" spans="1:20" x14ac:dyDescent="0.3">
      <c r="A1629" s="13">
        <v>43962.708333333336</v>
      </c>
      <c r="B1629" s="12" t="s">
        <v>22</v>
      </c>
      <c r="C1629" s="268">
        <v>11</v>
      </c>
      <c r="D1629" s="12" t="s">
        <v>51</v>
      </c>
      <c r="E1629" s="268">
        <v>4361675973</v>
      </c>
      <c r="F1629" s="268">
        <v>135188753</v>
      </c>
      <c r="G1629" s="268">
        <v>277</v>
      </c>
      <c r="H1629" s="268">
        <v>28</v>
      </c>
      <c r="I1629" s="268">
        <v>305</v>
      </c>
      <c r="J1629" s="268">
        <v>2922</v>
      </c>
      <c r="K1629" s="268">
        <v>3227</v>
      </c>
      <c r="L1629" s="268">
        <v>-24</v>
      </c>
      <c r="M1629" s="268">
        <v>10</v>
      </c>
      <c r="N1629" s="268">
        <v>2352</v>
      </c>
      <c r="O1629" s="268">
        <v>964</v>
      </c>
      <c r="P1629" s="268">
        <v>6543</v>
      </c>
      <c r="Q1629" s="268">
        <v>77830</v>
      </c>
      <c r="R1629" s="12" t="s">
        <v>4725</v>
      </c>
      <c r="S1629" s="12" t="s">
        <v>25</v>
      </c>
      <c r="T1629" s="12" t="s">
        <v>25</v>
      </c>
    </row>
    <row r="1630" spans="1:20" x14ac:dyDescent="0.3">
      <c r="A1630" s="13">
        <v>43962.708333333336</v>
      </c>
      <c r="B1630" s="12" t="s">
        <v>22</v>
      </c>
      <c r="C1630" s="268">
        <v>14</v>
      </c>
      <c r="D1630" s="12" t="s">
        <v>52</v>
      </c>
      <c r="E1630" s="268">
        <v>4155774754</v>
      </c>
      <c r="F1630" s="268">
        <v>1465916051</v>
      </c>
      <c r="G1630" s="268">
        <v>11</v>
      </c>
      <c r="H1630" s="268">
        <v>0</v>
      </c>
      <c r="I1630" s="268">
        <v>11</v>
      </c>
      <c r="J1630" s="268">
        <v>218</v>
      </c>
      <c r="K1630" s="268">
        <v>229</v>
      </c>
      <c r="L1630" s="268">
        <v>11</v>
      </c>
      <c r="M1630" s="268">
        <v>13</v>
      </c>
      <c r="N1630" s="268">
        <v>132</v>
      </c>
      <c r="O1630" s="268">
        <v>22</v>
      </c>
      <c r="P1630" s="268">
        <v>383</v>
      </c>
      <c r="Q1630" s="268">
        <v>9390</v>
      </c>
      <c r="R1630" s="12" t="s">
        <v>4726</v>
      </c>
      <c r="S1630" s="12" t="s">
        <v>25</v>
      </c>
      <c r="T1630" s="12" t="s">
        <v>25</v>
      </c>
    </row>
    <row r="1631" spans="1:20" x14ac:dyDescent="0.3">
      <c r="A1631" s="13">
        <v>43962.708333333336</v>
      </c>
      <c r="B1631" s="12" t="s">
        <v>22</v>
      </c>
      <c r="C1631" s="268">
        <v>1</v>
      </c>
      <c r="D1631" s="12" t="s">
        <v>53</v>
      </c>
      <c r="E1631" s="268">
        <v>450732745</v>
      </c>
      <c r="F1631" s="268">
        <v>7680687483</v>
      </c>
      <c r="G1631" s="268">
        <v>2021</v>
      </c>
      <c r="H1631" s="268">
        <v>135</v>
      </c>
      <c r="I1631" s="268">
        <v>2156</v>
      </c>
      <c r="J1631" s="268">
        <v>11182</v>
      </c>
      <c r="K1631" s="268">
        <v>13338</v>
      </c>
      <c r="L1631" s="268">
        <v>-312</v>
      </c>
      <c r="M1631" s="268">
        <v>111</v>
      </c>
      <c r="N1631" s="268">
        <v>12038</v>
      </c>
      <c r="O1631" s="268">
        <v>3400</v>
      </c>
      <c r="P1631" s="268">
        <v>28776</v>
      </c>
      <c r="Q1631" s="268">
        <v>213783</v>
      </c>
      <c r="R1631" s="12" t="s">
        <v>4727</v>
      </c>
      <c r="S1631" s="12" t="s">
        <v>25</v>
      </c>
      <c r="T1631" s="12" t="s">
        <v>25</v>
      </c>
    </row>
    <row r="1632" spans="1:20" x14ac:dyDescent="0.3">
      <c r="A1632" s="13">
        <v>43962.708333333336</v>
      </c>
      <c r="B1632" s="12" t="s">
        <v>22</v>
      </c>
      <c r="C1632" s="268">
        <v>16</v>
      </c>
      <c r="D1632" s="12" t="s">
        <v>54</v>
      </c>
      <c r="E1632" s="268">
        <v>4112559576</v>
      </c>
      <c r="F1632" s="268">
        <v>1686736689</v>
      </c>
      <c r="G1632" s="268">
        <v>340</v>
      </c>
      <c r="H1632" s="268">
        <v>32</v>
      </c>
      <c r="I1632" s="268">
        <v>372</v>
      </c>
      <c r="J1632" s="268">
        <v>2172</v>
      </c>
      <c r="K1632" s="268">
        <v>2544</v>
      </c>
      <c r="L1632" s="268">
        <v>-125</v>
      </c>
      <c r="M1632" s="268">
        <v>14</v>
      </c>
      <c r="N1632" s="268">
        <v>1332</v>
      </c>
      <c r="O1632" s="268">
        <v>451</v>
      </c>
      <c r="P1632" s="268">
        <v>4327</v>
      </c>
      <c r="Q1632" s="268">
        <v>79737</v>
      </c>
      <c r="R1632" s="12" t="s">
        <v>4728</v>
      </c>
      <c r="S1632" s="12" t="s">
        <v>25</v>
      </c>
      <c r="T1632" s="12" t="s">
        <v>25</v>
      </c>
    </row>
    <row r="1633" spans="1:20" x14ac:dyDescent="0.3">
      <c r="A1633" s="13">
        <v>43962.708333333336</v>
      </c>
      <c r="B1633" s="12" t="s">
        <v>22</v>
      </c>
      <c r="C1633" s="268">
        <v>20</v>
      </c>
      <c r="D1633" s="12" t="s">
        <v>55</v>
      </c>
      <c r="E1633" s="268">
        <v>3921531192</v>
      </c>
      <c r="F1633" s="268">
        <v>9110616306</v>
      </c>
      <c r="G1633" s="268">
        <v>84</v>
      </c>
      <c r="H1633" s="268">
        <v>10</v>
      </c>
      <c r="I1633" s="268">
        <v>94</v>
      </c>
      <c r="J1633" s="268">
        <v>417</v>
      </c>
      <c r="K1633" s="268">
        <v>511</v>
      </c>
      <c r="L1633" s="268">
        <v>-4</v>
      </c>
      <c r="M1633" s="268">
        <v>3</v>
      </c>
      <c r="N1633" s="268">
        <v>712</v>
      </c>
      <c r="O1633" s="268">
        <v>120</v>
      </c>
      <c r="P1633" s="268">
        <v>1343</v>
      </c>
      <c r="Q1633" s="268">
        <v>34641</v>
      </c>
      <c r="R1633" s="12" t="s">
        <v>4729</v>
      </c>
      <c r="S1633" s="12" t="s">
        <v>25</v>
      </c>
      <c r="T1633" s="12" t="s">
        <v>25</v>
      </c>
    </row>
    <row r="1634" spans="1:20" x14ac:dyDescent="0.3">
      <c r="A1634" s="13">
        <v>43962.708333333336</v>
      </c>
      <c r="B1634" s="12" t="s">
        <v>22</v>
      </c>
      <c r="C1634" s="268">
        <v>19</v>
      </c>
      <c r="D1634" s="12" t="s">
        <v>56</v>
      </c>
      <c r="E1634" s="268">
        <v>3811569725</v>
      </c>
      <c r="F1634" s="268">
        <v>133623567</v>
      </c>
      <c r="G1634" s="268">
        <v>271</v>
      </c>
      <c r="H1634" s="268">
        <v>16</v>
      </c>
      <c r="I1634" s="268">
        <v>287</v>
      </c>
      <c r="J1634" s="268">
        <v>1775</v>
      </c>
      <c r="K1634" s="268">
        <v>2062</v>
      </c>
      <c r="L1634" s="268">
        <v>-7</v>
      </c>
      <c r="M1634" s="268">
        <v>12</v>
      </c>
      <c r="N1634" s="268">
        <v>1020</v>
      </c>
      <c r="O1634" s="268">
        <v>257</v>
      </c>
      <c r="P1634" s="268">
        <v>3339</v>
      </c>
      <c r="Q1634" s="268">
        <v>103134</v>
      </c>
      <c r="R1634" s="12" t="s">
        <v>4730</v>
      </c>
      <c r="S1634" s="12" t="s">
        <v>25</v>
      </c>
      <c r="T1634" s="12" t="s">
        <v>25</v>
      </c>
    </row>
    <row r="1635" spans="1:20" x14ac:dyDescent="0.3">
      <c r="A1635" s="13">
        <v>43962.708333333336</v>
      </c>
      <c r="B1635" s="12" t="s">
        <v>22</v>
      </c>
      <c r="C1635" s="268">
        <v>9</v>
      </c>
      <c r="D1635" s="12" t="s">
        <v>57</v>
      </c>
      <c r="E1635" s="268">
        <v>4376923077</v>
      </c>
      <c r="F1635" s="268">
        <v>1125588885</v>
      </c>
      <c r="G1635" s="268">
        <v>347</v>
      </c>
      <c r="H1635" s="268">
        <v>77</v>
      </c>
      <c r="I1635" s="268">
        <v>424</v>
      </c>
      <c r="J1635" s="268">
        <v>3649</v>
      </c>
      <c r="K1635" s="268">
        <v>4073</v>
      </c>
      <c r="L1635" s="268">
        <v>-74</v>
      </c>
      <c r="M1635" s="268">
        <v>13</v>
      </c>
      <c r="N1635" s="268">
        <v>4764</v>
      </c>
      <c r="O1635" s="268">
        <v>950</v>
      </c>
      <c r="P1635" s="268">
        <v>9787</v>
      </c>
      <c r="Q1635" s="268">
        <v>179469</v>
      </c>
      <c r="R1635" s="12" t="s">
        <v>4731</v>
      </c>
      <c r="S1635" s="12" t="s">
        <v>25</v>
      </c>
      <c r="T1635" s="12" t="s">
        <v>25</v>
      </c>
    </row>
    <row r="1636" spans="1:20" x14ac:dyDescent="0.3">
      <c r="A1636" s="13">
        <v>43962.708333333336</v>
      </c>
      <c r="B1636" s="12" t="s">
        <v>22</v>
      </c>
      <c r="C1636" s="268">
        <v>4</v>
      </c>
      <c r="D1636" s="12" t="s">
        <v>58</v>
      </c>
      <c r="E1636" s="268">
        <v>4606893511</v>
      </c>
      <c r="F1636" s="268">
        <v>1112123097</v>
      </c>
      <c r="G1636" s="268">
        <v>84</v>
      </c>
      <c r="H1636" s="268">
        <v>11</v>
      </c>
      <c r="I1636" s="268">
        <v>95</v>
      </c>
      <c r="J1636" s="268">
        <v>640</v>
      </c>
      <c r="K1636" s="268">
        <v>735</v>
      </c>
      <c r="L1636" s="268">
        <v>-51</v>
      </c>
      <c r="M1636" s="268">
        <v>2</v>
      </c>
      <c r="N1636" s="268">
        <v>3119</v>
      </c>
      <c r="O1636" s="268">
        <v>443</v>
      </c>
      <c r="P1636" s="268">
        <v>4297</v>
      </c>
      <c r="Q1636" s="268">
        <v>53398</v>
      </c>
      <c r="R1636" s="12" t="s">
        <v>4732</v>
      </c>
      <c r="S1636" s="12" t="s">
        <v>25</v>
      </c>
      <c r="T1636" s="12" t="s">
        <v>25</v>
      </c>
    </row>
    <row r="1637" spans="1:20" x14ac:dyDescent="0.3">
      <c r="A1637" s="13">
        <v>43962.708333333336</v>
      </c>
      <c r="B1637" s="12" t="s">
        <v>22</v>
      </c>
      <c r="C1637" s="268">
        <v>10</v>
      </c>
      <c r="D1637" s="12" t="s">
        <v>59</v>
      </c>
      <c r="E1637" s="268">
        <v>4310675841</v>
      </c>
      <c r="F1637" s="268">
        <v>1238824698</v>
      </c>
      <c r="G1637" s="268">
        <v>40</v>
      </c>
      <c r="H1637" s="268">
        <v>4</v>
      </c>
      <c r="I1637" s="268">
        <v>44</v>
      </c>
      <c r="J1637" s="268">
        <v>64</v>
      </c>
      <c r="K1637" s="268">
        <v>108</v>
      </c>
      <c r="L1637" s="268">
        <v>-5</v>
      </c>
      <c r="M1637" s="268">
        <v>1</v>
      </c>
      <c r="N1637" s="268">
        <v>1233</v>
      </c>
      <c r="O1637" s="268">
        <v>71</v>
      </c>
      <c r="P1637" s="268">
        <v>1412</v>
      </c>
      <c r="Q1637" s="268">
        <v>47474</v>
      </c>
      <c r="R1637" s="12" t="s">
        <v>4733</v>
      </c>
      <c r="S1637" s="12" t="s">
        <v>25</v>
      </c>
      <c r="T1637" s="12" t="s">
        <v>25</v>
      </c>
    </row>
    <row r="1638" spans="1:20" x14ac:dyDescent="0.3">
      <c r="A1638" s="13">
        <v>43962.708333333336</v>
      </c>
      <c r="B1638" s="12" t="s">
        <v>22</v>
      </c>
      <c r="C1638" s="268">
        <v>2</v>
      </c>
      <c r="D1638" s="12" t="s">
        <v>60</v>
      </c>
      <c r="E1638" s="268">
        <v>4573750286</v>
      </c>
      <c r="F1638" s="268">
        <v>7320149366</v>
      </c>
      <c r="G1638" s="268">
        <v>44</v>
      </c>
      <c r="H1638" s="268">
        <v>1</v>
      </c>
      <c r="I1638" s="268">
        <v>45</v>
      </c>
      <c r="J1638" s="268">
        <v>62</v>
      </c>
      <c r="K1638" s="268">
        <v>107</v>
      </c>
      <c r="L1638" s="268">
        <v>-6</v>
      </c>
      <c r="M1638" s="268">
        <v>1</v>
      </c>
      <c r="N1638" s="268">
        <v>912</v>
      </c>
      <c r="O1638" s="268">
        <v>139</v>
      </c>
      <c r="P1638" s="268">
        <v>1158</v>
      </c>
      <c r="Q1638" s="268">
        <v>10063</v>
      </c>
      <c r="R1638" s="12" t="s">
        <v>4734</v>
      </c>
      <c r="S1638" s="12" t="s">
        <v>25</v>
      </c>
      <c r="T1638" s="12" t="s">
        <v>25</v>
      </c>
    </row>
    <row r="1639" spans="1:20" x14ac:dyDescent="0.3">
      <c r="A1639" s="13">
        <v>43962.708333333336</v>
      </c>
      <c r="B1639" s="12" t="s">
        <v>22</v>
      </c>
      <c r="C1639" s="284">
        <v>5</v>
      </c>
      <c r="D1639" s="12" t="s">
        <v>61</v>
      </c>
      <c r="E1639" s="284">
        <v>4543490485</v>
      </c>
      <c r="F1639" s="284">
        <v>1233845213</v>
      </c>
      <c r="G1639" s="284">
        <v>400</v>
      </c>
      <c r="H1639" s="284">
        <v>38</v>
      </c>
      <c r="I1639" s="284">
        <v>438</v>
      </c>
      <c r="J1639" s="284">
        <v>5022</v>
      </c>
      <c r="K1639" s="284">
        <v>5460</v>
      </c>
      <c r="L1639" s="284">
        <v>-131</v>
      </c>
      <c r="M1639" s="284">
        <v>19</v>
      </c>
      <c r="N1639" s="284">
        <v>11615</v>
      </c>
      <c r="O1639" s="284">
        <v>1666</v>
      </c>
      <c r="P1639" s="284">
        <v>18741</v>
      </c>
      <c r="Q1639" s="284">
        <v>445905</v>
      </c>
      <c r="R1639" s="12" t="s">
        <v>4735</v>
      </c>
      <c r="S1639" s="12" t="s">
        <v>25</v>
      </c>
      <c r="T1639" s="12" t="s">
        <v>25</v>
      </c>
    </row>
    <row r="1640" spans="1:20" x14ac:dyDescent="0.3">
      <c r="A1640" s="13">
        <v>43963.708333333336</v>
      </c>
      <c r="B1640" s="12" t="s">
        <v>22</v>
      </c>
      <c r="C1640" s="284">
        <v>13</v>
      </c>
      <c r="D1640" s="12" t="s">
        <v>42</v>
      </c>
      <c r="E1640" s="284">
        <v>4235122196</v>
      </c>
      <c r="F1640" s="284">
        <v>1339843823</v>
      </c>
      <c r="G1640" s="284">
        <v>222</v>
      </c>
      <c r="H1640" s="284">
        <v>8</v>
      </c>
      <c r="I1640" s="284">
        <v>230</v>
      </c>
      <c r="J1640" s="284">
        <v>1318</v>
      </c>
      <c r="K1640" s="284">
        <v>1548</v>
      </c>
      <c r="L1640" s="284">
        <v>-61</v>
      </c>
      <c r="M1640" s="284">
        <v>8</v>
      </c>
      <c r="N1640" s="284">
        <v>1197</v>
      </c>
      <c r="O1640" s="284">
        <v>370</v>
      </c>
      <c r="P1640" s="284">
        <v>3115</v>
      </c>
      <c r="Q1640" s="284">
        <v>50295</v>
      </c>
      <c r="R1640" s="12" t="s">
        <v>4746</v>
      </c>
      <c r="S1640" s="12" t="s">
        <v>25</v>
      </c>
      <c r="T1640" s="12" t="s">
        <v>25</v>
      </c>
    </row>
    <row r="1641" spans="1:20" x14ac:dyDescent="0.3">
      <c r="A1641" s="13">
        <v>43963.708333333336</v>
      </c>
      <c r="B1641" s="12" t="s">
        <v>22</v>
      </c>
      <c r="C1641" s="284">
        <v>17</v>
      </c>
      <c r="D1641" s="12" t="s">
        <v>43</v>
      </c>
      <c r="E1641" s="284">
        <v>4063947052</v>
      </c>
      <c r="F1641" s="284">
        <v>1580514834</v>
      </c>
      <c r="G1641" s="284">
        <v>47</v>
      </c>
      <c r="H1641" s="284">
        <v>1</v>
      </c>
      <c r="I1641" s="284">
        <v>48</v>
      </c>
      <c r="J1641" s="284">
        <v>92</v>
      </c>
      <c r="K1641" s="284">
        <v>140</v>
      </c>
      <c r="L1641" s="284">
        <v>-2</v>
      </c>
      <c r="M1641" s="284">
        <v>1</v>
      </c>
      <c r="N1641" s="284">
        <v>220</v>
      </c>
      <c r="O1641" s="284">
        <v>27</v>
      </c>
      <c r="P1641" s="284">
        <v>387</v>
      </c>
      <c r="Q1641" s="284">
        <v>19100</v>
      </c>
      <c r="R1641" s="12" t="s">
        <v>4747</v>
      </c>
      <c r="S1641" s="12" t="s">
        <v>25</v>
      </c>
      <c r="T1641" s="12" t="s">
        <v>25</v>
      </c>
    </row>
    <row r="1642" spans="1:20" x14ac:dyDescent="0.3">
      <c r="A1642" s="13">
        <v>43963.708333333336</v>
      </c>
      <c r="B1642" s="12" t="s">
        <v>22</v>
      </c>
      <c r="C1642" s="284">
        <v>4</v>
      </c>
      <c r="D1642" s="12" t="s">
        <v>44</v>
      </c>
      <c r="E1642" s="284">
        <v>4649933453</v>
      </c>
      <c r="F1642" s="284">
        <v>1135662422</v>
      </c>
      <c r="G1642" s="284">
        <v>56</v>
      </c>
      <c r="H1642" s="284">
        <v>7</v>
      </c>
      <c r="I1642" s="284">
        <v>63</v>
      </c>
      <c r="J1642" s="284">
        <v>374</v>
      </c>
      <c r="K1642" s="284">
        <v>437</v>
      </c>
      <c r="L1642" s="284">
        <v>-10</v>
      </c>
      <c r="M1642" s="284">
        <v>0</v>
      </c>
      <c r="N1642" s="284">
        <v>1845</v>
      </c>
      <c r="O1642" s="284">
        <v>290</v>
      </c>
      <c r="P1642" s="284">
        <v>2572</v>
      </c>
      <c r="Q1642" s="284">
        <v>50381</v>
      </c>
      <c r="R1642" s="12" t="s">
        <v>4748</v>
      </c>
      <c r="S1642" s="12" t="s">
        <v>25</v>
      </c>
      <c r="T1642" s="12" t="s">
        <v>25</v>
      </c>
    </row>
    <row r="1643" spans="1:20" x14ac:dyDescent="0.3">
      <c r="A1643" s="13">
        <v>43963.708333333336</v>
      </c>
      <c r="B1643" s="12" t="s">
        <v>22</v>
      </c>
      <c r="C1643" s="284">
        <v>18</v>
      </c>
      <c r="D1643" s="12" t="s">
        <v>45</v>
      </c>
      <c r="E1643" s="284">
        <v>3890597598</v>
      </c>
      <c r="F1643" s="284">
        <v>1659440194</v>
      </c>
      <c r="G1643" s="284">
        <v>65</v>
      </c>
      <c r="H1643" s="284">
        <v>1</v>
      </c>
      <c r="I1643" s="284">
        <v>66</v>
      </c>
      <c r="J1643" s="284">
        <v>502</v>
      </c>
      <c r="K1643" s="284">
        <v>568</v>
      </c>
      <c r="L1643" s="284">
        <v>0</v>
      </c>
      <c r="M1643" s="284">
        <v>4</v>
      </c>
      <c r="N1643" s="284">
        <v>477</v>
      </c>
      <c r="O1643" s="284">
        <v>93</v>
      </c>
      <c r="P1643" s="284">
        <v>1138</v>
      </c>
      <c r="Q1643" s="284">
        <v>48420</v>
      </c>
      <c r="R1643" s="12" t="s">
        <v>4749</v>
      </c>
      <c r="S1643" s="12" t="s">
        <v>25</v>
      </c>
      <c r="T1643" s="12" t="s">
        <v>25</v>
      </c>
    </row>
    <row r="1644" spans="1:20" x14ac:dyDescent="0.3">
      <c r="A1644" s="13">
        <v>43963.708333333336</v>
      </c>
      <c r="B1644" s="12" t="s">
        <v>22</v>
      </c>
      <c r="C1644" s="284">
        <v>15</v>
      </c>
      <c r="D1644" s="12" t="s">
        <v>46</v>
      </c>
      <c r="E1644" s="284">
        <v>4083956555</v>
      </c>
      <c r="F1644" s="284">
        <v>1425084984</v>
      </c>
      <c r="G1644" s="284">
        <v>414</v>
      </c>
      <c r="H1644" s="284">
        <v>20</v>
      </c>
      <c r="I1644" s="284">
        <v>434</v>
      </c>
      <c r="J1644" s="284">
        <v>1443</v>
      </c>
      <c r="K1644" s="284">
        <v>1877</v>
      </c>
      <c r="L1644" s="284">
        <v>-32</v>
      </c>
      <c r="M1644" s="284">
        <v>13</v>
      </c>
      <c r="N1644" s="284">
        <v>2345</v>
      </c>
      <c r="O1644" s="284">
        <v>393</v>
      </c>
      <c r="P1644" s="284">
        <v>4615</v>
      </c>
      <c r="Q1644" s="284">
        <v>121253</v>
      </c>
      <c r="R1644" s="12" t="s">
        <v>4750</v>
      </c>
      <c r="S1644" s="12" t="s">
        <v>25</v>
      </c>
      <c r="T1644" s="12" t="s">
        <v>25</v>
      </c>
    </row>
    <row r="1645" spans="1:20" x14ac:dyDescent="0.3">
      <c r="A1645" s="13">
        <v>43963.708333333336</v>
      </c>
      <c r="B1645" s="12" t="s">
        <v>22</v>
      </c>
      <c r="C1645" s="284">
        <v>8</v>
      </c>
      <c r="D1645" s="12" t="s">
        <v>95</v>
      </c>
      <c r="E1645" s="284">
        <v>4449436681</v>
      </c>
      <c r="F1645" s="284">
        <v>113417208</v>
      </c>
      <c r="G1645" s="284">
        <v>1384</v>
      </c>
      <c r="H1645" s="284">
        <v>136</v>
      </c>
      <c r="I1645" s="284">
        <v>1520</v>
      </c>
      <c r="J1645" s="284">
        <v>5281</v>
      </c>
      <c r="K1645" s="284">
        <v>6801</v>
      </c>
      <c r="L1645" s="284">
        <v>-239</v>
      </c>
      <c r="M1645" s="284">
        <v>53</v>
      </c>
      <c r="N1645" s="284">
        <v>16243</v>
      </c>
      <c r="O1645" s="284">
        <v>3885</v>
      </c>
      <c r="P1645" s="284">
        <v>26929</v>
      </c>
      <c r="Q1645" s="284">
        <v>239178</v>
      </c>
      <c r="R1645" s="12" t="s">
        <v>4751</v>
      </c>
      <c r="S1645" s="12" t="s">
        <v>25</v>
      </c>
      <c r="T1645" s="12" t="s">
        <v>25</v>
      </c>
    </row>
    <row r="1646" spans="1:20" x14ac:dyDescent="0.3">
      <c r="A1646" s="13">
        <v>43963.708333333336</v>
      </c>
      <c r="B1646" s="12" t="s">
        <v>22</v>
      </c>
      <c r="C1646" s="284">
        <v>6</v>
      </c>
      <c r="D1646" s="12" t="s">
        <v>47</v>
      </c>
      <c r="E1646" s="284">
        <v>456494354</v>
      </c>
      <c r="F1646" s="284">
        <v>1376813649</v>
      </c>
      <c r="G1646" s="284">
        <v>96</v>
      </c>
      <c r="H1646" s="284">
        <v>2</v>
      </c>
      <c r="I1646" s="284">
        <v>98</v>
      </c>
      <c r="J1646" s="284">
        <v>703</v>
      </c>
      <c r="K1646" s="284">
        <v>801</v>
      </c>
      <c r="L1646" s="284">
        <v>-29</v>
      </c>
      <c r="M1646" s="284">
        <v>10</v>
      </c>
      <c r="N1646" s="284">
        <v>2034</v>
      </c>
      <c r="O1646" s="284">
        <v>313</v>
      </c>
      <c r="P1646" s="284">
        <v>3148</v>
      </c>
      <c r="Q1646" s="284">
        <v>93051</v>
      </c>
      <c r="R1646" s="12" t="s">
        <v>4752</v>
      </c>
      <c r="S1646" s="12" t="s">
        <v>25</v>
      </c>
      <c r="T1646" s="12" t="s">
        <v>25</v>
      </c>
    </row>
    <row r="1647" spans="1:20" x14ac:dyDescent="0.3">
      <c r="A1647" s="13">
        <v>43963.708333333336</v>
      </c>
      <c r="B1647" s="12" t="s">
        <v>22</v>
      </c>
      <c r="C1647" s="284">
        <v>12</v>
      </c>
      <c r="D1647" s="12" t="s">
        <v>48</v>
      </c>
      <c r="E1647" s="284">
        <v>4189277044</v>
      </c>
      <c r="F1647" s="284">
        <v>1248366722</v>
      </c>
      <c r="G1647" s="284">
        <v>1258</v>
      </c>
      <c r="H1647" s="284">
        <v>84</v>
      </c>
      <c r="I1647" s="284">
        <v>1342</v>
      </c>
      <c r="J1647" s="284">
        <v>2931</v>
      </c>
      <c r="K1647" s="284">
        <v>4273</v>
      </c>
      <c r="L1647" s="284">
        <v>-21</v>
      </c>
      <c r="M1647" s="284">
        <v>22</v>
      </c>
      <c r="N1647" s="284">
        <v>2373</v>
      </c>
      <c r="O1647" s="284">
        <v>566</v>
      </c>
      <c r="P1647" s="284">
        <v>7212</v>
      </c>
      <c r="Q1647" s="284">
        <v>185085</v>
      </c>
      <c r="R1647" s="12" t="s">
        <v>4753</v>
      </c>
      <c r="S1647" s="12" t="s">
        <v>25</v>
      </c>
      <c r="T1647" s="12" t="s">
        <v>25</v>
      </c>
    </row>
    <row r="1648" spans="1:20" x14ac:dyDescent="0.3">
      <c r="A1648" s="13">
        <v>43963.708333333336</v>
      </c>
      <c r="B1648" s="12" t="s">
        <v>22</v>
      </c>
      <c r="C1648" s="284">
        <v>7</v>
      </c>
      <c r="D1648" s="12" t="s">
        <v>49</v>
      </c>
      <c r="E1648" s="284">
        <v>4441149315</v>
      </c>
      <c r="F1648" s="284">
        <v>89326992</v>
      </c>
      <c r="G1648" s="284">
        <v>447</v>
      </c>
      <c r="H1648" s="284">
        <v>35</v>
      </c>
      <c r="I1648" s="284">
        <v>482</v>
      </c>
      <c r="J1648" s="284">
        <v>2297</v>
      </c>
      <c r="K1648" s="284">
        <v>2779</v>
      </c>
      <c r="L1648" s="284">
        <v>-65</v>
      </c>
      <c r="M1648" s="284">
        <v>31</v>
      </c>
      <c r="N1648" s="284">
        <v>4783</v>
      </c>
      <c r="O1648" s="284">
        <v>1301</v>
      </c>
      <c r="P1648" s="284">
        <v>8863</v>
      </c>
      <c r="Q1648" s="284">
        <v>70159</v>
      </c>
      <c r="R1648" s="12" t="s">
        <v>4754</v>
      </c>
      <c r="S1648" s="12" t="s">
        <v>25</v>
      </c>
      <c r="T1648" s="12" t="s">
        <v>25</v>
      </c>
    </row>
    <row r="1649" spans="1:20" x14ac:dyDescent="0.3">
      <c r="A1649" s="13">
        <v>43963.708333333336</v>
      </c>
      <c r="B1649" s="12" t="s">
        <v>22</v>
      </c>
      <c r="C1649" s="284">
        <v>3</v>
      </c>
      <c r="D1649" s="12" t="s">
        <v>50</v>
      </c>
      <c r="E1649" s="284">
        <v>4546679409</v>
      </c>
      <c r="F1649" s="284">
        <v>9190347404</v>
      </c>
      <c r="G1649" s="284">
        <v>5222</v>
      </c>
      <c r="H1649" s="284">
        <v>322</v>
      </c>
      <c r="I1649" s="284">
        <v>5544</v>
      </c>
      <c r="J1649" s="284">
        <v>25131</v>
      </c>
      <c r="K1649" s="284">
        <v>30675</v>
      </c>
      <c r="L1649" s="284">
        <v>264</v>
      </c>
      <c r="M1649" s="284">
        <v>1033</v>
      </c>
      <c r="N1649" s="284">
        <v>37113</v>
      </c>
      <c r="O1649" s="284">
        <v>15116</v>
      </c>
      <c r="P1649" s="284">
        <v>82904</v>
      </c>
      <c r="Q1649" s="284">
        <v>513244</v>
      </c>
      <c r="R1649" s="12" t="s">
        <v>4755</v>
      </c>
      <c r="S1649" s="12" t="s">
        <v>4756</v>
      </c>
      <c r="T1649" s="12" t="s">
        <v>4757</v>
      </c>
    </row>
    <row r="1650" spans="1:20" x14ac:dyDescent="0.3">
      <c r="A1650" s="13">
        <v>43963.708333333336</v>
      </c>
      <c r="B1650" s="12" t="s">
        <v>22</v>
      </c>
      <c r="C1650" s="284">
        <v>11</v>
      </c>
      <c r="D1650" s="12" t="s">
        <v>51</v>
      </c>
      <c r="E1650" s="284">
        <v>4361675973</v>
      </c>
      <c r="F1650" s="284">
        <v>135188753</v>
      </c>
      <c r="G1650" s="284">
        <v>230</v>
      </c>
      <c r="H1650" s="284">
        <v>24</v>
      </c>
      <c r="I1650" s="284">
        <v>254</v>
      </c>
      <c r="J1650" s="284">
        <v>2954</v>
      </c>
      <c r="K1650" s="284">
        <v>3208</v>
      </c>
      <c r="L1650" s="284">
        <v>-19</v>
      </c>
      <c r="M1650" s="284">
        <v>25</v>
      </c>
      <c r="N1650" s="284">
        <v>2391</v>
      </c>
      <c r="O1650" s="284">
        <v>969</v>
      </c>
      <c r="P1650" s="284">
        <v>6568</v>
      </c>
      <c r="Q1650" s="284">
        <v>79414</v>
      </c>
      <c r="R1650" s="12" t="s">
        <v>4758</v>
      </c>
      <c r="S1650" s="12" t="s">
        <v>25</v>
      </c>
      <c r="T1650" s="12" t="s">
        <v>25</v>
      </c>
    </row>
    <row r="1651" spans="1:20" x14ac:dyDescent="0.3">
      <c r="A1651" s="13">
        <v>43963.708333333336</v>
      </c>
      <c r="B1651" s="12" t="s">
        <v>22</v>
      </c>
      <c r="C1651" s="284">
        <v>14</v>
      </c>
      <c r="D1651" s="12" t="s">
        <v>52</v>
      </c>
      <c r="E1651" s="284">
        <v>4155774754</v>
      </c>
      <c r="F1651" s="284">
        <v>1465916051</v>
      </c>
      <c r="G1651" s="284">
        <v>13</v>
      </c>
      <c r="H1651" s="284">
        <v>1</v>
      </c>
      <c r="I1651" s="284">
        <v>14</v>
      </c>
      <c r="J1651" s="284">
        <v>212</v>
      </c>
      <c r="K1651" s="284">
        <v>226</v>
      </c>
      <c r="L1651" s="284">
        <v>-3</v>
      </c>
      <c r="M1651" s="284">
        <v>3</v>
      </c>
      <c r="N1651" s="284">
        <v>138</v>
      </c>
      <c r="O1651" s="284">
        <v>22</v>
      </c>
      <c r="P1651" s="284">
        <v>386</v>
      </c>
      <c r="Q1651" s="284">
        <v>9981</v>
      </c>
      <c r="R1651" s="12" t="s">
        <v>4759</v>
      </c>
      <c r="S1651" s="12" t="s">
        <v>25</v>
      </c>
      <c r="T1651" s="12" t="s">
        <v>25</v>
      </c>
    </row>
    <row r="1652" spans="1:20" x14ac:dyDescent="0.3">
      <c r="A1652" s="13">
        <v>43963.708333333336</v>
      </c>
      <c r="B1652" s="12" t="s">
        <v>22</v>
      </c>
      <c r="C1652" s="284">
        <v>1</v>
      </c>
      <c r="D1652" s="12" t="s">
        <v>53</v>
      </c>
      <c r="E1652" s="284">
        <v>450732745</v>
      </c>
      <c r="F1652" s="284">
        <v>7680687483</v>
      </c>
      <c r="G1652" s="284">
        <v>1900</v>
      </c>
      <c r="H1652" s="284">
        <v>136</v>
      </c>
      <c r="I1652" s="284">
        <v>2036</v>
      </c>
      <c r="J1652" s="284">
        <v>11148</v>
      </c>
      <c r="K1652" s="284">
        <v>13184</v>
      </c>
      <c r="L1652" s="284">
        <v>-154</v>
      </c>
      <c r="M1652" s="284">
        <v>113</v>
      </c>
      <c r="N1652" s="284">
        <v>12277</v>
      </c>
      <c r="O1652" s="284">
        <v>3428</v>
      </c>
      <c r="P1652" s="284">
        <v>28889</v>
      </c>
      <c r="Q1652" s="284">
        <v>218071</v>
      </c>
      <c r="R1652" s="12" t="s">
        <v>4760</v>
      </c>
      <c r="S1652" s="12" t="s">
        <v>25</v>
      </c>
      <c r="T1652" s="12" t="s">
        <v>25</v>
      </c>
    </row>
    <row r="1653" spans="1:20" x14ac:dyDescent="0.3">
      <c r="A1653" s="13">
        <v>43963.708333333336</v>
      </c>
      <c r="B1653" s="12" t="s">
        <v>22</v>
      </c>
      <c r="C1653" s="284">
        <v>16</v>
      </c>
      <c r="D1653" s="12" t="s">
        <v>54</v>
      </c>
      <c r="E1653" s="284">
        <v>4112559576</v>
      </c>
      <c r="F1653" s="284">
        <v>1686736689</v>
      </c>
      <c r="G1653" s="284">
        <v>334</v>
      </c>
      <c r="H1653" s="284">
        <v>31</v>
      </c>
      <c r="I1653" s="284">
        <v>365</v>
      </c>
      <c r="J1653" s="284">
        <v>2056</v>
      </c>
      <c r="K1653" s="284">
        <v>2421</v>
      </c>
      <c r="L1653" s="284">
        <v>-123</v>
      </c>
      <c r="M1653" s="284">
        <v>10</v>
      </c>
      <c r="N1653" s="284">
        <v>1460</v>
      </c>
      <c r="O1653" s="284">
        <v>456</v>
      </c>
      <c r="P1653" s="284">
        <v>4337</v>
      </c>
      <c r="Q1653" s="284">
        <v>81492</v>
      </c>
      <c r="R1653" s="12" t="s">
        <v>4761</v>
      </c>
      <c r="S1653" s="12" t="s">
        <v>25</v>
      </c>
      <c r="T1653" s="12" t="s">
        <v>25</v>
      </c>
    </row>
    <row r="1654" spans="1:20" x14ac:dyDescent="0.3">
      <c r="A1654" s="13">
        <v>43963.708333333336</v>
      </c>
      <c r="B1654" s="12" t="s">
        <v>22</v>
      </c>
      <c r="C1654" s="284">
        <v>20</v>
      </c>
      <c r="D1654" s="12" t="s">
        <v>55</v>
      </c>
      <c r="E1654" s="284">
        <v>3921531192</v>
      </c>
      <c r="F1654" s="284">
        <v>9110616306</v>
      </c>
      <c r="G1654" s="284">
        <v>77</v>
      </c>
      <c r="H1654" s="284">
        <v>11</v>
      </c>
      <c r="I1654" s="284">
        <v>88</v>
      </c>
      <c r="J1654" s="284">
        <v>418</v>
      </c>
      <c r="K1654" s="284">
        <v>506</v>
      </c>
      <c r="L1654" s="284">
        <v>-5</v>
      </c>
      <c r="M1654" s="284">
        <v>1</v>
      </c>
      <c r="N1654" s="284">
        <v>718</v>
      </c>
      <c r="O1654" s="284">
        <v>120</v>
      </c>
      <c r="P1654" s="284">
        <v>1344</v>
      </c>
      <c r="Q1654" s="284">
        <v>35476</v>
      </c>
      <c r="R1654" s="12" t="s">
        <v>4762</v>
      </c>
      <c r="S1654" s="12" t="s">
        <v>25</v>
      </c>
      <c r="T1654" s="12" t="s">
        <v>25</v>
      </c>
    </row>
    <row r="1655" spans="1:20" x14ac:dyDescent="0.3">
      <c r="A1655" s="13">
        <v>43963.708333333336</v>
      </c>
      <c r="B1655" s="12" t="s">
        <v>22</v>
      </c>
      <c r="C1655" s="284">
        <v>19</v>
      </c>
      <c r="D1655" s="12" t="s">
        <v>56</v>
      </c>
      <c r="E1655" s="284">
        <v>3811569725</v>
      </c>
      <c r="F1655" s="284">
        <v>133623567</v>
      </c>
      <c r="G1655" s="284">
        <v>234</v>
      </c>
      <c r="H1655" s="284">
        <v>15</v>
      </c>
      <c r="I1655" s="284">
        <v>249</v>
      </c>
      <c r="J1655" s="284">
        <v>1662</v>
      </c>
      <c r="K1655" s="284">
        <v>1911</v>
      </c>
      <c r="L1655" s="284">
        <v>-151</v>
      </c>
      <c r="M1655" s="284">
        <v>4</v>
      </c>
      <c r="N1655" s="284">
        <v>1171</v>
      </c>
      <c r="O1655" s="284">
        <v>261</v>
      </c>
      <c r="P1655" s="284">
        <v>3343</v>
      </c>
      <c r="Q1655" s="284">
        <v>105017</v>
      </c>
      <c r="R1655" s="12" t="s">
        <v>4763</v>
      </c>
      <c r="S1655" s="12" t="s">
        <v>25</v>
      </c>
      <c r="T1655" s="12" t="s">
        <v>25</v>
      </c>
    </row>
    <row r="1656" spans="1:20" x14ac:dyDescent="0.3">
      <c r="A1656" s="13">
        <v>43963.708333333336</v>
      </c>
      <c r="B1656" s="12" t="s">
        <v>22</v>
      </c>
      <c r="C1656" s="284">
        <v>9</v>
      </c>
      <c r="D1656" s="12" t="s">
        <v>57</v>
      </c>
      <c r="E1656" s="284">
        <v>4376923077</v>
      </c>
      <c r="F1656" s="284">
        <v>1125588885</v>
      </c>
      <c r="G1656" s="284">
        <v>307</v>
      </c>
      <c r="H1656" s="284">
        <v>72</v>
      </c>
      <c r="I1656" s="284">
        <v>379</v>
      </c>
      <c r="J1656" s="284">
        <v>3462</v>
      </c>
      <c r="K1656" s="284">
        <v>3841</v>
      </c>
      <c r="L1656" s="284">
        <v>-232</v>
      </c>
      <c r="M1656" s="284">
        <v>15</v>
      </c>
      <c r="N1656" s="284">
        <v>5002</v>
      </c>
      <c r="O1656" s="284">
        <v>959</v>
      </c>
      <c r="P1656" s="284">
        <v>9802</v>
      </c>
      <c r="Q1656" s="284">
        <v>184851</v>
      </c>
      <c r="R1656" s="12" t="s">
        <v>4764</v>
      </c>
      <c r="S1656" s="12" t="s">
        <v>25</v>
      </c>
      <c r="T1656" s="12" t="s">
        <v>25</v>
      </c>
    </row>
    <row r="1657" spans="1:20" x14ac:dyDescent="0.3">
      <c r="A1657" s="13">
        <v>43963.708333333336</v>
      </c>
      <c r="B1657" s="12" t="s">
        <v>22</v>
      </c>
      <c r="C1657" s="284">
        <v>4</v>
      </c>
      <c r="D1657" s="12" t="s">
        <v>58</v>
      </c>
      <c r="E1657" s="284">
        <v>4606893511</v>
      </c>
      <c r="F1657" s="284">
        <v>1112123097</v>
      </c>
      <c r="G1657" s="284">
        <v>80</v>
      </c>
      <c r="H1657" s="284">
        <v>9</v>
      </c>
      <c r="I1657" s="284">
        <v>89</v>
      </c>
      <c r="J1657" s="284">
        <v>578</v>
      </c>
      <c r="K1657" s="284">
        <v>667</v>
      </c>
      <c r="L1657" s="284">
        <v>-68</v>
      </c>
      <c r="M1657" s="284">
        <v>6</v>
      </c>
      <c r="N1657" s="284">
        <v>3191</v>
      </c>
      <c r="O1657" s="284">
        <v>445</v>
      </c>
      <c r="P1657" s="284">
        <v>4303</v>
      </c>
      <c r="Q1657" s="284">
        <v>55334</v>
      </c>
      <c r="R1657" s="12" t="s">
        <v>4765</v>
      </c>
      <c r="S1657" s="12" t="s">
        <v>25</v>
      </c>
      <c r="T1657" s="12" t="s">
        <v>25</v>
      </c>
    </row>
    <row r="1658" spans="1:20" x14ac:dyDescent="0.3">
      <c r="A1658" s="13">
        <v>43963.708333333336</v>
      </c>
      <c r="B1658" s="12" t="s">
        <v>22</v>
      </c>
      <c r="C1658" s="284">
        <v>10</v>
      </c>
      <c r="D1658" s="12" t="s">
        <v>59</v>
      </c>
      <c r="E1658" s="284">
        <v>4310675841</v>
      </c>
      <c r="F1658" s="284">
        <v>1238824698</v>
      </c>
      <c r="G1658" s="284">
        <v>41</v>
      </c>
      <c r="H1658" s="284">
        <v>4</v>
      </c>
      <c r="I1658" s="284">
        <v>45</v>
      </c>
      <c r="J1658" s="284">
        <v>64</v>
      </c>
      <c r="K1658" s="284">
        <v>109</v>
      </c>
      <c r="L1658" s="284">
        <v>1</v>
      </c>
      <c r="M1658" s="284">
        <v>7</v>
      </c>
      <c r="N1658" s="284">
        <v>1239</v>
      </c>
      <c r="O1658" s="284">
        <v>71</v>
      </c>
      <c r="P1658" s="284">
        <v>1419</v>
      </c>
      <c r="Q1658" s="284">
        <v>49249</v>
      </c>
      <c r="R1658" s="12" t="s">
        <v>4766</v>
      </c>
      <c r="S1658" s="12" t="s">
        <v>25</v>
      </c>
      <c r="T1658" s="12" t="s">
        <v>25</v>
      </c>
    </row>
    <row r="1659" spans="1:20" x14ac:dyDescent="0.3">
      <c r="A1659" s="13">
        <v>43963.708333333336</v>
      </c>
      <c r="B1659" s="12" t="s">
        <v>22</v>
      </c>
      <c r="C1659" s="284">
        <v>2</v>
      </c>
      <c r="D1659" s="12" t="s">
        <v>60</v>
      </c>
      <c r="E1659" s="284">
        <v>4573750286</v>
      </c>
      <c r="F1659" s="284">
        <v>7320149366</v>
      </c>
      <c r="G1659" s="284">
        <v>45</v>
      </c>
      <c r="H1659" s="284">
        <v>0</v>
      </c>
      <c r="I1659" s="284">
        <v>45</v>
      </c>
      <c r="J1659" s="284">
        <v>59</v>
      </c>
      <c r="K1659" s="284">
        <v>104</v>
      </c>
      <c r="L1659" s="284">
        <v>-3</v>
      </c>
      <c r="M1659" s="284">
        <v>2</v>
      </c>
      <c r="N1659" s="284">
        <v>916</v>
      </c>
      <c r="O1659" s="284">
        <v>140</v>
      </c>
      <c r="P1659" s="284">
        <v>1160</v>
      </c>
      <c r="Q1659" s="284">
        <v>10415</v>
      </c>
      <c r="R1659" s="12" t="s">
        <v>4767</v>
      </c>
      <c r="S1659" s="12" t="s">
        <v>25</v>
      </c>
      <c r="T1659" s="12" t="s">
        <v>25</v>
      </c>
    </row>
    <row r="1660" spans="1:20" x14ac:dyDescent="0.3">
      <c r="A1660" s="13">
        <v>43963.708333333336</v>
      </c>
      <c r="B1660" s="12" t="s">
        <v>22</v>
      </c>
      <c r="C1660" s="287">
        <v>5</v>
      </c>
      <c r="D1660" s="12" t="s">
        <v>61</v>
      </c>
      <c r="E1660" s="287">
        <v>4543490485</v>
      </c>
      <c r="F1660" s="287">
        <v>1233845213</v>
      </c>
      <c r="G1660" s="287">
        <v>393</v>
      </c>
      <c r="H1660" s="287">
        <v>33</v>
      </c>
      <c r="I1660" s="287">
        <v>426</v>
      </c>
      <c r="J1660" s="287">
        <v>4764</v>
      </c>
      <c r="K1660" s="287">
        <v>5190</v>
      </c>
      <c r="L1660" s="287">
        <v>-270</v>
      </c>
      <c r="M1660" s="287">
        <v>41</v>
      </c>
      <c r="N1660" s="287">
        <v>11906</v>
      </c>
      <c r="O1660" s="287">
        <v>1686</v>
      </c>
      <c r="P1660" s="287">
        <v>18782</v>
      </c>
      <c r="Q1660" s="287">
        <v>454189</v>
      </c>
      <c r="R1660" s="12" t="s">
        <v>4768</v>
      </c>
      <c r="S1660" s="12" t="s">
        <v>25</v>
      </c>
      <c r="T1660" s="12" t="s">
        <v>25</v>
      </c>
    </row>
    <row r="1661" spans="1:20" x14ac:dyDescent="0.3">
      <c r="A1661" s="13">
        <v>43964.708333333336</v>
      </c>
      <c r="B1661" s="12" t="s">
        <v>22</v>
      </c>
      <c r="C1661" s="287">
        <v>13</v>
      </c>
      <c r="D1661" s="12" t="s">
        <v>42</v>
      </c>
      <c r="E1661" s="287">
        <v>4235122196</v>
      </c>
      <c r="F1661" s="287">
        <v>1339843823</v>
      </c>
      <c r="G1661" s="287">
        <v>214</v>
      </c>
      <c r="H1661" s="287">
        <v>7</v>
      </c>
      <c r="I1661" s="287">
        <v>221</v>
      </c>
      <c r="J1661" s="287">
        <v>1268</v>
      </c>
      <c r="K1661" s="287">
        <v>1489</v>
      </c>
      <c r="L1661" s="287">
        <v>-59</v>
      </c>
      <c r="M1661" s="287">
        <v>12</v>
      </c>
      <c r="N1661" s="287">
        <v>1263</v>
      </c>
      <c r="O1661" s="287">
        <v>375</v>
      </c>
      <c r="P1661" s="287">
        <v>3127</v>
      </c>
      <c r="Q1661" s="287">
        <v>51361</v>
      </c>
      <c r="R1661" s="12" t="s">
        <v>4777</v>
      </c>
      <c r="S1661" s="12" t="s">
        <v>25</v>
      </c>
      <c r="T1661" s="12" t="s">
        <v>25</v>
      </c>
    </row>
    <row r="1662" spans="1:20" x14ac:dyDescent="0.3">
      <c r="A1662" s="13">
        <v>43964.708333333336</v>
      </c>
      <c r="B1662" s="12" t="s">
        <v>22</v>
      </c>
      <c r="C1662" s="287">
        <v>17</v>
      </c>
      <c r="D1662" s="12" t="s">
        <v>43</v>
      </c>
      <c r="E1662" s="287">
        <v>4063947052</v>
      </c>
      <c r="F1662" s="287">
        <v>1580514834</v>
      </c>
      <c r="G1662" s="287">
        <v>42</v>
      </c>
      <c r="H1662" s="287">
        <v>1</v>
      </c>
      <c r="I1662" s="287">
        <v>43</v>
      </c>
      <c r="J1662" s="287">
        <v>88</v>
      </c>
      <c r="K1662" s="287">
        <v>131</v>
      </c>
      <c r="L1662" s="287">
        <v>-9</v>
      </c>
      <c r="M1662" s="287">
        <v>2</v>
      </c>
      <c r="N1662" s="287">
        <v>231</v>
      </c>
      <c r="O1662" s="287">
        <v>27</v>
      </c>
      <c r="P1662" s="287">
        <v>389</v>
      </c>
      <c r="Q1662" s="287">
        <v>19678</v>
      </c>
      <c r="R1662" s="12" t="s">
        <v>4778</v>
      </c>
      <c r="S1662" s="12" t="s">
        <v>25</v>
      </c>
      <c r="T1662" s="12" t="s">
        <v>25</v>
      </c>
    </row>
    <row r="1663" spans="1:20" x14ac:dyDescent="0.3">
      <c r="A1663" s="13">
        <v>43964.708333333336</v>
      </c>
      <c r="B1663" s="12" t="s">
        <v>22</v>
      </c>
      <c r="C1663" s="287">
        <v>4</v>
      </c>
      <c r="D1663" s="12" t="s">
        <v>44</v>
      </c>
      <c r="E1663" s="287">
        <v>4649933453</v>
      </c>
      <c r="F1663" s="287">
        <v>1135662422</v>
      </c>
      <c r="G1663" s="287">
        <v>56</v>
      </c>
      <c r="H1663" s="287">
        <v>7</v>
      </c>
      <c r="I1663" s="287">
        <v>63</v>
      </c>
      <c r="J1663" s="287">
        <v>350</v>
      </c>
      <c r="K1663" s="287">
        <v>413</v>
      </c>
      <c r="L1663" s="287">
        <v>-24</v>
      </c>
      <c r="M1663" s="287">
        <v>3</v>
      </c>
      <c r="N1663" s="287">
        <v>1872</v>
      </c>
      <c r="O1663" s="287">
        <v>290</v>
      </c>
      <c r="P1663" s="287">
        <v>2575</v>
      </c>
      <c r="Q1663" s="287">
        <v>51181</v>
      </c>
      <c r="R1663" s="12" t="s">
        <v>4779</v>
      </c>
      <c r="S1663" s="12" t="s">
        <v>25</v>
      </c>
      <c r="T1663" s="12" t="s">
        <v>25</v>
      </c>
    </row>
    <row r="1664" spans="1:20" x14ac:dyDescent="0.3">
      <c r="A1664" s="13">
        <v>43964.708333333336</v>
      </c>
      <c r="B1664" s="12" t="s">
        <v>22</v>
      </c>
      <c r="C1664" s="287">
        <v>18</v>
      </c>
      <c r="D1664" s="12" t="s">
        <v>45</v>
      </c>
      <c r="E1664" s="287">
        <v>3890597598</v>
      </c>
      <c r="F1664" s="287">
        <v>1659440194</v>
      </c>
      <c r="G1664" s="287">
        <v>64</v>
      </c>
      <c r="H1664" s="287">
        <v>1</v>
      </c>
      <c r="I1664" s="287">
        <v>65</v>
      </c>
      <c r="J1664" s="287">
        <v>486</v>
      </c>
      <c r="K1664" s="287">
        <v>551</v>
      </c>
      <c r="L1664" s="287">
        <v>-17</v>
      </c>
      <c r="M1664" s="287">
        <v>2</v>
      </c>
      <c r="N1664" s="287">
        <v>496</v>
      </c>
      <c r="O1664" s="287">
        <v>93</v>
      </c>
      <c r="P1664" s="287">
        <v>1140</v>
      </c>
      <c r="Q1664" s="287">
        <v>49787</v>
      </c>
      <c r="R1664" s="12" t="s">
        <v>4780</v>
      </c>
      <c r="S1664" s="12" t="s">
        <v>25</v>
      </c>
      <c r="T1664" s="12" t="s">
        <v>25</v>
      </c>
    </row>
    <row r="1665" spans="1:20" x14ac:dyDescent="0.3">
      <c r="A1665" s="13">
        <v>43964.708333333336</v>
      </c>
      <c r="B1665" s="12" t="s">
        <v>22</v>
      </c>
      <c r="C1665" s="287">
        <v>15</v>
      </c>
      <c r="D1665" s="12" t="s">
        <v>46</v>
      </c>
      <c r="E1665" s="287">
        <v>4083956555</v>
      </c>
      <c r="F1665" s="287">
        <v>1425084984</v>
      </c>
      <c r="G1665" s="287">
        <v>402</v>
      </c>
      <c r="H1665" s="287">
        <v>19</v>
      </c>
      <c r="I1665" s="287">
        <v>421</v>
      </c>
      <c r="J1665" s="287">
        <v>1394</v>
      </c>
      <c r="K1665" s="287">
        <v>1815</v>
      </c>
      <c r="L1665" s="287">
        <v>-62</v>
      </c>
      <c r="M1665" s="287">
        <v>15</v>
      </c>
      <c r="N1665" s="287">
        <v>2421</v>
      </c>
      <c r="O1665" s="287">
        <v>394</v>
      </c>
      <c r="P1665" s="287">
        <v>4630</v>
      </c>
      <c r="Q1665" s="287">
        <v>124370</v>
      </c>
      <c r="R1665" s="12" t="s">
        <v>4781</v>
      </c>
      <c r="S1665" s="12" t="s">
        <v>25</v>
      </c>
      <c r="T1665" s="12" t="s">
        <v>25</v>
      </c>
    </row>
    <row r="1666" spans="1:20" x14ac:dyDescent="0.3">
      <c r="A1666" s="13">
        <v>43964.708333333336</v>
      </c>
      <c r="B1666" s="12" t="s">
        <v>22</v>
      </c>
      <c r="C1666" s="287">
        <v>8</v>
      </c>
      <c r="D1666" s="12" t="s">
        <v>95</v>
      </c>
      <c r="E1666" s="287">
        <v>4449436681</v>
      </c>
      <c r="F1666" s="287">
        <v>113417208</v>
      </c>
      <c r="G1666" s="287">
        <v>1165</v>
      </c>
      <c r="H1666" s="287">
        <v>123</v>
      </c>
      <c r="I1666" s="287">
        <v>1288</v>
      </c>
      <c r="J1666" s="287">
        <v>5214</v>
      </c>
      <c r="K1666" s="287">
        <v>6502</v>
      </c>
      <c r="L1666" s="287">
        <v>-299</v>
      </c>
      <c r="M1666" s="287">
        <v>50</v>
      </c>
      <c r="N1666" s="287">
        <v>16572</v>
      </c>
      <c r="O1666" s="287">
        <v>3905</v>
      </c>
      <c r="P1666" s="287">
        <v>26979</v>
      </c>
      <c r="Q1666" s="287">
        <v>243883</v>
      </c>
      <c r="R1666" s="12" t="s">
        <v>4782</v>
      </c>
      <c r="S1666" s="12" t="s">
        <v>25</v>
      </c>
      <c r="T1666" s="12" t="s">
        <v>25</v>
      </c>
    </row>
    <row r="1667" spans="1:20" x14ac:dyDescent="0.3">
      <c r="A1667" s="13">
        <v>43964.708333333336</v>
      </c>
      <c r="B1667" s="12" t="s">
        <v>22</v>
      </c>
      <c r="C1667" s="287">
        <v>6</v>
      </c>
      <c r="D1667" s="12" t="s">
        <v>47</v>
      </c>
      <c r="E1667" s="287">
        <v>456494354</v>
      </c>
      <c r="F1667" s="287">
        <v>1376813649</v>
      </c>
      <c r="G1667" s="287">
        <v>92</v>
      </c>
      <c r="H1667" s="287">
        <v>2</v>
      </c>
      <c r="I1667" s="287">
        <v>94</v>
      </c>
      <c r="J1667" s="287">
        <v>685</v>
      </c>
      <c r="K1667" s="287">
        <v>779</v>
      </c>
      <c r="L1667" s="287">
        <v>-22</v>
      </c>
      <c r="M1667" s="287">
        <v>8</v>
      </c>
      <c r="N1667" s="287">
        <v>2061</v>
      </c>
      <c r="O1667" s="287">
        <v>316</v>
      </c>
      <c r="P1667" s="287">
        <v>3156</v>
      </c>
      <c r="Q1667" s="287">
        <v>94600</v>
      </c>
      <c r="R1667" s="12" t="s">
        <v>4783</v>
      </c>
      <c r="S1667" s="12" t="s">
        <v>25</v>
      </c>
      <c r="T1667" s="12" t="s">
        <v>25</v>
      </c>
    </row>
    <row r="1668" spans="1:20" x14ac:dyDescent="0.3">
      <c r="A1668" s="13">
        <v>43964.708333333336</v>
      </c>
      <c r="B1668" s="12" t="s">
        <v>22</v>
      </c>
      <c r="C1668" s="287">
        <v>12</v>
      </c>
      <c r="D1668" s="12" t="s">
        <v>48</v>
      </c>
      <c r="E1668" s="287">
        <v>4189277044</v>
      </c>
      <c r="F1668" s="287">
        <v>1248366722</v>
      </c>
      <c r="G1668" s="287">
        <v>1224</v>
      </c>
      <c r="H1668" s="287">
        <v>83</v>
      </c>
      <c r="I1668" s="287">
        <v>1307</v>
      </c>
      <c r="J1668" s="287">
        <v>2928</v>
      </c>
      <c r="K1668" s="287">
        <v>4235</v>
      </c>
      <c r="L1668" s="287">
        <v>-38</v>
      </c>
      <c r="M1668" s="287">
        <v>38</v>
      </c>
      <c r="N1668" s="287">
        <v>2438</v>
      </c>
      <c r="O1668" s="287">
        <v>577</v>
      </c>
      <c r="P1668" s="287">
        <v>7250</v>
      </c>
      <c r="Q1668" s="287">
        <v>188632</v>
      </c>
      <c r="R1668" s="12" t="s">
        <v>4784</v>
      </c>
      <c r="S1668" s="12" t="s">
        <v>25</v>
      </c>
      <c r="T1668" s="12" t="s">
        <v>25</v>
      </c>
    </row>
    <row r="1669" spans="1:20" x14ac:dyDescent="0.3">
      <c r="A1669" s="13">
        <v>43964.708333333336</v>
      </c>
      <c r="B1669" s="12" t="s">
        <v>22</v>
      </c>
      <c r="C1669" s="287">
        <v>7</v>
      </c>
      <c r="D1669" s="12" t="s">
        <v>49</v>
      </c>
      <c r="E1669" s="287">
        <v>4441149315</v>
      </c>
      <c r="F1669" s="287">
        <v>89326992</v>
      </c>
      <c r="G1669" s="287">
        <v>430</v>
      </c>
      <c r="H1669" s="287">
        <v>35</v>
      </c>
      <c r="I1669" s="287">
        <v>465</v>
      </c>
      <c r="J1669" s="287">
        <v>2253</v>
      </c>
      <c r="K1669" s="287">
        <v>2718</v>
      </c>
      <c r="L1669" s="287">
        <v>-61</v>
      </c>
      <c r="M1669" s="287">
        <v>67</v>
      </c>
      <c r="N1669" s="287">
        <v>4898</v>
      </c>
      <c r="O1669" s="287">
        <v>1314</v>
      </c>
      <c r="P1669" s="287">
        <v>8930</v>
      </c>
      <c r="Q1669" s="287">
        <v>72174</v>
      </c>
      <c r="R1669" s="12" t="s">
        <v>4785</v>
      </c>
      <c r="S1669" s="12" t="s">
        <v>25</v>
      </c>
      <c r="T1669" s="12" t="s">
        <v>25</v>
      </c>
    </row>
    <row r="1670" spans="1:20" x14ac:dyDescent="0.3">
      <c r="A1670" s="13">
        <v>43964.708333333336</v>
      </c>
      <c r="B1670" s="12" t="s">
        <v>22</v>
      </c>
      <c r="C1670" s="287">
        <v>3</v>
      </c>
      <c r="D1670" s="12" t="s">
        <v>50</v>
      </c>
      <c r="E1670" s="287">
        <v>4546679409</v>
      </c>
      <c r="F1670" s="287">
        <v>9190347404</v>
      </c>
      <c r="G1670" s="287">
        <v>5007</v>
      </c>
      <c r="H1670" s="287">
        <v>307</v>
      </c>
      <c r="I1670" s="287">
        <v>5314</v>
      </c>
      <c r="J1670" s="287">
        <v>24718</v>
      </c>
      <c r="K1670" s="287">
        <v>30032</v>
      </c>
      <c r="L1670" s="287">
        <v>-643</v>
      </c>
      <c r="M1670" s="287">
        <v>394</v>
      </c>
      <c r="N1670" s="287">
        <v>38081</v>
      </c>
      <c r="O1670" s="287">
        <v>15185</v>
      </c>
      <c r="P1670" s="287">
        <v>83298</v>
      </c>
      <c r="Q1670" s="287">
        <v>524163</v>
      </c>
      <c r="R1670" s="12" t="s">
        <v>4786</v>
      </c>
      <c r="S1670" s="12" t="s">
        <v>25</v>
      </c>
      <c r="T1670" s="12" t="s">
        <v>25</v>
      </c>
    </row>
    <row r="1671" spans="1:20" x14ac:dyDescent="0.3">
      <c r="A1671" s="13">
        <v>43964.708333333336</v>
      </c>
      <c r="B1671" s="12" t="s">
        <v>22</v>
      </c>
      <c r="C1671" s="287">
        <v>11</v>
      </c>
      <c r="D1671" s="12" t="s">
        <v>51</v>
      </c>
      <c r="E1671" s="287">
        <v>4361675973</v>
      </c>
      <c r="F1671" s="287">
        <v>135188753</v>
      </c>
      <c r="G1671" s="287">
        <v>211</v>
      </c>
      <c r="H1671" s="287">
        <v>20</v>
      </c>
      <c r="I1671" s="287">
        <v>231</v>
      </c>
      <c r="J1671" s="287">
        <v>2782</v>
      </c>
      <c r="K1671" s="287">
        <v>3013</v>
      </c>
      <c r="L1671" s="287">
        <v>-195</v>
      </c>
      <c r="M1671" s="287">
        <v>20</v>
      </c>
      <c r="N1671" s="287">
        <v>2604</v>
      </c>
      <c r="O1671" s="287">
        <v>971</v>
      </c>
      <c r="P1671" s="287">
        <v>6588</v>
      </c>
      <c r="Q1671" s="287">
        <v>80850</v>
      </c>
      <c r="R1671" s="12" t="s">
        <v>4787</v>
      </c>
      <c r="S1671" s="12" t="s">
        <v>25</v>
      </c>
      <c r="T1671" s="12" t="s">
        <v>25</v>
      </c>
    </row>
    <row r="1672" spans="1:20" x14ac:dyDescent="0.3">
      <c r="A1672" s="13">
        <v>43964.708333333336</v>
      </c>
      <c r="B1672" s="12" t="s">
        <v>22</v>
      </c>
      <c r="C1672" s="287">
        <v>14</v>
      </c>
      <c r="D1672" s="12" t="s">
        <v>52</v>
      </c>
      <c r="E1672" s="287">
        <v>4155774754</v>
      </c>
      <c r="F1672" s="287">
        <v>1465916051</v>
      </c>
      <c r="G1672" s="287">
        <v>9</v>
      </c>
      <c r="H1672" s="287">
        <v>1</v>
      </c>
      <c r="I1672" s="287">
        <v>10</v>
      </c>
      <c r="J1672" s="287">
        <v>221</v>
      </c>
      <c r="K1672" s="287">
        <v>231</v>
      </c>
      <c r="L1672" s="287">
        <v>5</v>
      </c>
      <c r="M1672" s="287">
        <v>15</v>
      </c>
      <c r="N1672" s="287">
        <v>148</v>
      </c>
      <c r="O1672" s="287">
        <v>22</v>
      </c>
      <c r="P1672" s="287">
        <v>401</v>
      </c>
      <c r="Q1672" s="287">
        <v>10062</v>
      </c>
      <c r="R1672" s="12" t="s">
        <v>4788</v>
      </c>
      <c r="S1672" s="12" t="s">
        <v>25</v>
      </c>
      <c r="T1672" s="12" t="s">
        <v>25</v>
      </c>
    </row>
    <row r="1673" spans="1:20" x14ac:dyDescent="0.3">
      <c r="A1673" s="13">
        <v>43964.708333333336</v>
      </c>
      <c r="B1673" s="12" t="s">
        <v>22</v>
      </c>
      <c r="C1673" s="287">
        <v>1</v>
      </c>
      <c r="D1673" s="12" t="s">
        <v>53</v>
      </c>
      <c r="E1673" s="287">
        <v>450732745</v>
      </c>
      <c r="F1673" s="287">
        <v>7680687483</v>
      </c>
      <c r="G1673" s="287">
        <v>1858</v>
      </c>
      <c r="H1673" s="287">
        <v>122</v>
      </c>
      <c r="I1673" s="287">
        <v>1980</v>
      </c>
      <c r="J1673" s="287">
        <v>10511</v>
      </c>
      <c r="K1673" s="287">
        <v>12491</v>
      </c>
      <c r="L1673" s="287">
        <v>-693</v>
      </c>
      <c r="M1673" s="287">
        <v>169</v>
      </c>
      <c r="N1673" s="287">
        <v>13107</v>
      </c>
      <c r="O1673" s="287">
        <v>3460</v>
      </c>
      <c r="P1673" s="287">
        <v>29058</v>
      </c>
      <c r="Q1673" s="287">
        <v>224788</v>
      </c>
      <c r="R1673" s="12" t="s">
        <v>4789</v>
      </c>
      <c r="S1673" s="12" t="s">
        <v>25</v>
      </c>
      <c r="T1673" s="12" t="s">
        <v>25</v>
      </c>
    </row>
    <row r="1674" spans="1:20" x14ac:dyDescent="0.3">
      <c r="A1674" s="13">
        <v>43964.708333333336</v>
      </c>
      <c r="B1674" s="12" t="s">
        <v>22</v>
      </c>
      <c r="C1674" s="287">
        <v>16</v>
      </c>
      <c r="D1674" s="12" t="s">
        <v>54</v>
      </c>
      <c r="E1674" s="287">
        <v>4112559576</v>
      </c>
      <c r="F1674" s="287">
        <v>1686736689</v>
      </c>
      <c r="G1674" s="287">
        <v>310</v>
      </c>
      <c r="H1674" s="287">
        <v>27</v>
      </c>
      <c r="I1674" s="287">
        <v>337</v>
      </c>
      <c r="J1674" s="287">
        <v>1985</v>
      </c>
      <c r="K1674" s="287">
        <v>2322</v>
      </c>
      <c r="L1674" s="287">
        <v>-99</v>
      </c>
      <c r="M1674" s="287">
        <v>11</v>
      </c>
      <c r="N1674" s="287">
        <v>1566</v>
      </c>
      <c r="O1674" s="287">
        <v>460</v>
      </c>
      <c r="P1674" s="287">
        <v>4348</v>
      </c>
      <c r="Q1674" s="287">
        <v>83713</v>
      </c>
      <c r="R1674" s="12" t="s">
        <v>4790</v>
      </c>
      <c r="S1674" s="12" t="s">
        <v>25</v>
      </c>
      <c r="T1674" s="12" t="s">
        <v>25</v>
      </c>
    </row>
    <row r="1675" spans="1:20" x14ac:dyDescent="0.3">
      <c r="A1675" s="13">
        <v>43964.708333333336</v>
      </c>
      <c r="B1675" s="12" t="s">
        <v>22</v>
      </c>
      <c r="C1675" s="287">
        <v>20</v>
      </c>
      <c r="D1675" s="12" t="s">
        <v>55</v>
      </c>
      <c r="E1675" s="287">
        <v>3921531192</v>
      </c>
      <c r="F1675" s="287">
        <v>9110616306</v>
      </c>
      <c r="G1675" s="287">
        <v>78</v>
      </c>
      <c r="H1675" s="287">
        <v>10</v>
      </c>
      <c r="I1675" s="287">
        <v>88</v>
      </c>
      <c r="J1675" s="287">
        <v>403</v>
      </c>
      <c r="K1675" s="287">
        <v>491</v>
      </c>
      <c r="L1675" s="287">
        <v>-15</v>
      </c>
      <c r="M1675" s="287">
        <v>1</v>
      </c>
      <c r="N1675" s="287">
        <v>734</v>
      </c>
      <c r="O1675" s="287">
        <v>120</v>
      </c>
      <c r="P1675" s="287">
        <v>1345</v>
      </c>
      <c r="Q1675" s="287">
        <v>36710</v>
      </c>
      <c r="R1675" s="12" t="s">
        <v>4791</v>
      </c>
      <c r="S1675" s="12" t="s">
        <v>25</v>
      </c>
      <c r="T1675" s="12" t="s">
        <v>25</v>
      </c>
    </row>
    <row r="1676" spans="1:20" x14ac:dyDescent="0.3">
      <c r="A1676" s="13">
        <v>43964.708333333336</v>
      </c>
      <c r="B1676" s="12" t="s">
        <v>22</v>
      </c>
      <c r="C1676" s="287">
        <v>19</v>
      </c>
      <c r="D1676" s="12" t="s">
        <v>56</v>
      </c>
      <c r="E1676" s="287">
        <v>3811569725</v>
      </c>
      <c r="F1676" s="287">
        <v>133623567</v>
      </c>
      <c r="G1676" s="287">
        <v>212</v>
      </c>
      <c r="H1676" s="287">
        <v>13</v>
      </c>
      <c r="I1676" s="287">
        <v>225</v>
      </c>
      <c r="J1676" s="287">
        <v>1664</v>
      </c>
      <c r="K1676" s="287">
        <v>1889</v>
      </c>
      <c r="L1676" s="287">
        <v>-22</v>
      </c>
      <c r="M1676" s="287">
        <v>11</v>
      </c>
      <c r="N1676" s="287">
        <v>1203</v>
      </c>
      <c r="O1676" s="287">
        <v>262</v>
      </c>
      <c r="P1676" s="287">
        <v>3354</v>
      </c>
      <c r="Q1676" s="287">
        <v>107991</v>
      </c>
      <c r="R1676" s="12" t="s">
        <v>4792</v>
      </c>
      <c r="S1676" s="12" t="s">
        <v>25</v>
      </c>
      <c r="T1676" s="12" t="s">
        <v>25</v>
      </c>
    </row>
    <row r="1677" spans="1:20" x14ac:dyDescent="0.3">
      <c r="A1677" s="13">
        <v>43964.708333333336</v>
      </c>
      <c r="B1677" s="12" t="s">
        <v>22</v>
      </c>
      <c r="C1677" s="287">
        <v>9</v>
      </c>
      <c r="D1677" s="12" t="s">
        <v>57</v>
      </c>
      <c r="E1677" s="287">
        <v>4376923077</v>
      </c>
      <c r="F1677" s="287">
        <v>1125588885</v>
      </c>
      <c r="G1677" s="287">
        <v>284</v>
      </c>
      <c r="H1677" s="287">
        <v>72</v>
      </c>
      <c r="I1677" s="287">
        <v>356</v>
      </c>
      <c r="J1677" s="287">
        <v>3207</v>
      </c>
      <c r="K1677" s="287">
        <v>3563</v>
      </c>
      <c r="L1677" s="287">
        <v>-278</v>
      </c>
      <c r="M1677" s="287">
        <v>27</v>
      </c>
      <c r="N1677" s="287">
        <v>5302</v>
      </c>
      <c r="O1677" s="287">
        <v>964</v>
      </c>
      <c r="P1677" s="287">
        <v>9829</v>
      </c>
      <c r="Q1677" s="287">
        <v>189026</v>
      </c>
      <c r="R1677" s="12" t="s">
        <v>4793</v>
      </c>
      <c r="S1677" s="12" t="s">
        <v>25</v>
      </c>
      <c r="T1677" s="12" t="s">
        <v>25</v>
      </c>
    </row>
    <row r="1678" spans="1:20" x14ac:dyDescent="0.3">
      <c r="A1678" s="13">
        <v>43964.708333333336</v>
      </c>
      <c r="B1678" s="12" t="s">
        <v>22</v>
      </c>
      <c r="C1678" s="287">
        <v>4</v>
      </c>
      <c r="D1678" s="12" t="s">
        <v>58</v>
      </c>
      <c r="E1678" s="287">
        <v>4606893511</v>
      </c>
      <c r="F1678" s="287">
        <v>1112123097</v>
      </c>
      <c r="G1678" s="287">
        <v>76</v>
      </c>
      <c r="H1678" s="287">
        <v>9</v>
      </c>
      <c r="I1678" s="287">
        <v>85</v>
      </c>
      <c r="J1678" s="287">
        <v>488</v>
      </c>
      <c r="K1678" s="287">
        <v>573</v>
      </c>
      <c r="L1678" s="287">
        <v>-94</v>
      </c>
      <c r="M1678" s="287">
        <v>9</v>
      </c>
      <c r="N1678" s="287">
        <v>3293</v>
      </c>
      <c r="O1678" s="287">
        <v>446</v>
      </c>
      <c r="P1678" s="287">
        <v>4312</v>
      </c>
      <c r="Q1678" s="287">
        <v>57997</v>
      </c>
      <c r="R1678" s="12" t="s">
        <v>4794</v>
      </c>
      <c r="S1678" s="12" t="s">
        <v>25</v>
      </c>
      <c r="T1678" s="12" t="s">
        <v>25</v>
      </c>
    </row>
    <row r="1679" spans="1:20" x14ac:dyDescent="0.3">
      <c r="A1679" s="13">
        <v>43964.708333333336</v>
      </c>
      <c r="B1679" s="12" t="s">
        <v>22</v>
      </c>
      <c r="C1679" s="287">
        <v>10</v>
      </c>
      <c r="D1679" s="12" t="s">
        <v>59</v>
      </c>
      <c r="E1679" s="287">
        <v>4310675841</v>
      </c>
      <c r="F1679" s="287">
        <v>1238824698</v>
      </c>
      <c r="G1679" s="287">
        <v>36</v>
      </c>
      <c r="H1679" s="287">
        <v>4</v>
      </c>
      <c r="I1679" s="287">
        <v>40</v>
      </c>
      <c r="J1679" s="287">
        <v>66</v>
      </c>
      <c r="K1679" s="287">
        <v>106</v>
      </c>
      <c r="L1679" s="287">
        <v>-3</v>
      </c>
      <c r="M1679" s="287">
        <v>0</v>
      </c>
      <c r="N1679" s="287">
        <v>1241</v>
      </c>
      <c r="O1679" s="287">
        <v>72</v>
      </c>
      <c r="P1679" s="287">
        <v>1419</v>
      </c>
      <c r="Q1679" s="287">
        <v>50731</v>
      </c>
      <c r="R1679" s="12" t="s">
        <v>4795</v>
      </c>
      <c r="S1679" s="12" t="s">
        <v>25</v>
      </c>
      <c r="T1679" s="12" t="s">
        <v>25</v>
      </c>
    </row>
    <row r="1680" spans="1:20" x14ac:dyDescent="0.3">
      <c r="A1680" s="13">
        <v>43964.708333333336</v>
      </c>
      <c r="B1680" s="12" t="s">
        <v>22</v>
      </c>
      <c r="C1680" s="287">
        <v>2</v>
      </c>
      <c r="D1680" s="12" t="s">
        <v>60</v>
      </c>
      <c r="E1680" s="287">
        <v>4573750286</v>
      </c>
      <c r="F1680" s="287">
        <v>7320149366</v>
      </c>
      <c r="G1680" s="287">
        <v>38</v>
      </c>
      <c r="H1680" s="287">
        <v>0</v>
      </c>
      <c r="I1680" s="287">
        <v>38</v>
      </c>
      <c r="J1680" s="287">
        <v>55</v>
      </c>
      <c r="K1680" s="287">
        <v>93</v>
      </c>
      <c r="L1680" s="287">
        <v>-11</v>
      </c>
      <c r="M1680" s="287">
        <v>3</v>
      </c>
      <c r="N1680" s="287">
        <v>929</v>
      </c>
      <c r="O1680" s="287">
        <v>141</v>
      </c>
      <c r="P1680" s="287">
        <v>1163</v>
      </c>
      <c r="Q1680" s="287">
        <v>10777</v>
      </c>
      <c r="R1680" s="12" t="s">
        <v>4796</v>
      </c>
      <c r="S1680" s="12" t="s">
        <v>25</v>
      </c>
      <c r="T1680" s="12" t="s">
        <v>25</v>
      </c>
    </row>
    <row r="1681" spans="1:20" x14ac:dyDescent="0.3">
      <c r="A1681" s="13">
        <v>43964.708333333336</v>
      </c>
      <c r="B1681" s="12" t="s">
        <v>22</v>
      </c>
      <c r="C1681" s="290">
        <v>5</v>
      </c>
      <c r="D1681" s="12" t="s">
        <v>61</v>
      </c>
      <c r="E1681" s="290">
        <v>4543490485</v>
      </c>
      <c r="F1681" s="290">
        <v>1233845213</v>
      </c>
      <c r="G1681" s="290">
        <v>364</v>
      </c>
      <c r="H1681" s="290">
        <v>30</v>
      </c>
      <c r="I1681" s="290">
        <v>394</v>
      </c>
      <c r="J1681" s="290">
        <v>4626</v>
      </c>
      <c r="K1681" s="290">
        <v>5020</v>
      </c>
      <c r="L1681" s="290">
        <v>-170</v>
      </c>
      <c r="M1681" s="290">
        <v>31</v>
      </c>
      <c r="N1681" s="290">
        <v>12081</v>
      </c>
      <c r="O1681" s="290">
        <v>1712</v>
      </c>
      <c r="P1681" s="290">
        <v>18813</v>
      </c>
      <c r="Q1681" s="290">
        <v>463154</v>
      </c>
      <c r="R1681" s="12" t="s">
        <v>4797</v>
      </c>
      <c r="S1681" s="12" t="s">
        <v>25</v>
      </c>
      <c r="T1681" s="12" t="s">
        <v>25</v>
      </c>
    </row>
    <row r="1682" spans="1:20" x14ac:dyDescent="0.3">
      <c r="A1682" s="13">
        <v>43965.708333333336</v>
      </c>
      <c r="B1682" s="12" t="s">
        <v>22</v>
      </c>
      <c r="C1682" s="290">
        <v>13</v>
      </c>
      <c r="D1682" s="12" t="s">
        <v>42</v>
      </c>
      <c r="E1682" s="290">
        <v>4235122196</v>
      </c>
      <c r="F1682" s="290">
        <v>1339843823</v>
      </c>
      <c r="G1682" s="290">
        <v>215</v>
      </c>
      <c r="H1682" s="290">
        <v>6</v>
      </c>
      <c r="I1682" s="290">
        <v>221</v>
      </c>
      <c r="J1682" s="290">
        <v>1261</v>
      </c>
      <c r="K1682" s="290">
        <v>1482</v>
      </c>
      <c r="L1682" s="290">
        <v>-7</v>
      </c>
      <c r="M1682" s="290">
        <v>9</v>
      </c>
      <c r="N1682" s="290">
        <v>1275</v>
      </c>
      <c r="O1682" s="290">
        <v>379</v>
      </c>
      <c r="P1682" s="290">
        <v>3136</v>
      </c>
      <c r="Q1682" s="290">
        <v>52860</v>
      </c>
      <c r="R1682" s="12" t="s">
        <v>4837</v>
      </c>
      <c r="S1682" s="12" t="s">
        <v>25</v>
      </c>
      <c r="T1682" s="12" t="s">
        <v>25</v>
      </c>
    </row>
    <row r="1683" spans="1:20" x14ac:dyDescent="0.3">
      <c r="A1683" s="13">
        <v>43965.708333333336</v>
      </c>
      <c r="B1683" s="12" t="s">
        <v>22</v>
      </c>
      <c r="C1683" s="290">
        <v>17</v>
      </c>
      <c r="D1683" s="12" t="s">
        <v>43</v>
      </c>
      <c r="E1683" s="290">
        <v>4063947052</v>
      </c>
      <c r="F1683" s="290">
        <v>1580514834</v>
      </c>
      <c r="G1683" s="290">
        <v>34</v>
      </c>
      <c r="H1683" s="290">
        <v>1</v>
      </c>
      <c r="I1683" s="290">
        <v>35</v>
      </c>
      <c r="J1683" s="290">
        <v>92</v>
      </c>
      <c r="K1683" s="290">
        <v>127</v>
      </c>
      <c r="L1683" s="290">
        <v>-4</v>
      </c>
      <c r="M1683" s="290">
        <v>0</v>
      </c>
      <c r="N1683" s="290">
        <v>235</v>
      </c>
      <c r="O1683" s="290">
        <v>27</v>
      </c>
      <c r="P1683" s="290">
        <v>389</v>
      </c>
      <c r="Q1683" s="290">
        <v>20285</v>
      </c>
      <c r="R1683" s="12" t="s">
        <v>4838</v>
      </c>
      <c r="S1683" s="12" t="s">
        <v>25</v>
      </c>
      <c r="T1683" s="12" t="s">
        <v>25</v>
      </c>
    </row>
    <row r="1684" spans="1:20" x14ac:dyDescent="0.3">
      <c r="A1684" s="13">
        <v>43965.708333333336</v>
      </c>
      <c r="B1684" s="12" t="s">
        <v>22</v>
      </c>
      <c r="C1684" s="290">
        <v>4</v>
      </c>
      <c r="D1684" s="12" t="s">
        <v>44</v>
      </c>
      <c r="E1684" s="290">
        <v>4649933453</v>
      </c>
      <c r="F1684" s="290">
        <v>1135662422</v>
      </c>
      <c r="G1684" s="290">
        <v>54</v>
      </c>
      <c r="H1684" s="290">
        <v>7</v>
      </c>
      <c r="I1684" s="290">
        <v>61</v>
      </c>
      <c r="J1684" s="290">
        <v>319</v>
      </c>
      <c r="K1684" s="290">
        <v>380</v>
      </c>
      <c r="L1684" s="290">
        <v>-33</v>
      </c>
      <c r="M1684" s="290">
        <v>3</v>
      </c>
      <c r="N1684" s="290">
        <v>1908</v>
      </c>
      <c r="O1684" s="290">
        <v>290</v>
      </c>
      <c r="P1684" s="290">
        <v>2578</v>
      </c>
      <c r="Q1684" s="290">
        <v>52015</v>
      </c>
      <c r="R1684" s="12" t="s">
        <v>4839</v>
      </c>
      <c r="S1684" s="12" t="s">
        <v>25</v>
      </c>
      <c r="T1684" s="12" t="s">
        <v>25</v>
      </c>
    </row>
    <row r="1685" spans="1:20" x14ac:dyDescent="0.3">
      <c r="A1685" s="13">
        <v>43965.708333333336</v>
      </c>
      <c r="B1685" s="12" t="s">
        <v>22</v>
      </c>
      <c r="C1685" s="290">
        <v>18</v>
      </c>
      <c r="D1685" s="12" t="s">
        <v>45</v>
      </c>
      <c r="E1685" s="290">
        <v>3890597598</v>
      </c>
      <c r="F1685" s="290">
        <v>1659440194</v>
      </c>
      <c r="G1685" s="290">
        <v>59</v>
      </c>
      <c r="H1685" s="290">
        <v>2</v>
      </c>
      <c r="I1685" s="290">
        <v>61</v>
      </c>
      <c r="J1685" s="290">
        <v>463</v>
      </c>
      <c r="K1685" s="290">
        <v>524</v>
      </c>
      <c r="L1685" s="290">
        <v>-27</v>
      </c>
      <c r="M1685" s="290">
        <v>3</v>
      </c>
      <c r="N1685" s="290">
        <v>524</v>
      </c>
      <c r="O1685" s="290">
        <v>95</v>
      </c>
      <c r="P1685" s="290">
        <v>1143</v>
      </c>
      <c r="Q1685" s="290">
        <v>51050</v>
      </c>
      <c r="R1685" s="12" t="s">
        <v>4840</v>
      </c>
      <c r="S1685" s="12" t="s">
        <v>25</v>
      </c>
      <c r="T1685" s="12" t="s">
        <v>25</v>
      </c>
    </row>
    <row r="1686" spans="1:20" x14ac:dyDescent="0.3">
      <c r="A1686" s="13">
        <v>43965.708333333336</v>
      </c>
      <c r="B1686" s="12" t="s">
        <v>22</v>
      </c>
      <c r="C1686" s="290">
        <v>15</v>
      </c>
      <c r="D1686" s="12" t="s">
        <v>46</v>
      </c>
      <c r="E1686" s="290">
        <v>4083956555</v>
      </c>
      <c r="F1686" s="290">
        <v>1425084984</v>
      </c>
      <c r="G1686" s="290">
        <v>387</v>
      </c>
      <c r="H1686" s="290">
        <v>19</v>
      </c>
      <c r="I1686" s="290">
        <v>406</v>
      </c>
      <c r="J1686" s="290">
        <v>1359</v>
      </c>
      <c r="K1686" s="290">
        <v>1765</v>
      </c>
      <c r="L1686" s="290">
        <v>-50</v>
      </c>
      <c r="M1686" s="290">
        <v>9</v>
      </c>
      <c r="N1686" s="290">
        <v>2480</v>
      </c>
      <c r="O1686" s="290">
        <v>394</v>
      </c>
      <c r="P1686" s="290">
        <v>4639</v>
      </c>
      <c r="Q1686" s="290">
        <v>127938</v>
      </c>
      <c r="R1686" s="12" t="s">
        <v>4841</v>
      </c>
      <c r="S1686" s="12" t="s">
        <v>25</v>
      </c>
      <c r="T1686" s="12" t="s">
        <v>25</v>
      </c>
    </row>
    <row r="1687" spans="1:20" x14ac:dyDescent="0.3">
      <c r="A1687" s="13">
        <v>43965.708333333336</v>
      </c>
      <c r="B1687" s="12" t="s">
        <v>22</v>
      </c>
      <c r="C1687" s="290">
        <v>8</v>
      </c>
      <c r="D1687" s="12" t="s">
        <v>95</v>
      </c>
      <c r="E1687" s="290">
        <v>4449436681</v>
      </c>
      <c r="F1687" s="290">
        <v>113417208</v>
      </c>
      <c r="G1687" s="290">
        <v>861</v>
      </c>
      <c r="H1687" s="290">
        <v>122</v>
      </c>
      <c r="I1687" s="290">
        <v>983</v>
      </c>
      <c r="J1687" s="290">
        <v>5318</v>
      </c>
      <c r="K1687" s="290">
        <v>6301</v>
      </c>
      <c r="L1687" s="290">
        <v>-201</v>
      </c>
      <c r="M1687" s="290">
        <v>77</v>
      </c>
      <c r="N1687" s="290">
        <v>16825</v>
      </c>
      <c r="O1687" s="290">
        <v>3930</v>
      </c>
      <c r="P1687" s="290">
        <v>27056</v>
      </c>
      <c r="Q1687" s="290">
        <v>248591</v>
      </c>
      <c r="R1687" s="12" t="s">
        <v>4842</v>
      </c>
      <c r="S1687" s="12" t="s">
        <v>25</v>
      </c>
      <c r="T1687" s="12" t="s">
        <v>25</v>
      </c>
    </row>
    <row r="1688" spans="1:20" x14ac:dyDescent="0.3">
      <c r="A1688" s="13">
        <v>43965.708333333336</v>
      </c>
      <c r="B1688" s="12" t="s">
        <v>22</v>
      </c>
      <c r="C1688" s="290">
        <v>6</v>
      </c>
      <c r="D1688" s="12" t="s">
        <v>47</v>
      </c>
      <c r="E1688" s="290">
        <v>456494354</v>
      </c>
      <c r="F1688" s="290">
        <v>1376813649</v>
      </c>
      <c r="G1688" s="290">
        <v>149</v>
      </c>
      <c r="H1688" s="290">
        <v>2</v>
      </c>
      <c r="I1688" s="290">
        <v>151</v>
      </c>
      <c r="J1688" s="290">
        <v>619</v>
      </c>
      <c r="K1688" s="290">
        <v>770</v>
      </c>
      <c r="L1688" s="290">
        <v>-9</v>
      </c>
      <c r="M1688" s="290">
        <v>5</v>
      </c>
      <c r="N1688" s="290">
        <v>2074</v>
      </c>
      <c r="O1688" s="290">
        <v>317</v>
      </c>
      <c r="P1688" s="290">
        <v>3161</v>
      </c>
      <c r="Q1688" s="290">
        <v>97000</v>
      </c>
      <c r="R1688" s="12" t="s">
        <v>4843</v>
      </c>
      <c r="S1688" s="12" t="s">
        <v>25</v>
      </c>
      <c r="T1688" s="12" t="s">
        <v>25</v>
      </c>
    </row>
    <row r="1689" spans="1:20" x14ac:dyDescent="0.3">
      <c r="A1689" s="13">
        <v>43965.708333333336</v>
      </c>
      <c r="B1689" s="12" t="s">
        <v>22</v>
      </c>
      <c r="C1689" s="290">
        <v>12</v>
      </c>
      <c r="D1689" s="12" t="s">
        <v>48</v>
      </c>
      <c r="E1689" s="290">
        <v>4189277044</v>
      </c>
      <c r="F1689" s="290">
        <v>1248366722</v>
      </c>
      <c r="G1689" s="290">
        <v>1178</v>
      </c>
      <c r="H1689" s="290">
        <v>79</v>
      </c>
      <c r="I1689" s="290">
        <v>1257</v>
      </c>
      <c r="J1689" s="290">
        <v>2839</v>
      </c>
      <c r="K1689" s="290">
        <v>4096</v>
      </c>
      <c r="L1689" s="290">
        <v>-139</v>
      </c>
      <c r="M1689" s="290">
        <v>41</v>
      </c>
      <c r="N1689" s="290">
        <v>2600</v>
      </c>
      <c r="O1689" s="290">
        <v>595</v>
      </c>
      <c r="P1689" s="290">
        <v>7291</v>
      </c>
      <c r="Q1689" s="290">
        <v>192917</v>
      </c>
      <c r="R1689" s="12" t="s">
        <v>4844</v>
      </c>
      <c r="S1689" s="12" t="s">
        <v>25</v>
      </c>
      <c r="T1689" s="12" t="s">
        <v>25</v>
      </c>
    </row>
    <row r="1690" spans="1:20" x14ac:dyDescent="0.3">
      <c r="A1690" s="13">
        <v>43965.708333333336</v>
      </c>
      <c r="B1690" s="12" t="s">
        <v>22</v>
      </c>
      <c r="C1690" s="290">
        <v>7</v>
      </c>
      <c r="D1690" s="12" t="s">
        <v>49</v>
      </c>
      <c r="E1690" s="290">
        <v>4441149315</v>
      </c>
      <c r="F1690" s="290">
        <v>89326992</v>
      </c>
      <c r="G1690" s="290">
        <v>408</v>
      </c>
      <c r="H1690" s="290">
        <v>35</v>
      </c>
      <c r="I1690" s="290">
        <v>443</v>
      </c>
      <c r="J1690" s="290">
        <v>2217</v>
      </c>
      <c r="K1690" s="290">
        <v>2660</v>
      </c>
      <c r="L1690" s="290">
        <v>-58</v>
      </c>
      <c r="M1690" s="290">
        <v>65</v>
      </c>
      <c r="N1690" s="290">
        <v>5006</v>
      </c>
      <c r="O1690" s="290">
        <v>1329</v>
      </c>
      <c r="P1690" s="290">
        <v>8995</v>
      </c>
      <c r="Q1690" s="290">
        <v>74248</v>
      </c>
      <c r="R1690" s="12" t="s">
        <v>4845</v>
      </c>
      <c r="S1690" s="12" t="s">
        <v>25</v>
      </c>
      <c r="T1690" s="12" t="s">
        <v>25</v>
      </c>
    </row>
    <row r="1691" spans="1:20" x14ac:dyDescent="0.3">
      <c r="A1691" s="13">
        <v>43965.708333333336</v>
      </c>
      <c r="B1691" s="12" t="s">
        <v>22</v>
      </c>
      <c r="C1691" s="290">
        <v>3</v>
      </c>
      <c r="D1691" s="12" t="s">
        <v>50</v>
      </c>
      <c r="E1691" s="290">
        <v>4546679409</v>
      </c>
      <c r="F1691" s="290">
        <v>9190347404</v>
      </c>
      <c r="G1691" s="290">
        <v>4818</v>
      </c>
      <c r="H1691" s="290">
        <v>297</v>
      </c>
      <c r="I1691" s="290">
        <v>5115</v>
      </c>
      <c r="J1691" s="290">
        <v>24841</v>
      </c>
      <c r="K1691" s="290">
        <v>29956</v>
      </c>
      <c r="L1691" s="290">
        <v>-76</v>
      </c>
      <c r="M1691" s="290">
        <v>522</v>
      </c>
      <c r="N1691" s="290">
        <v>38568</v>
      </c>
      <c r="O1691" s="290">
        <v>15296</v>
      </c>
      <c r="P1691" s="290">
        <v>83820</v>
      </c>
      <c r="Q1691" s="290">
        <v>538243</v>
      </c>
      <c r="R1691" s="12" t="s">
        <v>4846</v>
      </c>
      <c r="S1691" s="12" t="s">
        <v>25</v>
      </c>
      <c r="T1691" s="12" t="s">
        <v>25</v>
      </c>
    </row>
    <row r="1692" spans="1:20" x14ac:dyDescent="0.3">
      <c r="A1692" s="13">
        <v>43965.708333333336</v>
      </c>
      <c r="B1692" s="12" t="s">
        <v>22</v>
      </c>
      <c r="C1692" s="290">
        <v>11</v>
      </c>
      <c r="D1692" s="12" t="s">
        <v>51</v>
      </c>
      <c r="E1692" s="290">
        <v>4361675973</v>
      </c>
      <c r="F1692" s="290">
        <v>135188753</v>
      </c>
      <c r="G1692" s="290">
        <v>189</v>
      </c>
      <c r="H1692" s="290">
        <v>18</v>
      </c>
      <c r="I1692" s="290">
        <v>207</v>
      </c>
      <c r="J1692" s="290">
        <v>2697</v>
      </c>
      <c r="K1692" s="290">
        <v>2904</v>
      </c>
      <c r="L1692" s="290">
        <v>-109</v>
      </c>
      <c r="M1692" s="290">
        <v>15</v>
      </c>
      <c r="N1692" s="290">
        <v>2725</v>
      </c>
      <c r="O1692" s="290">
        <v>974</v>
      </c>
      <c r="P1692" s="290">
        <v>6603</v>
      </c>
      <c r="Q1692" s="290">
        <v>82840</v>
      </c>
      <c r="R1692" s="12" t="s">
        <v>4847</v>
      </c>
      <c r="S1692" s="12" t="s">
        <v>25</v>
      </c>
      <c r="T1692" s="12" t="s">
        <v>25</v>
      </c>
    </row>
    <row r="1693" spans="1:20" x14ac:dyDescent="0.3">
      <c r="A1693" s="13">
        <v>43965.708333333336</v>
      </c>
      <c r="B1693" s="12" t="s">
        <v>22</v>
      </c>
      <c r="C1693" s="290">
        <v>14</v>
      </c>
      <c r="D1693" s="12" t="s">
        <v>52</v>
      </c>
      <c r="E1693" s="290">
        <v>4155774754</v>
      </c>
      <c r="F1693" s="290">
        <v>1465916051</v>
      </c>
      <c r="G1693" s="290">
        <v>10</v>
      </c>
      <c r="H1693" s="290">
        <v>1</v>
      </c>
      <c r="I1693" s="290">
        <v>11</v>
      </c>
      <c r="J1693" s="290">
        <v>218</v>
      </c>
      <c r="K1693" s="290">
        <v>229</v>
      </c>
      <c r="L1693" s="290">
        <v>-2</v>
      </c>
      <c r="M1693" s="290">
        <v>2</v>
      </c>
      <c r="N1693" s="290">
        <v>152</v>
      </c>
      <c r="O1693" s="290">
        <v>22</v>
      </c>
      <c r="P1693" s="290">
        <v>403</v>
      </c>
      <c r="Q1693" s="290">
        <v>10227</v>
      </c>
      <c r="R1693" s="12" t="s">
        <v>4848</v>
      </c>
      <c r="S1693" s="12" t="s">
        <v>25</v>
      </c>
      <c r="T1693" s="12" t="s">
        <v>25</v>
      </c>
    </row>
    <row r="1694" spans="1:20" x14ac:dyDescent="0.3">
      <c r="A1694" s="13">
        <v>43965.708333333336</v>
      </c>
      <c r="B1694" s="12" t="s">
        <v>22</v>
      </c>
      <c r="C1694" s="290">
        <v>1</v>
      </c>
      <c r="D1694" s="12" t="s">
        <v>53</v>
      </c>
      <c r="E1694" s="290">
        <v>450732745</v>
      </c>
      <c r="F1694" s="290">
        <v>7680687483</v>
      </c>
      <c r="G1694" s="290">
        <v>1775</v>
      </c>
      <c r="H1694" s="290">
        <v>116</v>
      </c>
      <c r="I1694" s="290">
        <v>1891</v>
      </c>
      <c r="J1694" s="290">
        <v>10000</v>
      </c>
      <c r="K1694" s="290">
        <v>11891</v>
      </c>
      <c r="L1694" s="290">
        <v>-600</v>
      </c>
      <c r="M1694" s="290">
        <v>151</v>
      </c>
      <c r="N1694" s="290">
        <v>13825</v>
      </c>
      <c r="O1694" s="290">
        <v>3493</v>
      </c>
      <c r="P1694" s="290">
        <v>29209</v>
      </c>
      <c r="Q1694" s="290">
        <v>232682</v>
      </c>
      <c r="R1694" s="12" t="s">
        <v>4849</v>
      </c>
      <c r="S1694" s="12" t="s">
        <v>25</v>
      </c>
      <c r="T1694" s="12" t="s">
        <v>25</v>
      </c>
    </row>
    <row r="1695" spans="1:20" x14ac:dyDescent="0.3">
      <c r="A1695" s="13">
        <v>43965.708333333336</v>
      </c>
      <c r="B1695" s="12" t="s">
        <v>22</v>
      </c>
      <c r="C1695" s="290">
        <v>16</v>
      </c>
      <c r="D1695" s="12" t="s">
        <v>54</v>
      </c>
      <c r="E1695" s="290">
        <v>4112559576</v>
      </c>
      <c r="F1695" s="290">
        <v>1686736689</v>
      </c>
      <c r="G1695" s="290">
        <v>296</v>
      </c>
      <c r="H1695" s="290">
        <v>24</v>
      </c>
      <c r="I1695" s="290">
        <v>320</v>
      </c>
      <c r="J1695" s="290">
        <v>1933</v>
      </c>
      <c r="K1695" s="290">
        <v>2253</v>
      </c>
      <c r="L1695" s="290">
        <v>-69</v>
      </c>
      <c r="M1695" s="290">
        <v>9</v>
      </c>
      <c r="N1695" s="290">
        <v>1643</v>
      </c>
      <c r="O1695" s="290">
        <v>461</v>
      </c>
      <c r="P1695" s="290">
        <v>4357</v>
      </c>
      <c r="Q1695" s="290">
        <v>85577</v>
      </c>
      <c r="R1695" s="12" t="s">
        <v>4850</v>
      </c>
      <c r="S1695" s="12" t="s">
        <v>25</v>
      </c>
      <c r="T1695" s="12" t="s">
        <v>25</v>
      </c>
    </row>
    <row r="1696" spans="1:20" x14ac:dyDescent="0.3">
      <c r="A1696" s="13">
        <v>43965.708333333336</v>
      </c>
      <c r="B1696" s="12" t="s">
        <v>22</v>
      </c>
      <c r="C1696" s="290">
        <v>20</v>
      </c>
      <c r="D1696" s="12" t="s">
        <v>55</v>
      </c>
      <c r="E1696" s="290">
        <v>3921531192</v>
      </c>
      <c r="F1696" s="290">
        <v>9110616306</v>
      </c>
      <c r="G1696" s="290">
        <v>76</v>
      </c>
      <c r="H1696" s="290">
        <v>10</v>
      </c>
      <c r="I1696" s="290">
        <v>86</v>
      </c>
      <c r="J1696" s="290">
        <v>379</v>
      </c>
      <c r="K1696" s="290">
        <v>465</v>
      </c>
      <c r="L1696" s="290">
        <v>-26</v>
      </c>
      <c r="M1696" s="290">
        <v>0</v>
      </c>
      <c r="N1696" s="290">
        <v>755</v>
      </c>
      <c r="O1696" s="290">
        <v>125</v>
      </c>
      <c r="P1696" s="290">
        <v>1345</v>
      </c>
      <c r="Q1696" s="290">
        <v>38034</v>
      </c>
      <c r="R1696" s="12" t="s">
        <v>4851</v>
      </c>
      <c r="S1696" s="12" t="s">
        <v>4852</v>
      </c>
      <c r="T1696" s="12" t="s">
        <v>4853</v>
      </c>
    </row>
    <row r="1697" spans="1:20" x14ac:dyDescent="0.3">
      <c r="A1697" s="13">
        <v>43965.708333333336</v>
      </c>
      <c r="B1697" s="12" t="s">
        <v>22</v>
      </c>
      <c r="C1697" s="290">
        <v>19</v>
      </c>
      <c r="D1697" s="12" t="s">
        <v>56</v>
      </c>
      <c r="E1697" s="290">
        <v>3811569725</v>
      </c>
      <c r="F1697" s="290">
        <v>133623567</v>
      </c>
      <c r="G1697" s="290">
        <v>203</v>
      </c>
      <c r="H1697" s="290">
        <v>12</v>
      </c>
      <c r="I1697" s="290">
        <v>215</v>
      </c>
      <c r="J1697" s="290">
        <v>1639</v>
      </c>
      <c r="K1697" s="290">
        <v>1854</v>
      </c>
      <c r="L1697" s="290">
        <v>-35</v>
      </c>
      <c r="M1697" s="290">
        <v>12</v>
      </c>
      <c r="N1697" s="290">
        <v>1249</v>
      </c>
      <c r="O1697" s="290">
        <v>263</v>
      </c>
      <c r="P1697" s="290">
        <v>3366</v>
      </c>
      <c r="Q1697" s="290">
        <v>111137</v>
      </c>
      <c r="R1697" s="12" t="s">
        <v>4854</v>
      </c>
      <c r="S1697" s="12" t="s">
        <v>25</v>
      </c>
      <c r="T1697" s="12" t="s">
        <v>25</v>
      </c>
    </row>
    <row r="1698" spans="1:20" x14ac:dyDescent="0.3">
      <c r="A1698" s="13">
        <v>43965.708333333336</v>
      </c>
      <c r="B1698" s="12" t="s">
        <v>22</v>
      </c>
      <c r="C1698" s="290">
        <v>9</v>
      </c>
      <c r="D1698" s="12" t="s">
        <v>57</v>
      </c>
      <c r="E1698" s="290">
        <v>4376923077</v>
      </c>
      <c r="F1698" s="290">
        <v>1125588885</v>
      </c>
      <c r="G1698" s="290">
        <v>269</v>
      </c>
      <c r="H1698" s="290">
        <v>68</v>
      </c>
      <c r="I1698" s="290">
        <v>337</v>
      </c>
      <c r="J1698" s="290">
        <v>3051</v>
      </c>
      <c r="K1698" s="290">
        <v>3388</v>
      </c>
      <c r="L1698" s="290">
        <v>-175</v>
      </c>
      <c r="M1698" s="290">
        <v>30</v>
      </c>
      <c r="N1698" s="290">
        <v>5498</v>
      </c>
      <c r="O1698" s="290">
        <v>973</v>
      </c>
      <c r="P1698" s="290">
        <v>9859</v>
      </c>
      <c r="Q1698" s="290">
        <v>193182</v>
      </c>
      <c r="R1698" s="12" t="s">
        <v>4855</v>
      </c>
      <c r="S1698" s="12" t="s">
        <v>25</v>
      </c>
      <c r="T1698" s="12" t="s">
        <v>25</v>
      </c>
    </row>
    <row r="1699" spans="1:20" x14ac:dyDescent="0.3">
      <c r="A1699" s="13">
        <v>43965.708333333336</v>
      </c>
      <c r="B1699" s="12" t="s">
        <v>22</v>
      </c>
      <c r="C1699" s="290">
        <v>4</v>
      </c>
      <c r="D1699" s="12" t="s">
        <v>58</v>
      </c>
      <c r="E1699" s="290">
        <v>4606893511</v>
      </c>
      <c r="F1699" s="290">
        <v>1112123097</v>
      </c>
      <c r="G1699" s="290">
        <v>66</v>
      </c>
      <c r="H1699" s="290">
        <v>9</v>
      </c>
      <c r="I1699" s="290">
        <v>75</v>
      </c>
      <c r="J1699" s="290">
        <v>430</v>
      </c>
      <c r="K1699" s="290">
        <v>505</v>
      </c>
      <c r="L1699" s="290">
        <v>-68</v>
      </c>
      <c r="M1699" s="290">
        <v>3</v>
      </c>
      <c r="N1699" s="290">
        <v>3362</v>
      </c>
      <c r="O1699" s="290">
        <v>448</v>
      </c>
      <c r="P1699" s="290">
        <v>4315</v>
      </c>
      <c r="Q1699" s="290">
        <v>60843</v>
      </c>
      <c r="R1699" s="12" t="s">
        <v>4856</v>
      </c>
      <c r="S1699" s="12" t="s">
        <v>25</v>
      </c>
      <c r="T1699" s="12" t="s">
        <v>25</v>
      </c>
    </row>
    <row r="1700" spans="1:20" x14ac:dyDescent="0.3">
      <c r="A1700" s="13">
        <v>43965.708333333336</v>
      </c>
      <c r="B1700" s="12" t="s">
        <v>22</v>
      </c>
      <c r="C1700" s="290">
        <v>10</v>
      </c>
      <c r="D1700" s="12" t="s">
        <v>59</v>
      </c>
      <c r="E1700" s="290">
        <v>4310675841</v>
      </c>
      <c r="F1700" s="290">
        <v>1238824698</v>
      </c>
      <c r="G1700" s="290">
        <v>26</v>
      </c>
      <c r="H1700" s="290">
        <v>1</v>
      </c>
      <c r="I1700" s="290">
        <v>27</v>
      </c>
      <c r="J1700" s="290">
        <v>65</v>
      </c>
      <c r="K1700" s="290">
        <v>92</v>
      </c>
      <c r="L1700" s="290">
        <v>-14</v>
      </c>
      <c r="M1700" s="290">
        <v>1</v>
      </c>
      <c r="N1700" s="290">
        <v>1255</v>
      </c>
      <c r="O1700" s="290">
        <v>73</v>
      </c>
      <c r="P1700" s="290">
        <v>1420</v>
      </c>
      <c r="Q1700" s="290">
        <v>52247</v>
      </c>
      <c r="R1700" s="12" t="s">
        <v>4857</v>
      </c>
      <c r="S1700" s="12" t="s">
        <v>25</v>
      </c>
      <c r="T1700" s="12" t="s">
        <v>25</v>
      </c>
    </row>
    <row r="1701" spans="1:20" x14ac:dyDescent="0.3">
      <c r="A1701" s="13">
        <v>43965.708333333336</v>
      </c>
      <c r="B1701" s="12" t="s">
        <v>22</v>
      </c>
      <c r="C1701" s="290">
        <v>2</v>
      </c>
      <c r="D1701" s="12" t="s">
        <v>60</v>
      </c>
      <c r="E1701" s="290">
        <v>4573750286</v>
      </c>
      <c r="F1701" s="290">
        <v>7320149366</v>
      </c>
      <c r="G1701" s="290">
        <v>38</v>
      </c>
      <c r="H1701" s="290">
        <v>0</v>
      </c>
      <c r="I1701" s="290">
        <v>38</v>
      </c>
      <c r="J1701" s="290">
        <v>42</v>
      </c>
      <c r="K1701" s="290">
        <v>80</v>
      </c>
      <c r="L1701" s="290">
        <v>-13</v>
      </c>
      <c r="M1701" s="290">
        <v>3</v>
      </c>
      <c r="N1701" s="290">
        <v>945</v>
      </c>
      <c r="O1701" s="290">
        <v>141</v>
      </c>
      <c r="P1701" s="290">
        <v>1166</v>
      </c>
      <c r="Q1701" s="290">
        <v>11100</v>
      </c>
      <c r="R1701" s="12" t="s">
        <v>4858</v>
      </c>
      <c r="S1701" s="12" t="s">
        <v>25</v>
      </c>
      <c r="T1701" s="12" t="s">
        <v>25</v>
      </c>
    </row>
    <row r="1702" spans="1:20" x14ac:dyDescent="0.3">
      <c r="A1702" s="13">
        <v>43965.708333333336</v>
      </c>
      <c r="B1702" s="12" t="s">
        <v>22</v>
      </c>
      <c r="C1702" s="290">
        <v>5</v>
      </c>
      <c r="D1702" s="12" t="s">
        <v>61</v>
      </c>
      <c r="E1702" s="290">
        <v>4543490485</v>
      </c>
      <c r="F1702" s="290">
        <v>1233845213</v>
      </c>
      <c r="G1702" s="290">
        <v>342</v>
      </c>
      <c r="H1702" s="290">
        <v>26</v>
      </c>
      <c r="I1702" s="290">
        <v>368</v>
      </c>
      <c r="J1702" s="290">
        <v>4350</v>
      </c>
      <c r="K1702" s="290">
        <v>4718</v>
      </c>
      <c r="L1702" s="290">
        <v>-302</v>
      </c>
      <c r="M1702" s="290">
        <v>32</v>
      </c>
      <c r="N1702" s="290">
        <v>12384</v>
      </c>
      <c r="O1702" s="290">
        <v>1743</v>
      </c>
      <c r="P1702" s="290">
        <v>18845</v>
      </c>
      <c r="Q1702" s="290">
        <v>474488</v>
      </c>
      <c r="R1702" s="12" t="s">
        <v>4859</v>
      </c>
      <c r="S1702" s="12" t="s">
        <v>25</v>
      </c>
      <c r="T1702" s="12" t="s">
        <v>25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323BE1-A73A-4B3E-A39D-9FF5F0128F57}">
  <dimension ref="B1:NN186"/>
  <sheetViews>
    <sheetView tabSelected="1" zoomScale="25" zoomScaleNormal="25" workbookViewId="0"/>
  </sheetViews>
  <sheetFormatPr defaultRowHeight="14.4" x14ac:dyDescent="0.3"/>
  <cols>
    <col min="1" max="1" width="2.77734375" style="2" customWidth="1"/>
    <col min="2" max="2" width="15.109375" style="2" bestFit="1" customWidth="1"/>
    <col min="3" max="3" width="14" style="2" bestFit="1" customWidth="1"/>
    <col min="4" max="4" width="11.88671875" style="2" customWidth="1"/>
    <col min="5" max="5" width="15.5546875" style="2" bestFit="1" customWidth="1"/>
    <col min="6" max="6" width="14.44140625" style="2" bestFit="1" customWidth="1"/>
    <col min="7" max="7" width="10.5546875" style="86" customWidth="1"/>
    <col min="8" max="8" width="16.21875" style="2" bestFit="1" customWidth="1"/>
    <col min="9" max="9" width="9.33203125" style="2" customWidth="1"/>
    <col min="10" max="10" width="9.33203125" style="86" customWidth="1"/>
    <col min="11" max="11" width="16.21875" style="2" bestFit="1" customWidth="1"/>
    <col min="12" max="12" width="16.44140625" style="2" bestFit="1" customWidth="1"/>
    <col min="13" max="13" width="10.33203125" style="2" customWidth="1"/>
    <col min="14" max="14" width="11.5546875" style="2" customWidth="1"/>
    <col min="15" max="15" width="15.5546875" style="2" bestFit="1" customWidth="1"/>
    <col min="16" max="16" width="12.88671875" style="2" customWidth="1"/>
    <col min="17" max="17" width="12" style="86" customWidth="1"/>
    <col min="18" max="18" width="15.5546875" style="2" bestFit="1" customWidth="1"/>
    <col min="19" max="19" width="12.21875" style="2" customWidth="1"/>
    <col min="20" max="20" width="12.109375" style="2" customWidth="1"/>
    <col min="21" max="22" width="10" style="2" customWidth="1"/>
    <col min="23" max="23" width="13.6640625" style="2" customWidth="1"/>
    <col min="24" max="24" width="13.6640625" style="86" customWidth="1"/>
    <col min="25" max="25" width="16.109375" style="2" customWidth="1"/>
    <col min="26" max="26" width="13.77734375" style="2" customWidth="1"/>
    <col min="27" max="27" width="13.6640625" style="2" customWidth="1"/>
    <col min="28" max="28" width="1.77734375" style="2" customWidth="1"/>
    <col min="29" max="29" width="21.44140625" style="2" bestFit="1" customWidth="1"/>
    <col min="30" max="30" width="24.109375" style="2" bestFit="1" customWidth="1"/>
    <col min="31" max="31" width="18.44140625" style="2" bestFit="1" customWidth="1"/>
    <col min="32" max="39" width="12.44140625" style="2" customWidth="1"/>
    <col min="40" max="41" width="3.5546875" style="2" customWidth="1"/>
    <col min="42" max="42" width="3.77734375" style="2" customWidth="1"/>
    <col min="43" max="43" width="4.33203125" style="2" customWidth="1"/>
    <col min="44" max="44" width="12.44140625" style="2" customWidth="1"/>
    <col min="45" max="49" width="4.5546875" style="2" bestFit="1" customWidth="1"/>
    <col min="50" max="50" width="17.109375" style="2" customWidth="1"/>
    <col min="51" max="52" width="4.5546875" style="2" bestFit="1" customWidth="1"/>
    <col min="53" max="53" width="17.109375" style="59" customWidth="1"/>
    <col min="54" max="54" width="4.5546875" style="59" bestFit="1" customWidth="1"/>
    <col min="55" max="55" width="4.5546875" style="2" bestFit="1" customWidth="1"/>
    <col min="56" max="56" width="17.109375" style="59" customWidth="1"/>
    <col min="57" max="57" width="4.5546875" style="59" bestFit="1" customWidth="1"/>
    <col min="58" max="60" width="4.5546875" style="2" bestFit="1" customWidth="1"/>
    <col min="61" max="61" width="2.109375" style="2" customWidth="1"/>
    <col min="62" max="64" width="4.5546875" style="2" hidden="1" customWidth="1"/>
    <col min="65" max="65" width="37.33203125" style="2" customWidth="1"/>
    <col min="66" max="120" width="4.5546875" style="2" bestFit="1" customWidth="1"/>
    <col min="121" max="315" width="6" style="2" bestFit="1" customWidth="1"/>
    <col min="316" max="371" width="7.33203125" style="2" bestFit="1" customWidth="1"/>
    <col min="372" max="376" width="8.77734375" style="2" bestFit="1" customWidth="1"/>
    <col min="377" max="377" width="9.5546875" style="2" bestFit="1" customWidth="1"/>
    <col min="378" max="378" width="23.5546875" style="2" bestFit="1" customWidth="1"/>
    <col min="379" max="16384" width="8.88671875" style="2"/>
  </cols>
  <sheetData>
    <row r="1" spans="2:65" x14ac:dyDescent="0.3">
      <c r="P1" s="131"/>
      <c r="W1" s="131"/>
      <c r="AX1" s="316"/>
      <c r="AY1" s="316"/>
      <c r="BA1" s="317"/>
      <c r="BB1" s="317"/>
      <c r="BD1" s="315"/>
      <c r="BE1" s="315"/>
    </row>
    <row r="2" spans="2:65" ht="24" thickBot="1" x14ac:dyDescent="0.5">
      <c r="B2" s="302" t="s">
        <v>11</v>
      </c>
      <c r="C2" s="302"/>
      <c r="D2" s="302"/>
      <c r="E2" s="302"/>
      <c r="F2" s="302"/>
      <c r="G2" s="302"/>
      <c r="H2" s="302"/>
      <c r="I2" s="302"/>
      <c r="J2" s="302"/>
      <c r="K2" s="302"/>
      <c r="P2" s="131"/>
      <c r="S2" s="53"/>
      <c r="W2" s="131"/>
      <c r="AE2" s="56"/>
      <c r="AF2" s="305"/>
      <c r="AG2" s="305"/>
      <c r="AH2" s="305"/>
      <c r="AI2" s="305"/>
      <c r="AJ2" s="305"/>
      <c r="AX2" s="316"/>
      <c r="AY2" s="316"/>
      <c r="BA2" s="317"/>
      <c r="BB2" s="317"/>
      <c r="BD2" s="315"/>
      <c r="BE2" s="315"/>
    </row>
    <row r="3" spans="2:65" ht="17.399999999999999" customHeight="1" thickBot="1" x14ac:dyDescent="0.65">
      <c r="B3" s="11"/>
      <c r="I3" s="306"/>
      <c r="J3" s="306"/>
      <c r="K3" s="306"/>
      <c r="L3" s="306"/>
      <c r="O3" s="70"/>
      <c r="P3" s="131"/>
      <c r="Q3" s="69"/>
      <c r="S3" s="53"/>
      <c r="W3" s="131"/>
      <c r="Y3" s="19"/>
      <c r="AA3" s="296" t="s">
        <v>4813</v>
      </c>
      <c r="AB3" s="297"/>
      <c r="AC3" s="298" t="s">
        <v>4814</v>
      </c>
      <c r="AD3" s="299" t="s">
        <v>4816</v>
      </c>
      <c r="AE3" s="84" t="s">
        <v>0</v>
      </c>
      <c r="AF3" s="303" t="s">
        <v>115</v>
      </c>
      <c r="AG3" s="303"/>
      <c r="AH3" s="303"/>
      <c r="AI3" s="303"/>
      <c r="AJ3" s="303"/>
      <c r="AX3" s="319"/>
      <c r="AY3" s="319"/>
      <c r="BA3" s="318"/>
      <c r="BB3" s="318"/>
      <c r="BD3" s="320"/>
      <c r="BE3" s="320"/>
    </row>
    <row r="4" spans="2:65" ht="20.399999999999999" thickBot="1" x14ac:dyDescent="0.45">
      <c r="B4" s="304" t="s">
        <v>4773</v>
      </c>
      <c r="C4" s="304"/>
      <c r="D4" s="304"/>
      <c r="E4" s="304"/>
      <c r="F4" s="304"/>
      <c r="G4" s="304"/>
      <c r="H4" s="304"/>
      <c r="I4" s="306"/>
      <c r="J4" s="306"/>
      <c r="K4" s="306"/>
      <c r="L4" s="306"/>
      <c r="P4" s="131"/>
      <c r="S4" s="53"/>
      <c r="W4" s="131"/>
      <c r="Y4" s="37"/>
      <c r="AA4" s="324" t="s">
        <v>4815</v>
      </c>
      <c r="AB4" s="325"/>
      <c r="AC4" s="325"/>
      <c r="AD4" s="326"/>
      <c r="AE4" s="84" t="s">
        <v>4737</v>
      </c>
      <c r="AF4" s="303" t="s">
        <v>115</v>
      </c>
      <c r="AG4" s="303"/>
      <c r="AH4" s="303"/>
      <c r="AI4" s="303"/>
      <c r="AJ4" s="303"/>
      <c r="AX4" s="316"/>
      <c r="AY4" s="316"/>
      <c r="BA4" s="317"/>
      <c r="BB4" s="317"/>
      <c r="BD4" s="315"/>
      <c r="BE4" s="315"/>
    </row>
    <row r="5" spans="2:65" ht="18.600000000000001" thickTop="1" thickBot="1" x14ac:dyDescent="0.4">
      <c r="B5" s="308" t="s">
        <v>132</v>
      </c>
      <c r="C5" s="308"/>
      <c r="D5" s="308"/>
      <c r="E5" s="308"/>
      <c r="F5" s="308"/>
      <c r="G5" s="308"/>
      <c r="H5" s="118">
        <f>Start_data+pt</f>
        <v>43900.844294912233</v>
      </c>
      <c r="I5" s="306"/>
      <c r="J5" s="306"/>
      <c r="K5" s="306"/>
      <c r="L5" s="306"/>
      <c r="M5" s="309" t="s">
        <v>4770</v>
      </c>
      <c r="N5" s="309"/>
      <c r="O5" s="309"/>
      <c r="P5" s="309"/>
      <c r="Q5" s="310"/>
      <c r="R5" s="118">
        <f>Start_data+pr</f>
        <v>43906.240334693241</v>
      </c>
      <c r="S5" s="311" t="s">
        <v>4772</v>
      </c>
      <c r="T5" s="309"/>
      <c r="U5" s="309"/>
      <c r="V5" s="309"/>
      <c r="W5" s="309"/>
      <c r="X5" s="310"/>
      <c r="Y5" s="118">
        <f>Start_data+po</f>
        <v>43900.695444456083</v>
      </c>
      <c r="AA5" s="294">
        <f>1+(2*psi_r/(1/18))*TANH(phi_r)</f>
        <v>1.8487683684611336</v>
      </c>
      <c r="AC5" s="295">
        <f>_xlfn.XLOOKUP(ROUND(pr,0),Tabella8[Day],Tabella8[Date])</f>
        <v>43905</v>
      </c>
      <c r="AD5" s="63"/>
      <c r="AE5" s="84" t="s">
        <v>4738</v>
      </c>
      <c r="AF5" s="303" t="s">
        <v>4739</v>
      </c>
      <c r="AG5" s="303"/>
      <c r="AH5" s="303"/>
      <c r="AI5" s="303"/>
      <c r="AJ5" s="303"/>
      <c r="AX5" s="316"/>
      <c r="AY5" s="316"/>
      <c r="BA5" s="317"/>
      <c r="BB5" s="317"/>
      <c r="BD5" s="315"/>
      <c r="BE5" s="315"/>
    </row>
    <row r="6" spans="2:65" ht="19.2" thickTop="1" thickBot="1" x14ac:dyDescent="0.4">
      <c r="B6" s="110">
        <f ca="1">TODAY()</f>
        <v>43966</v>
      </c>
      <c r="C6" s="111">
        <f ca="1">Oggi-Start_data+1</f>
        <v>136</v>
      </c>
      <c r="D6" s="307" t="s">
        <v>304</v>
      </c>
      <c r="E6" s="307"/>
      <c r="F6" s="111">
        <v>0</v>
      </c>
      <c r="G6" s="111">
        <v>1</v>
      </c>
      <c r="H6" s="119">
        <f>pt</f>
        <v>69.844294912230211</v>
      </c>
      <c r="I6" s="306"/>
      <c r="J6" s="306"/>
      <c r="K6" s="306"/>
      <c r="L6" s="306"/>
      <c r="M6" s="309" t="s">
        <v>4771</v>
      </c>
      <c r="N6" s="309"/>
      <c r="O6" s="309"/>
      <c r="P6" s="309"/>
      <c r="Q6" s="309"/>
      <c r="R6" s="119">
        <f>pr</f>
        <v>75.240334693239092</v>
      </c>
      <c r="S6" s="309" t="s">
        <v>4771</v>
      </c>
      <c r="T6" s="309"/>
      <c r="U6" s="309"/>
      <c r="V6" s="309"/>
      <c r="W6" s="309"/>
      <c r="X6" s="309"/>
      <c r="Y6" s="119">
        <f>po</f>
        <v>69.695444456084331</v>
      </c>
      <c r="AE6" s="269" t="s">
        <v>356</v>
      </c>
      <c r="AF6" s="303" t="s">
        <v>115</v>
      </c>
      <c r="AG6" s="303"/>
      <c r="AH6" s="303"/>
      <c r="AI6" s="303"/>
      <c r="AJ6" s="303"/>
      <c r="AX6" s="323"/>
      <c r="AY6" s="323"/>
      <c r="BA6" s="321"/>
      <c r="BB6" s="321"/>
      <c r="BD6" s="322"/>
      <c r="BE6" s="322"/>
      <c r="BM6" s="80"/>
    </row>
    <row r="7" spans="2:65" ht="43.2" x14ac:dyDescent="0.3">
      <c r="B7" s="4" t="s">
        <v>9</v>
      </c>
      <c r="C7" s="4" t="s">
        <v>10</v>
      </c>
      <c r="D7" s="4" t="s">
        <v>84</v>
      </c>
      <c r="E7" s="4" t="s">
        <v>100</v>
      </c>
      <c r="F7" s="8" t="s">
        <v>291</v>
      </c>
      <c r="G7" s="8" t="s">
        <v>301</v>
      </c>
      <c r="H7" s="8" t="s">
        <v>101</v>
      </c>
      <c r="I7" s="8" t="s">
        <v>85</v>
      </c>
      <c r="J7" s="8" t="s">
        <v>302</v>
      </c>
      <c r="K7" s="8" t="s">
        <v>102</v>
      </c>
      <c r="L7" s="8" t="s">
        <v>7</v>
      </c>
      <c r="M7" s="8" t="s">
        <v>8</v>
      </c>
      <c r="N7" s="4" t="s">
        <v>4740</v>
      </c>
      <c r="O7" s="4" t="s">
        <v>103</v>
      </c>
      <c r="P7" s="8" t="s">
        <v>4741</v>
      </c>
      <c r="Q7" s="8" t="s">
        <v>4742</v>
      </c>
      <c r="R7" s="8" t="s">
        <v>104</v>
      </c>
      <c r="S7" s="8" t="s">
        <v>79</v>
      </c>
      <c r="T7" s="8" t="s">
        <v>80</v>
      </c>
      <c r="U7" s="4" t="s">
        <v>118</v>
      </c>
      <c r="V7" s="4" t="s">
        <v>105</v>
      </c>
      <c r="W7" s="8" t="s">
        <v>119</v>
      </c>
      <c r="X7" s="8" t="s">
        <v>303</v>
      </c>
      <c r="Y7" s="8" t="s">
        <v>106</v>
      </c>
      <c r="Z7" s="8" t="s">
        <v>81</v>
      </c>
      <c r="AA7" s="8" t="s">
        <v>82</v>
      </c>
      <c r="AB7" s="8"/>
      <c r="AC7" s="20" t="s">
        <v>120</v>
      </c>
      <c r="AD7" s="21" t="s">
        <v>116</v>
      </c>
      <c r="AE7" s="3"/>
      <c r="AR7" s="282" t="s">
        <v>99</v>
      </c>
      <c r="AX7" s="64"/>
      <c r="AY7" s="64"/>
      <c r="BA7" s="66"/>
      <c r="BB7" s="66"/>
      <c r="BD7" s="67"/>
      <c r="BE7" s="67"/>
      <c r="BM7" s="80"/>
    </row>
    <row r="8" spans="2:65" x14ac:dyDescent="0.3">
      <c r="B8" s="135">
        <v>43831</v>
      </c>
      <c r="C8" s="4">
        <v>1</v>
      </c>
      <c r="D8" s="141"/>
      <c r="E8" s="10">
        <f>Tabella8[[#This Row],[Italy cumulative]]*NOT(ISBLANK(Tabella8[[#This Row],[Italy cumulative]]))</f>
        <v>0</v>
      </c>
      <c r="F8" s="10">
        <f>Tabella8[[#This Row],[region fit]]+Tabella8[[#This Row],[rest of Italy fit]]</f>
        <v>0</v>
      </c>
      <c r="G8" s="72">
        <f>Tabella8[[#This Row],[Italy sum of regions]]/K_sum</f>
        <v>0</v>
      </c>
      <c r="H8" s="10">
        <f>Tabella8[[#This Row],[Italy sum of regions]]*NOT(ISBLANK(Tabella8[[#This Row],[Italy cumulative]]))</f>
        <v>0</v>
      </c>
      <c r="I8" s="132">
        <f>MAX(Kt*(TANH(psi_t*(Tabella8[[#This Row],[Day]]-pt)-phi_t)+TANH(phi_t))/(1+TANH(phi_t)),0)</f>
        <v>0</v>
      </c>
      <c r="J8" s="133">
        <f>Tabella8[[#This Row],[Italy fit]]/Kt</f>
        <v>0</v>
      </c>
      <c r="K8" s="22">
        <f>Tabella8[[#This Row],[Italy fit]]*NOT(ISBLANK(Tabella8[[#This Row],[Italy cumulative]]))</f>
        <v>0</v>
      </c>
      <c r="L8" s="10">
        <f>Tabella8[[#This Row],[Italy sum of regions]]+CI</f>
        <v>2460.5777545213355</v>
      </c>
      <c r="M8" s="10">
        <f>MAX(Tabella8[[#This Row],[Italy sum of regions]]-CI,0)</f>
        <v>0</v>
      </c>
      <c r="N8" s="139"/>
      <c r="O8" s="10">
        <f>Tabella8[[#This Row],[region data]]*NOT(ISBLANK(Tabella8[[#This Row],[region data]]))</f>
        <v>0</v>
      </c>
      <c r="P8" s="132">
        <f>MAX(Kr*(TANH(psi_r*(Tabella8[[#This Row],[Day]]-pr)-phi_r)+TANH(phi_r))/(1+TANH(phi_r)),0)</f>
        <v>0</v>
      </c>
      <c r="Q8" s="107">
        <f>Tabella8[[#This Row],[region fit]]/Kr</f>
        <v>0</v>
      </c>
      <c r="R8" s="10">
        <f>Tabella8[[#This Row],[region fit]]*NOT(ISBLANK(Tabella8[[#This Row],[region data]]))</f>
        <v>0</v>
      </c>
      <c r="S8" s="10">
        <f>Tabella8[[#This Row],[region fit]]+CIr</f>
        <v>86.019277464869106</v>
      </c>
      <c r="T8" s="10">
        <f>MAX(Tabella8[[#This Row],[region fit]]-CIr,0)</f>
        <v>0</v>
      </c>
      <c r="U8" s="141"/>
      <c r="V8" s="10">
        <f>Tabella8[[#This Row],[rest of Italy ]]*NOT(ISBLANK(Tabella8[[#This Row],[rest of Italy ]]))</f>
        <v>0</v>
      </c>
      <c r="W8" s="132">
        <f>MAX(Ko*(TANH(psi_o*(Tabella8[[#This Row],[Day]]-po)-phi_o)+TANH(phi_o))/(1+TANH(phi_o)),0)</f>
        <v>0</v>
      </c>
      <c r="X8" s="108">
        <f>Tabella8[[#This Row],[rest of Italy fit]]/Ko</f>
        <v>0</v>
      </c>
      <c r="Y8" s="22">
        <f>Tabella8[[#This Row],[rest of Italy fit]]*NOT(ISBLANK(Tabella8[[#This Row],[rest of Italy ]]))</f>
        <v>0</v>
      </c>
      <c r="Z8" s="10">
        <f>Tabella8[[#This Row],[rest of Italy fit]]+CIo</f>
        <v>2484.3366939346993</v>
      </c>
      <c r="AA8" s="10">
        <f>MAX(Tabella8[[#This Row],[rest of Italy fit]]-CIo,0)</f>
        <v>0</v>
      </c>
      <c r="AB8" s="1"/>
      <c r="AC8" s="23"/>
      <c r="AD8" s="24"/>
      <c r="AR8" s="312"/>
      <c r="AX8" s="65"/>
      <c r="AY8" s="65"/>
      <c r="BA8" s="32"/>
      <c r="BB8" s="32"/>
      <c r="BD8" s="68"/>
      <c r="BE8" s="68"/>
    </row>
    <row r="9" spans="2:65" x14ac:dyDescent="0.3">
      <c r="B9" s="135">
        <v>43832</v>
      </c>
      <c r="C9" s="4">
        <v>2</v>
      </c>
      <c r="D9" s="141"/>
      <c r="E9" s="10">
        <f>Tabella8[[#This Row],[Italy cumulative]]*NOT(ISBLANK(Tabella8[[#This Row],[Italy cumulative]]))</f>
        <v>0</v>
      </c>
      <c r="F9" s="10">
        <f>Tabella8[[#This Row],[region fit]]+Tabella8[[#This Row],[rest of Italy fit]]</f>
        <v>0</v>
      </c>
      <c r="G9" s="72">
        <f>Tabella8[[#This Row],[Italy sum of regions]]/K_sum</f>
        <v>0</v>
      </c>
      <c r="H9" s="10">
        <f>Tabella8[[#This Row],[Italy sum of regions]]*NOT(ISBLANK(Tabella8[[#This Row],[Italy cumulative]]))</f>
        <v>0</v>
      </c>
      <c r="I9" s="132">
        <f>MAX(Kt*(TANH(psi_t*(Tabella8[[#This Row],[Day]]-pt)-phi_t)+TANH(phi_t))/(1+TANH(phi_t)),0)</f>
        <v>0</v>
      </c>
      <c r="J9" s="133">
        <f>Tabella8[[#This Row],[Italy fit]]/Kt</f>
        <v>0</v>
      </c>
      <c r="K9" s="22">
        <f>Tabella8[[#This Row],[Italy fit]]*NOT(ISBLANK(Tabella8[[#This Row],[Italy cumulative]]))</f>
        <v>0</v>
      </c>
      <c r="L9" s="10">
        <f>Tabella8[[#This Row],[Italy sum of regions]]+CI</f>
        <v>2460.5777545213355</v>
      </c>
      <c r="M9" s="10">
        <f>MAX(Tabella8[[#This Row],[Italy sum of regions]]-CI,0)</f>
        <v>0</v>
      </c>
      <c r="N9" s="139"/>
      <c r="O9" s="10">
        <f>Tabella8[[#This Row],[region data]]*NOT(ISBLANK(Tabella8[[#This Row],[region data]]))</f>
        <v>0</v>
      </c>
      <c r="P9" s="107">
        <f>MAX(Kr*(TANH(psi_r*(Tabella8[[#This Row],[Day]]-pr)-phi_r)+TANH(phi_r))/(1+TANH(phi_r)),0)</f>
        <v>0</v>
      </c>
      <c r="Q9" s="107">
        <f>Tabella8[[#This Row],[region fit]]/Kr</f>
        <v>0</v>
      </c>
      <c r="R9" s="10">
        <f>Tabella8[[#This Row],[region fit]]*NOT(ISBLANK(Tabella8[[#This Row],[region data]]))</f>
        <v>0</v>
      </c>
      <c r="S9" s="10">
        <f>Tabella8[[#This Row],[region fit]]+CIr</f>
        <v>86.019277464869106</v>
      </c>
      <c r="T9" s="10">
        <f>MAX(Tabella8[[#This Row],[region fit]]-CIr,0)</f>
        <v>0</v>
      </c>
      <c r="U9" s="141"/>
      <c r="V9" s="10">
        <f>Tabella8[[#This Row],[rest of Italy ]]*NOT(ISBLANK(Tabella8[[#This Row],[rest of Italy ]]))</f>
        <v>0</v>
      </c>
      <c r="W9" s="108">
        <f>MAX(Ko*(TANH(psi_o*(Tabella8[[#This Row],[Day]]-po)-phi_o)+TANH(phi_o))/(1+TANH(phi_o)),0)</f>
        <v>0</v>
      </c>
      <c r="X9" s="108">
        <f>Tabella8[[#This Row],[rest of Italy fit]]/Ko</f>
        <v>0</v>
      </c>
      <c r="Y9" s="22">
        <f>Tabella8[[#This Row],[rest of Italy fit]]*NOT(ISBLANK(Tabella8[[#This Row],[rest of Italy ]]))</f>
        <v>0</v>
      </c>
      <c r="Z9" s="10">
        <f>Tabella8[[#This Row],[rest of Italy fit]]+CIo</f>
        <v>2484.3366939346993</v>
      </c>
      <c r="AA9" s="10">
        <f>MAX(Tabella8[[#This Row],[rest of Italy fit]]-CIo,0)</f>
        <v>0</v>
      </c>
      <c r="AB9" s="1"/>
      <c r="AC9" s="23"/>
      <c r="AD9" s="24"/>
      <c r="AR9" s="313"/>
      <c r="AX9" s="65"/>
      <c r="AY9" s="65"/>
      <c r="BA9" s="32"/>
      <c r="BB9" s="32"/>
      <c r="BD9" s="68"/>
      <c r="BE9" s="68"/>
    </row>
    <row r="10" spans="2:65" x14ac:dyDescent="0.3">
      <c r="B10" s="135">
        <v>43833</v>
      </c>
      <c r="C10" s="4">
        <v>3</v>
      </c>
      <c r="D10" s="141"/>
      <c r="E10" s="10">
        <f>Tabella8[[#This Row],[Italy cumulative]]*NOT(ISBLANK(Tabella8[[#This Row],[Italy cumulative]]))</f>
        <v>0</v>
      </c>
      <c r="F10" s="10">
        <f>Tabella8[[#This Row],[region fit]]+Tabella8[[#This Row],[rest of Italy fit]]</f>
        <v>0</v>
      </c>
      <c r="G10" s="72">
        <f>Tabella8[[#This Row],[Italy sum of regions]]/K_sum</f>
        <v>0</v>
      </c>
      <c r="H10" s="10">
        <f>Tabella8[[#This Row],[Italy sum of regions]]*NOT(ISBLANK(Tabella8[[#This Row],[Italy cumulative]]))</f>
        <v>0</v>
      </c>
      <c r="I10" s="132">
        <f>MAX(Kt*(TANH(psi_t*(Tabella8[[#This Row],[Day]]-pt)-phi_t)+TANH(phi_t))/(1+TANH(phi_t)),0)</f>
        <v>0</v>
      </c>
      <c r="J10" s="133">
        <f>Tabella8[[#This Row],[Italy fit]]/Kt</f>
        <v>0</v>
      </c>
      <c r="K10" s="22">
        <f>Tabella8[[#This Row],[Italy fit]]*NOT(ISBLANK(Tabella8[[#This Row],[Italy cumulative]]))</f>
        <v>0</v>
      </c>
      <c r="L10" s="10">
        <f>Tabella8[[#This Row],[Italy sum of regions]]+CI</f>
        <v>2460.5777545213355</v>
      </c>
      <c r="M10" s="10">
        <f>MAX(Tabella8[[#This Row],[Italy sum of regions]]-CI,0)</f>
        <v>0</v>
      </c>
      <c r="N10" s="139"/>
      <c r="O10" s="10">
        <f>Tabella8[[#This Row],[region data]]*NOT(ISBLANK(Tabella8[[#This Row],[region data]]))</f>
        <v>0</v>
      </c>
      <c r="P10" s="107">
        <f>MAX(Kr*(TANH(psi_r*(Tabella8[[#This Row],[Day]]-pr)-phi_r)+TANH(phi_r))/(1+TANH(phi_r)),0)</f>
        <v>0</v>
      </c>
      <c r="Q10" s="107">
        <f>Tabella8[[#This Row],[region fit]]/Kr</f>
        <v>0</v>
      </c>
      <c r="R10" s="10">
        <f>Tabella8[[#This Row],[region fit]]*NOT(ISBLANK(Tabella8[[#This Row],[region data]]))</f>
        <v>0</v>
      </c>
      <c r="S10" s="10">
        <f>Tabella8[[#This Row],[region fit]]+CIr</f>
        <v>86.019277464869106</v>
      </c>
      <c r="T10" s="10">
        <f>MAX(Tabella8[[#This Row],[region fit]]-CIr,0)</f>
        <v>0</v>
      </c>
      <c r="U10" s="141"/>
      <c r="V10" s="10">
        <f>Tabella8[[#This Row],[rest of Italy ]]*NOT(ISBLANK(Tabella8[[#This Row],[rest of Italy ]]))</f>
        <v>0</v>
      </c>
      <c r="W10" s="108">
        <f>MAX(Ko*(TANH(psi_o*(Tabella8[[#This Row],[Day]]-po)-phi_o)+TANH(phi_o))/(1+TANH(phi_o)),0)</f>
        <v>0</v>
      </c>
      <c r="X10" s="108">
        <f>Tabella8[[#This Row],[rest of Italy fit]]/Ko</f>
        <v>0</v>
      </c>
      <c r="Y10" s="22">
        <f>Tabella8[[#This Row],[rest of Italy fit]]*NOT(ISBLANK(Tabella8[[#This Row],[rest of Italy ]]))</f>
        <v>0</v>
      </c>
      <c r="Z10" s="10">
        <f>Tabella8[[#This Row],[rest of Italy fit]]+CIo</f>
        <v>2484.3366939346993</v>
      </c>
      <c r="AA10" s="10">
        <f>MAX(Tabella8[[#This Row],[rest of Italy fit]]-CIo,0)</f>
        <v>0</v>
      </c>
      <c r="AB10" s="1"/>
      <c r="AC10" s="23"/>
      <c r="AD10" s="24"/>
      <c r="AR10" s="313"/>
      <c r="AX10" s="65"/>
      <c r="AY10" s="65"/>
      <c r="BA10" s="32"/>
      <c r="BB10" s="32"/>
      <c r="BD10" s="68"/>
      <c r="BE10" s="68"/>
    </row>
    <row r="11" spans="2:65" x14ac:dyDescent="0.3">
      <c r="B11" s="135">
        <v>43834</v>
      </c>
      <c r="C11" s="4">
        <v>4</v>
      </c>
      <c r="D11" s="141"/>
      <c r="E11" s="10">
        <f>Tabella8[[#This Row],[Italy cumulative]]*NOT(ISBLANK(Tabella8[[#This Row],[Italy cumulative]]))</f>
        <v>0</v>
      </c>
      <c r="F11" s="10">
        <f>Tabella8[[#This Row],[region fit]]+Tabella8[[#This Row],[rest of Italy fit]]</f>
        <v>0</v>
      </c>
      <c r="G11" s="72">
        <f>Tabella8[[#This Row],[Italy sum of regions]]/K_sum</f>
        <v>0</v>
      </c>
      <c r="H11" s="10">
        <f>Tabella8[[#This Row],[Italy sum of regions]]*NOT(ISBLANK(Tabella8[[#This Row],[Italy cumulative]]))</f>
        <v>0</v>
      </c>
      <c r="I11" s="132">
        <f>MAX(Kt*(TANH(psi_t*(Tabella8[[#This Row],[Day]]-pt)-phi_t)+TANH(phi_t))/(1+TANH(phi_t)),0)</f>
        <v>0</v>
      </c>
      <c r="J11" s="133">
        <f>Tabella8[[#This Row],[Italy fit]]/Kt</f>
        <v>0</v>
      </c>
      <c r="K11" s="22">
        <f>Tabella8[[#This Row],[Italy fit]]*NOT(ISBLANK(Tabella8[[#This Row],[Italy cumulative]]))</f>
        <v>0</v>
      </c>
      <c r="L11" s="10">
        <f>Tabella8[[#This Row],[Italy sum of regions]]+CI</f>
        <v>2460.5777545213355</v>
      </c>
      <c r="M11" s="10">
        <f>MAX(Tabella8[[#This Row],[Italy sum of regions]]-CI,0)</f>
        <v>0</v>
      </c>
      <c r="N11" s="139"/>
      <c r="O11" s="10">
        <f>Tabella8[[#This Row],[region data]]*NOT(ISBLANK(Tabella8[[#This Row],[region data]]))</f>
        <v>0</v>
      </c>
      <c r="P11" s="107">
        <f>MAX(Kr*(TANH(psi_r*(Tabella8[[#This Row],[Day]]-pr)-phi_r)+TANH(phi_r))/(1+TANH(phi_r)),0)</f>
        <v>0</v>
      </c>
      <c r="Q11" s="107">
        <f>Tabella8[[#This Row],[region fit]]/Kr</f>
        <v>0</v>
      </c>
      <c r="R11" s="10">
        <f>Tabella8[[#This Row],[region fit]]*NOT(ISBLANK(Tabella8[[#This Row],[region data]]))</f>
        <v>0</v>
      </c>
      <c r="S11" s="10">
        <f>Tabella8[[#This Row],[region fit]]+CIr</f>
        <v>86.019277464869106</v>
      </c>
      <c r="T11" s="10">
        <f>MAX(Tabella8[[#This Row],[region fit]]-CIr,0)</f>
        <v>0</v>
      </c>
      <c r="U11" s="141"/>
      <c r="V11" s="10">
        <f>Tabella8[[#This Row],[rest of Italy ]]*NOT(ISBLANK(Tabella8[[#This Row],[rest of Italy ]]))</f>
        <v>0</v>
      </c>
      <c r="W11" s="108">
        <f>MAX(Ko*(TANH(psi_o*(Tabella8[[#This Row],[Day]]-po)-phi_o)+TANH(phi_o))/(1+TANH(phi_o)),0)</f>
        <v>0</v>
      </c>
      <c r="X11" s="108">
        <f>Tabella8[[#This Row],[rest of Italy fit]]/Ko</f>
        <v>0</v>
      </c>
      <c r="Y11" s="22">
        <f>Tabella8[[#This Row],[rest of Italy fit]]*NOT(ISBLANK(Tabella8[[#This Row],[rest of Italy ]]))</f>
        <v>0</v>
      </c>
      <c r="Z11" s="10">
        <f>Tabella8[[#This Row],[rest of Italy fit]]+CIo</f>
        <v>2484.3366939346993</v>
      </c>
      <c r="AA11" s="10">
        <f>MAX(Tabella8[[#This Row],[rest of Italy fit]]-CIo,0)</f>
        <v>0</v>
      </c>
      <c r="AB11" s="1"/>
      <c r="AC11" s="25" t="s">
        <v>1</v>
      </c>
      <c r="AD11" s="26">
        <f>AVERAGE(Tabella8[Italy cumulative])</f>
        <v>48666.01234567901</v>
      </c>
      <c r="AR11" s="313"/>
      <c r="AX11" s="65"/>
      <c r="AY11" s="65"/>
      <c r="BA11" s="32"/>
      <c r="BB11" s="32"/>
      <c r="BD11" s="68"/>
      <c r="BE11" s="68"/>
    </row>
    <row r="12" spans="2:65" x14ac:dyDescent="0.3">
      <c r="B12" s="135">
        <v>43835</v>
      </c>
      <c r="C12" s="4">
        <v>5</v>
      </c>
      <c r="D12" s="141"/>
      <c r="E12" s="10">
        <f>Tabella8[[#This Row],[Italy cumulative]]*NOT(ISBLANK(Tabella8[[#This Row],[Italy cumulative]]))</f>
        <v>0</v>
      </c>
      <c r="F12" s="10">
        <f>Tabella8[[#This Row],[region fit]]+Tabella8[[#This Row],[rest of Italy fit]]</f>
        <v>0</v>
      </c>
      <c r="G12" s="72">
        <f>Tabella8[[#This Row],[Italy sum of regions]]/K_sum</f>
        <v>0</v>
      </c>
      <c r="H12" s="10">
        <f>Tabella8[[#This Row],[Italy sum of regions]]*NOT(ISBLANK(Tabella8[[#This Row],[Italy cumulative]]))</f>
        <v>0</v>
      </c>
      <c r="I12" s="132">
        <f>MAX(Kt*(TANH(psi_t*(Tabella8[[#This Row],[Day]]-pt)-phi_t)+TANH(phi_t))/(1+TANH(phi_t)),0)</f>
        <v>0</v>
      </c>
      <c r="J12" s="133">
        <f>Tabella8[[#This Row],[Italy fit]]/Kt</f>
        <v>0</v>
      </c>
      <c r="K12" s="22">
        <f>Tabella8[[#This Row],[Italy fit]]*NOT(ISBLANK(Tabella8[[#This Row],[Italy cumulative]]))</f>
        <v>0</v>
      </c>
      <c r="L12" s="10">
        <f>Tabella8[[#This Row],[Italy sum of regions]]+CI</f>
        <v>2460.5777545213355</v>
      </c>
      <c r="M12" s="10">
        <f>MAX(Tabella8[[#This Row],[Italy sum of regions]]-CI,0)</f>
        <v>0</v>
      </c>
      <c r="N12" s="139"/>
      <c r="O12" s="10">
        <f>Tabella8[[#This Row],[region data]]*NOT(ISBLANK(Tabella8[[#This Row],[region data]]))</f>
        <v>0</v>
      </c>
      <c r="P12" s="107">
        <f>MAX(Kr*(TANH(psi_r*(Tabella8[[#This Row],[Day]]-pr)-phi_r)+TANH(phi_r))/(1+TANH(phi_r)),0)</f>
        <v>0</v>
      </c>
      <c r="Q12" s="107">
        <f>Tabella8[[#This Row],[region fit]]/Kr</f>
        <v>0</v>
      </c>
      <c r="R12" s="10">
        <f>Tabella8[[#This Row],[region fit]]*NOT(ISBLANK(Tabella8[[#This Row],[region data]]))</f>
        <v>0</v>
      </c>
      <c r="S12" s="10">
        <f>Tabella8[[#This Row],[region fit]]+CIr</f>
        <v>86.019277464869106</v>
      </c>
      <c r="T12" s="10">
        <f>MAX(Tabella8[[#This Row],[region fit]]-CIr,0)</f>
        <v>0</v>
      </c>
      <c r="U12" s="141"/>
      <c r="V12" s="10">
        <f>Tabella8[[#This Row],[rest of Italy ]]*NOT(ISBLANK(Tabella8[[#This Row],[rest of Italy ]]))</f>
        <v>0</v>
      </c>
      <c r="W12" s="108">
        <f>MAX(Ko*(TANH(psi_o*(Tabella8[[#This Row],[Day]]-po)-phi_o)+TANH(phi_o))/(1+TANH(phi_o)),0)</f>
        <v>0</v>
      </c>
      <c r="X12" s="108">
        <f>Tabella8[[#This Row],[rest of Italy fit]]/Ko</f>
        <v>0</v>
      </c>
      <c r="Y12" s="22">
        <f>Tabella8[[#This Row],[rest of Italy fit]]*NOT(ISBLANK(Tabella8[[#This Row],[rest of Italy ]]))</f>
        <v>0</v>
      </c>
      <c r="Z12" s="10">
        <f>Tabella8[[#This Row],[rest of Italy fit]]+CIo</f>
        <v>2484.3366939346993</v>
      </c>
      <c r="AA12" s="10">
        <f>MAX(Tabella8[[#This Row],[rest of Italy fit]]-CIo,0)</f>
        <v>0</v>
      </c>
      <c r="AB12" s="1"/>
      <c r="AC12" s="25" t="s">
        <v>2</v>
      </c>
      <c r="AD12" s="26">
        <f>COUNT(Tabella8[Italy cumulative])-COUNT(AD8:AD10)</f>
        <v>81</v>
      </c>
      <c r="AR12" s="313"/>
      <c r="AX12" s="65"/>
      <c r="AY12" s="65"/>
      <c r="BA12" s="32"/>
      <c r="BB12" s="32"/>
      <c r="BD12" s="68"/>
      <c r="BE12" s="68"/>
    </row>
    <row r="13" spans="2:65" x14ac:dyDescent="0.3">
      <c r="B13" s="135">
        <v>43836</v>
      </c>
      <c r="C13" s="4">
        <v>6</v>
      </c>
      <c r="D13" s="141"/>
      <c r="E13" s="10">
        <f>Tabella8[[#This Row],[Italy cumulative]]*NOT(ISBLANK(Tabella8[[#This Row],[Italy cumulative]]))</f>
        <v>0</v>
      </c>
      <c r="F13" s="10">
        <f>Tabella8[[#This Row],[region fit]]+Tabella8[[#This Row],[rest of Italy fit]]</f>
        <v>0</v>
      </c>
      <c r="G13" s="72">
        <f>Tabella8[[#This Row],[Italy sum of regions]]/K_sum</f>
        <v>0</v>
      </c>
      <c r="H13" s="10">
        <f>Tabella8[[#This Row],[Italy sum of regions]]*NOT(ISBLANK(Tabella8[[#This Row],[Italy cumulative]]))</f>
        <v>0</v>
      </c>
      <c r="I13" s="132">
        <f>MAX(Kt*(TANH(psi_t*(Tabella8[[#This Row],[Day]]-pt)-phi_t)+TANH(phi_t))/(1+TANH(phi_t)),0)</f>
        <v>0</v>
      </c>
      <c r="J13" s="133">
        <f>Tabella8[[#This Row],[Italy fit]]/Kt</f>
        <v>0</v>
      </c>
      <c r="K13" s="22">
        <f>Tabella8[[#This Row],[Italy fit]]*NOT(ISBLANK(Tabella8[[#This Row],[Italy cumulative]]))</f>
        <v>0</v>
      </c>
      <c r="L13" s="10">
        <f>Tabella8[[#This Row],[Italy sum of regions]]+CI</f>
        <v>2460.5777545213355</v>
      </c>
      <c r="M13" s="10">
        <f>MAX(Tabella8[[#This Row],[Italy sum of regions]]-CI,0)</f>
        <v>0</v>
      </c>
      <c r="N13" s="139"/>
      <c r="O13" s="10">
        <f>Tabella8[[#This Row],[region data]]*NOT(ISBLANK(Tabella8[[#This Row],[region data]]))</f>
        <v>0</v>
      </c>
      <c r="P13" s="107">
        <f>MAX(Kr*(TANH(psi_r*(Tabella8[[#This Row],[Day]]-pr)-phi_r)+TANH(phi_r))/(1+TANH(phi_r)),0)</f>
        <v>0</v>
      </c>
      <c r="Q13" s="107">
        <f>Tabella8[[#This Row],[region fit]]/Kr</f>
        <v>0</v>
      </c>
      <c r="R13" s="10">
        <f>Tabella8[[#This Row],[region fit]]*NOT(ISBLANK(Tabella8[[#This Row],[region data]]))</f>
        <v>0</v>
      </c>
      <c r="S13" s="10">
        <f>Tabella8[[#This Row],[region fit]]+CIr</f>
        <v>86.019277464869106</v>
      </c>
      <c r="T13" s="10">
        <f>MAX(Tabella8[[#This Row],[region fit]]-CIr,0)</f>
        <v>0</v>
      </c>
      <c r="U13" s="141"/>
      <c r="V13" s="10">
        <f>Tabella8[[#This Row],[rest of Italy ]]*NOT(ISBLANK(Tabella8[[#This Row],[rest of Italy ]]))</f>
        <v>0</v>
      </c>
      <c r="W13" s="108">
        <f>MAX(Ko*(TANH(psi_o*(Tabella8[[#This Row],[Day]]-po)-phi_o)+TANH(phi_o))/(1+TANH(phi_o)),0)</f>
        <v>0</v>
      </c>
      <c r="X13" s="108">
        <f>Tabella8[[#This Row],[rest of Italy fit]]/Ko</f>
        <v>0</v>
      </c>
      <c r="Y13" s="22">
        <f>Tabella8[[#This Row],[rest of Italy fit]]*NOT(ISBLANK(Tabella8[[#This Row],[rest of Italy ]]))</f>
        <v>0</v>
      </c>
      <c r="Z13" s="10">
        <f>Tabella8[[#This Row],[rest of Italy fit]]+CIo</f>
        <v>2484.3366939346993</v>
      </c>
      <c r="AA13" s="10">
        <f>MAX(Tabella8[[#This Row],[rest of Italy fit]]-CIo,0)</f>
        <v>0</v>
      </c>
      <c r="AB13" s="1"/>
      <c r="AC13" s="25" t="s">
        <v>3</v>
      </c>
      <c r="AD13" s="27" cm="1">
        <f t="array" ref="AD13">SQRT(SUM((Tabella8[Colonna1]-Tabella8[Colonna2])^2)/df)</f>
        <v>1236.6661646677551</v>
      </c>
      <c r="AR13" s="313"/>
      <c r="AX13" s="65"/>
      <c r="AY13" s="65"/>
      <c r="BA13" s="32"/>
      <c r="BB13" s="32"/>
      <c r="BD13" s="68"/>
      <c r="BE13" s="68"/>
    </row>
    <row r="14" spans="2:65" ht="16.2" x14ac:dyDescent="0.3">
      <c r="B14" s="135">
        <v>43837</v>
      </c>
      <c r="C14" s="4">
        <v>7</v>
      </c>
      <c r="D14" s="141"/>
      <c r="E14" s="10">
        <f>Tabella8[[#This Row],[Italy cumulative]]*NOT(ISBLANK(Tabella8[[#This Row],[Italy cumulative]]))</f>
        <v>0</v>
      </c>
      <c r="F14" s="10">
        <f>Tabella8[[#This Row],[region fit]]+Tabella8[[#This Row],[rest of Italy fit]]</f>
        <v>0</v>
      </c>
      <c r="G14" s="72">
        <f>Tabella8[[#This Row],[Italy sum of regions]]/K_sum</f>
        <v>0</v>
      </c>
      <c r="H14" s="10">
        <f>Tabella8[[#This Row],[Italy sum of regions]]*NOT(ISBLANK(Tabella8[[#This Row],[Italy cumulative]]))</f>
        <v>0</v>
      </c>
      <c r="I14" s="132">
        <f>MAX(Kt*(TANH(psi_t*(Tabella8[[#This Row],[Day]]-pt)-phi_t)+TANH(phi_t))/(1+TANH(phi_t)),0)</f>
        <v>0</v>
      </c>
      <c r="J14" s="133">
        <f>Tabella8[[#This Row],[Italy fit]]/Kt</f>
        <v>0</v>
      </c>
      <c r="K14" s="22">
        <f>Tabella8[[#This Row],[Italy fit]]*NOT(ISBLANK(Tabella8[[#This Row],[Italy cumulative]]))</f>
        <v>0</v>
      </c>
      <c r="L14" s="10">
        <f>Tabella8[[#This Row],[Italy sum of regions]]+CI</f>
        <v>2460.5777545213355</v>
      </c>
      <c r="M14" s="10">
        <f>MAX(Tabella8[[#This Row],[Italy sum of regions]]-CI,0)</f>
        <v>0</v>
      </c>
      <c r="N14" s="139"/>
      <c r="O14" s="10">
        <f>Tabella8[[#This Row],[region data]]*NOT(ISBLANK(Tabella8[[#This Row],[region data]]))</f>
        <v>0</v>
      </c>
      <c r="P14" s="107">
        <f>MAX(Kr*(TANH(psi_r*(Tabella8[[#This Row],[Day]]-pr)-phi_r)+TANH(phi_r))/(1+TANH(phi_r)),0)</f>
        <v>0</v>
      </c>
      <c r="Q14" s="107">
        <f>Tabella8[[#This Row],[region fit]]/Kr</f>
        <v>0</v>
      </c>
      <c r="R14" s="10">
        <f>Tabella8[[#This Row],[region fit]]*NOT(ISBLANK(Tabella8[[#This Row],[region data]]))</f>
        <v>0</v>
      </c>
      <c r="S14" s="10">
        <f>Tabella8[[#This Row],[region fit]]+CIr</f>
        <v>86.019277464869106</v>
      </c>
      <c r="T14" s="10">
        <f>MAX(Tabella8[[#This Row],[region fit]]-CIr,0)</f>
        <v>0</v>
      </c>
      <c r="U14" s="141"/>
      <c r="V14" s="10">
        <f>Tabella8[[#This Row],[rest of Italy ]]*NOT(ISBLANK(Tabella8[[#This Row],[rest of Italy ]]))</f>
        <v>0</v>
      </c>
      <c r="W14" s="108">
        <f>MAX(Ko*(TANH(psi_o*(Tabella8[[#This Row],[Day]]-po)-phi_o)+TANH(phi_o))/(1+TANH(phi_o)),0)</f>
        <v>0</v>
      </c>
      <c r="X14" s="108">
        <f>Tabella8[[#This Row],[rest of Italy fit]]/Ko</f>
        <v>0</v>
      </c>
      <c r="Y14" s="22">
        <f>Tabella8[[#This Row],[rest of Italy fit]]*NOT(ISBLANK(Tabella8[[#This Row],[rest of Italy ]]))</f>
        <v>0</v>
      </c>
      <c r="Z14" s="10">
        <f>Tabella8[[#This Row],[rest of Italy fit]]+CIo</f>
        <v>2484.3366939346993</v>
      </c>
      <c r="AA14" s="10">
        <f>MAX(Tabella8[[#This Row],[rest of Italy fit]]-CIo,0)</f>
        <v>0</v>
      </c>
      <c r="AB14" s="1"/>
      <c r="AC14" s="25" t="s">
        <v>121</v>
      </c>
      <c r="AD14" s="28" cm="1">
        <f t="array" ref="AD14">1-SUM((Tabella8[Colonna1]-Tabella8[Colonna2])^2)/SUM((Tabella8[Colonna1]-Mean_of_y)^2)</f>
        <v>0.999691685299818</v>
      </c>
      <c r="AR14" s="313"/>
      <c r="AX14" s="65"/>
      <c r="AY14" s="65"/>
      <c r="BA14" s="32"/>
      <c r="BB14" s="32"/>
      <c r="BD14" s="68"/>
      <c r="BE14" s="68"/>
    </row>
    <row r="15" spans="2:65" x14ac:dyDescent="0.3">
      <c r="B15" s="135">
        <v>43838</v>
      </c>
      <c r="C15" s="4">
        <v>8</v>
      </c>
      <c r="D15" s="141"/>
      <c r="E15" s="10">
        <f>Tabella8[[#This Row],[Italy cumulative]]*NOT(ISBLANK(Tabella8[[#This Row],[Italy cumulative]]))</f>
        <v>0</v>
      </c>
      <c r="F15" s="10">
        <f>Tabella8[[#This Row],[region fit]]+Tabella8[[#This Row],[rest of Italy fit]]</f>
        <v>0</v>
      </c>
      <c r="G15" s="72">
        <f>Tabella8[[#This Row],[Italy sum of regions]]/K_sum</f>
        <v>0</v>
      </c>
      <c r="H15" s="10">
        <f>Tabella8[[#This Row],[Italy sum of regions]]*NOT(ISBLANK(Tabella8[[#This Row],[Italy cumulative]]))</f>
        <v>0</v>
      </c>
      <c r="I15" s="132">
        <f>MAX(Kt*(TANH(psi_t*(Tabella8[[#This Row],[Day]]-pt)-phi_t)+TANH(phi_t))/(1+TANH(phi_t)),0)</f>
        <v>0</v>
      </c>
      <c r="J15" s="133">
        <f>Tabella8[[#This Row],[Italy fit]]/Kt</f>
        <v>0</v>
      </c>
      <c r="K15" s="22">
        <f>Tabella8[[#This Row],[Italy fit]]*NOT(ISBLANK(Tabella8[[#This Row],[Italy cumulative]]))</f>
        <v>0</v>
      </c>
      <c r="L15" s="10">
        <f>Tabella8[[#This Row],[Italy sum of regions]]+CI</f>
        <v>2460.5777545213355</v>
      </c>
      <c r="M15" s="10">
        <f>MAX(Tabella8[[#This Row],[Italy sum of regions]]-CI,0)</f>
        <v>0</v>
      </c>
      <c r="N15" s="139"/>
      <c r="O15" s="10">
        <f>Tabella8[[#This Row],[region data]]*NOT(ISBLANK(Tabella8[[#This Row],[region data]]))</f>
        <v>0</v>
      </c>
      <c r="P15" s="107">
        <f>MAX(Kr*(TANH(psi_r*(Tabella8[[#This Row],[Day]]-pr)-phi_r)+TANH(phi_r))/(1+TANH(phi_r)),0)</f>
        <v>0</v>
      </c>
      <c r="Q15" s="107">
        <f>Tabella8[[#This Row],[region fit]]/Kr</f>
        <v>0</v>
      </c>
      <c r="R15" s="10">
        <f>Tabella8[[#This Row],[region fit]]*NOT(ISBLANK(Tabella8[[#This Row],[region data]]))</f>
        <v>0</v>
      </c>
      <c r="S15" s="10">
        <f>Tabella8[[#This Row],[region fit]]+CIr</f>
        <v>86.019277464869106</v>
      </c>
      <c r="T15" s="10">
        <f>MAX(Tabella8[[#This Row],[region fit]]-CIr,0)</f>
        <v>0</v>
      </c>
      <c r="U15" s="141"/>
      <c r="V15" s="10">
        <f>Tabella8[[#This Row],[rest of Italy ]]*NOT(ISBLANK(Tabella8[[#This Row],[rest of Italy ]]))</f>
        <v>0</v>
      </c>
      <c r="W15" s="108">
        <f>MAX(Ko*(TANH(psi_o*(Tabella8[[#This Row],[Day]]-po)-phi_o)+TANH(phi_o))/(1+TANH(phi_o)),0)</f>
        <v>0</v>
      </c>
      <c r="X15" s="108">
        <f>Tabella8[[#This Row],[rest of Italy fit]]/Ko</f>
        <v>0</v>
      </c>
      <c r="Y15" s="22">
        <f>Tabella8[[#This Row],[rest of Italy fit]]*NOT(ISBLANK(Tabella8[[#This Row],[rest of Italy ]]))</f>
        <v>0</v>
      </c>
      <c r="Z15" s="10">
        <f>Tabella8[[#This Row],[rest of Italy fit]]+CIo</f>
        <v>2484.3366939346993</v>
      </c>
      <c r="AA15" s="10">
        <f>MAX(Tabella8[[#This Row],[rest of Italy fit]]-CIo,0)</f>
        <v>0</v>
      </c>
      <c r="AB15" s="1"/>
      <c r="AC15" s="25" t="s">
        <v>5</v>
      </c>
      <c r="AD15" s="28">
        <f>TINV(0.05,df)</f>
        <v>1.9896863234569038</v>
      </c>
      <c r="AR15" s="313"/>
      <c r="AX15" s="65"/>
      <c r="AY15" s="65"/>
      <c r="BA15" s="32"/>
      <c r="BB15" s="32"/>
      <c r="BD15" s="68"/>
      <c r="BE15" s="68"/>
    </row>
    <row r="16" spans="2:65" x14ac:dyDescent="0.3">
      <c r="B16" s="135">
        <v>43839</v>
      </c>
      <c r="C16" s="4">
        <v>9</v>
      </c>
      <c r="D16" s="141"/>
      <c r="E16" s="10">
        <f>Tabella8[[#This Row],[Italy cumulative]]*NOT(ISBLANK(Tabella8[[#This Row],[Italy cumulative]]))</f>
        <v>0</v>
      </c>
      <c r="F16" s="10">
        <f>Tabella8[[#This Row],[region fit]]+Tabella8[[#This Row],[rest of Italy fit]]</f>
        <v>0</v>
      </c>
      <c r="G16" s="72">
        <f>Tabella8[[#This Row],[Italy sum of regions]]/K_sum</f>
        <v>0</v>
      </c>
      <c r="H16" s="10">
        <f>Tabella8[[#This Row],[Italy sum of regions]]*NOT(ISBLANK(Tabella8[[#This Row],[Italy cumulative]]))</f>
        <v>0</v>
      </c>
      <c r="I16" s="132">
        <f>MAX(Kt*(TANH(psi_t*(Tabella8[[#This Row],[Day]]-pt)-phi_t)+TANH(phi_t))/(1+TANH(phi_t)),0)</f>
        <v>0</v>
      </c>
      <c r="J16" s="133">
        <f>Tabella8[[#This Row],[Italy fit]]/Kt</f>
        <v>0</v>
      </c>
      <c r="K16" s="22">
        <f>Tabella8[[#This Row],[Italy fit]]*NOT(ISBLANK(Tabella8[[#This Row],[Italy cumulative]]))</f>
        <v>0</v>
      </c>
      <c r="L16" s="10">
        <f>Tabella8[[#This Row],[Italy sum of regions]]+CI</f>
        <v>2460.5777545213355</v>
      </c>
      <c r="M16" s="10">
        <f>MAX(Tabella8[[#This Row],[Italy sum of regions]]-CI,0)</f>
        <v>0</v>
      </c>
      <c r="N16" s="139"/>
      <c r="O16" s="10">
        <f>Tabella8[[#This Row],[region data]]*NOT(ISBLANK(Tabella8[[#This Row],[region data]]))</f>
        <v>0</v>
      </c>
      <c r="P16" s="107">
        <f>MAX(Kr*(TANH(psi_r*(Tabella8[[#This Row],[Day]]-pr)-phi_r)+TANH(phi_r))/(1+TANH(phi_r)),0)</f>
        <v>0</v>
      </c>
      <c r="Q16" s="107">
        <f>Tabella8[[#This Row],[region fit]]/Kr</f>
        <v>0</v>
      </c>
      <c r="R16" s="10">
        <f>Tabella8[[#This Row],[region fit]]*NOT(ISBLANK(Tabella8[[#This Row],[region data]]))</f>
        <v>0</v>
      </c>
      <c r="S16" s="10">
        <f>Tabella8[[#This Row],[region fit]]+CIr</f>
        <v>86.019277464869106</v>
      </c>
      <c r="T16" s="10">
        <f>MAX(Tabella8[[#This Row],[region fit]]-CIr,0)</f>
        <v>0</v>
      </c>
      <c r="U16" s="141"/>
      <c r="V16" s="10">
        <f>Tabella8[[#This Row],[rest of Italy ]]*NOT(ISBLANK(Tabella8[[#This Row],[rest of Italy ]]))</f>
        <v>0</v>
      </c>
      <c r="W16" s="108">
        <f>MAX(Ko*(TANH(psi_o*(Tabella8[[#This Row],[Day]]-po)-phi_o)+TANH(phi_o))/(1+TANH(phi_o)),0)</f>
        <v>0</v>
      </c>
      <c r="X16" s="108">
        <f>Tabella8[[#This Row],[rest of Italy fit]]/Ko</f>
        <v>0</v>
      </c>
      <c r="Y16" s="22">
        <f>Tabella8[[#This Row],[rest of Italy fit]]*NOT(ISBLANK(Tabella8[[#This Row],[rest of Italy ]]))</f>
        <v>0</v>
      </c>
      <c r="Z16" s="10">
        <f>Tabella8[[#This Row],[rest of Italy fit]]+CIo</f>
        <v>2484.3366939346993</v>
      </c>
      <c r="AA16" s="10">
        <f>MAX(Tabella8[[#This Row],[rest of Italy fit]]-CIo,0)</f>
        <v>0</v>
      </c>
      <c r="AB16" s="1"/>
      <c r="AC16" s="25" t="s">
        <v>6</v>
      </c>
      <c r="AD16" s="26">
        <f>Critical_t*SE_of_y</f>
        <v>2460.5777545213355</v>
      </c>
      <c r="AR16" s="313"/>
      <c r="AX16" s="65"/>
      <c r="AY16" s="65"/>
      <c r="BA16" s="32"/>
      <c r="BB16" s="32"/>
      <c r="BD16" s="68"/>
      <c r="BE16" s="68"/>
    </row>
    <row r="17" spans="2:57" ht="15" thickBot="1" x14ac:dyDescent="0.35">
      <c r="B17" s="135">
        <v>43840</v>
      </c>
      <c r="C17" s="4">
        <v>10</v>
      </c>
      <c r="D17" s="141"/>
      <c r="E17" s="10">
        <f>Tabella8[[#This Row],[Italy cumulative]]*NOT(ISBLANK(Tabella8[[#This Row],[Italy cumulative]]))</f>
        <v>0</v>
      </c>
      <c r="F17" s="10">
        <f>Tabella8[[#This Row],[region fit]]+Tabella8[[#This Row],[rest of Italy fit]]</f>
        <v>0</v>
      </c>
      <c r="G17" s="72">
        <f>Tabella8[[#This Row],[Italy sum of regions]]/K_sum</f>
        <v>0</v>
      </c>
      <c r="H17" s="10">
        <f>Tabella8[[#This Row],[Italy sum of regions]]*NOT(ISBLANK(Tabella8[[#This Row],[Italy cumulative]]))</f>
        <v>0</v>
      </c>
      <c r="I17" s="132">
        <f>MAX(Kt*(TANH(psi_t*(Tabella8[[#This Row],[Day]]-pt)-phi_t)+TANH(phi_t))/(1+TANH(phi_t)),0)</f>
        <v>0</v>
      </c>
      <c r="J17" s="133">
        <f>Tabella8[[#This Row],[Italy fit]]/Kt</f>
        <v>0</v>
      </c>
      <c r="K17" s="22">
        <f>Tabella8[[#This Row],[Italy fit]]*NOT(ISBLANK(Tabella8[[#This Row],[Italy cumulative]]))</f>
        <v>0</v>
      </c>
      <c r="L17" s="10">
        <f>Tabella8[[#This Row],[Italy sum of regions]]+CI</f>
        <v>2460.5777545213355</v>
      </c>
      <c r="M17" s="10">
        <f>MAX(Tabella8[[#This Row],[Italy sum of regions]]-CI,0)</f>
        <v>0</v>
      </c>
      <c r="N17" s="139"/>
      <c r="O17" s="10">
        <f>Tabella8[[#This Row],[region data]]*NOT(ISBLANK(Tabella8[[#This Row],[region data]]))</f>
        <v>0</v>
      </c>
      <c r="P17" s="107">
        <f>MAX(Kr*(TANH(psi_r*(Tabella8[[#This Row],[Day]]-pr)-phi_r)+TANH(phi_r))/(1+TANH(phi_r)),0)</f>
        <v>0</v>
      </c>
      <c r="Q17" s="107">
        <f>Tabella8[[#This Row],[region fit]]/Kr</f>
        <v>0</v>
      </c>
      <c r="R17" s="10">
        <f>Tabella8[[#This Row],[region fit]]*NOT(ISBLANK(Tabella8[[#This Row],[region data]]))</f>
        <v>0</v>
      </c>
      <c r="S17" s="10">
        <f>Tabella8[[#This Row],[region fit]]+CIr</f>
        <v>86.019277464869106</v>
      </c>
      <c r="T17" s="10">
        <f>MAX(Tabella8[[#This Row],[region fit]]-CIr,0)</f>
        <v>0</v>
      </c>
      <c r="U17" s="141"/>
      <c r="V17" s="10">
        <f>Tabella8[[#This Row],[rest of Italy ]]*NOT(ISBLANK(Tabella8[[#This Row],[rest of Italy ]]))</f>
        <v>0</v>
      </c>
      <c r="W17" s="108">
        <f>MAX(Ko*(TANH(psi_o*(Tabella8[[#This Row],[Day]]-po)-phi_o)+TANH(phi_o))/(1+TANH(phi_o)),0)</f>
        <v>0</v>
      </c>
      <c r="X17" s="108">
        <f>Tabella8[[#This Row],[rest of Italy fit]]/Ko</f>
        <v>0</v>
      </c>
      <c r="Y17" s="22">
        <f>Tabella8[[#This Row],[rest of Italy fit]]*NOT(ISBLANK(Tabella8[[#This Row],[rest of Italy ]]))</f>
        <v>0</v>
      </c>
      <c r="Z17" s="10">
        <f>Tabella8[[#This Row],[rest of Italy fit]]+CIo</f>
        <v>2484.3366939346993</v>
      </c>
      <c r="AA17" s="10">
        <f>MAX(Tabella8[[#This Row],[rest of Italy fit]]-CIo,0)</f>
        <v>0</v>
      </c>
      <c r="AB17" s="1"/>
      <c r="AC17" s="25" t="s">
        <v>130</v>
      </c>
      <c r="AD17" s="26">
        <f>Kr+Ko</f>
        <v>225000</v>
      </c>
      <c r="AR17" s="314"/>
      <c r="AX17" s="65"/>
      <c r="AY17" s="65"/>
      <c r="BA17" s="32"/>
      <c r="BB17" s="32"/>
      <c r="BD17" s="68"/>
      <c r="BE17" s="68"/>
    </row>
    <row r="18" spans="2:57" x14ac:dyDescent="0.3">
      <c r="B18" s="135">
        <v>43841</v>
      </c>
      <c r="C18" s="4">
        <v>11</v>
      </c>
      <c r="D18" s="141"/>
      <c r="E18" s="10">
        <f>Tabella8[[#This Row],[Italy cumulative]]*NOT(ISBLANK(Tabella8[[#This Row],[Italy cumulative]]))</f>
        <v>0</v>
      </c>
      <c r="F18" s="10">
        <f>Tabella8[[#This Row],[region fit]]+Tabella8[[#This Row],[rest of Italy fit]]</f>
        <v>0</v>
      </c>
      <c r="G18" s="72">
        <f>Tabella8[[#This Row],[Italy sum of regions]]/K_sum</f>
        <v>0</v>
      </c>
      <c r="H18" s="10">
        <f>Tabella8[[#This Row],[Italy sum of regions]]*NOT(ISBLANK(Tabella8[[#This Row],[Italy cumulative]]))</f>
        <v>0</v>
      </c>
      <c r="I18" s="132">
        <f>MAX(Kt*(TANH(psi_t*(Tabella8[[#This Row],[Day]]-pt)-phi_t)+TANH(phi_t))/(1+TANH(phi_t)),0)</f>
        <v>0</v>
      </c>
      <c r="J18" s="133">
        <f>Tabella8[[#This Row],[Italy fit]]/Kt</f>
        <v>0</v>
      </c>
      <c r="K18" s="22">
        <f>Tabella8[[#This Row],[Italy fit]]*NOT(ISBLANK(Tabella8[[#This Row],[Italy cumulative]]))</f>
        <v>0</v>
      </c>
      <c r="L18" s="10">
        <f>Tabella8[[#This Row],[Italy sum of regions]]+CI</f>
        <v>2460.5777545213355</v>
      </c>
      <c r="M18" s="10">
        <f>MAX(Tabella8[[#This Row],[Italy sum of regions]]-CI,0)</f>
        <v>0</v>
      </c>
      <c r="N18" s="139"/>
      <c r="O18" s="10">
        <f>Tabella8[[#This Row],[region data]]*NOT(ISBLANK(Tabella8[[#This Row],[region data]]))</f>
        <v>0</v>
      </c>
      <c r="P18" s="107">
        <f>MAX(Kr*(TANH(psi_r*(Tabella8[[#This Row],[Day]]-pr)-phi_r)+TANH(phi_r))/(1+TANH(phi_r)),0)</f>
        <v>0</v>
      </c>
      <c r="Q18" s="107">
        <f>Tabella8[[#This Row],[region fit]]/Kr</f>
        <v>0</v>
      </c>
      <c r="R18" s="10">
        <f>Tabella8[[#This Row],[region fit]]*NOT(ISBLANK(Tabella8[[#This Row],[region data]]))</f>
        <v>0</v>
      </c>
      <c r="S18" s="10">
        <f>Tabella8[[#This Row],[region fit]]+CIr</f>
        <v>86.019277464869106</v>
      </c>
      <c r="T18" s="10">
        <f>MAX(Tabella8[[#This Row],[region fit]]-CIr,0)</f>
        <v>0</v>
      </c>
      <c r="U18" s="141"/>
      <c r="V18" s="10">
        <f>Tabella8[[#This Row],[rest of Italy ]]*NOT(ISBLANK(Tabella8[[#This Row],[rest of Italy ]]))</f>
        <v>0</v>
      </c>
      <c r="W18" s="108">
        <f>MAX(Ko*(TANH(psi_o*(Tabella8[[#This Row],[Day]]-po)-phi_o)+TANH(phi_o))/(1+TANH(phi_o)),0)</f>
        <v>0</v>
      </c>
      <c r="X18" s="108">
        <f>Tabella8[[#This Row],[rest of Italy fit]]/Ko</f>
        <v>0</v>
      </c>
      <c r="Y18" s="22">
        <f>Tabella8[[#This Row],[rest of Italy fit]]*NOT(ISBLANK(Tabella8[[#This Row],[rest of Italy ]]))</f>
        <v>0</v>
      </c>
      <c r="Z18" s="10">
        <f>Tabella8[[#This Row],[rest of Italy fit]]+CIo</f>
        <v>2484.3366939346993</v>
      </c>
      <c r="AA18" s="10">
        <f>MAX(Tabella8[[#This Row],[rest of Italy fit]]-CIo,0)</f>
        <v>0</v>
      </c>
      <c r="AB18" s="1"/>
      <c r="AC18" s="29" t="s">
        <v>78</v>
      </c>
      <c r="AD18" s="2" t="s">
        <v>4741</v>
      </c>
      <c r="AR18" s="271">
        <f>MAX($AD$25)</f>
        <v>0.99980298467960627</v>
      </c>
      <c r="AX18" s="65"/>
      <c r="AY18" s="65"/>
      <c r="BA18" s="32"/>
      <c r="BB18" s="32"/>
      <c r="BD18" s="68"/>
      <c r="BE18" s="68"/>
    </row>
    <row r="19" spans="2:57" x14ac:dyDescent="0.3">
      <c r="B19" s="135">
        <v>43842</v>
      </c>
      <c r="C19" s="4">
        <v>12</v>
      </c>
      <c r="D19" s="141"/>
      <c r="E19" s="10">
        <f>Tabella8[[#This Row],[Italy cumulative]]*NOT(ISBLANK(Tabella8[[#This Row],[Italy cumulative]]))</f>
        <v>0</v>
      </c>
      <c r="F19" s="10">
        <f>Tabella8[[#This Row],[region fit]]+Tabella8[[#This Row],[rest of Italy fit]]</f>
        <v>0</v>
      </c>
      <c r="G19" s="72">
        <f>Tabella8[[#This Row],[Italy sum of regions]]/K_sum</f>
        <v>0</v>
      </c>
      <c r="H19" s="10">
        <f>Tabella8[[#This Row],[Italy sum of regions]]*NOT(ISBLANK(Tabella8[[#This Row],[Italy cumulative]]))</f>
        <v>0</v>
      </c>
      <c r="I19" s="132">
        <f>MAX(Kt*(TANH(psi_t*(Tabella8[[#This Row],[Day]]-pt)-phi_t)+TANH(phi_t))/(1+TANH(phi_t)),0)</f>
        <v>0</v>
      </c>
      <c r="J19" s="133">
        <f>Tabella8[[#This Row],[Italy fit]]/Kt</f>
        <v>0</v>
      </c>
      <c r="K19" s="22">
        <f>Tabella8[[#This Row],[Italy fit]]*NOT(ISBLANK(Tabella8[[#This Row],[Italy cumulative]]))</f>
        <v>0</v>
      </c>
      <c r="L19" s="10">
        <f>Tabella8[[#This Row],[Italy sum of regions]]+CI</f>
        <v>2460.5777545213355</v>
      </c>
      <c r="M19" s="10">
        <f>MAX(Tabella8[[#This Row],[Italy sum of regions]]-CI,0)</f>
        <v>0</v>
      </c>
      <c r="N19" s="139"/>
      <c r="O19" s="10">
        <f>Tabella8[[#This Row],[region data]]*NOT(ISBLANK(Tabella8[[#This Row],[region data]]))</f>
        <v>0</v>
      </c>
      <c r="P19" s="107">
        <f>MAX(Kr*(TANH(psi_r*(Tabella8[[#This Row],[Day]]-pr)-phi_r)+TANH(phi_r))/(1+TANH(phi_r)),0)</f>
        <v>0</v>
      </c>
      <c r="Q19" s="107">
        <f>Tabella8[[#This Row],[region fit]]/Kr</f>
        <v>0</v>
      </c>
      <c r="R19" s="10">
        <f>Tabella8[[#This Row],[region fit]]*NOT(ISBLANK(Tabella8[[#This Row],[region data]]))</f>
        <v>0</v>
      </c>
      <c r="S19" s="10">
        <f>Tabella8[[#This Row],[region fit]]+CIr</f>
        <v>86.019277464869106</v>
      </c>
      <c r="T19" s="10">
        <f>MAX(Tabella8[[#This Row],[region fit]]-CIr,0)</f>
        <v>0</v>
      </c>
      <c r="U19" s="141"/>
      <c r="V19" s="10">
        <f>Tabella8[[#This Row],[rest of Italy ]]*NOT(ISBLANK(Tabella8[[#This Row],[rest of Italy ]]))</f>
        <v>0</v>
      </c>
      <c r="W19" s="108">
        <f>MAX(Ko*(TANH(psi_o*(Tabella8[[#This Row],[Day]]-po)-phi_o)+TANH(phi_o))/(1+TANH(phi_o)),0)</f>
        <v>0</v>
      </c>
      <c r="X19" s="108">
        <f>Tabella8[[#This Row],[rest of Italy fit]]/Ko</f>
        <v>0</v>
      </c>
      <c r="Y19" s="22">
        <f>Tabella8[[#This Row],[rest of Italy fit]]*NOT(ISBLANK(Tabella8[[#This Row],[rest of Italy ]]))</f>
        <v>0</v>
      </c>
      <c r="Z19" s="10">
        <f>Tabella8[[#This Row],[rest of Italy fit]]+CIo</f>
        <v>2484.3366939346993</v>
      </c>
      <c r="AA19" s="10">
        <f>MAX(Tabella8[[#This Row],[rest of Italy fit]]-CIo,0)</f>
        <v>0</v>
      </c>
      <c r="AB19" s="1"/>
      <c r="AC19" s="14" t="s">
        <v>0</v>
      </c>
      <c r="AD19" s="5">
        <v>8970</v>
      </c>
      <c r="AR19" s="272">
        <f>COUNT($AD$19,$AD$20,$AD$21,$AD$28)</f>
        <v>4</v>
      </c>
      <c r="AX19" s="65"/>
      <c r="AY19" s="65"/>
      <c r="BA19" s="32"/>
      <c r="BB19" s="32"/>
      <c r="BD19" s="68"/>
      <c r="BE19" s="68"/>
    </row>
    <row r="20" spans="2:57" x14ac:dyDescent="0.3">
      <c r="B20" s="135">
        <v>43843</v>
      </c>
      <c r="C20" s="4">
        <v>13</v>
      </c>
      <c r="D20" s="141"/>
      <c r="E20" s="10">
        <f>Tabella8[[#This Row],[Italy cumulative]]*NOT(ISBLANK(Tabella8[[#This Row],[Italy cumulative]]))</f>
        <v>0</v>
      </c>
      <c r="F20" s="10">
        <f>Tabella8[[#This Row],[region fit]]+Tabella8[[#This Row],[rest of Italy fit]]</f>
        <v>0</v>
      </c>
      <c r="G20" s="72">
        <f>Tabella8[[#This Row],[Italy sum of regions]]/K_sum</f>
        <v>0</v>
      </c>
      <c r="H20" s="10">
        <f>Tabella8[[#This Row],[Italy sum of regions]]*NOT(ISBLANK(Tabella8[[#This Row],[Italy cumulative]]))</f>
        <v>0</v>
      </c>
      <c r="I20" s="132">
        <f>MAX(Kt*(TANH(psi_t*(Tabella8[[#This Row],[Day]]-pt)-phi_t)+TANH(phi_t))/(1+TANH(phi_t)),0)</f>
        <v>0</v>
      </c>
      <c r="J20" s="133">
        <f>Tabella8[[#This Row],[Italy fit]]/Kt</f>
        <v>0</v>
      </c>
      <c r="K20" s="22">
        <f>Tabella8[[#This Row],[Italy fit]]*NOT(ISBLANK(Tabella8[[#This Row],[Italy cumulative]]))</f>
        <v>0</v>
      </c>
      <c r="L20" s="10">
        <f>Tabella8[[#This Row],[Italy sum of regions]]+CI</f>
        <v>2460.5777545213355</v>
      </c>
      <c r="M20" s="10">
        <f>MAX(Tabella8[[#This Row],[Italy sum of regions]]-CI,0)</f>
        <v>0</v>
      </c>
      <c r="N20" s="139"/>
      <c r="O20" s="10">
        <f>Tabella8[[#This Row],[region data]]*NOT(ISBLANK(Tabella8[[#This Row],[region data]]))</f>
        <v>0</v>
      </c>
      <c r="P20" s="107">
        <f>MAX(Kr*(TANH(psi_r*(Tabella8[[#This Row],[Day]]-pr)-phi_r)+TANH(phi_r))/(1+TANH(phi_r)),0)</f>
        <v>0</v>
      </c>
      <c r="Q20" s="107">
        <f>Tabella8[[#This Row],[region fit]]/Kr</f>
        <v>0</v>
      </c>
      <c r="R20" s="10">
        <f>Tabella8[[#This Row],[region fit]]*NOT(ISBLANK(Tabella8[[#This Row],[region data]]))</f>
        <v>0</v>
      </c>
      <c r="S20" s="10">
        <f>Tabella8[[#This Row],[region fit]]+CIr</f>
        <v>86.019277464869106</v>
      </c>
      <c r="T20" s="10">
        <f>MAX(Tabella8[[#This Row],[region fit]]-CIr,0)</f>
        <v>0</v>
      </c>
      <c r="U20" s="141"/>
      <c r="V20" s="10">
        <f>Tabella8[[#This Row],[rest of Italy ]]*NOT(ISBLANK(Tabella8[[#This Row],[rest of Italy ]]))</f>
        <v>0</v>
      </c>
      <c r="W20" s="108">
        <f>MAX(Ko*(TANH(psi_o*(Tabella8[[#This Row],[Day]]-po)-phi_o)+TANH(phi_o))/(1+TANH(phi_o)),0)</f>
        <v>0</v>
      </c>
      <c r="X20" s="108">
        <f>Tabella8[[#This Row],[rest of Italy fit]]/Ko</f>
        <v>0</v>
      </c>
      <c r="Y20" s="22">
        <f>Tabella8[[#This Row],[rest of Italy fit]]*NOT(ISBLANK(Tabella8[[#This Row],[rest of Italy ]]))</f>
        <v>0</v>
      </c>
      <c r="Z20" s="10">
        <f>Tabella8[[#This Row],[rest of Italy fit]]+CIo</f>
        <v>2484.3366939346993</v>
      </c>
      <c r="AA20" s="10">
        <f>MAX(Tabella8[[#This Row],[rest of Italy fit]]-CIo,0)</f>
        <v>0</v>
      </c>
      <c r="AB20" s="1"/>
      <c r="AC20" s="85" t="s">
        <v>4713</v>
      </c>
      <c r="AD20" s="30">
        <v>1.2075336832034338</v>
      </c>
      <c r="AR20" s="272" t="b">
        <f>psi_r&gt;=0.000001</f>
        <v>1</v>
      </c>
      <c r="AX20" s="65"/>
      <c r="AY20" s="65"/>
      <c r="BA20" s="32"/>
      <c r="BB20" s="32"/>
      <c r="BD20" s="68"/>
      <c r="BE20" s="68"/>
    </row>
    <row r="21" spans="2:57" x14ac:dyDescent="0.3">
      <c r="B21" s="135">
        <v>43844</v>
      </c>
      <c r="C21" s="4">
        <v>14</v>
      </c>
      <c r="D21" s="141"/>
      <c r="E21" s="10">
        <f>Tabella8[[#This Row],[Italy cumulative]]*NOT(ISBLANK(Tabella8[[#This Row],[Italy cumulative]]))</f>
        <v>0</v>
      </c>
      <c r="F21" s="10">
        <f>Tabella8[[#This Row],[region fit]]+Tabella8[[#This Row],[rest of Italy fit]]</f>
        <v>0</v>
      </c>
      <c r="G21" s="72">
        <f>Tabella8[[#This Row],[Italy sum of regions]]/K_sum</f>
        <v>0</v>
      </c>
      <c r="H21" s="10">
        <f>Tabella8[[#This Row],[Italy sum of regions]]*NOT(ISBLANK(Tabella8[[#This Row],[Italy cumulative]]))</f>
        <v>0</v>
      </c>
      <c r="I21" s="132">
        <f>MAX(Kt*(TANH(psi_t*(Tabella8[[#This Row],[Day]]-pt)-phi_t)+TANH(phi_t))/(1+TANH(phi_t)),0)</f>
        <v>0</v>
      </c>
      <c r="J21" s="133">
        <f>Tabella8[[#This Row],[Italy fit]]/Kt</f>
        <v>0</v>
      </c>
      <c r="K21" s="22">
        <f>Tabella8[[#This Row],[Italy fit]]*NOT(ISBLANK(Tabella8[[#This Row],[Italy cumulative]]))</f>
        <v>0</v>
      </c>
      <c r="L21" s="10">
        <f>Tabella8[[#This Row],[Italy sum of regions]]+CI</f>
        <v>2460.5777545213355</v>
      </c>
      <c r="M21" s="10">
        <f>MAX(Tabella8[[#This Row],[Italy sum of regions]]-CI,0)</f>
        <v>0</v>
      </c>
      <c r="N21" s="139"/>
      <c r="O21" s="10">
        <f>Tabella8[[#This Row],[region data]]*NOT(ISBLANK(Tabella8[[#This Row],[region data]]))</f>
        <v>0</v>
      </c>
      <c r="P21" s="107">
        <f>MAX(Kr*(TANH(psi_r*(Tabella8[[#This Row],[Day]]-pr)-phi_r)+TANH(phi_r))/(1+TANH(phi_r)),0)</f>
        <v>0</v>
      </c>
      <c r="Q21" s="107">
        <f>Tabella8[[#This Row],[region fit]]/Kr</f>
        <v>0</v>
      </c>
      <c r="R21" s="10">
        <f>Tabella8[[#This Row],[region fit]]*NOT(ISBLANK(Tabella8[[#This Row],[region data]]))</f>
        <v>0</v>
      </c>
      <c r="S21" s="10">
        <f>Tabella8[[#This Row],[region fit]]+CIr</f>
        <v>86.019277464869106</v>
      </c>
      <c r="T21" s="10">
        <f>MAX(Tabella8[[#This Row],[region fit]]-CIr,0)</f>
        <v>0</v>
      </c>
      <c r="U21" s="141"/>
      <c r="V21" s="10">
        <f>Tabella8[[#This Row],[rest of Italy ]]*NOT(ISBLANK(Tabella8[[#This Row],[rest of Italy ]]))</f>
        <v>0</v>
      </c>
      <c r="W21" s="108">
        <f>MAX(Ko*(TANH(psi_o*(Tabella8[[#This Row],[Day]]-po)-phi_o)+TANH(phi_o))/(1+TANH(phi_o)),0)</f>
        <v>0</v>
      </c>
      <c r="X21" s="108">
        <f>Tabella8[[#This Row],[rest of Italy fit]]/Ko</f>
        <v>0</v>
      </c>
      <c r="Y21" s="22">
        <f>Tabella8[[#This Row],[rest of Italy fit]]*NOT(ISBLANK(Tabella8[[#This Row],[rest of Italy ]]))</f>
        <v>0</v>
      </c>
      <c r="Z21" s="10">
        <f>Tabella8[[#This Row],[rest of Italy fit]]+CIo</f>
        <v>2484.3366939346993</v>
      </c>
      <c r="AA21" s="10">
        <f>MAX(Tabella8[[#This Row],[rest of Italy fit]]-CIo,0)</f>
        <v>0</v>
      </c>
      <c r="AB21" s="1"/>
      <c r="AC21" s="14" t="s">
        <v>4714</v>
      </c>
      <c r="AD21" s="30">
        <v>2.8204119209330664E-2</v>
      </c>
      <c r="AR21" s="272">
        <f>{32767;32767;0.000001;0.01;FALSE;TRUE;FALSE;1;2;1;0.0001;TRUE}</f>
        <v>32767</v>
      </c>
      <c r="AX21" s="65"/>
      <c r="AY21" s="65"/>
      <c r="BA21" s="32"/>
      <c r="BB21" s="32"/>
      <c r="BD21" s="68"/>
      <c r="BE21" s="68"/>
    </row>
    <row r="22" spans="2:57" x14ac:dyDescent="0.3">
      <c r="B22" s="135">
        <v>43845</v>
      </c>
      <c r="C22" s="4">
        <v>15</v>
      </c>
      <c r="D22" s="141"/>
      <c r="E22" s="10">
        <f>Tabella8[[#This Row],[Italy cumulative]]*NOT(ISBLANK(Tabella8[[#This Row],[Italy cumulative]]))</f>
        <v>0</v>
      </c>
      <c r="F22" s="10">
        <f>Tabella8[[#This Row],[region fit]]+Tabella8[[#This Row],[rest of Italy fit]]</f>
        <v>0</v>
      </c>
      <c r="G22" s="72">
        <f>Tabella8[[#This Row],[Italy sum of regions]]/K_sum</f>
        <v>0</v>
      </c>
      <c r="H22" s="10">
        <f>Tabella8[[#This Row],[Italy sum of regions]]*NOT(ISBLANK(Tabella8[[#This Row],[Italy cumulative]]))</f>
        <v>0</v>
      </c>
      <c r="I22" s="132">
        <f>MAX(Kt*(TANH(psi_t*(Tabella8[[#This Row],[Day]]-pt)-phi_t)+TANH(phi_t))/(1+TANH(phi_t)),0)</f>
        <v>0</v>
      </c>
      <c r="J22" s="133">
        <f>Tabella8[[#This Row],[Italy fit]]/Kt</f>
        <v>0</v>
      </c>
      <c r="K22" s="22">
        <f>Tabella8[[#This Row],[Italy fit]]*NOT(ISBLANK(Tabella8[[#This Row],[Italy cumulative]]))</f>
        <v>0</v>
      </c>
      <c r="L22" s="10">
        <f>Tabella8[[#This Row],[Italy sum of regions]]+CI</f>
        <v>2460.5777545213355</v>
      </c>
      <c r="M22" s="10">
        <f>MAX(Tabella8[[#This Row],[Italy sum of regions]]-CI,0)</f>
        <v>0</v>
      </c>
      <c r="N22" s="139"/>
      <c r="O22" s="10">
        <f>Tabella8[[#This Row],[region data]]*NOT(ISBLANK(Tabella8[[#This Row],[region data]]))</f>
        <v>0</v>
      </c>
      <c r="P22" s="107">
        <f>MAX(Kr*(TANH(psi_r*(Tabella8[[#This Row],[Day]]-pr)-phi_r)+TANH(phi_r))/(1+TANH(phi_r)),0)</f>
        <v>0</v>
      </c>
      <c r="Q22" s="107">
        <f>Tabella8[[#This Row],[region fit]]/Kr</f>
        <v>0</v>
      </c>
      <c r="R22" s="10">
        <f>Tabella8[[#This Row],[region fit]]*NOT(ISBLANK(Tabella8[[#This Row],[region data]]))</f>
        <v>0</v>
      </c>
      <c r="S22" s="10">
        <f>Tabella8[[#This Row],[region fit]]+CIr</f>
        <v>86.019277464869106</v>
      </c>
      <c r="T22" s="10">
        <f>MAX(Tabella8[[#This Row],[region fit]]-CIr,0)</f>
        <v>0</v>
      </c>
      <c r="U22" s="141"/>
      <c r="V22" s="10">
        <f>Tabella8[[#This Row],[rest of Italy ]]*NOT(ISBLANK(Tabella8[[#This Row],[rest of Italy ]]))</f>
        <v>0</v>
      </c>
      <c r="W22" s="108">
        <f>MAX(Ko*(TANH(psi_o*(Tabella8[[#This Row],[Day]]-po)-phi_o)+TANH(phi_o))/(1+TANH(phi_o)),0)</f>
        <v>0</v>
      </c>
      <c r="X22" s="108">
        <f>Tabella8[[#This Row],[rest of Italy fit]]/Ko</f>
        <v>0</v>
      </c>
      <c r="Y22" s="22">
        <f>Tabella8[[#This Row],[rest of Italy fit]]*NOT(ISBLANK(Tabella8[[#This Row],[rest of Italy ]]))</f>
        <v>0</v>
      </c>
      <c r="Z22" s="10">
        <f>Tabella8[[#This Row],[rest of Italy fit]]+CIo</f>
        <v>2484.3366939346993</v>
      </c>
      <c r="AA22" s="10">
        <f>MAX(Tabella8[[#This Row],[rest of Italy fit]]-CIo,0)</f>
        <v>0</v>
      </c>
      <c r="AB22" s="1"/>
      <c r="AC22" s="2" t="s">
        <v>1</v>
      </c>
      <c r="AD22" s="1">
        <f>AVERAGE(Tabella8[region data])</f>
        <v>2010.641975308642</v>
      </c>
      <c r="AR22" s="272">
        <f>{0;0;1;200;0;FALSE;FALSE;0.075;0;0;FALSE;30}</f>
        <v>0</v>
      </c>
      <c r="AX22" s="65"/>
      <c r="AY22" s="65"/>
      <c r="BA22" s="32"/>
      <c r="BB22" s="32"/>
      <c r="BD22" s="68"/>
      <c r="BE22" s="68"/>
    </row>
    <row r="23" spans="2:57" x14ac:dyDescent="0.3">
      <c r="B23" s="135">
        <v>43846</v>
      </c>
      <c r="C23" s="4">
        <v>16</v>
      </c>
      <c r="D23" s="141"/>
      <c r="E23" s="10">
        <f>Tabella8[[#This Row],[Italy cumulative]]*NOT(ISBLANK(Tabella8[[#This Row],[Italy cumulative]]))</f>
        <v>0</v>
      </c>
      <c r="F23" s="10">
        <f>Tabella8[[#This Row],[region fit]]+Tabella8[[#This Row],[rest of Italy fit]]</f>
        <v>0</v>
      </c>
      <c r="G23" s="72">
        <f>Tabella8[[#This Row],[Italy sum of regions]]/K_sum</f>
        <v>0</v>
      </c>
      <c r="H23" s="10">
        <f>Tabella8[[#This Row],[Italy sum of regions]]*NOT(ISBLANK(Tabella8[[#This Row],[Italy cumulative]]))</f>
        <v>0</v>
      </c>
      <c r="I23" s="132">
        <f>MAX(Kt*(TANH(psi_t*(Tabella8[[#This Row],[Day]]-pt)-phi_t)+TANH(phi_t))/(1+TANH(phi_t)),0)</f>
        <v>0</v>
      </c>
      <c r="J23" s="133">
        <f>Tabella8[[#This Row],[Italy fit]]/Kt</f>
        <v>0</v>
      </c>
      <c r="K23" s="22">
        <f>Tabella8[[#This Row],[Italy fit]]*NOT(ISBLANK(Tabella8[[#This Row],[Italy cumulative]]))</f>
        <v>0</v>
      </c>
      <c r="L23" s="10">
        <f>Tabella8[[#This Row],[Italy sum of regions]]+CI</f>
        <v>2460.5777545213355</v>
      </c>
      <c r="M23" s="10">
        <f>MAX(Tabella8[[#This Row],[Italy sum of regions]]-CI,0)</f>
        <v>0</v>
      </c>
      <c r="N23" s="139"/>
      <c r="O23" s="10">
        <f>Tabella8[[#This Row],[region data]]*NOT(ISBLANK(Tabella8[[#This Row],[region data]]))</f>
        <v>0</v>
      </c>
      <c r="P23" s="107">
        <f>MAX(Kr*(TANH(psi_r*(Tabella8[[#This Row],[Day]]-pr)-phi_r)+TANH(phi_r))/(1+TANH(phi_r)),0)</f>
        <v>0</v>
      </c>
      <c r="Q23" s="107">
        <f>Tabella8[[#This Row],[region fit]]/Kr</f>
        <v>0</v>
      </c>
      <c r="R23" s="10">
        <f>Tabella8[[#This Row],[region fit]]*NOT(ISBLANK(Tabella8[[#This Row],[region data]]))</f>
        <v>0</v>
      </c>
      <c r="S23" s="10">
        <f>Tabella8[[#This Row],[region fit]]+CIr</f>
        <v>86.019277464869106</v>
      </c>
      <c r="T23" s="10">
        <f>MAX(Tabella8[[#This Row],[region fit]]-CIr,0)</f>
        <v>0</v>
      </c>
      <c r="U23" s="141"/>
      <c r="V23" s="10">
        <f>Tabella8[[#This Row],[rest of Italy ]]*NOT(ISBLANK(Tabella8[[#This Row],[rest of Italy ]]))</f>
        <v>0</v>
      </c>
      <c r="W23" s="108">
        <f>MAX(Ko*(TANH(psi_o*(Tabella8[[#This Row],[Day]]-po)-phi_o)+TANH(phi_o))/(1+TANH(phi_o)),0)</f>
        <v>0</v>
      </c>
      <c r="X23" s="108">
        <f>Tabella8[[#This Row],[rest of Italy fit]]/Ko</f>
        <v>0</v>
      </c>
      <c r="Y23" s="22">
        <f>Tabella8[[#This Row],[rest of Italy fit]]*NOT(ISBLANK(Tabella8[[#This Row],[rest of Italy ]]))</f>
        <v>0</v>
      </c>
      <c r="Z23" s="10">
        <f>Tabella8[[#This Row],[rest of Italy fit]]+CIo</f>
        <v>2484.3366939346993</v>
      </c>
      <c r="AA23" s="10">
        <f>MAX(Tabella8[[#This Row],[rest of Italy fit]]-CIo,0)</f>
        <v>0</v>
      </c>
      <c r="AB23" s="1"/>
      <c r="AC23" s="2" t="s">
        <v>2</v>
      </c>
      <c r="AD23" s="1">
        <f>COUNT(Tabella8[region data])-COUNT(AD19:AD21,pr)</f>
        <v>77</v>
      </c>
      <c r="AR23" s="273">
        <f>{0;0;1;200;0;FALSE;FALSE;0.075;0;0;FALSE;30}</f>
        <v>0</v>
      </c>
      <c r="AX23" s="65"/>
      <c r="AY23" s="65"/>
      <c r="BA23" s="32"/>
      <c r="BB23" s="32"/>
      <c r="BD23" s="68"/>
      <c r="BE23" s="68"/>
    </row>
    <row r="24" spans="2:57" x14ac:dyDescent="0.3">
      <c r="B24" s="135">
        <v>43847</v>
      </c>
      <c r="C24" s="4">
        <v>17</v>
      </c>
      <c r="D24" s="141"/>
      <c r="E24" s="10">
        <f>Tabella8[[#This Row],[Italy cumulative]]*NOT(ISBLANK(Tabella8[[#This Row],[Italy cumulative]]))</f>
        <v>0</v>
      </c>
      <c r="F24" s="10">
        <f>Tabella8[[#This Row],[region fit]]+Tabella8[[#This Row],[rest of Italy fit]]</f>
        <v>0</v>
      </c>
      <c r="G24" s="72">
        <f>Tabella8[[#This Row],[Italy sum of regions]]/K_sum</f>
        <v>0</v>
      </c>
      <c r="H24" s="10">
        <f>Tabella8[[#This Row],[Italy sum of regions]]*NOT(ISBLANK(Tabella8[[#This Row],[Italy cumulative]]))</f>
        <v>0</v>
      </c>
      <c r="I24" s="132">
        <f>MAX(Kt*(TANH(psi_t*(Tabella8[[#This Row],[Day]]-pt)-phi_t)+TANH(phi_t))/(1+TANH(phi_t)),0)</f>
        <v>0</v>
      </c>
      <c r="J24" s="133">
        <f>Tabella8[[#This Row],[Italy fit]]/Kt</f>
        <v>0</v>
      </c>
      <c r="K24" s="22">
        <f>Tabella8[[#This Row],[Italy fit]]*NOT(ISBLANK(Tabella8[[#This Row],[Italy cumulative]]))</f>
        <v>0</v>
      </c>
      <c r="L24" s="10">
        <f>Tabella8[[#This Row],[Italy sum of regions]]+CI</f>
        <v>2460.5777545213355</v>
      </c>
      <c r="M24" s="10">
        <f>MAX(Tabella8[[#This Row],[Italy sum of regions]]-CI,0)</f>
        <v>0</v>
      </c>
      <c r="N24" s="139"/>
      <c r="O24" s="10">
        <f>Tabella8[[#This Row],[region data]]*NOT(ISBLANK(Tabella8[[#This Row],[region data]]))</f>
        <v>0</v>
      </c>
      <c r="P24" s="107">
        <f>MAX(Kr*(TANH(psi_r*(Tabella8[[#This Row],[Day]]-pr)-phi_r)+TANH(phi_r))/(1+TANH(phi_r)),0)</f>
        <v>0</v>
      </c>
      <c r="Q24" s="107">
        <f>Tabella8[[#This Row],[region fit]]/Kr</f>
        <v>0</v>
      </c>
      <c r="R24" s="10">
        <f>Tabella8[[#This Row],[region fit]]*NOT(ISBLANK(Tabella8[[#This Row],[region data]]))</f>
        <v>0</v>
      </c>
      <c r="S24" s="10">
        <f>Tabella8[[#This Row],[region fit]]+CIr</f>
        <v>86.019277464869106</v>
      </c>
      <c r="T24" s="10">
        <f>MAX(Tabella8[[#This Row],[region fit]]-CIr,0)</f>
        <v>0</v>
      </c>
      <c r="U24" s="141"/>
      <c r="V24" s="10">
        <f>Tabella8[[#This Row],[rest of Italy ]]*NOT(ISBLANK(Tabella8[[#This Row],[rest of Italy ]]))</f>
        <v>0</v>
      </c>
      <c r="W24" s="108">
        <f>MAX(Ko*(TANH(psi_o*(Tabella8[[#This Row],[Day]]-po)-phi_o)+TANH(phi_o))/(1+TANH(phi_o)),0)</f>
        <v>0</v>
      </c>
      <c r="X24" s="108">
        <f>Tabella8[[#This Row],[rest of Italy fit]]/Ko</f>
        <v>0</v>
      </c>
      <c r="Y24" s="22">
        <f>Tabella8[[#This Row],[rest of Italy fit]]*NOT(ISBLANK(Tabella8[[#This Row],[rest of Italy ]]))</f>
        <v>0</v>
      </c>
      <c r="Z24" s="10">
        <f>Tabella8[[#This Row],[rest of Italy fit]]+CIo</f>
        <v>2484.3366939346993</v>
      </c>
      <c r="AA24" s="10">
        <f>MAX(Tabella8[[#This Row],[rest of Italy fit]]-CIo,0)</f>
        <v>0</v>
      </c>
      <c r="AB24" s="1"/>
      <c r="AC24" s="2" t="s">
        <v>3</v>
      </c>
      <c r="AD24" s="6" cm="1">
        <f t="array" ref="AD24">SQRT(SUM((Tabella8[Colonna4]-Tabella8[Colonna5])^2)/dfr)</f>
        <v>43.198537396368913</v>
      </c>
      <c r="AR24" s="270"/>
      <c r="AX24" s="65"/>
      <c r="AY24" s="65"/>
      <c r="BA24" s="32"/>
      <c r="BB24" s="32"/>
      <c r="BD24" s="68"/>
      <c r="BE24" s="68"/>
    </row>
    <row r="25" spans="2:57" ht="16.2" x14ac:dyDescent="0.3">
      <c r="B25" s="135">
        <v>43848</v>
      </c>
      <c r="C25" s="4">
        <v>18</v>
      </c>
      <c r="D25" s="141"/>
      <c r="E25" s="10">
        <f>Tabella8[[#This Row],[Italy cumulative]]*NOT(ISBLANK(Tabella8[[#This Row],[Italy cumulative]]))</f>
        <v>0</v>
      </c>
      <c r="F25" s="10">
        <f>Tabella8[[#This Row],[region fit]]+Tabella8[[#This Row],[rest of Italy fit]]</f>
        <v>0</v>
      </c>
      <c r="G25" s="72">
        <f>Tabella8[[#This Row],[Italy sum of regions]]/K_sum</f>
        <v>0</v>
      </c>
      <c r="H25" s="10">
        <f>Tabella8[[#This Row],[Italy sum of regions]]*NOT(ISBLANK(Tabella8[[#This Row],[Italy cumulative]]))</f>
        <v>0</v>
      </c>
      <c r="I25" s="132">
        <f>MAX(Kt*(TANH(psi_t*(Tabella8[[#This Row],[Day]]-pt)-phi_t)+TANH(phi_t))/(1+TANH(phi_t)),0)</f>
        <v>0</v>
      </c>
      <c r="J25" s="133">
        <f>Tabella8[[#This Row],[Italy fit]]/Kt</f>
        <v>0</v>
      </c>
      <c r="K25" s="22">
        <f>Tabella8[[#This Row],[Italy fit]]*NOT(ISBLANK(Tabella8[[#This Row],[Italy cumulative]]))</f>
        <v>0</v>
      </c>
      <c r="L25" s="10">
        <f>Tabella8[[#This Row],[Italy sum of regions]]+CI</f>
        <v>2460.5777545213355</v>
      </c>
      <c r="M25" s="10">
        <f>MAX(Tabella8[[#This Row],[Italy sum of regions]]-CI,0)</f>
        <v>0</v>
      </c>
      <c r="N25" s="139"/>
      <c r="O25" s="10">
        <f>Tabella8[[#This Row],[region data]]*NOT(ISBLANK(Tabella8[[#This Row],[region data]]))</f>
        <v>0</v>
      </c>
      <c r="P25" s="107">
        <f>MAX(Kr*(TANH(psi_r*(Tabella8[[#This Row],[Day]]-pr)-phi_r)+TANH(phi_r))/(1+TANH(phi_r)),0)</f>
        <v>0</v>
      </c>
      <c r="Q25" s="107">
        <f>Tabella8[[#This Row],[region fit]]/Kr</f>
        <v>0</v>
      </c>
      <c r="R25" s="10">
        <f>Tabella8[[#This Row],[region fit]]*NOT(ISBLANK(Tabella8[[#This Row],[region data]]))</f>
        <v>0</v>
      </c>
      <c r="S25" s="10">
        <f>Tabella8[[#This Row],[region fit]]+CIr</f>
        <v>86.019277464869106</v>
      </c>
      <c r="T25" s="10">
        <f>MAX(Tabella8[[#This Row],[region fit]]-CIr,0)</f>
        <v>0</v>
      </c>
      <c r="U25" s="141"/>
      <c r="V25" s="10">
        <f>Tabella8[[#This Row],[rest of Italy ]]*NOT(ISBLANK(Tabella8[[#This Row],[rest of Italy ]]))</f>
        <v>0</v>
      </c>
      <c r="W25" s="108">
        <f>MAX(Ko*(TANH(psi_o*(Tabella8[[#This Row],[Day]]-po)-phi_o)+TANH(phi_o))/(1+TANH(phi_o)),0)</f>
        <v>0</v>
      </c>
      <c r="X25" s="108">
        <f>Tabella8[[#This Row],[rest of Italy fit]]/Ko</f>
        <v>0</v>
      </c>
      <c r="Y25" s="22">
        <f>Tabella8[[#This Row],[rest of Italy fit]]*NOT(ISBLANK(Tabella8[[#This Row],[rest of Italy ]]))</f>
        <v>0</v>
      </c>
      <c r="Z25" s="10">
        <f>Tabella8[[#This Row],[rest of Italy fit]]+CIo</f>
        <v>2484.3366939346993</v>
      </c>
      <c r="AA25" s="10">
        <f>MAX(Tabella8[[#This Row],[rest of Italy fit]]-CIo,0)</f>
        <v>0</v>
      </c>
      <c r="AB25" s="1"/>
      <c r="AC25" s="2" t="s">
        <v>4</v>
      </c>
      <c r="AD25" s="7" cm="1">
        <f t="array" ref="AD25">1-SUM((Tabella8[Colonna4]-Tabella8[Colonna5])^2)/SUM((Tabella8[Colonna4]-Mean_of_yr)^2)</f>
        <v>0.99980298467960627</v>
      </c>
      <c r="AR25" s="274"/>
      <c r="AX25" s="65"/>
      <c r="AY25" s="65"/>
      <c r="BA25" s="32"/>
      <c r="BB25" s="32"/>
      <c r="BD25" s="68"/>
      <c r="BE25" s="68"/>
    </row>
    <row r="26" spans="2:57" x14ac:dyDescent="0.3">
      <c r="B26" s="135">
        <v>43849</v>
      </c>
      <c r="C26" s="4">
        <v>19</v>
      </c>
      <c r="D26" s="141"/>
      <c r="E26" s="10">
        <f>Tabella8[[#This Row],[Italy cumulative]]*NOT(ISBLANK(Tabella8[[#This Row],[Italy cumulative]]))</f>
        <v>0</v>
      </c>
      <c r="F26" s="10">
        <f>Tabella8[[#This Row],[region fit]]+Tabella8[[#This Row],[rest of Italy fit]]</f>
        <v>0</v>
      </c>
      <c r="G26" s="72">
        <f>Tabella8[[#This Row],[Italy sum of regions]]/K_sum</f>
        <v>0</v>
      </c>
      <c r="H26" s="10">
        <f>Tabella8[[#This Row],[Italy sum of regions]]*NOT(ISBLANK(Tabella8[[#This Row],[Italy cumulative]]))</f>
        <v>0</v>
      </c>
      <c r="I26" s="132">
        <f>MAX(Kt*(TANH(psi_t*(Tabella8[[#This Row],[Day]]-pt)-phi_t)+TANH(phi_t))/(1+TANH(phi_t)),0)</f>
        <v>0</v>
      </c>
      <c r="J26" s="133">
        <f>Tabella8[[#This Row],[Italy fit]]/Kt</f>
        <v>0</v>
      </c>
      <c r="K26" s="22">
        <f>Tabella8[[#This Row],[Italy fit]]*NOT(ISBLANK(Tabella8[[#This Row],[Italy cumulative]]))</f>
        <v>0</v>
      </c>
      <c r="L26" s="10">
        <f>Tabella8[[#This Row],[Italy sum of regions]]+CI</f>
        <v>2460.5777545213355</v>
      </c>
      <c r="M26" s="10">
        <f>MAX(Tabella8[[#This Row],[Italy sum of regions]]-CI,0)</f>
        <v>0</v>
      </c>
      <c r="N26" s="139"/>
      <c r="O26" s="10">
        <f>Tabella8[[#This Row],[region data]]*NOT(ISBLANK(Tabella8[[#This Row],[region data]]))</f>
        <v>0</v>
      </c>
      <c r="P26" s="107">
        <f>MAX(Kr*(TANH(psi_r*(Tabella8[[#This Row],[Day]]-pr)-phi_r)+TANH(phi_r))/(1+TANH(phi_r)),0)</f>
        <v>0</v>
      </c>
      <c r="Q26" s="107">
        <f>Tabella8[[#This Row],[region fit]]/Kr</f>
        <v>0</v>
      </c>
      <c r="R26" s="10">
        <f>Tabella8[[#This Row],[region fit]]*NOT(ISBLANK(Tabella8[[#This Row],[region data]]))</f>
        <v>0</v>
      </c>
      <c r="S26" s="10">
        <f>Tabella8[[#This Row],[region fit]]+CIr</f>
        <v>86.019277464869106</v>
      </c>
      <c r="T26" s="10">
        <f>MAX(Tabella8[[#This Row],[region fit]]-CIr,0)</f>
        <v>0</v>
      </c>
      <c r="U26" s="141"/>
      <c r="V26" s="10">
        <f>Tabella8[[#This Row],[rest of Italy ]]*NOT(ISBLANK(Tabella8[[#This Row],[rest of Italy ]]))</f>
        <v>0</v>
      </c>
      <c r="W26" s="108">
        <f>MAX(Ko*(TANH(psi_o*(Tabella8[[#This Row],[Day]]-po)-phi_o)+TANH(phi_o))/(1+TANH(phi_o)),0)</f>
        <v>0</v>
      </c>
      <c r="X26" s="108">
        <f>Tabella8[[#This Row],[rest of Italy fit]]/Ko</f>
        <v>0</v>
      </c>
      <c r="Y26" s="22">
        <f>Tabella8[[#This Row],[rest of Italy fit]]*NOT(ISBLANK(Tabella8[[#This Row],[rest of Italy ]]))</f>
        <v>0</v>
      </c>
      <c r="Z26" s="10">
        <f>Tabella8[[#This Row],[rest of Italy fit]]+CIo</f>
        <v>2484.3366939346993</v>
      </c>
      <c r="AA26" s="10">
        <f>MAX(Tabella8[[#This Row],[rest of Italy fit]]-CIo,0)</f>
        <v>0</v>
      </c>
      <c r="AB26" s="1"/>
      <c r="AC26" s="2" t="s">
        <v>5</v>
      </c>
      <c r="AD26" s="7">
        <f>TINV(0.05,dfr)</f>
        <v>1.9912543953883848</v>
      </c>
      <c r="AR26" s="274"/>
      <c r="AX26" s="65"/>
      <c r="AY26" s="65"/>
      <c r="BA26" s="32"/>
      <c r="BB26" s="32"/>
      <c r="BD26" s="68"/>
      <c r="BE26" s="68"/>
    </row>
    <row r="27" spans="2:57" ht="15" thickBot="1" x14ac:dyDescent="0.35">
      <c r="B27" s="135">
        <v>43850</v>
      </c>
      <c r="C27" s="4">
        <v>20</v>
      </c>
      <c r="D27" s="141"/>
      <c r="E27" s="10">
        <f>Tabella8[[#This Row],[Italy cumulative]]*NOT(ISBLANK(Tabella8[[#This Row],[Italy cumulative]]))</f>
        <v>0</v>
      </c>
      <c r="F27" s="10">
        <f>Tabella8[[#This Row],[region fit]]+Tabella8[[#This Row],[rest of Italy fit]]</f>
        <v>0</v>
      </c>
      <c r="G27" s="72">
        <f>Tabella8[[#This Row],[Italy sum of regions]]/K_sum</f>
        <v>0</v>
      </c>
      <c r="H27" s="10">
        <f>Tabella8[[#This Row],[Italy sum of regions]]*NOT(ISBLANK(Tabella8[[#This Row],[Italy cumulative]]))</f>
        <v>0</v>
      </c>
      <c r="I27" s="132">
        <f>MAX(Kt*(TANH(psi_t*(Tabella8[[#This Row],[Day]]-pt)-phi_t)+TANH(phi_t))/(1+TANH(phi_t)),0)</f>
        <v>0</v>
      </c>
      <c r="J27" s="133">
        <f>Tabella8[[#This Row],[Italy fit]]/Kt</f>
        <v>0</v>
      </c>
      <c r="K27" s="22">
        <f>Tabella8[[#This Row],[Italy fit]]*NOT(ISBLANK(Tabella8[[#This Row],[Italy cumulative]]))</f>
        <v>0</v>
      </c>
      <c r="L27" s="10">
        <f>Tabella8[[#This Row],[Italy sum of regions]]+CI</f>
        <v>2460.5777545213355</v>
      </c>
      <c r="M27" s="10">
        <f>MAX(Tabella8[[#This Row],[Italy sum of regions]]-CI,0)</f>
        <v>0</v>
      </c>
      <c r="N27" s="139"/>
      <c r="O27" s="10">
        <f>Tabella8[[#This Row],[region data]]*NOT(ISBLANK(Tabella8[[#This Row],[region data]]))</f>
        <v>0</v>
      </c>
      <c r="P27" s="107">
        <f>MAX(Kr*(TANH(psi_r*(Tabella8[[#This Row],[Day]]-pr)-phi_r)+TANH(phi_r))/(1+TANH(phi_r)),0)</f>
        <v>0</v>
      </c>
      <c r="Q27" s="107">
        <f>Tabella8[[#This Row],[region fit]]/Kr</f>
        <v>0</v>
      </c>
      <c r="R27" s="10">
        <f>Tabella8[[#This Row],[region fit]]*NOT(ISBLANK(Tabella8[[#This Row],[region data]]))</f>
        <v>0</v>
      </c>
      <c r="S27" s="10">
        <f>Tabella8[[#This Row],[region fit]]+CIr</f>
        <v>86.019277464869106</v>
      </c>
      <c r="T27" s="10">
        <f>MAX(Tabella8[[#This Row],[region fit]]-CIr,0)</f>
        <v>0</v>
      </c>
      <c r="U27" s="141"/>
      <c r="V27" s="10">
        <f>Tabella8[[#This Row],[rest of Italy ]]*NOT(ISBLANK(Tabella8[[#This Row],[rest of Italy ]]))</f>
        <v>0</v>
      </c>
      <c r="W27" s="108">
        <f>MAX(Ko*(TANH(psi_o*(Tabella8[[#This Row],[Day]]-po)-phi_o)+TANH(phi_o))/(1+TANH(phi_o)),0)</f>
        <v>0</v>
      </c>
      <c r="X27" s="108">
        <f>Tabella8[[#This Row],[rest of Italy fit]]/Ko</f>
        <v>0</v>
      </c>
      <c r="Y27" s="22">
        <f>Tabella8[[#This Row],[rest of Italy fit]]*NOT(ISBLANK(Tabella8[[#This Row],[rest of Italy ]]))</f>
        <v>0</v>
      </c>
      <c r="Z27" s="10">
        <f>Tabella8[[#This Row],[rest of Italy fit]]+CIo</f>
        <v>2484.3366939346993</v>
      </c>
      <c r="AA27" s="10">
        <f>MAX(Tabella8[[#This Row],[rest of Italy fit]]-CIo,0)</f>
        <v>0</v>
      </c>
      <c r="AB27" s="1"/>
      <c r="AC27" s="2" t="s">
        <v>6</v>
      </c>
      <c r="AD27" s="1">
        <f>Critical_tr*SE_of_yr</f>
        <v>86.019277464869106</v>
      </c>
      <c r="AR27" s="275"/>
      <c r="AX27" s="65"/>
      <c r="AY27" s="65"/>
      <c r="BA27" s="32"/>
      <c r="BB27" s="32"/>
      <c r="BD27" s="68"/>
      <c r="BE27" s="68"/>
    </row>
    <row r="28" spans="2:57" ht="15" thickTop="1" x14ac:dyDescent="0.3">
      <c r="B28" s="135">
        <v>43851</v>
      </c>
      <c r="C28" s="4">
        <v>21</v>
      </c>
      <c r="D28" s="141"/>
      <c r="E28" s="10">
        <f>Tabella8[[#This Row],[Italy cumulative]]*NOT(ISBLANK(Tabella8[[#This Row],[Italy cumulative]]))</f>
        <v>0</v>
      </c>
      <c r="F28" s="10">
        <f>Tabella8[[#This Row],[region fit]]+Tabella8[[#This Row],[rest of Italy fit]]</f>
        <v>0</v>
      </c>
      <c r="G28" s="72">
        <f>Tabella8[[#This Row],[Italy sum of regions]]/K_sum</f>
        <v>0</v>
      </c>
      <c r="H28" s="10">
        <f>Tabella8[[#This Row],[Italy sum of regions]]*NOT(ISBLANK(Tabella8[[#This Row],[Italy cumulative]]))</f>
        <v>0</v>
      </c>
      <c r="I28" s="132">
        <f>MAX(Kt*(TANH(psi_t*(Tabella8[[#This Row],[Day]]-pt)-phi_t)+TANH(phi_t))/(1+TANH(phi_t)),0)</f>
        <v>0</v>
      </c>
      <c r="J28" s="133">
        <f>Tabella8[[#This Row],[Italy fit]]/Kt</f>
        <v>0</v>
      </c>
      <c r="K28" s="22">
        <f>Tabella8[[#This Row],[Italy fit]]*NOT(ISBLANK(Tabella8[[#This Row],[Italy cumulative]]))</f>
        <v>0</v>
      </c>
      <c r="L28" s="10">
        <f>Tabella8[[#This Row],[Italy sum of regions]]+CI</f>
        <v>2460.5777545213355</v>
      </c>
      <c r="M28" s="10">
        <f>MAX(Tabella8[[#This Row],[Italy sum of regions]]-CI,0)</f>
        <v>0</v>
      </c>
      <c r="N28" s="139"/>
      <c r="O28" s="10">
        <f>Tabella8[[#This Row],[region data]]*NOT(ISBLANK(Tabella8[[#This Row],[region data]]))</f>
        <v>0</v>
      </c>
      <c r="P28" s="107">
        <f>MAX(Kr*(TANH(psi_r*(Tabella8[[#This Row],[Day]]-pr)-phi_r)+TANH(phi_r))/(1+TANH(phi_r)),0)</f>
        <v>0</v>
      </c>
      <c r="Q28" s="107">
        <f>Tabella8[[#This Row],[region fit]]/Kr</f>
        <v>0</v>
      </c>
      <c r="R28" s="10">
        <f>Tabella8[[#This Row],[region fit]]*NOT(ISBLANK(Tabella8[[#This Row],[region data]]))</f>
        <v>0</v>
      </c>
      <c r="S28" s="10">
        <f>Tabella8[[#This Row],[region fit]]+CIr</f>
        <v>86.019277464869106</v>
      </c>
      <c r="T28" s="10">
        <f>MAX(Tabella8[[#This Row],[region fit]]-CIr,0)</f>
        <v>0</v>
      </c>
      <c r="U28" s="141"/>
      <c r="V28" s="10">
        <f>Tabella8[[#This Row],[rest of Italy ]]*NOT(ISBLANK(Tabella8[[#This Row],[rest of Italy ]]))</f>
        <v>0</v>
      </c>
      <c r="W28" s="108">
        <f>MAX(Ko*(TANH(psi_o*(Tabella8[[#This Row],[Day]]-po)-phi_o)+TANH(phi_o))/(1+TANH(phi_o)),0)</f>
        <v>0</v>
      </c>
      <c r="X28" s="108">
        <f>Tabella8[[#This Row],[rest of Italy fit]]/Ko</f>
        <v>0</v>
      </c>
      <c r="Y28" s="22">
        <f>Tabella8[[#This Row],[rest of Italy fit]]*NOT(ISBLANK(Tabella8[[#This Row],[rest of Italy ]]))</f>
        <v>0</v>
      </c>
      <c r="Z28" s="10">
        <f>Tabella8[[#This Row],[rest of Italy fit]]+CIo</f>
        <v>2484.3366939346993</v>
      </c>
      <c r="AA28" s="10">
        <f>MAX(Tabella8[[#This Row],[rest of Italy fit]]-CIo,0)</f>
        <v>0</v>
      </c>
      <c r="AB28" s="1"/>
      <c r="AC28" s="60" t="s">
        <v>356</v>
      </c>
      <c r="AD28" s="136">
        <v>75.240334693239092</v>
      </c>
      <c r="AR28" s="276">
        <f>MAX($AD$36)</f>
        <v>0.99967458727096969</v>
      </c>
      <c r="AX28" s="65"/>
      <c r="AY28" s="65"/>
      <c r="BA28" s="32"/>
      <c r="BB28" s="32"/>
      <c r="BD28" s="68"/>
      <c r="BE28" s="68"/>
    </row>
    <row r="29" spans="2:57" x14ac:dyDescent="0.3">
      <c r="B29" s="134">
        <v>43852</v>
      </c>
      <c r="C29" s="4">
        <v>22</v>
      </c>
      <c r="D29" s="141"/>
      <c r="E29" s="10">
        <f>Tabella8[[#This Row],[Italy cumulative]]*NOT(ISBLANK(Tabella8[[#This Row],[Italy cumulative]]))</f>
        <v>0</v>
      </c>
      <c r="F29" s="10">
        <f>Tabella8[[#This Row],[region fit]]+Tabella8[[#This Row],[rest of Italy fit]]</f>
        <v>0</v>
      </c>
      <c r="G29" s="72">
        <f>Tabella8[[#This Row],[Italy sum of regions]]/K_sum</f>
        <v>0</v>
      </c>
      <c r="H29" s="10">
        <f>Tabella8[[#This Row],[Italy sum of regions]]*NOT(ISBLANK(Tabella8[[#This Row],[Italy cumulative]]))</f>
        <v>0</v>
      </c>
      <c r="I29" s="132">
        <f>MAX(Kt*(TANH(psi_t*(Tabella8[[#This Row],[Day]]-pt)-phi_t)+TANH(phi_t))/(1+TANH(phi_t)),0)</f>
        <v>0</v>
      </c>
      <c r="J29" s="133">
        <f>Tabella8[[#This Row],[Italy fit]]/Kt</f>
        <v>0</v>
      </c>
      <c r="K29" s="22">
        <f>Tabella8[[#This Row],[Italy fit]]*NOT(ISBLANK(Tabella8[[#This Row],[Italy cumulative]]))</f>
        <v>0</v>
      </c>
      <c r="L29" s="10">
        <f>Tabella8[[#This Row],[Italy sum of regions]]+CI</f>
        <v>2460.5777545213355</v>
      </c>
      <c r="M29" s="10">
        <f>MAX(Tabella8[[#This Row],[Italy sum of regions]]-CI,0)</f>
        <v>0</v>
      </c>
      <c r="N29" s="139"/>
      <c r="O29" s="10">
        <f>Tabella8[[#This Row],[region data]]*NOT(ISBLANK(Tabella8[[#This Row],[region data]]))</f>
        <v>0</v>
      </c>
      <c r="P29" s="107">
        <f>MAX(Kr*(TANH(psi_r*(Tabella8[[#This Row],[Day]]-pr)-phi_r)+TANH(phi_r))/(1+TANH(phi_r)),0)</f>
        <v>0</v>
      </c>
      <c r="Q29" s="107">
        <f>Tabella8[[#This Row],[region fit]]/Kr</f>
        <v>0</v>
      </c>
      <c r="R29" s="10">
        <f>Tabella8[[#This Row],[region fit]]*NOT(ISBLANK(Tabella8[[#This Row],[region data]]))</f>
        <v>0</v>
      </c>
      <c r="S29" s="10">
        <f>Tabella8[[#This Row],[region fit]]+CIr</f>
        <v>86.019277464869106</v>
      </c>
      <c r="T29" s="10">
        <f>MAX(Tabella8[[#This Row],[region fit]]-CIr,0)</f>
        <v>0</v>
      </c>
      <c r="U29" s="141"/>
      <c r="V29" s="10">
        <f>Tabella8[[#This Row],[rest of Italy ]]*NOT(ISBLANK(Tabella8[[#This Row],[rest of Italy ]]))</f>
        <v>0</v>
      </c>
      <c r="W29" s="108">
        <f>MAX(Ko*(TANH(psi_o*(Tabella8[[#This Row],[Day]]-po)-phi_o)+TANH(phi_o))/(1+TANH(phi_o)),0)</f>
        <v>0</v>
      </c>
      <c r="X29" s="108">
        <f>Tabella8[[#This Row],[rest of Italy fit]]/Ko</f>
        <v>0</v>
      </c>
      <c r="Y29" s="22">
        <f>Tabella8[[#This Row],[rest of Italy fit]]*NOT(ISBLANK(Tabella8[[#This Row],[rest of Italy ]]))</f>
        <v>0</v>
      </c>
      <c r="Z29" s="10">
        <f>Tabella8[[#This Row],[rest of Italy fit]]+CIo</f>
        <v>2484.3366939346993</v>
      </c>
      <c r="AA29" s="10">
        <f>MAX(Tabella8[[#This Row],[rest of Italy fit]]-CIo,0)</f>
        <v>0</v>
      </c>
      <c r="AB29" s="1"/>
      <c r="AC29" s="31" t="s">
        <v>83</v>
      </c>
      <c r="AD29" s="32" t="s">
        <v>122</v>
      </c>
      <c r="AR29" s="277">
        <f>COUNT($AD$30,$AD$31,$AD$32,$AD$39)</f>
        <v>4</v>
      </c>
      <c r="AX29" s="65"/>
      <c r="AY29" s="65"/>
      <c r="BA29" s="32"/>
      <c r="BB29" s="32"/>
      <c r="BD29" s="68"/>
      <c r="BE29" s="68"/>
    </row>
    <row r="30" spans="2:57" x14ac:dyDescent="0.3">
      <c r="B30" s="134">
        <v>43853</v>
      </c>
      <c r="C30" s="4">
        <v>23</v>
      </c>
      <c r="D30" s="141"/>
      <c r="E30" s="10">
        <f>Tabella8[[#This Row],[Italy cumulative]]*NOT(ISBLANK(Tabella8[[#This Row],[Italy cumulative]]))</f>
        <v>0</v>
      </c>
      <c r="F30" s="10">
        <f>Tabella8[[#This Row],[region fit]]+Tabella8[[#This Row],[rest of Italy fit]]</f>
        <v>0</v>
      </c>
      <c r="G30" s="72">
        <f>Tabella8[[#This Row],[Italy sum of regions]]/K_sum</f>
        <v>0</v>
      </c>
      <c r="H30" s="10">
        <f>Tabella8[[#This Row],[Italy sum of regions]]*NOT(ISBLANK(Tabella8[[#This Row],[Italy cumulative]]))</f>
        <v>0</v>
      </c>
      <c r="I30" s="132">
        <f>MAX(Kt*(TANH(psi_t*(Tabella8[[#This Row],[Day]]-pt)-phi_t)+TANH(phi_t))/(1+TANH(phi_t)),0)</f>
        <v>0</v>
      </c>
      <c r="J30" s="133">
        <f>Tabella8[[#This Row],[Italy fit]]/Kt</f>
        <v>0</v>
      </c>
      <c r="K30" s="22">
        <f>Tabella8[[#This Row],[Italy fit]]*NOT(ISBLANK(Tabella8[[#This Row],[Italy cumulative]]))</f>
        <v>0</v>
      </c>
      <c r="L30" s="10">
        <f>Tabella8[[#This Row],[Italy sum of regions]]+CI</f>
        <v>2460.5777545213355</v>
      </c>
      <c r="M30" s="10">
        <f>MAX(Tabella8[[#This Row],[Italy sum of regions]]-CI,0)</f>
        <v>0</v>
      </c>
      <c r="N30" s="139"/>
      <c r="O30" s="10">
        <f>Tabella8[[#This Row],[region data]]*NOT(ISBLANK(Tabella8[[#This Row],[region data]]))</f>
        <v>0</v>
      </c>
      <c r="P30" s="107">
        <f>MAX(Kr*(TANH(psi_r*(Tabella8[[#This Row],[Day]]-pr)-phi_r)+TANH(phi_r))/(1+TANH(phi_r)),0)</f>
        <v>0</v>
      </c>
      <c r="Q30" s="107">
        <f>Tabella8[[#This Row],[region fit]]/Kr</f>
        <v>0</v>
      </c>
      <c r="R30" s="10">
        <f>Tabella8[[#This Row],[region fit]]*NOT(ISBLANK(Tabella8[[#This Row],[region data]]))</f>
        <v>0</v>
      </c>
      <c r="S30" s="10">
        <f>Tabella8[[#This Row],[region fit]]+CIr</f>
        <v>86.019277464869106</v>
      </c>
      <c r="T30" s="10">
        <f>MAX(Tabella8[[#This Row],[region fit]]-CIr,0)</f>
        <v>0</v>
      </c>
      <c r="U30" s="141"/>
      <c r="V30" s="10">
        <f>Tabella8[[#This Row],[rest of Italy ]]*NOT(ISBLANK(Tabella8[[#This Row],[rest of Italy ]]))</f>
        <v>0</v>
      </c>
      <c r="W30" s="108">
        <f>MAX(Ko*(TANH(psi_o*(Tabella8[[#This Row],[Day]]-po)-phi_o)+TANH(phi_o))/(1+TANH(phi_o)),0)</f>
        <v>0</v>
      </c>
      <c r="X30" s="108">
        <f>Tabella8[[#This Row],[rest of Italy fit]]/Ko</f>
        <v>0</v>
      </c>
      <c r="Y30" s="22">
        <f>Tabella8[[#This Row],[rest of Italy fit]]*NOT(ISBLANK(Tabella8[[#This Row],[rest of Italy ]]))</f>
        <v>0</v>
      </c>
      <c r="Z30" s="10">
        <f>Tabella8[[#This Row],[rest of Italy fit]]+CIo</f>
        <v>2484.3366939346993</v>
      </c>
      <c r="AA30" s="10">
        <f>MAX(Tabella8[[#This Row],[rest of Italy fit]]-CIo,0)</f>
        <v>0</v>
      </c>
      <c r="AB30" s="1"/>
      <c r="AC30" s="14" t="s">
        <v>0</v>
      </c>
      <c r="AD30" s="5">
        <f>Kt-Kr</f>
        <v>216030</v>
      </c>
      <c r="AR30" s="277" t="b">
        <f>psi_o&gt;=0.000001</f>
        <v>1</v>
      </c>
      <c r="AX30" s="65"/>
      <c r="AY30" s="65"/>
      <c r="BA30" s="32"/>
      <c r="BB30" s="32"/>
      <c r="BD30" s="68"/>
      <c r="BE30" s="68"/>
    </row>
    <row r="31" spans="2:57" x14ac:dyDescent="0.3">
      <c r="B31" s="134">
        <v>43854</v>
      </c>
      <c r="C31" s="4">
        <v>24</v>
      </c>
      <c r="D31" s="141"/>
      <c r="E31" s="10">
        <f>Tabella8[[#This Row],[Italy cumulative]]*NOT(ISBLANK(Tabella8[[#This Row],[Italy cumulative]]))</f>
        <v>0</v>
      </c>
      <c r="F31" s="10">
        <f>Tabella8[[#This Row],[region fit]]+Tabella8[[#This Row],[rest of Italy fit]]</f>
        <v>0</v>
      </c>
      <c r="G31" s="72">
        <f>Tabella8[[#This Row],[Italy sum of regions]]/K_sum</f>
        <v>0</v>
      </c>
      <c r="H31" s="10">
        <f>Tabella8[[#This Row],[Italy sum of regions]]*NOT(ISBLANK(Tabella8[[#This Row],[Italy cumulative]]))</f>
        <v>0</v>
      </c>
      <c r="I31" s="132">
        <f>MAX(Kt*(TANH(psi_t*(Tabella8[[#This Row],[Day]]-pt)-phi_t)+TANH(phi_t))/(1+TANH(phi_t)),0)</f>
        <v>0</v>
      </c>
      <c r="J31" s="133">
        <f>Tabella8[[#This Row],[Italy fit]]/Kt</f>
        <v>0</v>
      </c>
      <c r="K31" s="22">
        <f>Tabella8[[#This Row],[Italy fit]]*NOT(ISBLANK(Tabella8[[#This Row],[Italy cumulative]]))</f>
        <v>0</v>
      </c>
      <c r="L31" s="10">
        <f>Tabella8[[#This Row],[Italy sum of regions]]+CI</f>
        <v>2460.5777545213355</v>
      </c>
      <c r="M31" s="10">
        <f>MAX(Tabella8[[#This Row],[Italy sum of regions]]-CI,0)</f>
        <v>0</v>
      </c>
      <c r="N31" s="139"/>
      <c r="O31" s="10">
        <f>Tabella8[[#This Row],[region data]]*NOT(ISBLANK(Tabella8[[#This Row],[region data]]))</f>
        <v>0</v>
      </c>
      <c r="P31" s="107">
        <f>MAX(Kr*(TANH(psi_r*(Tabella8[[#This Row],[Day]]-pr)-phi_r)+TANH(phi_r))/(1+TANH(phi_r)),0)</f>
        <v>0</v>
      </c>
      <c r="Q31" s="107">
        <f>Tabella8[[#This Row],[region fit]]/Kr</f>
        <v>0</v>
      </c>
      <c r="R31" s="10">
        <f>Tabella8[[#This Row],[region fit]]*NOT(ISBLANK(Tabella8[[#This Row],[region data]]))</f>
        <v>0</v>
      </c>
      <c r="S31" s="10">
        <f>Tabella8[[#This Row],[region fit]]+CIr</f>
        <v>86.019277464869106</v>
      </c>
      <c r="T31" s="10">
        <f>MAX(Tabella8[[#This Row],[region fit]]-CIr,0)</f>
        <v>0</v>
      </c>
      <c r="U31" s="141"/>
      <c r="V31" s="10">
        <f>Tabella8[[#This Row],[rest of Italy ]]*NOT(ISBLANK(Tabella8[[#This Row],[rest of Italy ]]))</f>
        <v>0</v>
      </c>
      <c r="W31" s="108">
        <f>MAX(Ko*(TANH(psi_o*(Tabella8[[#This Row],[Day]]-po)-phi_o)+TANH(phi_o))/(1+TANH(phi_o)),0)</f>
        <v>0</v>
      </c>
      <c r="X31" s="108">
        <f>Tabella8[[#This Row],[rest of Italy fit]]/Ko</f>
        <v>0</v>
      </c>
      <c r="Y31" s="22">
        <f>Tabella8[[#This Row],[rest of Italy fit]]*NOT(ISBLANK(Tabella8[[#This Row],[rest of Italy ]]))</f>
        <v>0</v>
      </c>
      <c r="Z31" s="10">
        <f>Tabella8[[#This Row],[rest of Italy fit]]+CIo</f>
        <v>2484.3366939346993</v>
      </c>
      <c r="AA31" s="10">
        <f>MAX(Tabella8[[#This Row],[rest of Italy fit]]-CIo,0)</f>
        <v>0</v>
      </c>
      <c r="AC31" s="85" t="s">
        <v>4713</v>
      </c>
      <c r="AD31" s="30">
        <v>1.2578511647740498</v>
      </c>
      <c r="AG31" s="1"/>
      <c r="AR31" s="277">
        <f>{32767;32767;0.000001;0.01;FALSE;FALSE;FALSE;1;2;1;0.0001;TRUE}</f>
        <v>32767</v>
      </c>
      <c r="AX31" s="65"/>
      <c r="AY31" s="65"/>
      <c r="BA31" s="32"/>
      <c r="BB31" s="32"/>
      <c r="BD31" s="68"/>
      <c r="BE31" s="68"/>
    </row>
    <row r="32" spans="2:57" x14ac:dyDescent="0.3">
      <c r="B32" s="134">
        <v>43855</v>
      </c>
      <c r="C32" s="4">
        <v>25</v>
      </c>
      <c r="D32" s="141"/>
      <c r="E32" s="10">
        <f>Tabella8[[#This Row],[Italy cumulative]]*NOT(ISBLANK(Tabella8[[#This Row],[Italy cumulative]]))</f>
        <v>0</v>
      </c>
      <c r="F32" s="10">
        <f>Tabella8[[#This Row],[region fit]]+Tabella8[[#This Row],[rest of Italy fit]]</f>
        <v>0</v>
      </c>
      <c r="G32" s="72">
        <f>Tabella8[[#This Row],[Italy sum of regions]]/K_sum</f>
        <v>0</v>
      </c>
      <c r="H32" s="10">
        <f>Tabella8[[#This Row],[Italy sum of regions]]*NOT(ISBLANK(Tabella8[[#This Row],[Italy cumulative]]))</f>
        <v>0</v>
      </c>
      <c r="I32" s="132">
        <f>MAX(Kt*(TANH(psi_t*(Tabella8[[#This Row],[Day]]-pt)-phi_t)+TANH(phi_t))/(1+TANH(phi_t)),0)</f>
        <v>0</v>
      </c>
      <c r="J32" s="133">
        <f>Tabella8[[#This Row],[Italy fit]]/Kt</f>
        <v>0</v>
      </c>
      <c r="K32" s="22">
        <f>Tabella8[[#This Row],[Italy fit]]*NOT(ISBLANK(Tabella8[[#This Row],[Italy cumulative]]))</f>
        <v>0</v>
      </c>
      <c r="L32" s="10">
        <f>Tabella8[[#This Row],[Italy sum of regions]]+CI</f>
        <v>2460.5777545213355</v>
      </c>
      <c r="M32" s="10">
        <f>MAX(Tabella8[[#This Row],[Italy sum of regions]]-CI,0)</f>
        <v>0</v>
      </c>
      <c r="N32" s="139"/>
      <c r="O32" s="10">
        <f>Tabella8[[#This Row],[region data]]*NOT(ISBLANK(Tabella8[[#This Row],[region data]]))</f>
        <v>0</v>
      </c>
      <c r="P32" s="107">
        <f>MAX(Kr*(TANH(psi_r*(Tabella8[[#This Row],[Day]]-pr)-phi_r)+TANH(phi_r))/(1+TANH(phi_r)),0)</f>
        <v>0</v>
      </c>
      <c r="Q32" s="107">
        <f>Tabella8[[#This Row],[region fit]]/Kr</f>
        <v>0</v>
      </c>
      <c r="R32" s="10">
        <f>Tabella8[[#This Row],[region fit]]*NOT(ISBLANK(Tabella8[[#This Row],[region data]]))</f>
        <v>0</v>
      </c>
      <c r="S32" s="10">
        <f>Tabella8[[#This Row],[region fit]]+CIr</f>
        <v>86.019277464869106</v>
      </c>
      <c r="T32" s="10">
        <f>MAX(Tabella8[[#This Row],[region fit]]-CIr,0)</f>
        <v>0</v>
      </c>
      <c r="U32" s="141"/>
      <c r="V32" s="10">
        <f>Tabella8[[#This Row],[rest of Italy ]]*NOT(ISBLANK(Tabella8[[#This Row],[rest of Italy ]]))</f>
        <v>0</v>
      </c>
      <c r="W32" s="108">
        <f>MAX(Ko*(TANH(psi_o*(Tabella8[[#This Row],[Day]]-po)-phi_o)+TANH(phi_o))/(1+TANH(phi_o)),0)</f>
        <v>0</v>
      </c>
      <c r="X32" s="108">
        <f>Tabella8[[#This Row],[rest of Italy fit]]/Ko</f>
        <v>0</v>
      </c>
      <c r="Y32" s="22">
        <f>Tabella8[[#This Row],[rest of Italy fit]]*NOT(ISBLANK(Tabella8[[#This Row],[rest of Italy ]]))</f>
        <v>0</v>
      </c>
      <c r="Z32" s="10">
        <f>Tabella8[[#This Row],[rest of Italy fit]]+CIo</f>
        <v>2484.3366939346993</v>
      </c>
      <c r="AA32" s="10">
        <f>MAX(Tabella8[[#This Row],[rest of Italy fit]]-CIo,0)</f>
        <v>0</v>
      </c>
      <c r="AC32" s="14" t="s">
        <v>4714</v>
      </c>
      <c r="AD32" s="30">
        <v>2.4513542784814477E-2</v>
      </c>
      <c r="AR32" s="277">
        <f>{0;0;1;200;0;FALSE;FALSE;0.075;0;0;FALSE;30}</f>
        <v>0</v>
      </c>
      <c r="AX32" s="65"/>
      <c r="AY32" s="65"/>
      <c r="BA32" s="32"/>
      <c r="BB32" s="32"/>
      <c r="BD32" s="68"/>
      <c r="BE32" s="68"/>
    </row>
    <row r="33" spans="2:57" x14ac:dyDescent="0.3">
      <c r="B33" s="134">
        <v>43856</v>
      </c>
      <c r="C33" s="4">
        <v>26</v>
      </c>
      <c r="D33" s="141"/>
      <c r="E33" s="10">
        <f>Tabella8[[#This Row],[Italy cumulative]]*NOT(ISBLANK(Tabella8[[#This Row],[Italy cumulative]]))</f>
        <v>0</v>
      </c>
      <c r="F33" s="10">
        <f>Tabella8[[#This Row],[region fit]]+Tabella8[[#This Row],[rest of Italy fit]]</f>
        <v>0</v>
      </c>
      <c r="G33" s="72">
        <f>Tabella8[[#This Row],[Italy sum of regions]]/K_sum</f>
        <v>0</v>
      </c>
      <c r="H33" s="10">
        <f>Tabella8[[#This Row],[Italy sum of regions]]*NOT(ISBLANK(Tabella8[[#This Row],[Italy cumulative]]))</f>
        <v>0</v>
      </c>
      <c r="I33" s="132">
        <f>MAX(Kt*(TANH(psi_t*(Tabella8[[#This Row],[Day]]-pt)-phi_t)+TANH(phi_t))/(1+TANH(phi_t)),0)</f>
        <v>0</v>
      </c>
      <c r="J33" s="133">
        <f>Tabella8[[#This Row],[Italy fit]]/Kt</f>
        <v>0</v>
      </c>
      <c r="K33" s="22">
        <f>Tabella8[[#This Row],[Italy fit]]*NOT(ISBLANK(Tabella8[[#This Row],[Italy cumulative]]))</f>
        <v>0</v>
      </c>
      <c r="L33" s="10">
        <f>Tabella8[[#This Row],[Italy sum of regions]]+CI</f>
        <v>2460.5777545213355</v>
      </c>
      <c r="M33" s="10">
        <f>MAX(Tabella8[[#This Row],[Italy sum of regions]]-CI,0)</f>
        <v>0</v>
      </c>
      <c r="N33" s="139"/>
      <c r="O33" s="10">
        <f>Tabella8[[#This Row],[region data]]*NOT(ISBLANK(Tabella8[[#This Row],[region data]]))</f>
        <v>0</v>
      </c>
      <c r="P33" s="107">
        <f>MAX(Kr*(TANH(psi_r*(Tabella8[[#This Row],[Day]]-pr)-phi_r)+TANH(phi_r))/(1+TANH(phi_r)),0)</f>
        <v>0</v>
      </c>
      <c r="Q33" s="107">
        <f>Tabella8[[#This Row],[region fit]]/Kr</f>
        <v>0</v>
      </c>
      <c r="R33" s="10">
        <f>Tabella8[[#This Row],[region fit]]*NOT(ISBLANK(Tabella8[[#This Row],[region data]]))</f>
        <v>0</v>
      </c>
      <c r="S33" s="10">
        <f>Tabella8[[#This Row],[region fit]]+CIr</f>
        <v>86.019277464869106</v>
      </c>
      <c r="T33" s="10">
        <f>MAX(Tabella8[[#This Row],[region fit]]-CIr,0)</f>
        <v>0</v>
      </c>
      <c r="U33" s="141"/>
      <c r="V33" s="10">
        <f>Tabella8[[#This Row],[rest of Italy ]]*NOT(ISBLANK(Tabella8[[#This Row],[rest of Italy ]]))</f>
        <v>0</v>
      </c>
      <c r="W33" s="108">
        <f>MAX(Ko*(TANH(psi_o*(Tabella8[[#This Row],[Day]]-po)-phi_o)+TANH(phi_o))/(1+TANH(phi_o)),0)</f>
        <v>0</v>
      </c>
      <c r="X33" s="108">
        <f>Tabella8[[#This Row],[rest of Italy fit]]/Ko</f>
        <v>0</v>
      </c>
      <c r="Y33" s="22">
        <f>Tabella8[[#This Row],[rest of Italy fit]]*NOT(ISBLANK(Tabella8[[#This Row],[rest of Italy ]]))</f>
        <v>0</v>
      </c>
      <c r="Z33" s="10">
        <f>Tabella8[[#This Row],[rest of Italy fit]]+CIo</f>
        <v>2484.3366939346993</v>
      </c>
      <c r="AA33" s="10">
        <f>MAX(Tabella8[[#This Row],[rest of Italy fit]]-CIo,0)</f>
        <v>0</v>
      </c>
      <c r="AC33" s="2" t="s">
        <v>1</v>
      </c>
      <c r="AD33" s="1">
        <f>AVERAGE(Tabella8[[rest of Italy ]])</f>
        <v>46655.370370370372</v>
      </c>
      <c r="AR33" s="278">
        <f>{0;0;1;200;0;FALSE;FALSE;0.075;0;0;FALSE;30}</f>
        <v>0</v>
      </c>
      <c r="AX33" s="65"/>
      <c r="AY33" s="65"/>
      <c r="BA33" s="32"/>
      <c r="BB33" s="32"/>
      <c r="BD33" s="68"/>
      <c r="BE33" s="68"/>
    </row>
    <row r="34" spans="2:57" x14ac:dyDescent="0.3">
      <c r="B34" s="134">
        <v>43857</v>
      </c>
      <c r="C34" s="4">
        <v>27</v>
      </c>
      <c r="D34" s="141"/>
      <c r="E34" s="10">
        <f>Tabella8[[#This Row],[Italy cumulative]]*NOT(ISBLANK(Tabella8[[#This Row],[Italy cumulative]]))</f>
        <v>0</v>
      </c>
      <c r="F34" s="10">
        <f>Tabella8[[#This Row],[region fit]]+Tabella8[[#This Row],[rest of Italy fit]]</f>
        <v>0</v>
      </c>
      <c r="G34" s="72">
        <f>Tabella8[[#This Row],[Italy sum of regions]]/K_sum</f>
        <v>0</v>
      </c>
      <c r="H34" s="10">
        <f>Tabella8[[#This Row],[Italy sum of regions]]*NOT(ISBLANK(Tabella8[[#This Row],[Italy cumulative]]))</f>
        <v>0</v>
      </c>
      <c r="I34" s="132">
        <f>MAX(Kt*(TANH(psi_t*(Tabella8[[#This Row],[Day]]-pt)-phi_t)+TANH(phi_t))/(1+TANH(phi_t)),0)</f>
        <v>0</v>
      </c>
      <c r="J34" s="133">
        <f>Tabella8[[#This Row],[Italy fit]]/Kt</f>
        <v>0</v>
      </c>
      <c r="K34" s="22">
        <f>Tabella8[[#This Row],[Italy fit]]*NOT(ISBLANK(Tabella8[[#This Row],[Italy cumulative]]))</f>
        <v>0</v>
      </c>
      <c r="L34" s="10">
        <f>Tabella8[[#This Row],[Italy sum of regions]]+CI</f>
        <v>2460.5777545213355</v>
      </c>
      <c r="M34" s="10">
        <f>MAX(Tabella8[[#This Row],[Italy sum of regions]]-CI,0)</f>
        <v>0</v>
      </c>
      <c r="N34" s="139"/>
      <c r="O34" s="10">
        <f>Tabella8[[#This Row],[region data]]*NOT(ISBLANK(Tabella8[[#This Row],[region data]]))</f>
        <v>0</v>
      </c>
      <c r="P34" s="107">
        <f>MAX(Kr*(TANH(psi_r*(Tabella8[[#This Row],[Day]]-pr)-phi_r)+TANH(phi_r))/(1+TANH(phi_r)),0)</f>
        <v>0</v>
      </c>
      <c r="Q34" s="107">
        <f>Tabella8[[#This Row],[region fit]]/Kr</f>
        <v>0</v>
      </c>
      <c r="R34" s="10">
        <f>Tabella8[[#This Row],[region fit]]*NOT(ISBLANK(Tabella8[[#This Row],[region data]]))</f>
        <v>0</v>
      </c>
      <c r="S34" s="10">
        <f>Tabella8[[#This Row],[region fit]]+CIr</f>
        <v>86.019277464869106</v>
      </c>
      <c r="T34" s="10">
        <f>MAX(Tabella8[[#This Row],[region fit]]-CIr,0)</f>
        <v>0</v>
      </c>
      <c r="U34" s="141"/>
      <c r="V34" s="10">
        <f>Tabella8[[#This Row],[rest of Italy ]]*NOT(ISBLANK(Tabella8[[#This Row],[rest of Italy ]]))</f>
        <v>0</v>
      </c>
      <c r="W34" s="108">
        <f>MAX(Ko*(TANH(psi_o*(Tabella8[[#This Row],[Day]]-po)-phi_o)+TANH(phi_o))/(1+TANH(phi_o)),0)</f>
        <v>0</v>
      </c>
      <c r="X34" s="108">
        <f>Tabella8[[#This Row],[rest of Italy fit]]/Ko</f>
        <v>0</v>
      </c>
      <c r="Y34" s="22">
        <f>Tabella8[[#This Row],[rest of Italy fit]]*NOT(ISBLANK(Tabella8[[#This Row],[rest of Italy ]]))</f>
        <v>0</v>
      </c>
      <c r="Z34" s="10">
        <f>Tabella8[[#This Row],[rest of Italy fit]]+CIo</f>
        <v>2484.3366939346993</v>
      </c>
      <c r="AA34" s="10">
        <f>MAX(Tabella8[[#This Row],[rest of Italy fit]]-CIo,0)</f>
        <v>0</v>
      </c>
      <c r="AC34" s="2" t="s">
        <v>2</v>
      </c>
      <c r="AD34" s="1">
        <f>COUNT(Tabella8[[rest of Italy ]])-COUNT(AD30:AD32,po)</f>
        <v>77</v>
      </c>
      <c r="AR34" s="274"/>
      <c r="AX34" s="65"/>
      <c r="AY34" s="65"/>
      <c r="BA34" s="32"/>
      <c r="BB34" s="32"/>
      <c r="BD34" s="68"/>
      <c r="BE34" s="68"/>
    </row>
    <row r="35" spans="2:57" x14ac:dyDescent="0.3">
      <c r="B35" s="134">
        <v>43858</v>
      </c>
      <c r="C35" s="4">
        <v>28</v>
      </c>
      <c r="D35" s="141"/>
      <c r="E35" s="10">
        <f>Tabella8[[#This Row],[Italy cumulative]]*NOT(ISBLANK(Tabella8[[#This Row],[Italy cumulative]]))</f>
        <v>0</v>
      </c>
      <c r="F35" s="10">
        <f>Tabella8[[#This Row],[region fit]]+Tabella8[[#This Row],[rest of Italy fit]]</f>
        <v>0</v>
      </c>
      <c r="G35" s="72">
        <f>Tabella8[[#This Row],[Italy sum of regions]]/K_sum</f>
        <v>0</v>
      </c>
      <c r="H35" s="10">
        <f>Tabella8[[#This Row],[Italy sum of regions]]*NOT(ISBLANK(Tabella8[[#This Row],[Italy cumulative]]))</f>
        <v>0</v>
      </c>
      <c r="I35" s="132">
        <f>MAX(Kt*(TANH(psi_t*(Tabella8[[#This Row],[Day]]-pt)-phi_t)+TANH(phi_t))/(1+TANH(phi_t)),0)</f>
        <v>0</v>
      </c>
      <c r="J35" s="133">
        <f>Tabella8[[#This Row],[Italy fit]]/Kt</f>
        <v>0</v>
      </c>
      <c r="K35" s="22">
        <f>Tabella8[[#This Row],[Italy fit]]*NOT(ISBLANK(Tabella8[[#This Row],[Italy cumulative]]))</f>
        <v>0</v>
      </c>
      <c r="L35" s="10">
        <f>Tabella8[[#This Row],[Italy sum of regions]]+CI</f>
        <v>2460.5777545213355</v>
      </c>
      <c r="M35" s="10">
        <f>MAX(Tabella8[[#This Row],[Italy sum of regions]]-CI,0)</f>
        <v>0</v>
      </c>
      <c r="N35" s="139"/>
      <c r="O35" s="10">
        <f>Tabella8[[#This Row],[region data]]*NOT(ISBLANK(Tabella8[[#This Row],[region data]]))</f>
        <v>0</v>
      </c>
      <c r="P35" s="107">
        <f>MAX(Kr*(TANH(psi_r*(Tabella8[[#This Row],[Day]]-pr)-phi_r)+TANH(phi_r))/(1+TANH(phi_r)),0)</f>
        <v>0</v>
      </c>
      <c r="Q35" s="107">
        <f>Tabella8[[#This Row],[region fit]]/Kr</f>
        <v>0</v>
      </c>
      <c r="R35" s="10">
        <f>Tabella8[[#This Row],[region fit]]*NOT(ISBLANK(Tabella8[[#This Row],[region data]]))</f>
        <v>0</v>
      </c>
      <c r="S35" s="10">
        <f>Tabella8[[#This Row],[region fit]]+CIr</f>
        <v>86.019277464869106</v>
      </c>
      <c r="T35" s="10">
        <f>MAX(Tabella8[[#This Row],[region fit]]-CIr,0)</f>
        <v>0</v>
      </c>
      <c r="U35" s="141"/>
      <c r="V35" s="10">
        <f>Tabella8[[#This Row],[rest of Italy ]]*NOT(ISBLANK(Tabella8[[#This Row],[rest of Italy ]]))</f>
        <v>0</v>
      </c>
      <c r="W35" s="108">
        <f>MAX(Ko*(TANH(psi_o*(Tabella8[[#This Row],[Day]]-po)-phi_o)+TANH(phi_o))/(1+TANH(phi_o)),0)</f>
        <v>0</v>
      </c>
      <c r="X35" s="108">
        <f>Tabella8[[#This Row],[rest of Italy fit]]/Ko</f>
        <v>0</v>
      </c>
      <c r="Y35" s="22">
        <f>Tabella8[[#This Row],[rest of Italy fit]]*NOT(ISBLANK(Tabella8[[#This Row],[rest of Italy ]]))</f>
        <v>0</v>
      </c>
      <c r="Z35" s="10">
        <f>Tabella8[[#This Row],[rest of Italy fit]]+CIo</f>
        <v>2484.3366939346993</v>
      </c>
      <c r="AA35" s="10">
        <f>MAX(Tabella8[[#This Row],[rest of Italy fit]]-CIo,0)</f>
        <v>0</v>
      </c>
      <c r="AC35" s="2" t="s">
        <v>3</v>
      </c>
      <c r="AD35" s="6" cm="1">
        <f t="array" ref="AD35">SQRT(SUM((Tabella8[Colonna6]-Tabella8[Colonna7])^2)/dfo)</f>
        <v>1247.6239598959635</v>
      </c>
      <c r="AR35" s="274"/>
      <c r="AX35" s="65"/>
      <c r="AY35" s="65"/>
      <c r="BA35" s="32"/>
      <c r="BB35" s="32"/>
      <c r="BD35" s="68"/>
      <c r="BE35" s="68"/>
    </row>
    <row r="36" spans="2:57" ht="16.2" x14ac:dyDescent="0.3">
      <c r="B36" s="134">
        <v>43859</v>
      </c>
      <c r="C36" s="4">
        <v>29</v>
      </c>
      <c r="D36" s="141"/>
      <c r="E36" s="10">
        <f>Tabella8[[#This Row],[Italy cumulative]]*NOT(ISBLANK(Tabella8[[#This Row],[Italy cumulative]]))</f>
        <v>0</v>
      </c>
      <c r="F36" s="10">
        <f>Tabella8[[#This Row],[region fit]]+Tabella8[[#This Row],[rest of Italy fit]]</f>
        <v>0</v>
      </c>
      <c r="G36" s="72">
        <f>Tabella8[[#This Row],[Italy sum of regions]]/K_sum</f>
        <v>0</v>
      </c>
      <c r="H36" s="10">
        <f>Tabella8[[#This Row],[Italy sum of regions]]*NOT(ISBLANK(Tabella8[[#This Row],[Italy cumulative]]))</f>
        <v>0</v>
      </c>
      <c r="I36" s="132">
        <f>MAX(Kt*(TANH(psi_t*(Tabella8[[#This Row],[Day]]-pt)-phi_t)+TANH(phi_t))/(1+TANH(phi_t)),0)</f>
        <v>0</v>
      </c>
      <c r="J36" s="133">
        <f>Tabella8[[#This Row],[Italy fit]]/Kt</f>
        <v>0</v>
      </c>
      <c r="K36" s="22">
        <f>Tabella8[[#This Row],[Italy fit]]*NOT(ISBLANK(Tabella8[[#This Row],[Italy cumulative]]))</f>
        <v>0</v>
      </c>
      <c r="L36" s="10">
        <f>Tabella8[[#This Row],[Italy sum of regions]]+CI</f>
        <v>2460.5777545213355</v>
      </c>
      <c r="M36" s="10">
        <f>MAX(Tabella8[[#This Row],[Italy sum of regions]]-CI,0)</f>
        <v>0</v>
      </c>
      <c r="N36" s="139"/>
      <c r="O36" s="10">
        <f>Tabella8[[#This Row],[region data]]*NOT(ISBLANK(Tabella8[[#This Row],[region data]]))</f>
        <v>0</v>
      </c>
      <c r="P36" s="107">
        <f>MAX(Kr*(TANH(psi_r*(Tabella8[[#This Row],[Day]]-pr)-phi_r)+TANH(phi_r))/(1+TANH(phi_r)),0)</f>
        <v>0</v>
      </c>
      <c r="Q36" s="107">
        <f>Tabella8[[#This Row],[region fit]]/Kr</f>
        <v>0</v>
      </c>
      <c r="R36" s="10">
        <f>Tabella8[[#This Row],[region fit]]*NOT(ISBLANK(Tabella8[[#This Row],[region data]]))</f>
        <v>0</v>
      </c>
      <c r="S36" s="10">
        <f>Tabella8[[#This Row],[region fit]]+CIr</f>
        <v>86.019277464869106</v>
      </c>
      <c r="T36" s="10">
        <f>MAX(Tabella8[[#This Row],[region fit]]-CIr,0)</f>
        <v>0</v>
      </c>
      <c r="U36" s="141"/>
      <c r="V36" s="10">
        <f>Tabella8[[#This Row],[rest of Italy ]]*NOT(ISBLANK(Tabella8[[#This Row],[rest of Italy ]]))</f>
        <v>0</v>
      </c>
      <c r="W36" s="108">
        <f>MAX(Ko*(TANH(psi_o*(Tabella8[[#This Row],[Day]]-po)-phi_o)+TANH(phi_o))/(1+TANH(phi_o)),0)</f>
        <v>0</v>
      </c>
      <c r="X36" s="108">
        <f>Tabella8[[#This Row],[rest of Italy fit]]/Ko</f>
        <v>0</v>
      </c>
      <c r="Y36" s="22">
        <f>Tabella8[[#This Row],[rest of Italy fit]]*NOT(ISBLANK(Tabella8[[#This Row],[rest of Italy ]]))</f>
        <v>0</v>
      </c>
      <c r="Z36" s="10">
        <f>Tabella8[[#This Row],[rest of Italy fit]]+CIo</f>
        <v>2484.3366939346993</v>
      </c>
      <c r="AA36" s="10">
        <f>MAX(Tabella8[[#This Row],[rest of Italy fit]]-CIo,0)</f>
        <v>0</v>
      </c>
      <c r="AC36" s="2" t="s">
        <v>4</v>
      </c>
      <c r="AD36" s="7" cm="1">
        <f t="array" ref="AD36">1-SUM((Tabella8[Colonna6]-Tabella8[Colonna7])^2)/SUM((Tabella8[Colonna6]-Mean_of_yo)^2)</f>
        <v>0.99967458727096969</v>
      </c>
      <c r="AR36" s="274"/>
      <c r="AX36" s="65"/>
      <c r="AY36" s="65"/>
      <c r="BA36" s="32"/>
      <c r="BB36" s="32"/>
      <c r="BD36" s="68"/>
      <c r="BE36" s="68"/>
    </row>
    <row r="37" spans="2:57" ht="15" thickBot="1" x14ac:dyDescent="0.35">
      <c r="B37" s="134">
        <v>43860</v>
      </c>
      <c r="C37" s="4">
        <v>30</v>
      </c>
      <c r="D37" s="141"/>
      <c r="E37" s="10">
        <f>Tabella8[[#This Row],[Italy cumulative]]*NOT(ISBLANK(Tabella8[[#This Row],[Italy cumulative]]))</f>
        <v>0</v>
      </c>
      <c r="F37" s="10">
        <f>Tabella8[[#This Row],[region fit]]+Tabella8[[#This Row],[rest of Italy fit]]</f>
        <v>0</v>
      </c>
      <c r="G37" s="72">
        <f>Tabella8[[#This Row],[Italy sum of regions]]/K_sum</f>
        <v>0</v>
      </c>
      <c r="H37" s="10">
        <f>Tabella8[[#This Row],[Italy sum of regions]]*NOT(ISBLANK(Tabella8[[#This Row],[Italy cumulative]]))</f>
        <v>0</v>
      </c>
      <c r="I37" s="132">
        <f>MAX(Kt*(TANH(psi_t*(Tabella8[[#This Row],[Day]]-pt)-phi_t)+TANH(phi_t))/(1+TANH(phi_t)),0)</f>
        <v>0</v>
      </c>
      <c r="J37" s="133">
        <f>Tabella8[[#This Row],[Italy fit]]/Kt</f>
        <v>0</v>
      </c>
      <c r="K37" s="22">
        <f>Tabella8[[#This Row],[Italy fit]]*NOT(ISBLANK(Tabella8[[#This Row],[Italy cumulative]]))</f>
        <v>0</v>
      </c>
      <c r="L37" s="10">
        <f>Tabella8[[#This Row],[Italy sum of regions]]+CI</f>
        <v>2460.5777545213355</v>
      </c>
      <c r="M37" s="10">
        <f>MAX(Tabella8[[#This Row],[Italy sum of regions]]-CI,0)</f>
        <v>0</v>
      </c>
      <c r="N37" s="139"/>
      <c r="O37" s="10">
        <f>Tabella8[[#This Row],[region data]]*NOT(ISBLANK(Tabella8[[#This Row],[region data]]))</f>
        <v>0</v>
      </c>
      <c r="P37" s="107">
        <f>MAX(Kr*(TANH(psi_r*(Tabella8[[#This Row],[Day]]-pr)-phi_r)+TANH(phi_r))/(1+TANH(phi_r)),0)</f>
        <v>0</v>
      </c>
      <c r="Q37" s="107">
        <f>Tabella8[[#This Row],[region fit]]/Kr</f>
        <v>0</v>
      </c>
      <c r="R37" s="10">
        <f>Tabella8[[#This Row],[region fit]]*NOT(ISBLANK(Tabella8[[#This Row],[region data]]))</f>
        <v>0</v>
      </c>
      <c r="S37" s="10">
        <f>Tabella8[[#This Row],[region fit]]+CIr</f>
        <v>86.019277464869106</v>
      </c>
      <c r="T37" s="10">
        <f>MAX(Tabella8[[#This Row],[region fit]]-CIr,0)</f>
        <v>0</v>
      </c>
      <c r="U37" s="141"/>
      <c r="V37" s="10">
        <f>Tabella8[[#This Row],[rest of Italy ]]*NOT(ISBLANK(Tabella8[[#This Row],[rest of Italy ]]))</f>
        <v>0</v>
      </c>
      <c r="W37" s="108">
        <f>MAX(Ko*(TANH(psi_o*(Tabella8[[#This Row],[Day]]-po)-phi_o)+TANH(phi_o))/(1+TANH(phi_o)),0)</f>
        <v>0</v>
      </c>
      <c r="X37" s="108">
        <f>Tabella8[[#This Row],[rest of Italy fit]]/Ko</f>
        <v>0</v>
      </c>
      <c r="Y37" s="22">
        <f>Tabella8[[#This Row],[rest of Italy fit]]*NOT(ISBLANK(Tabella8[[#This Row],[rest of Italy ]]))</f>
        <v>0</v>
      </c>
      <c r="Z37" s="10">
        <f>Tabella8[[#This Row],[rest of Italy fit]]+CIo</f>
        <v>2484.3366939346993</v>
      </c>
      <c r="AA37" s="10">
        <f>MAX(Tabella8[[#This Row],[rest of Italy fit]]-CIo,0)</f>
        <v>0</v>
      </c>
      <c r="AC37" s="2" t="s">
        <v>5</v>
      </c>
      <c r="AD37" s="7">
        <f>TINV(0.05,dfo)</f>
        <v>1.9912543953883848</v>
      </c>
      <c r="AR37" s="275"/>
      <c r="AX37" s="65"/>
      <c r="AY37" s="65"/>
      <c r="BA37" s="32"/>
      <c r="BB37" s="32"/>
      <c r="BD37" s="68"/>
      <c r="BE37" s="68"/>
    </row>
    <row r="38" spans="2:57" ht="15" thickTop="1" x14ac:dyDescent="0.3">
      <c r="B38" s="134">
        <v>43861</v>
      </c>
      <c r="C38" s="4">
        <v>31</v>
      </c>
      <c r="D38" s="141"/>
      <c r="E38" s="10">
        <f>Tabella8[[#This Row],[Italy cumulative]]*NOT(ISBLANK(Tabella8[[#This Row],[Italy cumulative]]))</f>
        <v>0</v>
      </c>
      <c r="F38" s="10">
        <f>Tabella8[[#This Row],[region fit]]+Tabella8[[#This Row],[rest of Italy fit]]</f>
        <v>0</v>
      </c>
      <c r="G38" s="72">
        <f>Tabella8[[#This Row],[Italy sum of regions]]/K_sum</f>
        <v>0</v>
      </c>
      <c r="H38" s="10">
        <f>Tabella8[[#This Row],[Italy sum of regions]]*NOT(ISBLANK(Tabella8[[#This Row],[Italy cumulative]]))</f>
        <v>0</v>
      </c>
      <c r="I38" s="132">
        <f>MAX(Kt*(TANH(psi_t*(Tabella8[[#This Row],[Day]]-pt)-phi_t)+TANH(phi_t))/(1+TANH(phi_t)),0)</f>
        <v>0</v>
      </c>
      <c r="J38" s="133">
        <f>Tabella8[[#This Row],[Italy fit]]/Kt</f>
        <v>0</v>
      </c>
      <c r="K38" s="22">
        <f>Tabella8[[#This Row],[Italy fit]]*NOT(ISBLANK(Tabella8[[#This Row],[Italy cumulative]]))</f>
        <v>0</v>
      </c>
      <c r="L38" s="10">
        <f>Tabella8[[#This Row],[Italy sum of regions]]+CI</f>
        <v>2460.5777545213355</v>
      </c>
      <c r="M38" s="10">
        <f>MAX(Tabella8[[#This Row],[Italy sum of regions]]-CI,0)</f>
        <v>0</v>
      </c>
      <c r="N38" s="139"/>
      <c r="O38" s="10">
        <f>Tabella8[[#This Row],[region data]]*NOT(ISBLANK(Tabella8[[#This Row],[region data]]))</f>
        <v>0</v>
      </c>
      <c r="P38" s="107">
        <f>MAX(Kr*(TANH(psi_r*(Tabella8[[#This Row],[Day]]-pr)-phi_r)+TANH(phi_r))/(1+TANH(phi_r)),0)</f>
        <v>0</v>
      </c>
      <c r="Q38" s="107">
        <f>Tabella8[[#This Row],[region fit]]/Kr</f>
        <v>0</v>
      </c>
      <c r="R38" s="10">
        <f>Tabella8[[#This Row],[region fit]]*NOT(ISBLANK(Tabella8[[#This Row],[region data]]))</f>
        <v>0</v>
      </c>
      <c r="S38" s="10">
        <f>Tabella8[[#This Row],[region fit]]+CIr</f>
        <v>86.019277464869106</v>
      </c>
      <c r="T38" s="10">
        <f>MAX(Tabella8[[#This Row],[region fit]]-CIr,0)</f>
        <v>0</v>
      </c>
      <c r="U38" s="141"/>
      <c r="V38" s="10">
        <f>Tabella8[[#This Row],[rest of Italy ]]*NOT(ISBLANK(Tabella8[[#This Row],[rest of Italy ]]))</f>
        <v>0</v>
      </c>
      <c r="W38" s="108">
        <f>MAX(Ko*(TANH(psi_o*(Tabella8[[#This Row],[Day]]-po)-phi_o)+TANH(phi_o))/(1+TANH(phi_o)),0)</f>
        <v>0</v>
      </c>
      <c r="X38" s="108">
        <f>Tabella8[[#This Row],[rest of Italy fit]]/Ko</f>
        <v>0</v>
      </c>
      <c r="Y38" s="22">
        <f>Tabella8[[#This Row],[rest of Italy fit]]*NOT(ISBLANK(Tabella8[[#This Row],[rest of Italy ]]))</f>
        <v>0</v>
      </c>
      <c r="Z38" s="10">
        <f>Tabella8[[#This Row],[rest of Italy fit]]+CIo</f>
        <v>2484.3366939346993</v>
      </c>
      <c r="AA38" s="10">
        <f>MAX(Tabella8[[#This Row],[rest of Italy fit]]-CIo,0)</f>
        <v>0</v>
      </c>
      <c r="AC38" s="2" t="s">
        <v>6</v>
      </c>
      <c r="AD38" s="1">
        <f>Critical_to*SE_of_yo</f>
        <v>2484.3366939346993</v>
      </c>
      <c r="AR38" s="279">
        <f>MAX($AD$47)</f>
        <v>0.99969161481599755</v>
      </c>
      <c r="AX38" s="65"/>
      <c r="AY38" s="65"/>
      <c r="BA38" s="32"/>
      <c r="BB38" s="32"/>
      <c r="BD38" s="68"/>
      <c r="BE38" s="68"/>
    </row>
    <row r="39" spans="2:57" x14ac:dyDescent="0.3">
      <c r="B39" s="134">
        <v>43862</v>
      </c>
      <c r="C39" s="4">
        <v>32</v>
      </c>
      <c r="D39" s="141"/>
      <c r="E39" s="10">
        <f>Tabella8[[#This Row],[Italy cumulative]]*NOT(ISBLANK(Tabella8[[#This Row],[Italy cumulative]]))</f>
        <v>0</v>
      </c>
      <c r="F39" s="10">
        <f>Tabella8[[#This Row],[region fit]]+Tabella8[[#This Row],[rest of Italy fit]]</f>
        <v>0</v>
      </c>
      <c r="G39" s="72">
        <f>Tabella8[[#This Row],[Italy sum of regions]]/K_sum</f>
        <v>0</v>
      </c>
      <c r="H39" s="10">
        <f>Tabella8[[#This Row],[Italy sum of regions]]*NOT(ISBLANK(Tabella8[[#This Row],[Italy cumulative]]))</f>
        <v>0</v>
      </c>
      <c r="I39" s="132">
        <f>MAX(Kt*(TANH(psi_t*(Tabella8[[#This Row],[Day]]-pt)-phi_t)+TANH(phi_t))/(1+TANH(phi_t)),0)</f>
        <v>0</v>
      </c>
      <c r="J39" s="133">
        <f>Tabella8[[#This Row],[Italy fit]]/Kt</f>
        <v>0</v>
      </c>
      <c r="K39" s="22">
        <f>Tabella8[[#This Row],[Italy fit]]*NOT(ISBLANK(Tabella8[[#This Row],[Italy cumulative]]))</f>
        <v>0</v>
      </c>
      <c r="L39" s="10">
        <f>Tabella8[[#This Row],[Italy sum of regions]]+CI</f>
        <v>2460.5777545213355</v>
      </c>
      <c r="M39" s="10">
        <f>MAX(Tabella8[[#This Row],[Italy sum of regions]]-CI,0)</f>
        <v>0</v>
      </c>
      <c r="N39" s="139"/>
      <c r="O39" s="10">
        <f>Tabella8[[#This Row],[region data]]*NOT(ISBLANK(Tabella8[[#This Row],[region data]]))</f>
        <v>0</v>
      </c>
      <c r="P39" s="107">
        <f>MAX(Kr*(TANH(psi_r*(Tabella8[[#This Row],[Day]]-pr)-phi_r)+TANH(phi_r))/(1+TANH(phi_r)),0)</f>
        <v>0</v>
      </c>
      <c r="Q39" s="107">
        <f>Tabella8[[#This Row],[region fit]]/Kr</f>
        <v>0</v>
      </c>
      <c r="R39" s="10">
        <f>Tabella8[[#This Row],[region fit]]*NOT(ISBLANK(Tabella8[[#This Row],[region data]]))</f>
        <v>0</v>
      </c>
      <c r="S39" s="10">
        <f>Tabella8[[#This Row],[region fit]]+CIr</f>
        <v>86.019277464869106</v>
      </c>
      <c r="T39" s="10">
        <f>MAX(Tabella8[[#This Row],[region fit]]-CIr,0)</f>
        <v>0</v>
      </c>
      <c r="U39" s="141"/>
      <c r="V39" s="10">
        <f>Tabella8[[#This Row],[rest of Italy ]]*NOT(ISBLANK(Tabella8[[#This Row],[rest of Italy ]]))</f>
        <v>0</v>
      </c>
      <c r="W39" s="108">
        <f>MAX(Ko*(TANH(psi_o*(Tabella8[[#This Row],[Day]]-po)-phi_o)+TANH(phi_o))/(1+TANH(phi_o)),0)</f>
        <v>0</v>
      </c>
      <c r="X39" s="108">
        <f>Tabella8[[#This Row],[rest of Italy fit]]/Ko</f>
        <v>0</v>
      </c>
      <c r="Y39" s="22">
        <f>Tabella8[[#This Row],[rest of Italy fit]]*NOT(ISBLANK(Tabella8[[#This Row],[rest of Italy ]]))</f>
        <v>0</v>
      </c>
      <c r="Z39" s="10">
        <f>Tabella8[[#This Row],[rest of Italy fit]]+CIo</f>
        <v>2484.3366939346993</v>
      </c>
      <c r="AA39" s="10">
        <f>MAX(Tabella8[[#This Row],[rest of Italy fit]]-CIo,0)</f>
        <v>0</v>
      </c>
      <c r="AC39" s="14" t="s">
        <v>356</v>
      </c>
      <c r="AD39" s="137">
        <v>69.695444456084331</v>
      </c>
      <c r="AR39" s="280">
        <f>COUNT($AD$41,$AD$42,$AD$43,$AD$50)</f>
        <v>4</v>
      </c>
      <c r="AX39" s="65"/>
      <c r="AY39" s="65"/>
      <c r="BA39" s="32"/>
      <c r="BB39" s="32"/>
      <c r="BD39" s="68"/>
      <c r="BE39" s="68"/>
    </row>
    <row r="40" spans="2:57" x14ac:dyDescent="0.3">
      <c r="B40" s="134">
        <v>43863</v>
      </c>
      <c r="C40" s="4">
        <v>33</v>
      </c>
      <c r="D40" s="141"/>
      <c r="E40" s="10">
        <f>Tabella8[[#This Row],[Italy cumulative]]*NOT(ISBLANK(Tabella8[[#This Row],[Italy cumulative]]))</f>
        <v>0</v>
      </c>
      <c r="F40" s="10">
        <f>Tabella8[[#This Row],[region fit]]+Tabella8[[#This Row],[rest of Italy fit]]</f>
        <v>0</v>
      </c>
      <c r="G40" s="72">
        <f>Tabella8[[#This Row],[Italy sum of regions]]/K_sum</f>
        <v>0</v>
      </c>
      <c r="H40" s="10">
        <f>Tabella8[[#This Row],[Italy sum of regions]]*NOT(ISBLANK(Tabella8[[#This Row],[Italy cumulative]]))</f>
        <v>0</v>
      </c>
      <c r="I40" s="132">
        <f>MAX(Kt*(TANH(psi_t*(Tabella8[[#This Row],[Day]]-pt)-phi_t)+TANH(phi_t))/(1+TANH(phi_t)),0)</f>
        <v>0</v>
      </c>
      <c r="J40" s="133">
        <f>Tabella8[[#This Row],[Italy fit]]/Kt</f>
        <v>0</v>
      </c>
      <c r="K40" s="22">
        <f>Tabella8[[#This Row],[Italy fit]]*NOT(ISBLANK(Tabella8[[#This Row],[Italy cumulative]]))</f>
        <v>0</v>
      </c>
      <c r="L40" s="10">
        <f>Tabella8[[#This Row],[Italy sum of regions]]+CI</f>
        <v>2460.5777545213355</v>
      </c>
      <c r="M40" s="10">
        <f>MAX(Tabella8[[#This Row],[Italy sum of regions]]-CI,0)</f>
        <v>0</v>
      </c>
      <c r="N40" s="139"/>
      <c r="O40" s="10">
        <f>Tabella8[[#This Row],[region data]]*NOT(ISBLANK(Tabella8[[#This Row],[region data]]))</f>
        <v>0</v>
      </c>
      <c r="P40" s="107">
        <f>MAX(Kr*(TANH(psi_r*(Tabella8[[#This Row],[Day]]-pr)-phi_r)+TANH(phi_r))/(1+TANH(phi_r)),0)</f>
        <v>0</v>
      </c>
      <c r="Q40" s="107">
        <f>Tabella8[[#This Row],[region fit]]/Kr</f>
        <v>0</v>
      </c>
      <c r="R40" s="10">
        <f>Tabella8[[#This Row],[region fit]]*NOT(ISBLANK(Tabella8[[#This Row],[region data]]))</f>
        <v>0</v>
      </c>
      <c r="S40" s="10">
        <f>Tabella8[[#This Row],[region fit]]+CIr</f>
        <v>86.019277464869106</v>
      </c>
      <c r="T40" s="10">
        <f>MAX(Tabella8[[#This Row],[region fit]]-CIr,0)</f>
        <v>0</v>
      </c>
      <c r="U40" s="141"/>
      <c r="V40" s="10">
        <f>Tabella8[[#This Row],[rest of Italy ]]*NOT(ISBLANK(Tabella8[[#This Row],[rest of Italy ]]))</f>
        <v>0</v>
      </c>
      <c r="W40" s="108">
        <f>MAX(Ko*(TANH(psi_o*(Tabella8[[#This Row],[Day]]-po)-phi_o)+TANH(phi_o))/(1+TANH(phi_o)),0)</f>
        <v>0</v>
      </c>
      <c r="X40" s="108">
        <f>Tabella8[[#This Row],[rest of Italy fit]]/Ko</f>
        <v>0</v>
      </c>
      <c r="Y40" s="22">
        <f>Tabella8[[#This Row],[rest of Italy fit]]*NOT(ISBLANK(Tabella8[[#This Row],[rest of Italy ]]))</f>
        <v>0</v>
      </c>
      <c r="Z40" s="10">
        <f>Tabella8[[#This Row],[rest of Italy fit]]+CIo</f>
        <v>2484.3366939346993</v>
      </c>
      <c r="AA40" s="10">
        <f>MAX(Tabella8[[#This Row],[rest of Italy fit]]-CIo,0)</f>
        <v>0</v>
      </c>
      <c r="AC40" s="16" t="s">
        <v>123</v>
      </c>
      <c r="AD40" s="17" t="s">
        <v>85</v>
      </c>
      <c r="AR40" s="280" t="b">
        <f>psi_t&gt;=0.000001</f>
        <v>1</v>
      </c>
      <c r="AX40" s="65"/>
      <c r="AY40" s="65"/>
      <c r="BA40" s="32"/>
      <c r="BB40" s="32"/>
      <c r="BD40" s="68"/>
      <c r="BE40" s="68"/>
    </row>
    <row r="41" spans="2:57" x14ac:dyDescent="0.3">
      <c r="B41" s="134">
        <v>43864</v>
      </c>
      <c r="C41" s="4">
        <v>34</v>
      </c>
      <c r="D41" s="141"/>
      <c r="E41" s="10">
        <f>Tabella8[[#This Row],[Italy cumulative]]*NOT(ISBLANK(Tabella8[[#This Row],[Italy cumulative]]))</f>
        <v>0</v>
      </c>
      <c r="F41" s="10">
        <f>Tabella8[[#This Row],[region fit]]+Tabella8[[#This Row],[rest of Italy fit]]</f>
        <v>0</v>
      </c>
      <c r="G41" s="72">
        <f>Tabella8[[#This Row],[Italy sum of regions]]/K_sum</f>
        <v>0</v>
      </c>
      <c r="H41" s="10">
        <f>Tabella8[[#This Row],[Italy sum of regions]]*NOT(ISBLANK(Tabella8[[#This Row],[Italy cumulative]]))</f>
        <v>0</v>
      </c>
      <c r="I41" s="132">
        <f>MAX(Kt*(TANH(psi_t*(Tabella8[[#This Row],[Day]]-pt)-phi_t)+TANH(phi_t))/(1+TANH(phi_t)),0)</f>
        <v>0</v>
      </c>
      <c r="J41" s="133">
        <f>Tabella8[[#This Row],[Italy fit]]/Kt</f>
        <v>0</v>
      </c>
      <c r="K41" s="22">
        <f>Tabella8[[#This Row],[Italy fit]]*NOT(ISBLANK(Tabella8[[#This Row],[Italy cumulative]]))</f>
        <v>0</v>
      </c>
      <c r="L41" s="10">
        <f>Tabella8[[#This Row],[Italy sum of regions]]+CI</f>
        <v>2460.5777545213355</v>
      </c>
      <c r="M41" s="10">
        <f>MAX(Tabella8[[#This Row],[Italy sum of regions]]-CI,0)</f>
        <v>0</v>
      </c>
      <c r="N41" s="139"/>
      <c r="O41" s="10">
        <f>Tabella8[[#This Row],[region data]]*NOT(ISBLANK(Tabella8[[#This Row],[region data]]))</f>
        <v>0</v>
      </c>
      <c r="P41" s="107">
        <f>MAX(Kr*(TANH(psi_r*(Tabella8[[#This Row],[Day]]-pr)-phi_r)+TANH(phi_r))/(1+TANH(phi_r)),0)</f>
        <v>0</v>
      </c>
      <c r="Q41" s="107">
        <f>Tabella8[[#This Row],[region fit]]/Kr</f>
        <v>0</v>
      </c>
      <c r="R41" s="10">
        <f>Tabella8[[#This Row],[region fit]]*NOT(ISBLANK(Tabella8[[#This Row],[region data]]))</f>
        <v>0</v>
      </c>
      <c r="S41" s="10">
        <f>Tabella8[[#This Row],[region fit]]+CIr</f>
        <v>86.019277464869106</v>
      </c>
      <c r="T41" s="10">
        <f>MAX(Tabella8[[#This Row],[region fit]]-CIr,0)</f>
        <v>0</v>
      </c>
      <c r="U41" s="141"/>
      <c r="V41" s="10">
        <f>Tabella8[[#This Row],[rest of Italy ]]*NOT(ISBLANK(Tabella8[[#This Row],[rest of Italy ]]))</f>
        <v>0</v>
      </c>
      <c r="W41" s="108">
        <f>MAX(Ko*(TANH(psi_o*(Tabella8[[#This Row],[Day]]-po)-phi_o)+TANH(phi_o))/(1+TANH(phi_o)),0)</f>
        <v>0</v>
      </c>
      <c r="X41" s="108">
        <f>Tabella8[[#This Row],[rest of Italy fit]]/Ko</f>
        <v>0</v>
      </c>
      <c r="Y41" s="22">
        <f>Tabella8[[#This Row],[rest of Italy fit]]*NOT(ISBLANK(Tabella8[[#This Row],[rest of Italy ]]))</f>
        <v>0</v>
      </c>
      <c r="Z41" s="10">
        <f>Tabella8[[#This Row],[rest of Italy fit]]+CIo</f>
        <v>2484.3366939346993</v>
      </c>
      <c r="AA41" s="10">
        <f>MAX(Tabella8[[#This Row],[rest of Italy fit]]-CIo,0)</f>
        <v>0</v>
      </c>
      <c r="AC41" s="14" t="s">
        <v>0</v>
      </c>
      <c r="AD41" s="5">
        <v>225000</v>
      </c>
      <c r="AR41" s="280">
        <f>{32767;32767;0.000001;0.01;FALSE;TRUE;FALSE;1;2;1;0.0001;TRUE}</f>
        <v>32767</v>
      </c>
      <c r="AX41" s="65"/>
      <c r="AY41" s="65"/>
      <c r="BA41" s="32"/>
      <c r="BB41" s="32"/>
      <c r="BD41" s="68"/>
      <c r="BE41" s="68"/>
    </row>
    <row r="42" spans="2:57" x14ac:dyDescent="0.3">
      <c r="B42" s="134">
        <v>43865</v>
      </c>
      <c r="C42" s="4">
        <v>35</v>
      </c>
      <c r="D42" s="141"/>
      <c r="E42" s="10">
        <f>Tabella8[[#This Row],[Italy cumulative]]*NOT(ISBLANK(Tabella8[[#This Row],[Italy cumulative]]))</f>
        <v>0</v>
      </c>
      <c r="F42" s="10">
        <f>Tabella8[[#This Row],[region fit]]+Tabella8[[#This Row],[rest of Italy fit]]</f>
        <v>0</v>
      </c>
      <c r="G42" s="72">
        <f>Tabella8[[#This Row],[Italy sum of regions]]/K_sum</f>
        <v>0</v>
      </c>
      <c r="H42" s="10">
        <f>Tabella8[[#This Row],[Italy sum of regions]]*NOT(ISBLANK(Tabella8[[#This Row],[Italy cumulative]]))</f>
        <v>0</v>
      </c>
      <c r="I42" s="132">
        <f>MAX(Kt*(TANH(psi_t*(Tabella8[[#This Row],[Day]]-pt)-phi_t)+TANH(phi_t))/(1+TANH(phi_t)),0)</f>
        <v>0</v>
      </c>
      <c r="J42" s="133">
        <f>Tabella8[[#This Row],[Italy fit]]/Kt</f>
        <v>0</v>
      </c>
      <c r="K42" s="22">
        <f>Tabella8[[#This Row],[Italy fit]]*NOT(ISBLANK(Tabella8[[#This Row],[Italy cumulative]]))</f>
        <v>0</v>
      </c>
      <c r="L42" s="10">
        <f>Tabella8[[#This Row],[Italy sum of regions]]+CI</f>
        <v>2460.5777545213355</v>
      </c>
      <c r="M42" s="10">
        <f>MAX(Tabella8[[#This Row],[Italy sum of regions]]-CI,0)</f>
        <v>0</v>
      </c>
      <c r="N42" s="139"/>
      <c r="O42" s="10">
        <f>Tabella8[[#This Row],[region data]]*NOT(ISBLANK(Tabella8[[#This Row],[region data]]))</f>
        <v>0</v>
      </c>
      <c r="P42" s="107">
        <f>MAX(Kr*(TANH(psi_r*(Tabella8[[#This Row],[Day]]-pr)-phi_r)+TANH(phi_r))/(1+TANH(phi_r)),0)</f>
        <v>0</v>
      </c>
      <c r="Q42" s="107">
        <f>Tabella8[[#This Row],[region fit]]/Kr</f>
        <v>0</v>
      </c>
      <c r="R42" s="10">
        <f>Tabella8[[#This Row],[region fit]]*NOT(ISBLANK(Tabella8[[#This Row],[region data]]))</f>
        <v>0</v>
      </c>
      <c r="S42" s="10">
        <f>Tabella8[[#This Row],[region fit]]+CIr</f>
        <v>86.019277464869106</v>
      </c>
      <c r="T42" s="10">
        <f>MAX(Tabella8[[#This Row],[region fit]]-CIr,0)</f>
        <v>0</v>
      </c>
      <c r="U42" s="141"/>
      <c r="V42" s="10">
        <f>Tabella8[[#This Row],[rest of Italy ]]*NOT(ISBLANK(Tabella8[[#This Row],[rest of Italy ]]))</f>
        <v>0</v>
      </c>
      <c r="W42" s="108">
        <f>MAX(Ko*(TANH(psi_o*(Tabella8[[#This Row],[Day]]-po)-phi_o)+TANH(phi_o))/(1+TANH(phi_o)),0)</f>
        <v>0</v>
      </c>
      <c r="X42" s="108">
        <f>Tabella8[[#This Row],[rest of Italy fit]]/Ko</f>
        <v>0</v>
      </c>
      <c r="Y42" s="22">
        <f>Tabella8[[#This Row],[rest of Italy fit]]*NOT(ISBLANK(Tabella8[[#This Row],[rest of Italy ]]))</f>
        <v>0</v>
      </c>
      <c r="Z42" s="10">
        <f>Tabella8[[#This Row],[rest of Italy fit]]+CIo</f>
        <v>2484.3366939346993</v>
      </c>
      <c r="AA42" s="10">
        <f>MAX(Tabella8[[#This Row],[rest of Italy fit]]-CIo,0)</f>
        <v>0</v>
      </c>
      <c r="AC42" s="85" t="s">
        <v>4713</v>
      </c>
      <c r="AD42" s="30">
        <v>1.2610737633797455</v>
      </c>
      <c r="AR42" s="280">
        <f>{0;0;1;200;0;FALSE;FALSE;0.075;0;0;FALSE;30}</f>
        <v>0</v>
      </c>
      <c r="AX42" s="65"/>
      <c r="AY42" s="65"/>
      <c r="BA42" s="32"/>
      <c r="BB42" s="32"/>
      <c r="BD42" s="68"/>
      <c r="BE42" s="68"/>
    </row>
    <row r="43" spans="2:57" ht="15" thickBot="1" x14ac:dyDescent="0.35">
      <c r="B43" s="134">
        <v>43866</v>
      </c>
      <c r="C43" s="4">
        <v>36</v>
      </c>
      <c r="D43" s="141"/>
      <c r="E43" s="10">
        <f>Tabella8[[#This Row],[Italy cumulative]]*NOT(ISBLANK(Tabella8[[#This Row],[Italy cumulative]]))</f>
        <v>0</v>
      </c>
      <c r="F43" s="10">
        <f>Tabella8[[#This Row],[region fit]]+Tabella8[[#This Row],[rest of Italy fit]]</f>
        <v>0</v>
      </c>
      <c r="G43" s="72">
        <f>Tabella8[[#This Row],[Italy sum of regions]]/K_sum</f>
        <v>0</v>
      </c>
      <c r="H43" s="10">
        <f>Tabella8[[#This Row],[Italy sum of regions]]*NOT(ISBLANK(Tabella8[[#This Row],[Italy cumulative]]))</f>
        <v>0</v>
      </c>
      <c r="I43" s="132">
        <f>MAX(Kt*(TANH(psi_t*(Tabella8[[#This Row],[Day]]-pt)-phi_t)+TANH(phi_t))/(1+TANH(phi_t)),0)</f>
        <v>0</v>
      </c>
      <c r="J43" s="133">
        <f>Tabella8[[#This Row],[Italy fit]]/Kt</f>
        <v>0</v>
      </c>
      <c r="K43" s="22">
        <f>Tabella8[[#This Row],[Italy fit]]*NOT(ISBLANK(Tabella8[[#This Row],[Italy cumulative]]))</f>
        <v>0</v>
      </c>
      <c r="L43" s="10">
        <f>Tabella8[[#This Row],[Italy sum of regions]]+CI</f>
        <v>2460.5777545213355</v>
      </c>
      <c r="M43" s="10">
        <f>MAX(Tabella8[[#This Row],[Italy sum of regions]]-CI,0)</f>
        <v>0</v>
      </c>
      <c r="N43" s="139"/>
      <c r="O43" s="10">
        <f>Tabella8[[#This Row],[region data]]*NOT(ISBLANK(Tabella8[[#This Row],[region data]]))</f>
        <v>0</v>
      </c>
      <c r="P43" s="107">
        <f>MAX(Kr*(TANH(psi_r*(Tabella8[[#This Row],[Day]]-pr)-phi_r)+TANH(phi_r))/(1+TANH(phi_r)),0)</f>
        <v>0</v>
      </c>
      <c r="Q43" s="107">
        <f>Tabella8[[#This Row],[region fit]]/Kr</f>
        <v>0</v>
      </c>
      <c r="R43" s="10">
        <f>Tabella8[[#This Row],[region fit]]*NOT(ISBLANK(Tabella8[[#This Row],[region data]]))</f>
        <v>0</v>
      </c>
      <c r="S43" s="10">
        <f>Tabella8[[#This Row],[region fit]]+CIr</f>
        <v>86.019277464869106</v>
      </c>
      <c r="T43" s="10">
        <f>MAX(Tabella8[[#This Row],[region fit]]-CIr,0)</f>
        <v>0</v>
      </c>
      <c r="U43" s="141"/>
      <c r="V43" s="10">
        <f>Tabella8[[#This Row],[rest of Italy ]]*NOT(ISBLANK(Tabella8[[#This Row],[rest of Italy ]]))</f>
        <v>0</v>
      </c>
      <c r="W43" s="108">
        <f>MAX(Ko*(TANH(psi_o*(Tabella8[[#This Row],[Day]]-po)-phi_o)+TANH(phi_o))/(1+TANH(phi_o)),0)</f>
        <v>0</v>
      </c>
      <c r="X43" s="108">
        <f>Tabella8[[#This Row],[rest of Italy fit]]/Ko</f>
        <v>0</v>
      </c>
      <c r="Y43" s="22">
        <f>Tabella8[[#This Row],[rest of Italy fit]]*NOT(ISBLANK(Tabella8[[#This Row],[rest of Italy ]]))</f>
        <v>0</v>
      </c>
      <c r="Z43" s="10">
        <f>Tabella8[[#This Row],[rest of Italy fit]]+CIo</f>
        <v>2484.3366939346993</v>
      </c>
      <c r="AA43" s="10">
        <f>MAX(Tabella8[[#This Row],[rest of Italy fit]]-CIo,0)</f>
        <v>0</v>
      </c>
      <c r="AC43" s="14" t="s">
        <v>4714</v>
      </c>
      <c r="AD43" s="30">
        <v>2.4696367209902436E-2</v>
      </c>
      <c r="AR43" s="281">
        <f>{0;0;1;200;0;FALSE;FALSE;0.075;0;0;FALSE;30}</f>
        <v>0</v>
      </c>
      <c r="AX43" s="65"/>
      <c r="AY43" s="65"/>
      <c r="BA43" s="32"/>
      <c r="BB43" s="32"/>
      <c r="BD43" s="68"/>
      <c r="BE43" s="68"/>
    </row>
    <row r="44" spans="2:57" x14ac:dyDescent="0.3">
      <c r="B44" s="134">
        <v>43867</v>
      </c>
      <c r="C44" s="4">
        <v>37</v>
      </c>
      <c r="D44" s="141"/>
      <c r="E44" s="10">
        <f>Tabella8[[#This Row],[Italy cumulative]]*NOT(ISBLANK(Tabella8[[#This Row],[Italy cumulative]]))</f>
        <v>0</v>
      </c>
      <c r="F44" s="10">
        <f>Tabella8[[#This Row],[region fit]]+Tabella8[[#This Row],[rest of Italy fit]]</f>
        <v>0</v>
      </c>
      <c r="G44" s="72">
        <f>Tabella8[[#This Row],[Italy sum of regions]]/K_sum</f>
        <v>0</v>
      </c>
      <c r="H44" s="10">
        <f>Tabella8[[#This Row],[Italy sum of regions]]*NOT(ISBLANK(Tabella8[[#This Row],[Italy cumulative]]))</f>
        <v>0</v>
      </c>
      <c r="I44" s="132">
        <f>MAX(Kt*(TANH(psi_t*(Tabella8[[#This Row],[Day]]-pt)-phi_t)+TANH(phi_t))/(1+TANH(phi_t)),0)</f>
        <v>0</v>
      </c>
      <c r="J44" s="133">
        <f>Tabella8[[#This Row],[Italy fit]]/Kt</f>
        <v>0</v>
      </c>
      <c r="K44" s="22">
        <f>Tabella8[[#This Row],[Italy fit]]*NOT(ISBLANK(Tabella8[[#This Row],[Italy cumulative]]))</f>
        <v>0</v>
      </c>
      <c r="L44" s="10">
        <f>Tabella8[[#This Row],[Italy sum of regions]]+CI</f>
        <v>2460.5777545213355</v>
      </c>
      <c r="M44" s="10">
        <f>MAX(Tabella8[[#This Row],[Italy sum of regions]]-CI,0)</f>
        <v>0</v>
      </c>
      <c r="N44" s="139"/>
      <c r="O44" s="10">
        <f>Tabella8[[#This Row],[region data]]*NOT(ISBLANK(Tabella8[[#This Row],[region data]]))</f>
        <v>0</v>
      </c>
      <c r="P44" s="107">
        <f>MAX(Kr*(TANH(psi_r*(Tabella8[[#This Row],[Day]]-pr)-phi_r)+TANH(phi_r))/(1+TANH(phi_r)),0)</f>
        <v>0</v>
      </c>
      <c r="Q44" s="107">
        <f>Tabella8[[#This Row],[region fit]]/Kr</f>
        <v>0</v>
      </c>
      <c r="R44" s="10">
        <f>Tabella8[[#This Row],[region fit]]*NOT(ISBLANK(Tabella8[[#This Row],[region data]]))</f>
        <v>0</v>
      </c>
      <c r="S44" s="10">
        <f>Tabella8[[#This Row],[region fit]]+CIr</f>
        <v>86.019277464869106</v>
      </c>
      <c r="T44" s="10">
        <f>MAX(Tabella8[[#This Row],[region fit]]-CIr,0)</f>
        <v>0</v>
      </c>
      <c r="U44" s="141"/>
      <c r="V44" s="10">
        <f>Tabella8[[#This Row],[rest of Italy ]]*NOT(ISBLANK(Tabella8[[#This Row],[rest of Italy ]]))</f>
        <v>0</v>
      </c>
      <c r="W44" s="108">
        <f>MAX(Ko*(TANH(psi_o*(Tabella8[[#This Row],[Day]]-po)-phi_o)+TANH(phi_o))/(1+TANH(phi_o)),0)</f>
        <v>0</v>
      </c>
      <c r="X44" s="108">
        <f>Tabella8[[#This Row],[rest of Italy fit]]/Ko</f>
        <v>0</v>
      </c>
      <c r="Y44" s="22">
        <f>Tabella8[[#This Row],[rest of Italy fit]]*NOT(ISBLANK(Tabella8[[#This Row],[rest of Italy ]]))</f>
        <v>0</v>
      </c>
      <c r="Z44" s="10">
        <f>Tabella8[[#This Row],[rest of Italy fit]]+CIo</f>
        <v>2484.3366939346993</v>
      </c>
      <c r="AA44" s="10">
        <f>MAX(Tabella8[[#This Row],[rest of Italy fit]]-CIo,0)</f>
        <v>0</v>
      </c>
      <c r="AC44" s="2" t="s">
        <v>1</v>
      </c>
      <c r="AD44" s="1">
        <f>AVERAGE(Tabella8[Italy cumulative])</f>
        <v>48666.01234567901</v>
      </c>
      <c r="AX44" s="65"/>
      <c r="AY44" s="65"/>
      <c r="BA44" s="32"/>
      <c r="BB44" s="32"/>
      <c r="BD44" s="68"/>
      <c r="BE44" s="68"/>
    </row>
    <row r="45" spans="2:57" x14ac:dyDescent="0.3">
      <c r="B45" s="134">
        <v>43868</v>
      </c>
      <c r="C45" s="4">
        <v>38</v>
      </c>
      <c r="D45" s="141"/>
      <c r="E45" s="10">
        <f>Tabella8[[#This Row],[Italy cumulative]]*NOT(ISBLANK(Tabella8[[#This Row],[Italy cumulative]]))</f>
        <v>0</v>
      </c>
      <c r="F45" s="10">
        <f>Tabella8[[#This Row],[region fit]]+Tabella8[[#This Row],[rest of Italy fit]]</f>
        <v>0</v>
      </c>
      <c r="G45" s="72">
        <f>Tabella8[[#This Row],[Italy sum of regions]]/K_sum</f>
        <v>0</v>
      </c>
      <c r="H45" s="10">
        <f>Tabella8[[#This Row],[Italy sum of regions]]*NOT(ISBLANK(Tabella8[[#This Row],[Italy cumulative]]))</f>
        <v>0</v>
      </c>
      <c r="I45" s="132">
        <f>MAX(Kt*(TANH(psi_t*(Tabella8[[#This Row],[Day]]-pt)-phi_t)+TANH(phi_t))/(1+TANH(phi_t)),0)</f>
        <v>0</v>
      </c>
      <c r="J45" s="133">
        <f>Tabella8[[#This Row],[Italy fit]]/Kt</f>
        <v>0</v>
      </c>
      <c r="K45" s="22">
        <f>Tabella8[[#This Row],[Italy fit]]*NOT(ISBLANK(Tabella8[[#This Row],[Italy cumulative]]))</f>
        <v>0</v>
      </c>
      <c r="L45" s="10">
        <f>Tabella8[[#This Row],[Italy sum of regions]]+CI</f>
        <v>2460.5777545213355</v>
      </c>
      <c r="M45" s="10">
        <f>MAX(Tabella8[[#This Row],[Italy sum of regions]]-CI,0)</f>
        <v>0</v>
      </c>
      <c r="N45" s="139"/>
      <c r="O45" s="10">
        <f>Tabella8[[#This Row],[region data]]*NOT(ISBLANK(Tabella8[[#This Row],[region data]]))</f>
        <v>0</v>
      </c>
      <c r="P45" s="107">
        <f>MAX(Kr*(TANH(psi_r*(Tabella8[[#This Row],[Day]]-pr)-phi_r)+TANH(phi_r))/(1+TANH(phi_r)),0)</f>
        <v>0</v>
      </c>
      <c r="Q45" s="107">
        <f>Tabella8[[#This Row],[region fit]]/Kr</f>
        <v>0</v>
      </c>
      <c r="R45" s="10">
        <f>Tabella8[[#This Row],[region fit]]*NOT(ISBLANK(Tabella8[[#This Row],[region data]]))</f>
        <v>0</v>
      </c>
      <c r="S45" s="10">
        <f>Tabella8[[#This Row],[region fit]]+CIr</f>
        <v>86.019277464869106</v>
      </c>
      <c r="T45" s="10">
        <f>MAX(Tabella8[[#This Row],[region fit]]-CIr,0)</f>
        <v>0</v>
      </c>
      <c r="U45" s="141"/>
      <c r="V45" s="10">
        <f>Tabella8[[#This Row],[rest of Italy ]]*NOT(ISBLANK(Tabella8[[#This Row],[rest of Italy ]]))</f>
        <v>0</v>
      </c>
      <c r="W45" s="108">
        <f>MAX(Ko*(TANH(psi_o*(Tabella8[[#This Row],[Day]]-po)-phi_o)+TANH(phi_o))/(1+TANH(phi_o)),0)</f>
        <v>0</v>
      </c>
      <c r="X45" s="108">
        <f>Tabella8[[#This Row],[rest of Italy fit]]/Ko</f>
        <v>0</v>
      </c>
      <c r="Y45" s="22">
        <f>Tabella8[[#This Row],[rest of Italy fit]]*NOT(ISBLANK(Tabella8[[#This Row],[rest of Italy ]]))</f>
        <v>0</v>
      </c>
      <c r="Z45" s="10">
        <f>Tabella8[[#This Row],[rest of Italy fit]]+CIo</f>
        <v>2484.3366939346993</v>
      </c>
      <c r="AA45" s="10">
        <f>MAX(Tabella8[[#This Row],[rest of Italy fit]]-CIo,0)</f>
        <v>0</v>
      </c>
      <c r="AC45" s="2" t="s">
        <v>2</v>
      </c>
      <c r="AD45" s="1">
        <f>COUNT(Tabella8[Italy cumulative])-COUNT(AD41:AD43,pt)</f>
        <v>77</v>
      </c>
      <c r="AX45" s="65"/>
      <c r="AY45" s="65"/>
      <c r="BA45" s="32"/>
      <c r="BB45" s="32"/>
      <c r="BD45" s="68"/>
      <c r="BE45" s="68"/>
    </row>
    <row r="46" spans="2:57" x14ac:dyDescent="0.3">
      <c r="B46" s="134">
        <v>43869</v>
      </c>
      <c r="C46" s="4">
        <v>39</v>
      </c>
      <c r="D46" s="141"/>
      <c r="E46" s="10">
        <f>Tabella8[[#This Row],[Italy cumulative]]*NOT(ISBLANK(Tabella8[[#This Row],[Italy cumulative]]))</f>
        <v>0</v>
      </c>
      <c r="F46" s="10">
        <f>Tabella8[[#This Row],[region fit]]+Tabella8[[#This Row],[rest of Italy fit]]</f>
        <v>0</v>
      </c>
      <c r="G46" s="72">
        <f>Tabella8[[#This Row],[Italy sum of regions]]/K_sum</f>
        <v>0</v>
      </c>
      <c r="H46" s="10">
        <f>Tabella8[[#This Row],[Italy sum of regions]]*NOT(ISBLANK(Tabella8[[#This Row],[Italy cumulative]]))</f>
        <v>0</v>
      </c>
      <c r="I46" s="132">
        <f>MAX(Kt*(TANH(psi_t*(Tabella8[[#This Row],[Day]]-pt)-phi_t)+TANH(phi_t))/(1+TANH(phi_t)),0)</f>
        <v>0</v>
      </c>
      <c r="J46" s="133">
        <f>Tabella8[[#This Row],[Italy fit]]/Kt</f>
        <v>0</v>
      </c>
      <c r="K46" s="22">
        <f>Tabella8[[#This Row],[Italy fit]]*NOT(ISBLANK(Tabella8[[#This Row],[Italy cumulative]]))</f>
        <v>0</v>
      </c>
      <c r="L46" s="10">
        <f>Tabella8[[#This Row],[Italy sum of regions]]+CI</f>
        <v>2460.5777545213355</v>
      </c>
      <c r="M46" s="10">
        <f>MAX(Tabella8[[#This Row],[Italy sum of regions]]-CI,0)</f>
        <v>0</v>
      </c>
      <c r="N46" s="139"/>
      <c r="O46" s="10">
        <f>Tabella8[[#This Row],[region data]]*NOT(ISBLANK(Tabella8[[#This Row],[region data]]))</f>
        <v>0</v>
      </c>
      <c r="P46" s="107">
        <f>MAX(Kr*(TANH(psi_r*(Tabella8[[#This Row],[Day]]-pr)-phi_r)+TANH(phi_r))/(1+TANH(phi_r)),0)</f>
        <v>0</v>
      </c>
      <c r="Q46" s="107">
        <f>Tabella8[[#This Row],[region fit]]/Kr</f>
        <v>0</v>
      </c>
      <c r="R46" s="10">
        <f>Tabella8[[#This Row],[region fit]]*NOT(ISBLANK(Tabella8[[#This Row],[region data]]))</f>
        <v>0</v>
      </c>
      <c r="S46" s="10">
        <f>Tabella8[[#This Row],[region fit]]+CIr</f>
        <v>86.019277464869106</v>
      </c>
      <c r="T46" s="10">
        <f>MAX(Tabella8[[#This Row],[region fit]]-CIr,0)</f>
        <v>0</v>
      </c>
      <c r="U46" s="141"/>
      <c r="V46" s="10">
        <f>Tabella8[[#This Row],[rest of Italy ]]*NOT(ISBLANK(Tabella8[[#This Row],[rest of Italy ]]))</f>
        <v>0</v>
      </c>
      <c r="W46" s="108">
        <f>MAX(Ko*(TANH(psi_o*(Tabella8[[#This Row],[Day]]-po)-phi_o)+TANH(phi_o))/(1+TANH(phi_o)),0)</f>
        <v>0</v>
      </c>
      <c r="X46" s="108">
        <f>Tabella8[[#This Row],[rest of Italy fit]]/Ko</f>
        <v>0</v>
      </c>
      <c r="Y46" s="22">
        <f>Tabella8[[#This Row],[rest of Italy fit]]*NOT(ISBLANK(Tabella8[[#This Row],[rest of Italy ]]))</f>
        <v>0</v>
      </c>
      <c r="Z46" s="10">
        <f>Tabella8[[#This Row],[rest of Italy fit]]+CIo</f>
        <v>2484.3366939346993</v>
      </c>
      <c r="AA46" s="10">
        <f>MAX(Tabella8[[#This Row],[rest of Italy fit]]-CIo,0)</f>
        <v>0</v>
      </c>
      <c r="AC46" s="2" t="s">
        <v>3</v>
      </c>
      <c r="AD46" s="6" cm="1">
        <f t="array" ref="AD46">SQRT(SUM((Tabella8[Colonna1]-Tabella8[Colonna3])^2)/dft)</f>
        <v>1268.5256750873293</v>
      </c>
      <c r="AX46" s="65"/>
      <c r="AY46" s="65"/>
      <c r="BA46" s="32"/>
      <c r="BB46" s="32"/>
      <c r="BD46" s="68"/>
      <c r="BE46" s="68"/>
    </row>
    <row r="47" spans="2:57" ht="16.2" x14ac:dyDescent="0.3">
      <c r="B47" s="134">
        <v>43870</v>
      </c>
      <c r="C47" s="4">
        <v>40</v>
      </c>
      <c r="D47" s="141"/>
      <c r="E47" s="10">
        <f>Tabella8[[#This Row],[Italy cumulative]]*NOT(ISBLANK(Tabella8[[#This Row],[Italy cumulative]]))</f>
        <v>0</v>
      </c>
      <c r="F47" s="10">
        <f>Tabella8[[#This Row],[region fit]]+Tabella8[[#This Row],[rest of Italy fit]]</f>
        <v>0</v>
      </c>
      <c r="G47" s="72">
        <f>Tabella8[[#This Row],[Italy sum of regions]]/K_sum</f>
        <v>0</v>
      </c>
      <c r="H47" s="10">
        <f>Tabella8[[#This Row],[Italy sum of regions]]*NOT(ISBLANK(Tabella8[[#This Row],[Italy cumulative]]))</f>
        <v>0</v>
      </c>
      <c r="I47" s="132">
        <f>MAX(Kt*(TANH(psi_t*(Tabella8[[#This Row],[Day]]-pt)-phi_t)+TANH(phi_t))/(1+TANH(phi_t)),0)</f>
        <v>0</v>
      </c>
      <c r="J47" s="133">
        <f>Tabella8[[#This Row],[Italy fit]]/Kt</f>
        <v>0</v>
      </c>
      <c r="K47" s="22">
        <f>Tabella8[[#This Row],[Italy fit]]*NOT(ISBLANK(Tabella8[[#This Row],[Italy cumulative]]))</f>
        <v>0</v>
      </c>
      <c r="L47" s="10">
        <f>Tabella8[[#This Row],[Italy sum of regions]]+CI</f>
        <v>2460.5777545213355</v>
      </c>
      <c r="M47" s="10">
        <f>MAX(Tabella8[[#This Row],[Italy sum of regions]]-CI,0)</f>
        <v>0</v>
      </c>
      <c r="N47" s="139"/>
      <c r="O47" s="10">
        <f>Tabella8[[#This Row],[region data]]*NOT(ISBLANK(Tabella8[[#This Row],[region data]]))</f>
        <v>0</v>
      </c>
      <c r="P47" s="107">
        <f>MAX(Kr*(TANH(psi_r*(Tabella8[[#This Row],[Day]]-pr)-phi_r)+TANH(phi_r))/(1+TANH(phi_r)),0)</f>
        <v>0</v>
      </c>
      <c r="Q47" s="107">
        <f>Tabella8[[#This Row],[region fit]]/Kr</f>
        <v>0</v>
      </c>
      <c r="R47" s="10">
        <f>Tabella8[[#This Row],[region fit]]*NOT(ISBLANK(Tabella8[[#This Row],[region data]]))</f>
        <v>0</v>
      </c>
      <c r="S47" s="10">
        <f>Tabella8[[#This Row],[region fit]]+CIr</f>
        <v>86.019277464869106</v>
      </c>
      <c r="T47" s="10">
        <f>MAX(Tabella8[[#This Row],[region fit]]-CIr,0)</f>
        <v>0</v>
      </c>
      <c r="U47" s="141"/>
      <c r="V47" s="10">
        <f>Tabella8[[#This Row],[rest of Italy ]]*NOT(ISBLANK(Tabella8[[#This Row],[rest of Italy ]]))</f>
        <v>0</v>
      </c>
      <c r="W47" s="108">
        <f>MAX(Ko*(TANH(psi_o*(Tabella8[[#This Row],[Day]]-po)-phi_o)+TANH(phi_o))/(1+TANH(phi_o)),0)</f>
        <v>0</v>
      </c>
      <c r="X47" s="108">
        <f>Tabella8[[#This Row],[rest of Italy fit]]/Ko</f>
        <v>0</v>
      </c>
      <c r="Y47" s="22">
        <f>Tabella8[[#This Row],[rest of Italy fit]]*NOT(ISBLANK(Tabella8[[#This Row],[rest of Italy ]]))</f>
        <v>0</v>
      </c>
      <c r="Z47" s="10">
        <f>Tabella8[[#This Row],[rest of Italy fit]]+CIo</f>
        <v>2484.3366939346993</v>
      </c>
      <c r="AA47" s="10">
        <f>MAX(Tabella8[[#This Row],[rest of Italy fit]]-CIo,0)</f>
        <v>0</v>
      </c>
      <c r="AC47" s="2" t="s">
        <v>4</v>
      </c>
      <c r="AD47" s="7" cm="1">
        <f t="array" ref="AD47">1-SUM((Tabella8[Colonna1]-Tabella8[Colonna3])^2)/SUM((Tabella8[Colonna1]-Mean_of_yt)^2)</f>
        <v>0.99969161481599755</v>
      </c>
      <c r="AX47" s="65"/>
      <c r="AY47" s="65"/>
      <c r="BA47" s="32"/>
      <c r="BB47" s="32"/>
      <c r="BD47" s="68"/>
      <c r="BE47" s="68"/>
    </row>
    <row r="48" spans="2:57" x14ac:dyDescent="0.3">
      <c r="B48" s="134">
        <v>43871</v>
      </c>
      <c r="C48" s="4">
        <v>41</v>
      </c>
      <c r="D48" s="141"/>
      <c r="E48" s="10">
        <f>Tabella8[[#This Row],[Italy cumulative]]*NOT(ISBLANK(Tabella8[[#This Row],[Italy cumulative]]))</f>
        <v>0</v>
      </c>
      <c r="F48" s="10">
        <f>Tabella8[[#This Row],[region fit]]+Tabella8[[#This Row],[rest of Italy fit]]</f>
        <v>0</v>
      </c>
      <c r="G48" s="72">
        <f>Tabella8[[#This Row],[Italy sum of regions]]/K_sum</f>
        <v>0</v>
      </c>
      <c r="H48" s="10">
        <f>Tabella8[[#This Row],[Italy sum of regions]]*NOT(ISBLANK(Tabella8[[#This Row],[Italy cumulative]]))</f>
        <v>0</v>
      </c>
      <c r="I48" s="132">
        <f>MAX(Kt*(TANH(psi_t*(Tabella8[[#This Row],[Day]]-pt)-phi_t)+TANH(phi_t))/(1+TANH(phi_t)),0)</f>
        <v>0</v>
      </c>
      <c r="J48" s="133">
        <f>Tabella8[[#This Row],[Italy fit]]/Kt</f>
        <v>0</v>
      </c>
      <c r="K48" s="22">
        <f>Tabella8[[#This Row],[Italy fit]]*NOT(ISBLANK(Tabella8[[#This Row],[Italy cumulative]]))</f>
        <v>0</v>
      </c>
      <c r="L48" s="10">
        <f>Tabella8[[#This Row],[Italy sum of regions]]+CI</f>
        <v>2460.5777545213355</v>
      </c>
      <c r="M48" s="10">
        <f>MAX(Tabella8[[#This Row],[Italy sum of regions]]-CI,0)</f>
        <v>0</v>
      </c>
      <c r="N48" s="139"/>
      <c r="O48" s="10">
        <f>Tabella8[[#This Row],[region data]]*NOT(ISBLANK(Tabella8[[#This Row],[region data]]))</f>
        <v>0</v>
      </c>
      <c r="P48" s="107">
        <f>MAX(Kr*(TANH(psi_r*(Tabella8[[#This Row],[Day]]-pr)-phi_r)+TANH(phi_r))/(1+TANH(phi_r)),0)</f>
        <v>0</v>
      </c>
      <c r="Q48" s="107">
        <f>Tabella8[[#This Row],[region fit]]/Kr</f>
        <v>0</v>
      </c>
      <c r="R48" s="10">
        <f>Tabella8[[#This Row],[region fit]]*NOT(ISBLANK(Tabella8[[#This Row],[region data]]))</f>
        <v>0</v>
      </c>
      <c r="S48" s="10">
        <f>Tabella8[[#This Row],[region fit]]+CIr</f>
        <v>86.019277464869106</v>
      </c>
      <c r="T48" s="10">
        <f>MAX(Tabella8[[#This Row],[region fit]]-CIr,0)</f>
        <v>0</v>
      </c>
      <c r="U48" s="141"/>
      <c r="V48" s="10">
        <f>Tabella8[[#This Row],[rest of Italy ]]*NOT(ISBLANK(Tabella8[[#This Row],[rest of Italy ]]))</f>
        <v>0</v>
      </c>
      <c r="W48" s="108">
        <f>MAX(Ko*(TANH(psi_o*(Tabella8[[#This Row],[Day]]-po)-phi_o)+TANH(phi_o))/(1+TANH(phi_o)),0)</f>
        <v>0</v>
      </c>
      <c r="X48" s="108">
        <f>Tabella8[[#This Row],[rest of Italy fit]]/Ko</f>
        <v>0</v>
      </c>
      <c r="Y48" s="22">
        <f>Tabella8[[#This Row],[rest of Italy fit]]*NOT(ISBLANK(Tabella8[[#This Row],[rest of Italy ]]))</f>
        <v>0</v>
      </c>
      <c r="Z48" s="10">
        <f>Tabella8[[#This Row],[rest of Italy fit]]+CIo</f>
        <v>2484.3366939346993</v>
      </c>
      <c r="AA48" s="10">
        <f>MAX(Tabella8[[#This Row],[rest of Italy fit]]-CIo,0)</f>
        <v>0</v>
      </c>
      <c r="AC48" s="2" t="s">
        <v>5</v>
      </c>
      <c r="AD48" s="7">
        <f>TINV(0.05,dft)</f>
        <v>1.9912543953883848</v>
      </c>
      <c r="AX48" s="65"/>
      <c r="AY48" s="65"/>
      <c r="BA48" s="32"/>
      <c r="BB48" s="32"/>
      <c r="BD48" s="68"/>
      <c r="BE48" s="68"/>
    </row>
    <row r="49" spans="2:378" x14ac:dyDescent="0.3">
      <c r="B49" s="134">
        <v>43872</v>
      </c>
      <c r="C49" s="4">
        <v>42</v>
      </c>
      <c r="D49" s="141"/>
      <c r="E49" s="10">
        <f>Tabella8[[#This Row],[Italy cumulative]]*NOT(ISBLANK(Tabella8[[#This Row],[Italy cumulative]]))</f>
        <v>0</v>
      </c>
      <c r="F49" s="10">
        <f>Tabella8[[#This Row],[region fit]]+Tabella8[[#This Row],[rest of Italy fit]]</f>
        <v>0</v>
      </c>
      <c r="G49" s="72">
        <f>Tabella8[[#This Row],[Italy sum of regions]]/K_sum</f>
        <v>0</v>
      </c>
      <c r="H49" s="10">
        <f>Tabella8[[#This Row],[Italy sum of regions]]*NOT(ISBLANK(Tabella8[[#This Row],[Italy cumulative]]))</f>
        <v>0</v>
      </c>
      <c r="I49" s="132">
        <f>MAX(Kt*(TANH(psi_t*(Tabella8[[#This Row],[Day]]-pt)-phi_t)+TANH(phi_t))/(1+TANH(phi_t)),0)</f>
        <v>0</v>
      </c>
      <c r="J49" s="133">
        <f>Tabella8[[#This Row],[Italy fit]]/Kt</f>
        <v>0</v>
      </c>
      <c r="K49" s="22">
        <f>Tabella8[[#This Row],[Italy fit]]*NOT(ISBLANK(Tabella8[[#This Row],[Italy cumulative]]))</f>
        <v>0</v>
      </c>
      <c r="L49" s="10">
        <f>Tabella8[[#This Row],[Italy sum of regions]]+CI</f>
        <v>2460.5777545213355</v>
      </c>
      <c r="M49" s="10">
        <f>MAX(Tabella8[[#This Row],[Italy sum of regions]]-CI,0)</f>
        <v>0</v>
      </c>
      <c r="N49" s="139"/>
      <c r="O49" s="10">
        <f>Tabella8[[#This Row],[region data]]*NOT(ISBLANK(Tabella8[[#This Row],[region data]]))</f>
        <v>0</v>
      </c>
      <c r="P49" s="107">
        <f>MAX(Kr*(TANH(psi_r*(Tabella8[[#This Row],[Day]]-pr)-phi_r)+TANH(phi_r))/(1+TANH(phi_r)),0)</f>
        <v>0</v>
      </c>
      <c r="Q49" s="107">
        <f>Tabella8[[#This Row],[region fit]]/Kr</f>
        <v>0</v>
      </c>
      <c r="R49" s="10">
        <f>Tabella8[[#This Row],[region fit]]*NOT(ISBLANK(Tabella8[[#This Row],[region data]]))</f>
        <v>0</v>
      </c>
      <c r="S49" s="10">
        <f>Tabella8[[#This Row],[region fit]]+CIr</f>
        <v>86.019277464869106</v>
      </c>
      <c r="T49" s="10">
        <f>MAX(Tabella8[[#This Row],[region fit]]-CIr,0)</f>
        <v>0</v>
      </c>
      <c r="U49" s="141"/>
      <c r="V49" s="10">
        <f>Tabella8[[#This Row],[rest of Italy ]]*NOT(ISBLANK(Tabella8[[#This Row],[rest of Italy ]]))</f>
        <v>0</v>
      </c>
      <c r="W49" s="108">
        <f>MAX(Ko*(TANH(psi_o*(Tabella8[[#This Row],[Day]]-po)-phi_o)+TANH(phi_o))/(1+TANH(phi_o)),0)</f>
        <v>0</v>
      </c>
      <c r="X49" s="108">
        <f>Tabella8[[#This Row],[rest of Italy fit]]/Ko</f>
        <v>0</v>
      </c>
      <c r="Y49" s="22">
        <f>Tabella8[[#This Row],[rest of Italy fit]]*NOT(ISBLANK(Tabella8[[#This Row],[rest of Italy ]]))</f>
        <v>0</v>
      </c>
      <c r="Z49" s="10">
        <f>Tabella8[[#This Row],[rest of Italy fit]]+CIo</f>
        <v>2484.3366939346993</v>
      </c>
      <c r="AA49" s="10">
        <f>MAX(Tabella8[[#This Row],[rest of Italy fit]]-CIo,0)</f>
        <v>0</v>
      </c>
      <c r="AC49" s="2" t="s">
        <v>6</v>
      </c>
      <c r="AD49" s="1">
        <f>Critical_tt*SE_of_yt</f>
        <v>2525.9573261806627</v>
      </c>
      <c r="AX49" s="65"/>
      <c r="AY49" s="65"/>
      <c r="BA49" s="32"/>
      <c r="BB49" s="32"/>
      <c r="BD49" s="68"/>
      <c r="BE49" s="68"/>
    </row>
    <row r="50" spans="2:378" x14ac:dyDescent="0.3">
      <c r="B50" s="134">
        <v>43873</v>
      </c>
      <c r="C50" s="4">
        <v>43</v>
      </c>
      <c r="D50" s="141"/>
      <c r="E50" s="10">
        <f>Tabella8[[#This Row],[Italy cumulative]]*NOT(ISBLANK(Tabella8[[#This Row],[Italy cumulative]]))</f>
        <v>0</v>
      </c>
      <c r="F50" s="10">
        <f>Tabella8[[#This Row],[region fit]]+Tabella8[[#This Row],[rest of Italy fit]]</f>
        <v>0</v>
      </c>
      <c r="G50" s="72">
        <f>Tabella8[[#This Row],[Italy sum of regions]]/K_sum</f>
        <v>0</v>
      </c>
      <c r="H50" s="10">
        <f>Tabella8[[#This Row],[Italy sum of regions]]*NOT(ISBLANK(Tabella8[[#This Row],[Italy cumulative]]))</f>
        <v>0</v>
      </c>
      <c r="I50" s="132">
        <f>MAX(Kt*(TANH(psi_t*(Tabella8[[#This Row],[Day]]-pt)-phi_t)+TANH(phi_t))/(1+TANH(phi_t)),0)</f>
        <v>0</v>
      </c>
      <c r="J50" s="133">
        <f>Tabella8[[#This Row],[Italy fit]]/Kt</f>
        <v>0</v>
      </c>
      <c r="K50" s="22">
        <f>Tabella8[[#This Row],[Italy fit]]*NOT(ISBLANK(Tabella8[[#This Row],[Italy cumulative]]))</f>
        <v>0</v>
      </c>
      <c r="L50" s="10">
        <f>Tabella8[[#This Row],[Italy sum of regions]]+CI</f>
        <v>2460.5777545213355</v>
      </c>
      <c r="M50" s="10">
        <f>MAX(Tabella8[[#This Row],[Italy sum of regions]]-CI,0)</f>
        <v>0</v>
      </c>
      <c r="N50" s="139"/>
      <c r="O50" s="10">
        <f>Tabella8[[#This Row],[region data]]*NOT(ISBLANK(Tabella8[[#This Row],[region data]]))</f>
        <v>0</v>
      </c>
      <c r="P50" s="107">
        <f>MAX(Kr*(TANH(psi_r*(Tabella8[[#This Row],[Day]]-pr)-phi_r)+TANH(phi_r))/(1+TANH(phi_r)),0)</f>
        <v>0</v>
      </c>
      <c r="Q50" s="107">
        <f>Tabella8[[#This Row],[region fit]]/Kr</f>
        <v>0</v>
      </c>
      <c r="R50" s="10">
        <f>Tabella8[[#This Row],[region fit]]*NOT(ISBLANK(Tabella8[[#This Row],[region data]]))</f>
        <v>0</v>
      </c>
      <c r="S50" s="10">
        <f>Tabella8[[#This Row],[region fit]]+CIr</f>
        <v>86.019277464869106</v>
      </c>
      <c r="T50" s="10">
        <f>MAX(Tabella8[[#This Row],[region fit]]-CIr,0)</f>
        <v>0</v>
      </c>
      <c r="U50" s="141"/>
      <c r="V50" s="10">
        <f>Tabella8[[#This Row],[rest of Italy ]]*NOT(ISBLANK(Tabella8[[#This Row],[rest of Italy ]]))</f>
        <v>0</v>
      </c>
      <c r="W50" s="108">
        <f>MAX(Ko*(TANH(psi_o*(Tabella8[[#This Row],[Day]]-po)-phi_o)+TANH(phi_o))/(1+TANH(phi_o)),0)</f>
        <v>0</v>
      </c>
      <c r="X50" s="108">
        <f>Tabella8[[#This Row],[rest of Italy fit]]/Ko</f>
        <v>0</v>
      </c>
      <c r="Y50" s="22">
        <f>Tabella8[[#This Row],[rest of Italy fit]]*NOT(ISBLANK(Tabella8[[#This Row],[rest of Italy ]]))</f>
        <v>0</v>
      </c>
      <c r="Z50" s="10">
        <f>Tabella8[[#This Row],[rest of Italy fit]]+CIo</f>
        <v>2484.3366939346993</v>
      </c>
      <c r="AA50" s="10">
        <f>MAX(Tabella8[[#This Row],[rest of Italy fit]]-CIo,0)</f>
        <v>0</v>
      </c>
      <c r="AC50" s="61" t="s">
        <v>356</v>
      </c>
      <c r="AD50" s="138">
        <v>69.844294912230211</v>
      </c>
      <c r="AX50" s="65"/>
      <c r="AY50" s="65"/>
      <c r="BA50" s="32"/>
      <c r="BB50" s="32"/>
      <c r="BD50" s="68"/>
      <c r="BE50" s="68"/>
    </row>
    <row r="51" spans="2:378" x14ac:dyDescent="0.3">
      <c r="B51" s="134">
        <v>43874</v>
      </c>
      <c r="C51" s="4">
        <v>44</v>
      </c>
      <c r="D51" s="141"/>
      <c r="E51" s="10">
        <f>Tabella8[[#This Row],[Italy cumulative]]*NOT(ISBLANK(Tabella8[[#This Row],[Italy cumulative]]))</f>
        <v>0</v>
      </c>
      <c r="F51" s="10">
        <f>Tabella8[[#This Row],[region fit]]+Tabella8[[#This Row],[rest of Italy fit]]</f>
        <v>0</v>
      </c>
      <c r="G51" s="72">
        <f>Tabella8[[#This Row],[Italy sum of regions]]/K_sum</f>
        <v>0</v>
      </c>
      <c r="H51" s="10">
        <f>Tabella8[[#This Row],[Italy sum of regions]]*NOT(ISBLANK(Tabella8[[#This Row],[Italy cumulative]]))</f>
        <v>0</v>
      </c>
      <c r="I51" s="132">
        <f>MAX(Kt*(TANH(psi_t*(Tabella8[[#This Row],[Day]]-pt)-phi_t)+TANH(phi_t))/(1+TANH(phi_t)),0)</f>
        <v>0</v>
      </c>
      <c r="J51" s="133">
        <f>Tabella8[[#This Row],[Italy fit]]/Kt</f>
        <v>0</v>
      </c>
      <c r="K51" s="22">
        <f>Tabella8[[#This Row],[Italy fit]]*NOT(ISBLANK(Tabella8[[#This Row],[Italy cumulative]]))</f>
        <v>0</v>
      </c>
      <c r="L51" s="10">
        <f>Tabella8[[#This Row],[Italy sum of regions]]+CI</f>
        <v>2460.5777545213355</v>
      </c>
      <c r="M51" s="10">
        <f>MAX(Tabella8[[#This Row],[Italy sum of regions]]-CI,0)</f>
        <v>0</v>
      </c>
      <c r="N51" s="139"/>
      <c r="O51" s="10">
        <f>Tabella8[[#This Row],[region data]]*NOT(ISBLANK(Tabella8[[#This Row],[region data]]))</f>
        <v>0</v>
      </c>
      <c r="P51" s="107">
        <f>MAX(Kr*(TANH(psi_r*(Tabella8[[#This Row],[Day]]-pr)-phi_r)+TANH(phi_r))/(1+TANH(phi_r)),0)</f>
        <v>0</v>
      </c>
      <c r="Q51" s="107">
        <f>Tabella8[[#This Row],[region fit]]/Kr</f>
        <v>0</v>
      </c>
      <c r="R51" s="10">
        <f>Tabella8[[#This Row],[region fit]]*NOT(ISBLANK(Tabella8[[#This Row],[region data]]))</f>
        <v>0</v>
      </c>
      <c r="S51" s="10">
        <f>Tabella8[[#This Row],[region fit]]+CIr</f>
        <v>86.019277464869106</v>
      </c>
      <c r="T51" s="10">
        <f>MAX(Tabella8[[#This Row],[region fit]]-CIr,0)</f>
        <v>0</v>
      </c>
      <c r="U51" s="141"/>
      <c r="V51" s="10">
        <f>Tabella8[[#This Row],[rest of Italy ]]*NOT(ISBLANK(Tabella8[[#This Row],[rest of Italy ]]))</f>
        <v>0</v>
      </c>
      <c r="W51" s="108">
        <f>MAX(Ko*(TANH(psi_o*(Tabella8[[#This Row],[Day]]-po)-phi_o)+TANH(phi_o))/(1+TANH(phi_o)),0)</f>
        <v>0</v>
      </c>
      <c r="X51" s="108">
        <f>Tabella8[[#This Row],[rest of Italy fit]]/Ko</f>
        <v>0</v>
      </c>
      <c r="Y51" s="22">
        <f>Tabella8[[#This Row],[rest of Italy fit]]*NOT(ISBLANK(Tabella8[[#This Row],[rest of Italy ]]))</f>
        <v>0</v>
      </c>
      <c r="Z51" s="10">
        <f>Tabella8[[#This Row],[rest of Italy fit]]+CIo</f>
        <v>2484.3366939346993</v>
      </c>
      <c r="AA51" s="10">
        <f>MAX(Tabella8[[#This Row],[rest of Italy fit]]-CIo,0)</f>
        <v>0</v>
      </c>
      <c r="AC51" s="54" t="s">
        <v>38</v>
      </c>
      <c r="AD51" s="55">
        <v>7</v>
      </c>
      <c r="AX51" s="65"/>
      <c r="AY51" s="65"/>
      <c r="BA51" s="32"/>
      <c r="BB51" s="32"/>
      <c r="BD51" s="68"/>
      <c r="BE51" s="68"/>
    </row>
    <row r="52" spans="2:378" x14ac:dyDescent="0.3">
      <c r="B52" s="134">
        <v>43875</v>
      </c>
      <c r="C52" s="4">
        <v>45</v>
      </c>
      <c r="D52" s="141"/>
      <c r="E52" s="10">
        <f>Tabella8[[#This Row],[Italy cumulative]]*NOT(ISBLANK(Tabella8[[#This Row],[Italy cumulative]]))</f>
        <v>0</v>
      </c>
      <c r="F52" s="10">
        <f>Tabella8[[#This Row],[region fit]]+Tabella8[[#This Row],[rest of Italy fit]]</f>
        <v>0</v>
      </c>
      <c r="G52" s="72">
        <f>Tabella8[[#This Row],[Italy sum of regions]]/K_sum</f>
        <v>0</v>
      </c>
      <c r="H52" s="10">
        <f>Tabella8[[#This Row],[Italy sum of regions]]*NOT(ISBLANK(Tabella8[[#This Row],[Italy cumulative]]))</f>
        <v>0</v>
      </c>
      <c r="I52" s="132">
        <f>MAX(Kt*(TANH(psi_t*(Tabella8[[#This Row],[Day]]-pt)-phi_t)+TANH(phi_t))/(1+TANH(phi_t)),0)</f>
        <v>0</v>
      </c>
      <c r="J52" s="133">
        <f>Tabella8[[#This Row],[Italy fit]]/Kt</f>
        <v>0</v>
      </c>
      <c r="K52" s="22">
        <f>Tabella8[[#This Row],[Italy fit]]*NOT(ISBLANK(Tabella8[[#This Row],[Italy cumulative]]))</f>
        <v>0</v>
      </c>
      <c r="L52" s="10">
        <f>Tabella8[[#This Row],[Italy sum of regions]]+CI</f>
        <v>2460.5777545213355</v>
      </c>
      <c r="M52" s="10">
        <f>MAX(Tabella8[[#This Row],[Italy sum of regions]]-CI,0)</f>
        <v>0</v>
      </c>
      <c r="N52" s="139"/>
      <c r="O52" s="10">
        <f>Tabella8[[#This Row],[region data]]*NOT(ISBLANK(Tabella8[[#This Row],[region data]]))</f>
        <v>0</v>
      </c>
      <c r="P52" s="107">
        <f>MAX(Kr*(TANH(psi_r*(Tabella8[[#This Row],[Day]]-pr)-phi_r)+TANH(phi_r))/(1+TANH(phi_r)),0)</f>
        <v>0</v>
      </c>
      <c r="Q52" s="107">
        <f>Tabella8[[#This Row],[region fit]]/Kr</f>
        <v>0</v>
      </c>
      <c r="R52" s="10">
        <f>Tabella8[[#This Row],[region fit]]*NOT(ISBLANK(Tabella8[[#This Row],[region data]]))</f>
        <v>0</v>
      </c>
      <c r="S52" s="10">
        <f>Tabella8[[#This Row],[region fit]]+CIr</f>
        <v>86.019277464869106</v>
      </c>
      <c r="T52" s="10">
        <f>MAX(Tabella8[[#This Row],[region fit]]-CIr,0)</f>
        <v>0</v>
      </c>
      <c r="U52" s="141"/>
      <c r="V52" s="10">
        <f>Tabella8[[#This Row],[rest of Italy ]]*NOT(ISBLANK(Tabella8[[#This Row],[rest of Italy ]]))</f>
        <v>0</v>
      </c>
      <c r="W52" s="108">
        <f>MAX(Ko*(TANH(psi_o*(Tabella8[[#This Row],[Day]]-po)-phi_o)+TANH(phi_o))/(1+TANH(phi_o)),0)</f>
        <v>0</v>
      </c>
      <c r="X52" s="108">
        <f>Tabella8[[#This Row],[rest of Italy fit]]/Ko</f>
        <v>0</v>
      </c>
      <c r="Y52" s="22">
        <f>Tabella8[[#This Row],[rest of Italy fit]]*NOT(ISBLANK(Tabella8[[#This Row],[rest of Italy ]]))</f>
        <v>0</v>
      </c>
      <c r="Z52" s="10">
        <f>Tabella8[[#This Row],[rest of Italy fit]]+CIo</f>
        <v>2484.3366939346993</v>
      </c>
      <c r="AA52" s="10">
        <f>MAX(Tabella8[[#This Row],[rest of Italy fit]]-CIo,0)</f>
        <v>0</v>
      </c>
      <c r="AC52" s="54" t="s">
        <v>39</v>
      </c>
      <c r="AD52" s="290" t="s">
        <v>49</v>
      </c>
      <c r="AX52" s="65"/>
      <c r="AY52" s="65"/>
      <c r="BA52" s="32"/>
      <c r="BB52" s="32"/>
      <c r="BD52" s="68"/>
      <c r="BE52" s="68"/>
    </row>
    <row r="53" spans="2:378" x14ac:dyDescent="0.3">
      <c r="B53" s="134">
        <v>43876</v>
      </c>
      <c r="C53" s="4">
        <v>46</v>
      </c>
      <c r="D53" s="141"/>
      <c r="E53" s="10">
        <f>Tabella8[[#This Row],[Italy cumulative]]*NOT(ISBLANK(Tabella8[[#This Row],[Italy cumulative]]))</f>
        <v>0</v>
      </c>
      <c r="F53" s="10">
        <f>Tabella8[[#This Row],[region fit]]+Tabella8[[#This Row],[rest of Italy fit]]</f>
        <v>0</v>
      </c>
      <c r="G53" s="72">
        <f>Tabella8[[#This Row],[Italy sum of regions]]/K_sum</f>
        <v>0</v>
      </c>
      <c r="H53" s="10">
        <f>Tabella8[[#This Row],[Italy sum of regions]]*NOT(ISBLANK(Tabella8[[#This Row],[Italy cumulative]]))</f>
        <v>0</v>
      </c>
      <c r="I53" s="132">
        <f>MAX(Kt*(TANH(psi_t*(Tabella8[[#This Row],[Day]]-pt)-phi_t)+TANH(phi_t))/(1+TANH(phi_t)),0)</f>
        <v>0</v>
      </c>
      <c r="J53" s="133">
        <f>Tabella8[[#This Row],[Italy fit]]/Kt</f>
        <v>0</v>
      </c>
      <c r="K53" s="22">
        <f>Tabella8[[#This Row],[Italy fit]]*NOT(ISBLANK(Tabella8[[#This Row],[Italy cumulative]]))</f>
        <v>0</v>
      </c>
      <c r="L53" s="10">
        <f>Tabella8[[#This Row],[Italy sum of regions]]+CI</f>
        <v>2460.5777545213355</v>
      </c>
      <c r="M53" s="10">
        <f>MAX(Tabella8[[#This Row],[Italy sum of regions]]-CI,0)</f>
        <v>0</v>
      </c>
      <c r="N53" s="139"/>
      <c r="O53" s="10">
        <f>Tabella8[[#This Row],[region data]]*NOT(ISBLANK(Tabella8[[#This Row],[region data]]))</f>
        <v>0</v>
      </c>
      <c r="P53" s="107">
        <f>MAX(Kr*(TANH(psi_r*(Tabella8[[#This Row],[Day]]-pr)-phi_r)+TANH(phi_r))/(1+TANH(phi_r)),0)</f>
        <v>0</v>
      </c>
      <c r="Q53" s="107">
        <f>Tabella8[[#This Row],[region fit]]/Kr</f>
        <v>0</v>
      </c>
      <c r="R53" s="10">
        <f>Tabella8[[#This Row],[region fit]]*NOT(ISBLANK(Tabella8[[#This Row],[region data]]))</f>
        <v>0</v>
      </c>
      <c r="S53" s="10">
        <f>Tabella8[[#This Row],[region fit]]+CIr</f>
        <v>86.019277464869106</v>
      </c>
      <c r="T53" s="10">
        <f>MAX(Tabella8[[#This Row],[region fit]]-CIr,0)</f>
        <v>0</v>
      </c>
      <c r="U53" s="141"/>
      <c r="V53" s="10">
        <f>Tabella8[[#This Row],[rest of Italy ]]*NOT(ISBLANK(Tabella8[[#This Row],[rest of Italy ]]))</f>
        <v>0</v>
      </c>
      <c r="W53" s="108">
        <f>MAX(Ko*(TANH(psi_o*(Tabella8[[#This Row],[Day]]-po)-phi_o)+TANH(phi_o))/(1+TANH(phi_o)),0)</f>
        <v>0</v>
      </c>
      <c r="X53" s="108">
        <f>Tabella8[[#This Row],[rest of Italy fit]]/Ko</f>
        <v>0</v>
      </c>
      <c r="Y53" s="22">
        <f>Tabella8[[#This Row],[rest of Italy fit]]*NOT(ISBLANK(Tabella8[[#This Row],[rest of Italy ]]))</f>
        <v>0</v>
      </c>
      <c r="Z53" s="10">
        <f>Tabella8[[#This Row],[rest of Italy fit]]+CIo</f>
        <v>2484.3366939346993</v>
      </c>
      <c r="AA53" s="10">
        <f>MAX(Tabella8[[#This Row],[rest of Italy fit]]-CIo,0)</f>
        <v>0</v>
      </c>
      <c r="AX53" s="65"/>
      <c r="AY53" s="65"/>
      <c r="BA53" s="32"/>
      <c r="BB53" s="32"/>
      <c r="BD53" s="68"/>
      <c r="BE53" s="68"/>
    </row>
    <row r="54" spans="2:378" x14ac:dyDescent="0.3">
      <c r="B54" s="134">
        <v>43877</v>
      </c>
      <c r="C54" s="4">
        <v>47</v>
      </c>
      <c r="D54" s="141"/>
      <c r="E54" s="10">
        <f>Tabella8[[#This Row],[Italy cumulative]]*NOT(ISBLANK(Tabella8[[#This Row],[Italy cumulative]]))</f>
        <v>0</v>
      </c>
      <c r="F54" s="10">
        <f>Tabella8[[#This Row],[region fit]]+Tabella8[[#This Row],[rest of Italy fit]]</f>
        <v>0</v>
      </c>
      <c r="G54" s="72">
        <f>Tabella8[[#This Row],[Italy sum of regions]]/K_sum</f>
        <v>0</v>
      </c>
      <c r="H54" s="10">
        <f>Tabella8[[#This Row],[Italy sum of regions]]*NOT(ISBLANK(Tabella8[[#This Row],[Italy cumulative]]))</f>
        <v>0</v>
      </c>
      <c r="I54" s="132">
        <f>MAX(Kt*(TANH(psi_t*(Tabella8[[#This Row],[Day]]-pt)-phi_t)+TANH(phi_t))/(1+TANH(phi_t)),0)</f>
        <v>0</v>
      </c>
      <c r="J54" s="133">
        <f>Tabella8[[#This Row],[Italy fit]]/Kt</f>
        <v>0</v>
      </c>
      <c r="K54" s="22">
        <f>Tabella8[[#This Row],[Italy fit]]*NOT(ISBLANK(Tabella8[[#This Row],[Italy cumulative]]))</f>
        <v>0</v>
      </c>
      <c r="L54" s="10">
        <f>Tabella8[[#This Row],[Italy sum of regions]]+CI</f>
        <v>2460.5777545213355</v>
      </c>
      <c r="M54" s="10">
        <f>MAX(Tabella8[[#This Row],[Italy sum of regions]]-CI,0)</f>
        <v>0</v>
      </c>
      <c r="N54" s="139"/>
      <c r="O54" s="10">
        <f>Tabella8[[#This Row],[region data]]*NOT(ISBLANK(Tabella8[[#This Row],[region data]]))</f>
        <v>0</v>
      </c>
      <c r="P54" s="107">
        <f>MAX(Kr*(TANH(psi_r*(Tabella8[[#This Row],[Day]]-pr)-phi_r)+TANH(phi_r))/(1+TANH(phi_r)),0)</f>
        <v>0</v>
      </c>
      <c r="Q54" s="107">
        <f>Tabella8[[#This Row],[region fit]]/Kr</f>
        <v>0</v>
      </c>
      <c r="R54" s="10">
        <f>Tabella8[[#This Row],[region fit]]*NOT(ISBLANK(Tabella8[[#This Row],[region data]]))</f>
        <v>0</v>
      </c>
      <c r="S54" s="10">
        <f>Tabella8[[#This Row],[region fit]]+CIr</f>
        <v>86.019277464869106</v>
      </c>
      <c r="T54" s="10">
        <f>MAX(Tabella8[[#This Row],[region fit]]-CIr,0)</f>
        <v>0</v>
      </c>
      <c r="U54" s="141"/>
      <c r="V54" s="10">
        <f>Tabella8[[#This Row],[rest of Italy ]]*NOT(ISBLANK(Tabella8[[#This Row],[rest of Italy ]]))</f>
        <v>0</v>
      </c>
      <c r="W54" s="108">
        <f>MAX(Ko*(TANH(psi_o*(Tabella8[[#This Row],[Day]]-po)-phi_o)+TANH(phi_o))/(1+TANH(phi_o)),0)</f>
        <v>0</v>
      </c>
      <c r="X54" s="108">
        <f>Tabella8[[#This Row],[rest of Italy fit]]/Ko</f>
        <v>0</v>
      </c>
      <c r="Y54" s="22">
        <f>Tabella8[[#This Row],[rest of Italy fit]]*NOT(ISBLANK(Tabella8[[#This Row],[rest of Italy ]]))</f>
        <v>0</v>
      </c>
      <c r="Z54" s="10">
        <f>Tabella8[[#This Row],[rest of Italy fit]]+CIo</f>
        <v>2484.3366939346993</v>
      </c>
      <c r="AA54" s="10">
        <f>MAX(Tabella8[[#This Row],[rest of Italy fit]]-CIo,0)</f>
        <v>0</v>
      </c>
      <c r="AC54" s="54" t="s">
        <v>133</v>
      </c>
      <c r="AD54" s="290" t="s">
        <v>4678</v>
      </c>
      <c r="AE54" s="290" t="s">
        <v>4679</v>
      </c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 s="65"/>
      <c r="AY54" s="65"/>
      <c r="AZ54"/>
      <c r="BA54" s="32"/>
      <c r="BB54" s="32"/>
      <c r="BC54"/>
      <c r="BD54" s="68"/>
      <c r="BE54" s="68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</row>
    <row r="55" spans="2:378" x14ac:dyDescent="0.3">
      <c r="B55" s="134">
        <v>43878</v>
      </c>
      <c r="C55" s="4">
        <v>48</v>
      </c>
      <c r="D55" s="141"/>
      <c r="E55" s="10">
        <f>Tabella8[[#This Row],[Italy cumulative]]*NOT(ISBLANK(Tabella8[[#This Row],[Italy cumulative]]))</f>
        <v>0</v>
      </c>
      <c r="F55" s="10">
        <f>Tabella8[[#This Row],[region fit]]+Tabella8[[#This Row],[rest of Italy fit]]</f>
        <v>0</v>
      </c>
      <c r="G55" s="72">
        <f>Tabella8[[#This Row],[Italy sum of regions]]/K_sum</f>
        <v>0</v>
      </c>
      <c r="H55" s="10">
        <f>Tabella8[[#This Row],[Italy sum of regions]]*NOT(ISBLANK(Tabella8[[#This Row],[Italy cumulative]]))</f>
        <v>0</v>
      </c>
      <c r="I55" s="132">
        <f>MAX(Kt*(TANH(psi_t*(Tabella8[[#This Row],[Day]]-pt)-phi_t)+TANH(phi_t))/(1+TANH(phi_t)),0)</f>
        <v>0</v>
      </c>
      <c r="J55" s="133">
        <f>Tabella8[[#This Row],[Italy fit]]/Kt</f>
        <v>0</v>
      </c>
      <c r="K55" s="22">
        <f>Tabella8[[#This Row],[Italy fit]]*NOT(ISBLANK(Tabella8[[#This Row],[Italy cumulative]]))</f>
        <v>0</v>
      </c>
      <c r="L55" s="10">
        <f>Tabella8[[#This Row],[Italy sum of regions]]+CI</f>
        <v>2460.5777545213355</v>
      </c>
      <c r="M55" s="10">
        <f>MAX(Tabella8[[#This Row],[Italy sum of regions]]-CI,0)</f>
        <v>0</v>
      </c>
      <c r="N55" s="139"/>
      <c r="O55" s="10">
        <f>Tabella8[[#This Row],[region data]]*NOT(ISBLANK(Tabella8[[#This Row],[region data]]))</f>
        <v>0</v>
      </c>
      <c r="P55" s="107">
        <f>MAX(Kr*(TANH(psi_r*(Tabella8[[#This Row],[Day]]-pr)-phi_r)+TANH(phi_r))/(1+TANH(phi_r)),0)</f>
        <v>0</v>
      </c>
      <c r="Q55" s="107">
        <f>Tabella8[[#This Row],[region fit]]/Kr</f>
        <v>0</v>
      </c>
      <c r="R55" s="10">
        <f>Tabella8[[#This Row],[region fit]]*NOT(ISBLANK(Tabella8[[#This Row],[region data]]))</f>
        <v>0</v>
      </c>
      <c r="S55" s="10">
        <f>Tabella8[[#This Row],[region fit]]+CIr</f>
        <v>86.019277464869106</v>
      </c>
      <c r="T55" s="10">
        <f>MAX(Tabella8[[#This Row],[region fit]]-CIr,0)</f>
        <v>0</v>
      </c>
      <c r="U55" s="141"/>
      <c r="V55" s="10">
        <f>Tabella8[[#This Row],[rest of Italy ]]*NOT(ISBLANK(Tabella8[[#This Row],[rest of Italy ]]))</f>
        <v>0</v>
      </c>
      <c r="W55" s="108">
        <f>MAX(Ko*(TANH(psi_o*(Tabella8[[#This Row],[Day]]-po)-phi_o)+TANH(phi_o))/(1+TANH(phi_o)),0)</f>
        <v>0</v>
      </c>
      <c r="X55" s="108">
        <f>Tabella8[[#This Row],[rest of Italy fit]]/Ko</f>
        <v>0</v>
      </c>
      <c r="Y55" s="22">
        <f>Tabella8[[#This Row],[rest of Italy fit]]*NOT(ISBLANK(Tabella8[[#This Row],[rest of Italy ]]))</f>
        <v>0</v>
      </c>
      <c r="Z55" s="10">
        <f>Tabella8[[#This Row],[rest of Italy fit]]+CIo</f>
        <v>2484.3366939346993</v>
      </c>
      <c r="AA55" s="10">
        <f>MAX(Tabella8[[#This Row],[rest of Italy fit]]-CIo,0)</f>
        <v>0</v>
      </c>
      <c r="AC55" s="55" t="s">
        <v>135</v>
      </c>
      <c r="AD55" s="87">
        <v>0</v>
      </c>
      <c r="AE55" s="87">
        <v>0</v>
      </c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 s="65"/>
      <c r="AY55" s="65"/>
      <c r="AZ55"/>
      <c r="BA55" s="32"/>
      <c r="BB55" s="32"/>
      <c r="BC55"/>
      <c r="BD55" s="68"/>
      <c r="BE55" s="68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  <c r="MD55"/>
      <c r="ME55"/>
      <c r="MF55"/>
      <c r="MG55"/>
      <c r="MH55"/>
      <c r="MI55"/>
      <c r="MJ55"/>
      <c r="MK55"/>
      <c r="ML55"/>
      <c r="MM55"/>
      <c r="MN55"/>
      <c r="MO55"/>
      <c r="MP55"/>
      <c r="MQ55"/>
      <c r="MR55"/>
      <c r="MS55"/>
      <c r="MT55"/>
      <c r="MU55"/>
      <c r="MV55"/>
      <c r="MW55"/>
      <c r="MX55"/>
      <c r="MY55"/>
      <c r="MZ55"/>
      <c r="NA55"/>
      <c r="NB55"/>
      <c r="NC55"/>
      <c r="ND55"/>
      <c r="NE55"/>
      <c r="NF55"/>
      <c r="NG55"/>
      <c r="NH55"/>
      <c r="NI55"/>
      <c r="NJ55"/>
      <c r="NK55"/>
      <c r="NL55"/>
      <c r="NM55"/>
      <c r="NN55"/>
    </row>
    <row r="56" spans="2:378" x14ac:dyDescent="0.3">
      <c r="B56" s="134">
        <v>43879</v>
      </c>
      <c r="C56" s="4">
        <v>49</v>
      </c>
      <c r="D56" s="141"/>
      <c r="E56" s="10">
        <f>Tabella8[[#This Row],[Italy cumulative]]*NOT(ISBLANK(Tabella8[[#This Row],[Italy cumulative]]))</f>
        <v>0</v>
      </c>
      <c r="F56" s="10">
        <f>Tabella8[[#This Row],[region fit]]+Tabella8[[#This Row],[rest of Italy fit]]</f>
        <v>0</v>
      </c>
      <c r="G56" s="72">
        <f>Tabella8[[#This Row],[Italy sum of regions]]/K_sum</f>
        <v>0</v>
      </c>
      <c r="H56" s="10">
        <f>Tabella8[[#This Row],[Italy sum of regions]]*NOT(ISBLANK(Tabella8[[#This Row],[Italy cumulative]]))</f>
        <v>0</v>
      </c>
      <c r="I56" s="132">
        <f>MAX(Kt*(TANH(psi_t*(Tabella8[[#This Row],[Day]]-pt)-phi_t)+TANH(phi_t))/(1+TANH(phi_t)),0)</f>
        <v>0</v>
      </c>
      <c r="J56" s="133">
        <f>Tabella8[[#This Row],[Italy fit]]/Kt</f>
        <v>0</v>
      </c>
      <c r="K56" s="22">
        <f>Tabella8[[#This Row],[Italy fit]]*NOT(ISBLANK(Tabella8[[#This Row],[Italy cumulative]]))</f>
        <v>0</v>
      </c>
      <c r="L56" s="10">
        <f>Tabella8[[#This Row],[Italy sum of regions]]+CI</f>
        <v>2460.5777545213355</v>
      </c>
      <c r="M56" s="10">
        <f>MAX(Tabella8[[#This Row],[Italy sum of regions]]-CI,0)</f>
        <v>0</v>
      </c>
      <c r="N56" s="139"/>
      <c r="O56" s="10">
        <f>Tabella8[[#This Row],[region data]]*NOT(ISBLANK(Tabella8[[#This Row],[region data]]))</f>
        <v>0</v>
      </c>
      <c r="P56" s="107">
        <f>MAX(Kr*(TANH(psi_r*(Tabella8[[#This Row],[Day]]-pr)-phi_r)+TANH(phi_r))/(1+TANH(phi_r)),0)</f>
        <v>0</v>
      </c>
      <c r="Q56" s="107">
        <f>Tabella8[[#This Row],[region fit]]/Kr</f>
        <v>0</v>
      </c>
      <c r="R56" s="10">
        <f>Tabella8[[#This Row],[region fit]]*NOT(ISBLANK(Tabella8[[#This Row],[region data]]))</f>
        <v>0</v>
      </c>
      <c r="S56" s="10">
        <f>Tabella8[[#This Row],[region fit]]+CIr</f>
        <v>86.019277464869106</v>
      </c>
      <c r="T56" s="10">
        <f>MAX(Tabella8[[#This Row],[region fit]]-CIr,0)</f>
        <v>0</v>
      </c>
      <c r="U56" s="141"/>
      <c r="V56" s="10">
        <f>Tabella8[[#This Row],[rest of Italy ]]*NOT(ISBLANK(Tabella8[[#This Row],[rest of Italy ]]))</f>
        <v>0</v>
      </c>
      <c r="W56" s="108">
        <f>MAX(Ko*(TANH(psi_o*(Tabella8[[#This Row],[Day]]-po)-phi_o)+TANH(phi_o))/(1+TANH(phi_o)),0)</f>
        <v>0</v>
      </c>
      <c r="X56" s="108">
        <f>Tabella8[[#This Row],[rest of Italy fit]]/Ko</f>
        <v>0</v>
      </c>
      <c r="Y56" s="22">
        <f>Tabella8[[#This Row],[rest of Italy fit]]*NOT(ISBLANK(Tabella8[[#This Row],[rest of Italy ]]))</f>
        <v>0</v>
      </c>
      <c r="Z56" s="10">
        <f>Tabella8[[#This Row],[rest of Italy fit]]+CIo</f>
        <v>2484.3366939346993</v>
      </c>
      <c r="AA56" s="10">
        <f>MAX(Tabella8[[#This Row],[rest of Italy fit]]-CIo,0)</f>
        <v>0</v>
      </c>
      <c r="AC56" s="55" t="s">
        <v>136</v>
      </c>
      <c r="AD56" s="87">
        <v>0</v>
      </c>
      <c r="AE56" s="87">
        <v>0</v>
      </c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 s="65"/>
      <c r="AY56" s="65"/>
      <c r="AZ56"/>
      <c r="BA56" s="32"/>
      <c r="BB56" s="32"/>
      <c r="BC56"/>
      <c r="BD56" s="68"/>
      <c r="BE56" s="68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</row>
    <row r="57" spans="2:378" x14ac:dyDescent="0.3">
      <c r="B57" s="134">
        <v>43880</v>
      </c>
      <c r="C57" s="4">
        <v>50</v>
      </c>
      <c r="D57" s="141"/>
      <c r="E57" s="10">
        <f>Tabella8[[#This Row],[Italy cumulative]]*NOT(ISBLANK(Tabella8[[#This Row],[Italy cumulative]]))</f>
        <v>0</v>
      </c>
      <c r="F57" s="10">
        <f>Tabella8[[#This Row],[region fit]]+Tabella8[[#This Row],[rest of Italy fit]]</f>
        <v>0</v>
      </c>
      <c r="G57" s="72">
        <f>Tabella8[[#This Row],[Italy sum of regions]]/K_sum</f>
        <v>0</v>
      </c>
      <c r="H57" s="10">
        <f>Tabella8[[#This Row],[Italy sum of regions]]*NOT(ISBLANK(Tabella8[[#This Row],[Italy cumulative]]))</f>
        <v>0</v>
      </c>
      <c r="I57" s="132">
        <f>MAX(Kt*(TANH(psi_t*(Tabella8[[#This Row],[Day]]-pt)-phi_t)+TANH(phi_t))/(1+TANH(phi_t)),0)</f>
        <v>0</v>
      </c>
      <c r="J57" s="133">
        <f>Tabella8[[#This Row],[Italy fit]]/Kt</f>
        <v>0</v>
      </c>
      <c r="K57" s="22">
        <f>Tabella8[[#This Row],[Italy fit]]*NOT(ISBLANK(Tabella8[[#This Row],[Italy cumulative]]))</f>
        <v>0</v>
      </c>
      <c r="L57" s="10">
        <f>Tabella8[[#This Row],[Italy sum of regions]]+CI</f>
        <v>2460.5777545213355</v>
      </c>
      <c r="M57" s="10">
        <f>MAX(Tabella8[[#This Row],[Italy sum of regions]]-CI,0)</f>
        <v>0</v>
      </c>
      <c r="N57" s="139"/>
      <c r="O57" s="10">
        <f>Tabella8[[#This Row],[region data]]*NOT(ISBLANK(Tabella8[[#This Row],[region data]]))</f>
        <v>0</v>
      </c>
      <c r="P57" s="107">
        <f>MAX(Kr*(TANH(psi_r*(Tabella8[[#This Row],[Day]]-pr)-phi_r)+TANH(phi_r))/(1+TANH(phi_r)),0)</f>
        <v>0</v>
      </c>
      <c r="Q57" s="107">
        <f>Tabella8[[#This Row],[region fit]]/Kr</f>
        <v>0</v>
      </c>
      <c r="R57" s="10">
        <f>Tabella8[[#This Row],[region fit]]*NOT(ISBLANK(Tabella8[[#This Row],[region data]]))</f>
        <v>0</v>
      </c>
      <c r="S57" s="10">
        <f>Tabella8[[#This Row],[region fit]]+CIr</f>
        <v>86.019277464869106</v>
      </c>
      <c r="T57" s="10">
        <f>MAX(Tabella8[[#This Row],[region fit]]-CIr,0)</f>
        <v>0</v>
      </c>
      <c r="U57" s="141"/>
      <c r="V57" s="10">
        <f>Tabella8[[#This Row],[rest of Italy ]]*NOT(ISBLANK(Tabella8[[#This Row],[rest of Italy ]]))</f>
        <v>0</v>
      </c>
      <c r="W57" s="108">
        <f>MAX(Ko*(TANH(psi_o*(Tabella8[[#This Row],[Day]]-po)-phi_o)+TANH(phi_o))/(1+TANH(phi_o)),0)</f>
        <v>0</v>
      </c>
      <c r="X57" s="108">
        <f>Tabella8[[#This Row],[rest of Italy fit]]/Ko</f>
        <v>0</v>
      </c>
      <c r="Y57" s="22">
        <f>Tabella8[[#This Row],[rest of Italy fit]]*NOT(ISBLANK(Tabella8[[#This Row],[rest of Italy ]]))</f>
        <v>0</v>
      </c>
      <c r="Z57" s="10">
        <f>Tabella8[[#This Row],[rest of Italy fit]]+CIo</f>
        <v>2484.3366939346993</v>
      </c>
      <c r="AA57" s="10">
        <f>MAX(Tabella8[[#This Row],[rest of Italy fit]]-CIo,0)</f>
        <v>0</v>
      </c>
      <c r="AC57" s="55" t="s">
        <v>137</v>
      </c>
      <c r="AD57" s="87">
        <v>0</v>
      </c>
      <c r="AE57" s="87">
        <v>0</v>
      </c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 s="65"/>
      <c r="AY57" s="65"/>
      <c r="AZ57"/>
      <c r="BA57" s="32"/>
      <c r="BB57" s="32"/>
      <c r="BC57"/>
      <c r="BD57" s="68"/>
      <c r="BE57" s="68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</row>
    <row r="58" spans="2:378" x14ac:dyDescent="0.3">
      <c r="B58" s="134">
        <v>43881</v>
      </c>
      <c r="C58" s="4">
        <v>51</v>
      </c>
      <c r="D58" s="141"/>
      <c r="E58" s="10">
        <f>Tabella8[[#This Row],[Italy cumulative]]*NOT(ISBLANK(Tabella8[[#This Row],[Italy cumulative]]))</f>
        <v>0</v>
      </c>
      <c r="F58" s="10">
        <f>Tabella8[[#This Row],[region fit]]+Tabella8[[#This Row],[rest of Italy fit]]</f>
        <v>0</v>
      </c>
      <c r="G58" s="72">
        <f>Tabella8[[#This Row],[Italy sum of regions]]/K_sum</f>
        <v>0</v>
      </c>
      <c r="H58" s="10">
        <f>Tabella8[[#This Row],[Italy sum of regions]]*NOT(ISBLANK(Tabella8[[#This Row],[Italy cumulative]]))</f>
        <v>0</v>
      </c>
      <c r="I58" s="132">
        <f>MAX(Kt*(TANH(psi_t*(Tabella8[[#This Row],[Day]]-pt)-phi_t)+TANH(phi_t))/(1+TANH(phi_t)),0)</f>
        <v>0</v>
      </c>
      <c r="J58" s="133">
        <f>Tabella8[[#This Row],[Italy fit]]/Kt</f>
        <v>0</v>
      </c>
      <c r="K58" s="22">
        <f>Tabella8[[#This Row],[Italy fit]]*NOT(ISBLANK(Tabella8[[#This Row],[Italy cumulative]]))</f>
        <v>0</v>
      </c>
      <c r="L58" s="10">
        <f>Tabella8[[#This Row],[Italy sum of regions]]+CI</f>
        <v>2460.5777545213355</v>
      </c>
      <c r="M58" s="10">
        <f>MAX(Tabella8[[#This Row],[Italy sum of regions]]-CI,0)</f>
        <v>0</v>
      </c>
      <c r="N58" s="139"/>
      <c r="O58" s="10">
        <f>Tabella8[[#This Row],[region data]]*NOT(ISBLANK(Tabella8[[#This Row],[region data]]))</f>
        <v>0</v>
      </c>
      <c r="P58" s="107">
        <f>MAX(Kr*(TANH(psi_r*(Tabella8[[#This Row],[Day]]-pr)-phi_r)+TANH(phi_r))/(1+TANH(phi_r)),0)</f>
        <v>0</v>
      </c>
      <c r="Q58" s="107">
        <f>Tabella8[[#This Row],[region fit]]/Kr</f>
        <v>0</v>
      </c>
      <c r="R58" s="10">
        <f>Tabella8[[#This Row],[region fit]]*NOT(ISBLANK(Tabella8[[#This Row],[region data]]))</f>
        <v>0</v>
      </c>
      <c r="S58" s="10">
        <f>Tabella8[[#This Row],[region fit]]+CIr</f>
        <v>86.019277464869106</v>
      </c>
      <c r="T58" s="10">
        <f>MAX(Tabella8[[#This Row],[region fit]]-CIr,0)</f>
        <v>0</v>
      </c>
      <c r="U58" s="141"/>
      <c r="V58" s="10">
        <f>Tabella8[[#This Row],[rest of Italy ]]*NOT(ISBLANK(Tabella8[[#This Row],[rest of Italy ]]))</f>
        <v>0</v>
      </c>
      <c r="W58" s="108">
        <f>MAX(Ko*(TANH(psi_o*(Tabella8[[#This Row],[Day]]-po)-phi_o)+TANH(phi_o))/(1+TANH(phi_o)),0)</f>
        <v>0</v>
      </c>
      <c r="X58" s="108">
        <f>Tabella8[[#This Row],[rest of Italy fit]]/Ko</f>
        <v>0</v>
      </c>
      <c r="Y58" s="22">
        <f>Tabella8[[#This Row],[rest of Italy fit]]*NOT(ISBLANK(Tabella8[[#This Row],[rest of Italy ]]))</f>
        <v>0</v>
      </c>
      <c r="Z58" s="10">
        <f>Tabella8[[#This Row],[rest of Italy fit]]+CIo</f>
        <v>2484.3366939346993</v>
      </c>
      <c r="AA58" s="10">
        <f>MAX(Tabella8[[#This Row],[rest of Italy fit]]-CIo,0)</f>
        <v>0</v>
      </c>
      <c r="AC58" s="55" t="s">
        <v>138</v>
      </c>
      <c r="AD58" s="87">
        <v>0</v>
      </c>
      <c r="AE58" s="87">
        <v>0</v>
      </c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 s="65"/>
      <c r="AY58" s="65"/>
      <c r="AZ58"/>
      <c r="BA58" s="32"/>
      <c r="BB58" s="32"/>
      <c r="BC58"/>
      <c r="BD58" s="68"/>
      <c r="BE58" s="6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</row>
    <row r="59" spans="2:378" x14ac:dyDescent="0.3">
      <c r="B59" s="134">
        <v>43882</v>
      </c>
      <c r="C59" s="4">
        <v>52</v>
      </c>
      <c r="D59" s="141"/>
      <c r="E59" s="10">
        <f>Tabella8[[#This Row],[Italy cumulative]]*NOT(ISBLANK(Tabella8[[#This Row],[Italy cumulative]]))</f>
        <v>0</v>
      </c>
      <c r="F59" s="10">
        <f>Tabella8[[#This Row],[region fit]]+Tabella8[[#This Row],[rest of Italy fit]]</f>
        <v>0</v>
      </c>
      <c r="G59" s="72">
        <f>Tabella8[[#This Row],[Italy sum of regions]]/K_sum</f>
        <v>0</v>
      </c>
      <c r="H59" s="10">
        <f>Tabella8[[#This Row],[Italy sum of regions]]*NOT(ISBLANK(Tabella8[[#This Row],[Italy cumulative]]))</f>
        <v>0</v>
      </c>
      <c r="I59" s="132">
        <f>MAX(Kt*(TANH(psi_t*(Tabella8[[#This Row],[Day]]-pt)-phi_t)+TANH(phi_t))/(1+TANH(phi_t)),0)</f>
        <v>0</v>
      </c>
      <c r="J59" s="133">
        <f>Tabella8[[#This Row],[Italy fit]]/Kt</f>
        <v>0</v>
      </c>
      <c r="K59" s="22">
        <f>Tabella8[[#This Row],[Italy fit]]*NOT(ISBLANK(Tabella8[[#This Row],[Italy cumulative]]))</f>
        <v>0</v>
      </c>
      <c r="L59" s="10">
        <f>Tabella8[[#This Row],[Italy sum of regions]]+CI</f>
        <v>2460.5777545213355</v>
      </c>
      <c r="M59" s="10">
        <f>MAX(Tabella8[[#This Row],[Italy sum of regions]]-CI,0)</f>
        <v>0</v>
      </c>
      <c r="N59" s="139"/>
      <c r="O59" s="10">
        <f>Tabella8[[#This Row],[region data]]*NOT(ISBLANK(Tabella8[[#This Row],[region data]]))</f>
        <v>0</v>
      </c>
      <c r="P59" s="107">
        <f>MAX(Kr*(TANH(psi_r*(Tabella8[[#This Row],[Day]]-pr)-phi_r)+TANH(phi_r))/(1+TANH(phi_r)),0)</f>
        <v>0</v>
      </c>
      <c r="Q59" s="107">
        <f>Tabella8[[#This Row],[region fit]]/Kr</f>
        <v>0</v>
      </c>
      <c r="R59" s="10">
        <f>Tabella8[[#This Row],[region fit]]*NOT(ISBLANK(Tabella8[[#This Row],[region data]]))</f>
        <v>0</v>
      </c>
      <c r="S59" s="10">
        <f>Tabella8[[#This Row],[region fit]]+CIr</f>
        <v>86.019277464869106</v>
      </c>
      <c r="T59" s="10">
        <f>MAX(Tabella8[[#This Row],[region fit]]-CIr,0)</f>
        <v>0</v>
      </c>
      <c r="U59" s="141"/>
      <c r="V59" s="10">
        <f>Tabella8[[#This Row],[rest of Italy ]]*NOT(ISBLANK(Tabella8[[#This Row],[rest of Italy ]]))</f>
        <v>0</v>
      </c>
      <c r="W59" s="108">
        <f>MAX(Ko*(TANH(psi_o*(Tabella8[[#This Row],[Day]]-po)-phi_o)+TANH(phi_o))/(1+TANH(phi_o)),0)</f>
        <v>0</v>
      </c>
      <c r="X59" s="108">
        <f>Tabella8[[#This Row],[rest of Italy fit]]/Ko</f>
        <v>0</v>
      </c>
      <c r="Y59" s="22">
        <f>Tabella8[[#This Row],[rest of Italy fit]]*NOT(ISBLANK(Tabella8[[#This Row],[rest of Italy ]]))</f>
        <v>0</v>
      </c>
      <c r="Z59" s="10">
        <f>Tabella8[[#This Row],[rest of Italy fit]]+CIo</f>
        <v>2484.3366939346993</v>
      </c>
      <c r="AA59" s="10">
        <f>MAX(Tabella8[[#This Row],[rest of Italy fit]]-CIo,0)</f>
        <v>0</v>
      </c>
      <c r="AC59" s="55" t="s">
        <v>139</v>
      </c>
      <c r="AD59" s="87">
        <v>0</v>
      </c>
      <c r="AE59" s="87">
        <v>0</v>
      </c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 s="65"/>
      <c r="AY59" s="65"/>
      <c r="AZ59"/>
      <c r="BA59" s="32"/>
      <c r="BB59" s="32"/>
      <c r="BC59"/>
      <c r="BD59" s="68"/>
      <c r="BE59" s="68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</row>
    <row r="60" spans="2:378" x14ac:dyDescent="0.3">
      <c r="B60" s="134">
        <v>43883</v>
      </c>
      <c r="C60" s="4">
        <v>53</v>
      </c>
      <c r="D60" s="141"/>
      <c r="E60" s="10">
        <f>Tabella8[[#This Row],[Italy cumulative]]*NOT(ISBLANK(Tabella8[[#This Row],[Italy cumulative]]))</f>
        <v>0</v>
      </c>
      <c r="F60" s="10">
        <f>Tabella8[[#This Row],[region fit]]+Tabella8[[#This Row],[rest of Italy fit]]</f>
        <v>0</v>
      </c>
      <c r="G60" s="72">
        <f>Tabella8[[#This Row],[Italy sum of regions]]/K_sum</f>
        <v>0</v>
      </c>
      <c r="H60" s="10">
        <f>Tabella8[[#This Row],[Italy sum of regions]]*NOT(ISBLANK(Tabella8[[#This Row],[Italy cumulative]]))</f>
        <v>0</v>
      </c>
      <c r="I60" s="132">
        <f>MAX(Kt*(TANH(psi_t*(Tabella8[[#This Row],[Day]]-pt)-phi_t)+TANH(phi_t))/(1+TANH(phi_t)),0)</f>
        <v>0</v>
      </c>
      <c r="J60" s="133">
        <f>Tabella8[[#This Row],[Italy fit]]/Kt</f>
        <v>0</v>
      </c>
      <c r="K60" s="22">
        <f>Tabella8[[#This Row],[Italy fit]]*NOT(ISBLANK(Tabella8[[#This Row],[Italy cumulative]]))</f>
        <v>0</v>
      </c>
      <c r="L60" s="10">
        <f>Tabella8[[#This Row],[Italy sum of regions]]+CI</f>
        <v>2460.5777545213355</v>
      </c>
      <c r="M60" s="10">
        <f>MAX(Tabella8[[#This Row],[Italy sum of regions]]-CI,0)</f>
        <v>0</v>
      </c>
      <c r="N60" s="139"/>
      <c r="O60" s="10">
        <f>Tabella8[[#This Row],[region data]]*NOT(ISBLANK(Tabella8[[#This Row],[region data]]))</f>
        <v>0</v>
      </c>
      <c r="P60" s="107">
        <f>MAX(Kr*(TANH(psi_r*(Tabella8[[#This Row],[Day]]-pr)-phi_r)+TANH(phi_r))/(1+TANH(phi_r)),0)</f>
        <v>0</v>
      </c>
      <c r="Q60" s="107">
        <f>Tabella8[[#This Row],[region fit]]/Kr</f>
        <v>0</v>
      </c>
      <c r="R60" s="10">
        <f>Tabella8[[#This Row],[region fit]]*NOT(ISBLANK(Tabella8[[#This Row],[region data]]))</f>
        <v>0</v>
      </c>
      <c r="S60" s="10">
        <f>Tabella8[[#This Row],[region fit]]+CIr</f>
        <v>86.019277464869106</v>
      </c>
      <c r="T60" s="10">
        <f>MAX(Tabella8[[#This Row],[region fit]]-CIr,0)</f>
        <v>0</v>
      </c>
      <c r="U60" s="141"/>
      <c r="V60" s="10">
        <f>Tabella8[[#This Row],[rest of Italy ]]*NOT(ISBLANK(Tabella8[[#This Row],[rest of Italy ]]))</f>
        <v>0</v>
      </c>
      <c r="W60" s="108">
        <f>MAX(Ko*(TANH(psi_o*(Tabella8[[#This Row],[Day]]-po)-phi_o)+TANH(phi_o))/(1+TANH(phi_o)),0)</f>
        <v>0</v>
      </c>
      <c r="X60" s="108">
        <f>Tabella8[[#This Row],[rest of Italy fit]]/Ko</f>
        <v>0</v>
      </c>
      <c r="Y60" s="22">
        <f>Tabella8[[#This Row],[rest of Italy fit]]*NOT(ISBLANK(Tabella8[[#This Row],[rest of Italy ]]))</f>
        <v>0</v>
      </c>
      <c r="Z60" s="10">
        <f>Tabella8[[#This Row],[rest of Italy fit]]+CIo</f>
        <v>2484.3366939346993</v>
      </c>
      <c r="AA60" s="10">
        <f>MAX(Tabella8[[#This Row],[rest of Italy fit]]-CIo,0)</f>
        <v>0</v>
      </c>
      <c r="AC60" s="55" t="s">
        <v>140</v>
      </c>
      <c r="AD60" s="87">
        <v>4</v>
      </c>
      <c r="AE60" s="87">
        <v>0</v>
      </c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 s="65"/>
      <c r="AY60" s="65"/>
      <c r="AZ60"/>
      <c r="BA60" s="32"/>
      <c r="BB60" s="32"/>
      <c r="BC60"/>
      <c r="BD60" s="68"/>
      <c r="BE60" s="68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</row>
    <row r="61" spans="2:378" x14ac:dyDescent="0.3">
      <c r="B61" s="134">
        <v>43884</v>
      </c>
      <c r="C61" s="4">
        <v>54</v>
      </c>
      <c r="D61" s="141"/>
      <c r="E61" s="10">
        <f>Tabella8[[#This Row],[Italy cumulative]]*NOT(ISBLANK(Tabella8[[#This Row],[Italy cumulative]]))</f>
        <v>0</v>
      </c>
      <c r="F61" s="10">
        <f>Tabella8[[#This Row],[region fit]]+Tabella8[[#This Row],[rest of Italy fit]]</f>
        <v>0</v>
      </c>
      <c r="G61" s="72">
        <f>Tabella8[[#This Row],[Italy sum of regions]]/K_sum</f>
        <v>0</v>
      </c>
      <c r="H61" s="10">
        <f>Tabella8[[#This Row],[Italy sum of regions]]*NOT(ISBLANK(Tabella8[[#This Row],[Italy cumulative]]))</f>
        <v>0</v>
      </c>
      <c r="I61" s="132">
        <f>MAX(Kt*(TANH(psi_t*(Tabella8[[#This Row],[Day]]-pt)-phi_t)+TANH(phi_t))/(1+TANH(phi_t)),0)</f>
        <v>0</v>
      </c>
      <c r="J61" s="133">
        <f>Tabella8[[#This Row],[Italy fit]]/Kt</f>
        <v>0</v>
      </c>
      <c r="K61" s="22">
        <f>Tabella8[[#This Row],[Italy fit]]*NOT(ISBLANK(Tabella8[[#This Row],[Italy cumulative]]))</f>
        <v>0</v>
      </c>
      <c r="L61" s="10">
        <f>Tabella8[[#This Row],[Italy sum of regions]]+CI</f>
        <v>2460.5777545213355</v>
      </c>
      <c r="M61" s="10">
        <f>MAX(Tabella8[[#This Row],[Italy sum of regions]]-CI,0)</f>
        <v>0</v>
      </c>
      <c r="N61" s="139"/>
      <c r="O61" s="10">
        <f>Tabella8[[#This Row],[region data]]*NOT(ISBLANK(Tabella8[[#This Row],[region data]]))</f>
        <v>0</v>
      </c>
      <c r="P61" s="107">
        <f>MAX(Kr*(TANH(psi_r*(Tabella8[[#This Row],[Day]]-pr)-phi_r)+TANH(phi_r))/(1+TANH(phi_r)),0)</f>
        <v>0</v>
      </c>
      <c r="Q61" s="107">
        <f>Tabella8[[#This Row],[region fit]]/Kr</f>
        <v>0</v>
      </c>
      <c r="R61" s="10">
        <f>Tabella8[[#This Row],[region fit]]*NOT(ISBLANK(Tabella8[[#This Row],[region data]]))</f>
        <v>0</v>
      </c>
      <c r="S61" s="10">
        <f>Tabella8[[#This Row],[region fit]]+CIr</f>
        <v>86.019277464869106</v>
      </c>
      <c r="T61" s="10">
        <f>MAX(Tabella8[[#This Row],[region fit]]-CIr,0)</f>
        <v>0</v>
      </c>
      <c r="U61" s="141"/>
      <c r="V61" s="10">
        <f>Tabella8[[#This Row],[rest of Italy ]]*NOT(ISBLANK(Tabella8[[#This Row],[rest of Italy ]]))</f>
        <v>0</v>
      </c>
      <c r="W61" s="108">
        <f>MAX(Ko*(TANH(psi_o*(Tabella8[[#This Row],[Day]]-po)-phi_o)+TANH(phi_o))/(1+TANH(phi_o)),0)</f>
        <v>0</v>
      </c>
      <c r="X61" s="108">
        <f>Tabella8[[#This Row],[rest of Italy fit]]/Ko</f>
        <v>0</v>
      </c>
      <c r="Y61" s="22">
        <f>Tabella8[[#This Row],[rest of Italy fit]]*NOT(ISBLANK(Tabella8[[#This Row],[rest of Italy ]]))</f>
        <v>0</v>
      </c>
      <c r="Z61" s="10">
        <f>Tabella8[[#This Row],[rest of Italy fit]]+CIo</f>
        <v>2484.3366939346993</v>
      </c>
      <c r="AA61" s="10">
        <f>MAX(Tabella8[[#This Row],[rest of Italy fit]]-CIo,0)</f>
        <v>0</v>
      </c>
      <c r="AC61" s="55" t="s">
        <v>141</v>
      </c>
      <c r="AD61" s="87">
        <v>4</v>
      </c>
      <c r="AE61" s="87">
        <v>0</v>
      </c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 s="65"/>
      <c r="AY61" s="65"/>
      <c r="AZ61"/>
      <c r="BA61" s="32"/>
      <c r="BB61" s="32"/>
      <c r="BC61"/>
      <c r="BD61" s="68"/>
      <c r="BE61" s="68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/>
      <c r="NE61"/>
      <c r="NF61"/>
      <c r="NG61"/>
      <c r="NH61"/>
      <c r="NI61"/>
      <c r="NJ61"/>
      <c r="NK61"/>
      <c r="NL61"/>
      <c r="NM61"/>
      <c r="NN61"/>
    </row>
    <row r="62" spans="2:378" x14ac:dyDescent="0.3">
      <c r="B62" s="15">
        <v>43885</v>
      </c>
      <c r="C62" s="4">
        <v>55</v>
      </c>
      <c r="D62" s="10">
        <f>'dpc-covid19-ita-andamento-naz'!J2+'dpc-covid19-ita-andamento-naz'!K2</f>
        <v>8</v>
      </c>
      <c r="E62" s="10">
        <f>Tabella8[[#This Row],[Italy cumulative]]*NOT(ISBLANK(Tabella8[[#This Row],[Italy cumulative]]))</f>
        <v>8</v>
      </c>
      <c r="F62" s="10">
        <f>Tabella8[[#This Row],[region fit]]+Tabella8[[#This Row],[rest of Italy fit]]</f>
        <v>0</v>
      </c>
      <c r="G62" s="72">
        <f>Tabella8[[#This Row],[Italy sum of regions]]/K_sum</f>
        <v>0</v>
      </c>
      <c r="H62" s="10">
        <f>Tabella8[[#This Row],[Italy sum of regions]]*NOT(ISBLANK(Tabella8[[#This Row],[Italy cumulative]]))</f>
        <v>0</v>
      </c>
      <c r="I62" s="132">
        <f>MAX(Kt*(TANH(psi_t*(Tabella8[[#This Row],[Day]]-pt)-phi_t)+TANH(phi_t))/(1+TANH(phi_t)),0)</f>
        <v>0</v>
      </c>
      <c r="J62" s="109">
        <f>Tabella8[[#This Row],[Italy fit]]/Kt</f>
        <v>0</v>
      </c>
      <c r="K62" s="10">
        <f>Tabella8[[#This Row],[Italy fit]]*NOT(ISBLANK(Tabella8[[#This Row],[Italy cumulative]]))</f>
        <v>0</v>
      </c>
      <c r="L62" s="10">
        <f>Tabella8[[#This Row],[Italy sum of regions]]+CI</f>
        <v>2460.5777545213355</v>
      </c>
      <c r="M62" s="10">
        <f>MAX(Tabella8[[#This Row],[Italy sum of regions]]-CI,0)</f>
        <v>0</v>
      </c>
      <c r="N62" s="57">
        <f>GETPIVOTDATA("dimessi_guariti",AD55,"data",ROW(AD55))+GETPIVOTDATA("deceduti",AD55,"data",ROW(AD55))</f>
        <v>0</v>
      </c>
      <c r="O62" s="10">
        <f>Tabella8[[#This Row],[region data]]*NOT(ISBLANK(Tabella8[[#This Row],[region data]]))</f>
        <v>0</v>
      </c>
      <c r="P62" s="107">
        <f>MAX(Kr*(TANH(psi_r*(Tabella8[[#This Row],[Day]]-pr)-phi_r)+TANH(phi_r))/(1+TANH(phi_r)),0)</f>
        <v>0</v>
      </c>
      <c r="Q62" s="107">
        <f>Tabella8[[#This Row],[region fit]]/Kr</f>
        <v>0</v>
      </c>
      <c r="R62" s="10">
        <f>Tabella8[[#This Row],[region fit]]*NOT(ISBLANK(Tabella8[[#This Row],[region data]]))</f>
        <v>0</v>
      </c>
      <c r="S62" s="10">
        <f>Tabella8[[#This Row],[region fit]]+CIr</f>
        <v>86.019277464869106</v>
      </c>
      <c r="T62" s="10">
        <f>MAX(Tabella8[[#This Row],[region fit]]-CIr,0)</f>
        <v>0</v>
      </c>
      <c r="U62" s="10">
        <f>Tabella8[[#This Row],[Italy cumulative]]-Tabella8[[#This Row],[region data]]</f>
        <v>8</v>
      </c>
      <c r="V62" s="10">
        <f>Tabella8[[#This Row],[rest of Italy ]]*NOT(ISBLANK(Tabella8[[#This Row],[rest of Italy ]]))</f>
        <v>8</v>
      </c>
      <c r="W62" s="108">
        <f>MAX(Ko*(TANH(psi_o*(Tabella8[[#This Row],[Day]]-po)-phi_o)+TANH(phi_o))/(1+TANH(phi_o)),0)</f>
        <v>0</v>
      </c>
      <c r="X62" s="108">
        <f>Tabella8[[#This Row],[rest of Italy fit]]/Ko</f>
        <v>0</v>
      </c>
      <c r="Y62" s="22">
        <f>Tabella8[[#This Row],[rest of Italy fit]]*NOT(ISBLANK(Tabella8[[#This Row],[rest of Italy ]]))</f>
        <v>0</v>
      </c>
      <c r="Z62" s="10">
        <f>Tabella8[[#This Row],[rest of Italy fit]]+CIo</f>
        <v>2484.3366939346993</v>
      </c>
      <c r="AA62" s="10">
        <f>MAX(Tabella8[[#This Row],[rest of Italy fit]]-CIo,0)</f>
        <v>0</v>
      </c>
      <c r="AC62" s="55" t="s">
        <v>142</v>
      </c>
      <c r="AD62" s="87">
        <v>4</v>
      </c>
      <c r="AE62" s="87">
        <v>0</v>
      </c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 s="65"/>
      <c r="AY62" s="65"/>
      <c r="AZ62"/>
      <c r="BA62" s="32"/>
      <c r="BB62" s="32"/>
      <c r="BC62"/>
      <c r="BD62" s="68"/>
      <c r="BE62" s="68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  <c r="LS62"/>
      <c r="LT62"/>
      <c r="LU62"/>
      <c r="LV62"/>
      <c r="LW62"/>
      <c r="LX62"/>
      <c r="LY62"/>
      <c r="LZ62"/>
      <c r="MA62"/>
      <c r="MB62"/>
      <c r="MC62"/>
      <c r="MD62"/>
      <c r="ME62"/>
      <c r="MF62"/>
      <c r="MG62"/>
      <c r="MH62"/>
      <c r="MI62"/>
      <c r="MJ62"/>
      <c r="MK62"/>
      <c r="ML62"/>
      <c r="MM62"/>
      <c r="MN62"/>
      <c r="MO62"/>
      <c r="MP62"/>
      <c r="MQ62"/>
      <c r="MR62"/>
      <c r="MS62"/>
      <c r="MT62"/>
      <c r="MU62"/>
      <c r="MV62"/>
      <c r="MW62"/>
      <c r="MX62"/>
      <c r="MY62"/>
      <c r="MZ62"/>
      <c r="NA62"/>
      <c r="NB62"/>
      <c r="NC62"/>
      <c r="ND62"/>
      <c r="NE62"/>
      <c r="NF62"/>
      <c r="NG62"/>
      <c r="NH62"/>
      <c r="NI62"/>
      <c r="NJ62"/>
      <c r="NK62"/>
      <c r="NL62"/>
      <c r="NM62"/>
      <c r="NN62"/>
    </row>
    <row r="63" spans="2:378" x14ac:dyDescent="0.3">
      <c r="B63" s="9">
        <f>Start_data+1</f>
        <v>43832</v>
      </c>
      <c r="C63" s="4">
        <v>56</v>
      </c>
      <c r="D63" s="10">
        <f>'dpc-covid19-ita-andamento-naz'!J3+'dpc-covid19-ita-andamento-naz'!K3</f>
        <v>11</v>
      </c>
      <c r="E63" s="10">
        <f>Tabella8[[#This Row],[Italy cumulative]]*NOT(ISBLANK(Tabella8[[#This Row],[Italy cumulative]]))</f>
        <v>11</v>
      </c>
      <c r="F63" s="10">
        <f>Tabella8[[#This Row],[region fit]]+Tabella8[[#This Row],[rest of Italy fit]]</f>
        <v>0</v>
      </c>
      <c r="G63" s="72">
        <f>Tabella8[[#This Row],[Italy sum of regions]]/K_sum</f>
        <v>0</v>
      </c>
      <c r="H63" s="10">
        <f>Tabella8[[#This Row],[Italy sum of regions]]*NOT(ISBLANK(Tabella8[[#This Row],[Italy cumulative]]))</f>
        <v>0</v>
      </c>
      <c r="I63" s="132">
        <f>MAX(Kt*(TANH(psi_t*(Tabella8[[#This Row],[Day]]-pt)-phi_t)+TANH(phi_t))/(1+TANH(phi_t)),0)</f>
        <v>0</v>
      </c>
      <c r="J63" s="109">
        <f>Tabella8[[#This Row],[Italy fit]]/Kt</f>
        <v>0</v>
      </c>
      <c r="K63" s="10">
        <f>Tabella8[[#This Row],[Italy fit]]*NOT(ISBLANK(Tabella8[[#This Row],[Italy cumulative]]))</f>
        <v>0</v>
      </c>
      <c r="L63" s="10">
        <f>Tabella8[[#This Row],[Italy sum of regions]]+CI</f>
        <v>2460.5777545213355</v>
      </c>
      <c r="M63" s="10">
        <f>MAX(Tabella8[[#This Row],[Italy sum of regions]]-CI,0)</f>
        <v>0</v>
      </c>
      <c r="N63" s="57">
        <f t="shared" ref="N63:N128" si="0">GETPIVOTDATA("dimessi_guariti",AD56,"data",ROW(AD56))+GETPIVOTDATA("deceduti",AD56,"data",ROW(AD56))</f>
        <v>0</v>
      </c>
      <c r="O63" s="10">
        <f>Tabella8[[#This Row],[region data]]*NOT(ISBLANK(Tabella8[[#This Row],[region data]]))</f>
        <v>0</v>
      </c>
      <c r="P63" s="107">
        <f>MAX(Kr*(TANH(psi_r*(Tabella8[[#This Row],[Day]]-pr)-phi_r)+TANH(phi_r))/(1+TANH(phi_r)),0)</f>
        <v>0</v>
      </c>
      <c r="Q63" s="107">
        <f>Tabella8[[#This Row],[region fit]]/Kr</f>
        <v>0</v>
      </c>
      <c r="R63" s="10">
        <f>Tabella8[[#This Row],[region fit]]*NOT(ISBLANK(Tabella8[[#This Row],[region data]]))</f>
        <v>0</v>
      </c>
      <c r="S63" s="10">
        <f>Tabella8[[#This Row],[region fit]]+CIr</f>
        <v>86.019277464869106</v>
      </c>
      <c r="T63" s="10">
        <f>MAX(Tabella8[[#This Row],[region fit]]-CIr,0)</f>
        <v>0</v>
      </c>
      <c r="U63" s="10">
        <f>Tabella8[[#This Row],[Italy cumulative]]-Tabella8[[#This Row],[region data]]</f>
        <v>11</v>
      </c>
      <c r="V63" s="10">
        <f>Tabella8[[#This Row],[rest of Italy ]]*NOT(ISBLANK(Tabella8[[#This Row],[rest of Italy ]]))</f>
        <v>11</v>
      </c>
      <c r="W63" s="108">
        <f>MAX(Ko*(TANH(psi_o*(Tabella8[[#This Row],[Day]]-po)-phi_o)+TANH(phi_o))/(1+TANH(phi_o)),0)</f>
        <v>0</v>
      </c>
      <c r="X63" s="108">
        <f>Tabella8[[#This Row],[rest of Italy fit]]/Ko</f>
        <v>0</v>
      </c>
      <c r="Y63" s="22">
        <f>Tabella8[[#This Row],[rest of Italy fit]]*NOT(ISBLANK(Tabella8[[#This Row],[rest of Italy ]]))</f>
        <v>0</v>
      </c>
      <c r="Z63" s="10">
        <f>Tabella8[[#This Row],[rest of Italy fit]]+CIo</f>
        <v>2484.3366939346993</v>
      </c>
      <c r="AA63" s="10">
        <f>MAX(Tabella8[[#This Row],[rest of Italy fit]]-CIo,0)</f>
        <v>0</v>
      </c>
      <c r="AC63" s="55" t="s">
        <v>143</v>
      </c>
      <c r="AD63" s="87">
        <v>4</v>
      </c>
      <c r="AE63" s="87">
        <v>1</v>
      </c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 s="65"/>
      <c r="AY63" s="65"/>
      <c r="AZ63"/>
      <c r="BA63" s="32"/>
      <c r="BB63" s="32"/>
      <c r="BC63"/>
      <c r="BD63" s="68"/>
      <c r="BE63" s="68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  <c r="LS63"/>
      <c r="LT63"/>
      <c r="LU63"/>
      <c r="LV63"/>
      <c r="LW63"/>
      <c r="LX63"/>
      <c r="LY63"/>
      <c r="LZ63"/>
      <c r="MA63"/>
      <c r="MB63"/>
      <c r="MC63"/>
      <c r="MD63"/>
      <c r="ME63"/>
      <c r="MF63"/>
      <c r="MG63"/>
      <c r="MH63"/>
      <c r="MI63"/>
      <c r="MJ63"/>
      <c r="MK63"/>
      <c r="ML63"/>
      <c r="MM63"/>
      <c r="MN63"/>
      <c r="MO63"/>
      <c r="MP63"/>
      <c r="MQ63"/>
      <c r="MR63"/>
      <c r="MS63"/>
      <c r="MT63"/>
      <c r="MU63"/>
      <c r="MV63"/>
      <c r="MW63"/>
      <c r="MX63"/>
      <c r="MY63"/>
      <c r="MZ63"/>
      <c r="NA63"/>
      <c r="NB63"/>
      <c r="NC63"/>
      <c r="ND63"/>
      <c r="NE63"/>
      <c r="NF63"/>
      <c r="NG63"/>
      <c r="NH63"/>
      <c r="NI63"/>
      <c r="NJ63"/>
      <c r="NK63"/>
      <c r="NL63"/>
      <c r="NM63"/>
      <c r="NN63"/>
    </row>
    <row r="64" spans="2:378" x14ac:dyDescent="0.3">
      <c r="B64" s="9">
        <v>43887</v>
      </c>
      <c r="C64" s="4">
        <v>57</v>
      </c>
      <c r="D64" s="10">
        <f>'dpc-covid19-ita-andamento-naz'!J4+'dpc-covid19-ita-andamento-naz'!K4</f>
        <v>15</v>
      </c>
      <c r="E64" s="10">
        <f>Tabella8[[#This Row],[Italy cumulative]]*NOT(ISBLANK(Tabella8[[#This Row],[Italy cumulative]]))</f>
        <v>15</v>
      </c>
      <c r="F64" s="10">
        <f>Tabella8[[#This Row],[region fit]]+Tabella8[[#This Row],[rest of Italy fit]]</f>
        <v>0</v>
      </c>
      <c r="G64" s="72">
        <f>Tabella8[[#This Row],[Italy sum of regions]]/K_sum</f>
        <v>0</v>
      </c>
      <c r="H64" s="10">
        <f>Tabella8[[#This Row],[Italy sum of regions]]*NOT(ISBLANK(Tabella8[[#This Row],[Italy cumulative]]))</f>
        <v>0</v>
      </c>
      <c r="I64" s="132">
        <f>MAX(Kt*(TANH(psi_t*(Tabella8[[#This Row],[Day]]-pt)-phi_t)+TANH(phi_t))/(1+TANH(phi_t)),0)</f>
        <v>0</v>
      </c>
      <c r="J64" s="109">
        <f>Tabella8[[#This Row],[Italy fit]]/Kt</f>
        <v>0</v>
      </c>
      <c r="K64" s="10">
        <f>Tabella8[[#This Row],[Italy fit]]*NOT(ISBLANK(Tabella8[[#This Row],[Italy cumulative]]))</f>
        <v>0</v>
      </c>
      <c r="L64" s="10">
        <f>Tabella8[[#This Row],[Italy sum of regions]]+CI</f>
        <v>2460.5777545213355</v>
      </c>
      <c r="M64" s="10">
        <f>MAX(Tabella8[[#This Row],[Italy sum of regions]]-CI,0)</f>
        <v>0</v>
      </c>
      <c r="N64" s="57">
        <f t="shared" si="0"/>
        <v>0</v>
      </c>
      <c r="O64" s="10">
        <f>Tabella8[[#This Row],[region data]]*NOT(ISBLANK(Tabella8[[#This Row],[region data]]))</f>
        <v>0</v>
      </c>
      <c r="P64" s="107">
        <f>MAX(Kr*(TANH(psi_r*(Tabella8[[#This Row],[Day]]-pr)-phi_r)+TANH(phi_r))/(1+TANH(phi_r)),0)</f>
        <v>0</v>
      </c>
      <c r="Q64" s="107">
        <f>Tabella8[[#This Row],[region fit]]/Kr</f>
        <v>0</v>
      </c>
      <c r="R64" s="10">
        <f>Tabella8[[#This Row],[region fit]]*NOT(ISBLANK(Tabella8[[#This Row],[region data]]))</f>
        <v>0</v>
      </c>
      <c r="S64" s="10">
        <f>Tabella8[[#This Row],[region fit]]+CIr</f>
        <v>86.019277464869106</v>
      </c>
      <c r="T64" s="10">
        <f>MAX(Tabella8[[#This Row],[region fit]]-CIr,0)</f>
        <v>0</v>
      </c>
      <c r="U64" s="10">
        <f>Tabella8[[#This Row],[Italy cumulative]]-Tabella8[[#This Row],[region data]]</f>
        <v>15</v>
      </c>
      <c r="V64" s="10">
        <f>Tabella8[[#This Row],[rest of Italy ]]*NOT(ISBLANK(Tabella8[[#This Row],[rest of Italy ]]))</f>
        <v>15</v>
      </c>
      <c r="W64" s="108">
        <f>MAX(Ko*(TANH(psi_o*(Tabella8[[#This Row],[Day]]-po)-phi_o)+TANH(phi_o))/(1+TANH(phi_o)),0)</f>
        <v>0</v>
      </c>
      <c r="X64" s="108">
        <f>Tabella8[[#This Row],[rest of Italy fit]]/Ko</f>
        <v>0</v>
      </c>
      <c r="Y64" s="22">
        <f>Tabella8[[#This Row],[rest of Italy fit]]*NOT(ISBLANK(Tabella8[[#This Row],[rest of Italy ]]))</f>
        <v>0</v>
      </c>
      <c r="Z64" s="10">
        <f>Tabella8[[#This Row],[rest of Italy fit]]+CIo</f>
        <v>2484.3366939346993</v>
      </c>
      <c r="AA64" s="10">
        <f>MAX(Tabella8[[#This Row],[rest of Italy fit]]-CIo,0)</f>
        <v>0</v>
      </c>
      <c r="AC64" s="55" t="s">
        <v>144</v>
      </c>
      <c r="AD64" s="87">
        <v>4</v>
      </c>
      <c r="AE64" s="87">
        <v>1</v>
      </c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 s="65"/>
      <c r="AY64" s="65"/>
      <c r="AZ64" s="79"/>
      <c r="BA64" s="32"/>
      <c r="BB64" s="32"/>
      <c r="BC64" s="79"/>
      <c r="BD64" s="68"/>
      <c r="BE64" s="68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/>
      <c r="LM64"/>
      <c r="LN64"/>
      <c r="LO64"/>
      <c r="LP64"/>
      <c r="LQ64"/>
      <c r="LR64"/>
      <c r="LS64"/>
      <c r="LT64"/>
      <c r="LU64"/>
      <c r="LV64"/>
      <c r="LW64"/>
      <c r="LX64"/>
      <c r="LY64"/>
      <c r="LZ64"/>
      <c r="MA64"/>
      <c r="MB64"/>
      <c r="MC64"/>
      <c r="MD64"/>
      <c r="ME64"/>
      <c r="MF64"/>
      <c r="MG64"/>
      <c r="MH64"/>
      <c r="MI64"/>
      <c r="MJ64"/>
      <c r="MK64"/>
      <c r="ML64"/>
      <c r="MM64"/>
      <c r="MN64"/>
      <c r="MO64"/>
      <c r="MP64"/>
      <c r="MQ64"/>
      <c r="MR64"/>
      <c r="MS64"/>
      <c r="MT64"/>
      <c r="MU64"/>
      <c r="MV64"/>
      <c r="MW64"/>
      <c r="MX64"/>
      <c r="MY64"/>
      <c r="MZ64"/>
      <c r="NA64"/>
      <c r="NB64"/>
      <c r="NC64"/>
      <c r="ND64"/>
      <c r="NE64"/>
      <c r="NF64"/>
      <c r="NG64"/>
      <c r="NH64"/>
      <c r="NI64"/>
      <c r="NJ64"/>
      <c r="NK64"/>
      <c r="NL64"/>
      <c r="NM64"/>
      <c r="NN64"/>
    </row>
    <row r="65" spans="2:378" x14ac:dyDescent="0.3">
      <c r="B65" s="9">
        <v>43888</v>
      </c>
      <c r="C65" s="4">
        <v>58</v>
      </c>
      <c r="D65" s="10">
        <f>'dpc-covid19-ita-andamento-naz'!J5+'dpc-covid19-ita-andamento-naz'!K5</f>
        <v>62</v>
      </c>
      <c r="E65" s="10">
        <f>Tabella8[[#This Row],[Italy cumulative]]*NOT(ISBLANK(Tabella8[[#This Row],[Italy cumulative]]))</f>
        <v>62</v>
      </c>
      <c r="F65" s="10">
        <f>Tabella8[[#This Row],[region fit]]+Tabella8[[#This Row],[rest of Italy fit]]</f>
        <v>0</v>
      </c>
      <c r="G65" s="72">
        <f>Tabella8[[#This Row],[Italy sum of regions]]/K_sum</f>
        <v>0</v>
      </c>
      <c r="H65" s="10">
        <f>Tabella8[[#This Row],[Italy sum of regions]]*NOT(ISBLANK(Tabella8[[#This Row],[Italy cumulative]]))</f>
        <v>0</v>
      </c>
      <c r="I65" s="132">
        <f>MAX(Kt*(TANH(psi_t*(Tabella8[[#This Row],[Day]]-pt)-phi_t)+TANH(phi_t))/(1+TANH(phi_t)),0)</f>
        <v>0</v>
      </c>
      <c r="J65" s="109">
        <f>Tabella8[[#This Row],[Italy fit]]/Kt</f>
        <v>0</v>
      </c>
      <c r="K65" s="10">
        <f>Tabella8[[#This Row],[Italy fit]]*NOT(ISBLANK(Tabella8[[#This Row],[Italy cumulative]]))</f>
        <v>0</v>
      </c>
      <c r="L65" s="10">
        <f>Tabella8[[#This Row],[Italy sum of regions]]+CI</f>
        <v>2460.5777545213355</v>
      </c>
      <c r="M65" s="10">
        <f>MAX(Tabella8[[#This Row],[Italy sum of regions]]-CI,0)</f>
        <v>0</v>
      </c>
      <c r="N65" s="57">
        <f t="shared" si="0"/>
        <v>0</v>
      </c>
      <c r="O65" s="10">
        <f>Tabella8[[#This Row],[region data]]*NOT(ISBLANK(Tabella8[[#This Row],[region data]]))</f>
        <v>0</v>
      </c>
      <c r="P65" s="107">
        <f>MAX(Kr*(TANH(psi_r*(Tabella8[[#This Row],[Day]]-pr)-phi_r)+TANH(phi_r))/(1+TANH(phi_r)),0)</f>
        <v>0</v>
      </c>
      <c r="Q65" s="107">
        <f>Tabella8[[#This Row],[region fit]]/Kr</f>
        <v>0</v>
      </c>
      <c r="R65" s="10">
        <f>Tabella8[[#This Row],[region fit]]*NOT(ISBLANK(Tabella8[[#This Row],[region data]]))</f>
        <v>0</v>
      </c>
      <c r="S65" s="10">
        <f>Tabella8[[#This Row],[region fit]]+CIr</f>
        <v>86.019277464869106</v>
      </c>
      <c r="T65" s="10">
        <f>MAX(Tabella8[[#This Row],[region fit]]-CIr,0)</f>
        <v>0</v>
      </c>
      <c r="U65" s="10">
        <f>Tabella8[[#This Row],[Italy cumulative]]-Tabella8[[#This Row],[region data]]</f>
        <v>62</v>
      </c>
      <c r="V65" s="10">
        <f>Tabella8[[#This Row],[rest of Italy ]]*NOT(ISBLANK(Tabella8[[#This Row],[rest of Italy ]]))</f>
        <v>62</v>
      </c>
      <c r="W65" s="108">
        <f>MAX(Ko*(TANH(psi_o*(Tabella8[[#This Row],[Day]]-po)-phi_o)+TANH(phi_o))/(1+TANH(phi_o)),0)</f>
        <v>0</v>
      </c>
      <c r="X65" s="108">
        <f>Tabella8[[#This Row],[rest of Italy fit]]/Ko</f>
        <v>0</v>
      </c>
      <c r="Y65" s="22">
        <f>Tabella8[[#This Row],[rest of Italy fit]]*NOT(ISBLANK(Tabella8[[#This Row],[rest of Italy ]]))</f>
        <v>0</v>
      </c>
      <c r="Z65" s="10">
        <f>Tabella8[[#This Row],[rest of Italy fit]]+CIo</f>
        <v>2484.3366939346993</v>
      </c>
      <c r="AA65" s="10">
        <f>MAX(Tabella8[[#This Row],[rest of Italy fit]]-CIo,0)</f>
        <v>0</v>
      </c>
      <c r="AC65" s="55" t="s">
        <v>145</v>
      </c>
      <c r="AD65" s="87">
        <v>4</v>
      </c>
      <c r="AE65" s="87">
        <v>3</v>
      </c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 s="65"/>
      <c r="AY65" s="65"/>
      <c r="AZ65" s="79"/>
      <c r="BA65" s="32"/>
      <c r="BB65" s="32"/>
      <c r="BC65" s="79"/>
      <c r="BD65" s="68"/>
      <c r="BE65" s="68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/>
      <c r="NF65"/>
      <c r="NG65"/>
      <c r="NH65"/>
      <c r="NI65"/>
      <c r="NJ65"/>
      <c r="NK65"/>
      <c r="NL65"/>
      <c r="NM65"/>
      <c r="NN65"/>
    </row>
    <row r="66" spans="2:378" x14ac:dyDescent="0.3">
      <c r="B66" s="9">
        <v>43889</v>
      </c>
      <c r="C66" s="4">
        <v>59</v>
      </c>
      <c r="D66" s="10">
        <f>'dpc-covid19-ita-andamento-naz'!J6+'dpc-covid19-ita-andamento-naz'!K6</f>
        <v>67</v>
      </c>
      <c r="E66" s="10">
        <f>Tabella8[[#This Row],[Italy cumulative]]*NOT(ISBLANK(Tabella8[[#This Row],[Italy cumulative]]))</f>
        <v>67</v>
      </c>
      <c r="F66" s="10">
        <f>Tabella8[[#This Row],[region fit]]+Tabella8[[#This Row],[rest of Italy fit]]</f>
        <v>0</v>
      </c>
      <c r="G66" s="72">
        <f>Tabella8[[#This Row],[Italy sum of regions]]/K_sum</f>
        <v>0</v>
      </c>
      <c r="H66" s="10">
        <f>Tabella8[[#This Row],[Italy sum of regions]]*NOT(ISBLANK(Tabella8[[#This Row],[Italy cumulative]]))</f>
        <v>0</v>
      </c>
      <c r="I66" s="132">
        <f>MAX(Kt*(TANH(psi_t*(Tabella8[[#This Row],[Day]]-pt)-phi_t)+TANH(phi_t))/(1+TANH(phi_t)),0)</f>
        <v>0</v>
      </c>
      <c r="J66" s="109">
        <f>Tabella8[[#This Row],[Italy fit]]/Kt</f>
        <v>0</v>
      </c>
      <c r="K66" s="10">
        <f>Tabella8[[#This Row],[Italy fit]]*NOT(ISBLANK(Tabella8[[#This Row],[Italy cumulative]]))</f>
        <v>0</v>
      </c>
      <c r="L66" s="10">
        <f>Tabella8[[#This Row],[Italy sum of regions]]+CI</f>
        <v>2460.5777545213355</v>
      </c>
      <c r="M66" s="10">
        <f>MAX(Tabella8[[#This Row],[Italy sum of regions]]-CI,0)</f>
        <v>0</v>
      </c>
      <c r="N66" s="57">
        <f t="shared" si="0"/>
        <v>0</v>
      </c>
      <c r="O66" s="10">
        <f>Tabella8[[#This Row],[region data]]*NOT(ISBLANK(Tabella8[[#This Row],[region data]]))</f>
        <v>0</v>
      </c>
      <c r="P66" s="107">
        <f>MAX(Kr*(TANH(psi_r*(Tabella8[[#This Row],[Day]]-pr)-phi_r)+TANH(phi_r))/(1+TANH(phi_r)),0)</f>
        <v>0</v>
      </c>
      <c r="Q66" s="107">
        <f>Tabella8[[#This Row],[region fit]]/Kr</f>
        <v>0</v>
      </c>
      <c r="R66" s="10">
        <f>Tabella8[[#This Row],[region fit]]*NOT(ISBLANK(Tabella8[[#This Row],[region data]]))</f>
        <v>0</v>
      </c>
      <c r="S66" s="10">
        <f>Tabella8[[#This Row],[region fit]]+CIr</f>
        <v>86.019277464869106</v>
      </c>
      <c r="T66" s="10">
        <f>MAX(Tabella8[[#This Row],[region fit]]-CIr,0)</f>
        <v>0</v>
      </c>
      <c r="U66" s="10">
        <f>Tabella8[[#This Row],[Italy cumulative]]-Tabella8[[#This Row],[region data]]</f>
        <v>67</v>
      </c>
      <c r="V66" s="10">
        <f>Tabella8[[#This Row],[rest of Italy ]]*NOT(ISBLANK(Tabella8[[#This Row],[rest of Italy ]]))</f>
        <v>67</v>
      </c>
      <c r="W66" s="108">
        <f>MAX(Ko*(TANH(psi_o*(Tabella8[[#This Row],[Day]]-po)-phi_o)+TANH(phi_o))/(1+TANH(phi_o)),0)</f>
        <v>0</v>
      </c>
      <c r="X66" s="108">
        <f>Tabella8[[#This Row],[rest of Italy fit]]/Ko</f>
        <v>0</v>
      </c>
      <c r="Y66" s="22">
        <f>Tabella8[[#This Row],[rest of Italy fit]]*NOT(ISBLANK(Tabella8[[#This Row],[rest of Italy ]]))</f>
        <v>0</v>
      </c>
      <c r="Z66" s="10">
        <f>Tabella8[[#This Row],[rest of Italy fit]]+CIo</f>
        <v>2484.3366939346993</v>
      </c>
      <c r="AA66" s="10">
        <f>MAX(Tabella8[[#This Row],[rest of Italy fit]]-CIo,0)</f>
        <v>0</v>
      </c>
      <c r="AC66" s="55" t="s">
        <v>146</v>
      </c>
      <c r="AD66" s="87">
        <v>5</v>
      </c>
      <c r="AE66" s="87">
        <v>3</v>
      </c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 s="65"/>
      <c r="AY66" s="65"/>
      <c r="AZ66" s="79"/>
      <c r="BA66" s="32"/>
      <c r="BB66" s="32"/>
      <c r="BC66" s="79"/>
      <c r="BD66" s="68"/>
      <c r="BE66" s="68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  <c r="LS66"/>
      <c r="LT66"/>
      <c r="LU66"/>
      <c r="LV66"/>
      <c r="LW66"/>
      <c r="LX66"/>
      <c r="LY66"/>
      <c r="LZ66"/>
      <c r="MA66"/>
      <c r="MB66"/>
      <c r="MC66"/>
      <c r="MD66"/>
      <c r="ME66"/>
      <c r="MF66"/>
      <c r="MG66"/>
      <c r="MH66"/>
      <c r="MI66"/>
      <c r="MJ66"/>
      <c r="MK66"/>
      <c r="ML66"/>
      <c r="MM66"/>
      <c r="MN66"/>
      <c r="MO66"/>
      <c r="MP66"/>
      <c r="MQ66"/>
      <c r="MR66"/>
      <c r="MS66"/>
      <c r="MT66"/>
      <c r="MU66"/>
      <c r="MV66"/>
      <c r="MW66"/>
      <c r="MX66"/>
      <c r="MY66"/>
      <c r="MZ66"/>
      <c r="NA66"/>
      <c r="NB66"/>
      <c r="NC66"/>
      <c r="ND66"/>
      <c r="NE66"/>
      <c r="NF66"/>
      <c r="NG66"/>
      <c r="NH66"/>
      <c r="NI66"/>
      <c r="NJ66"/>
      <c r="NK66"/>
      <c r="NL66"/>
      <c r="NM66"/>
      <c r="NN66"/>
    </row>
    <row r="67" spans="2:378" x14ac:dyDescent="0.3">
      <c r="B67" s="9">
        <v>43890</v>
      </c>
      <c r="C67" s="4">
        <v>60</v>
      </c>
      <c r="D67" s="10">
        <f>'dpc-covid19-ita-andamento-naz'!J7+'dpc-covid19-ita-andamento-naz'!K7</f>
        <v>79</v>
      </c>
      <c r="E67" s="10">
        <f>Tabella8[[#This Row],[Italy cumulative]]*NOT(ISBLANK(Tabella8[[#This Row],[Italy cumulative]]))</f>
        <v>79</v>
      </c>
      <c r="F67" s="10">
        <f>Tabella8[[#This Row],[region fit]]+Tabella8[[#This Row],[rest of Italy fit]]</f>
        <v>0</v>
      </c>
      <c r="G67" s="72">
        <f>Tabella8[[#This Row],[Italy sum of regions]]/K_sum</f>
        <v>0</v>
      </c>
      <c r="H67" s="10">
        <f>Tabella8[[#This Row],[Italy sum of regions]]*NOT(ISBLANK(Tabella8[[#This Row],[Italy cumulative]]))</f>
        <v>0</v>
      </c>
      <c r="I67" s="132">
        <f>MAX(Kt*(TANH(psi_t*(Tabella8[[#This Row],[Day]]-pt)-phi_t)+TANH(phi_t))/(1+TANH(phi_t)),0)</f>
        <v>0</v>
      </c>
      <c r="J67" s="109">
        <f>Tabella8[[#This Row],[Italy fit]]/Kt</f>
        <v>0</v>
      </c>
      <c r="K67" s="10">
        <f>Tabella8[[#This Row],[Italy fit]]*NOT(ISBLANK(Tabella8[[#This Row],[Italy cumulative]]))</f>
        <v>0</v>
      </c>
      <c r="L67" s="10">
        <f>Tabella8[[#This Row],[Italy sum of regions]]+CI</f>
        <v>2460.5777545213355</v>
      </c>
      <c r="M67" s="10">
        <f>MAX(Tabella8[[#This Row],[Italy sum of regions]]-CI,0)</f>
        <v>0</v>
      </c>
      <c r="N67" s="57">
        <f t="shared" si="0"/>
        <v>4</v>
      </c>
      <c r="O67" s="10">
        <f>Tabella8[[#This Row],[region data]]*NOT(ISBLANK(Tabella8[[#This Row],[region data]]))</f>
        <v>4</v>
      </c>
      <c r="P67" s="107">
        <f>MAX(Kr*(TANH(psi_r*(Tabella8[[#This Row],[Day]]-pr)-phi_r)+TANH(phi_r))/(1+TANH(phi_r)),0)</f>
        <v>0</v>
      </c>
      <c r="Q67" s="107">
        <f>Tabella8[[#This Row],[region fit]]/Kr</f>
        <v>0</v>
      </c>
      <c r="R67" s="10">
        <f>Tabella8[[#This Row],[region fit]]*NOT(ISBLANK(Tabella8[[#This Row],[region data]]))</f>
        <v>0</v>
      </c>
      <c r="S67" s="10">
        <f>Tabella8[[#This Row],[region fit]]+CIr</f>
        <v>86.019277464869106</v>
      </c>
      <c r="T67" s="10">
        <f>MAX(Tabella8[[#This Row],[region fit]]-CIr,0)</f>
        <v>0</v>
      </c>
      <c r="U67" s="10">
        <f>Tabella8[[#This Row],[Italy cumulative]]-Tabella8[[#This Row],[region data]]</f>
        <v>75</v>
      </c>
      <c r="V67" s="10">
        <f>Tabella8[[#This Row],[rest of Italy ]]*NOT(ISBLANK(Tabella8[[#This Row],[rest of Italy ]]))</f>
        <v>75</v>
      </c>
      <c r="W67" s="108">
        <f>MAX(Ko*(TANH(psi_o*(Tabella8[[#This Row],[Day]]-po)-phi_o)+TANH(phi_o))/(1+TANH(phi_o)),0)</f>
        <v>0</v>
      </c>
      <c r="X67" s="108">
        <f>Tabella8[[#This Row],[rest of Italy fit]]/Ko</f>
        <v>0</v>
      </c>
      <c r="Y67" s="22">
        <f>Tabella8[[#This Row],[rest of Italy fit]]*NOT(ISBLANK(Tabella8[[#This Row],[rest of Italy ]]))</f>
        <v>0</v>
      </c>
      <c r="Z67" s="10">
        <f>Tabella8[[#This Row],[rest of Italy fit]]+CIo</f>
        <v>2484.3366939346993</v>
      </c>
      <c r="AA67" s="10">
        <f>MAX(Tabella8[[#This Row],[rest of Italy fit]]-CIo,0)</f>
        <v>0</v>
      </c>
      <c r="AC67" s="55" t="s">
        <v>147</v>
      </c>
      <c r="AD67" s="87">
        <v>5</v>
      </c>
      <c r="AE67" s="87">
        <v>4</v>
      </c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 s="65"/>
      <c r="AY67" s="65"/>
      <c r="AZ67" s="79"/>
      <c r="BA67" s="32"/>
      <c r="BB67" s="32"/>
      <c r="BC67" s="79"/>
      <c r="BD67" s="68"/>
      <c r="BE67" s="68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/>
      <c r="MY67"/>
      <c r="MZ67"/>
      <c r="NA67"/>
      <c r="NB67"/>
      <c r="NC67"/>
      <c r="ND67"/>
      <c r="NE67"/>
      <c r="NF67"/>
      <c r="NG67"/>
      <c r="NH67"/>
      <c r="NI67"/>
      <c r="NJ67"/>
      <c r="NK67"/>
      <c r="NL67"/>
      <c r="NM67"/>
      <c r="NN67"/>
    </row>
    <row r="68" spans="2:378" x14ac:dyDescent="0.3">
      <c r="B68" s="15">
        <v>43891</v>
      </c>
      <c r="C68" s="4">
        <v>61</v>
      </c>
      <c r="D68" s="10">
        <f>'dpc-covid19-ita-andamento-naz'!J8+'dpc-covid19-ita-andamento-naz'!K8</f>
        <v>117</v>
      </c>
      <c r="E68" s="10">
        <f>Tabella8[[#This Row],[Italy cumulative]]*NOT(ISBLANK(Tabella8[[#This Row],[Italy cumulative]]))</f>
        <v>117</v>
      </c>
      <c r="F68" s="10">
        <f>Tabella8[[#This Row],[region fit]]+Tabella8[[#This Row],[rest of Italy fit]]</f>
        <v>0</v>
      </c>
      <c r="G68" s="72">
        <f>Tabella8[[#This Row],[Italy sum of regions]]/K_sum</f>
        <v>0</v>
      </c>
      <c r="H68" s="10">
        <f>Tabella8[[#This Row],[Italy sum of regions]]*NOT(ISBLANK(Tabella8[[#This Row],[Italy cumulative]]))</f>
        <v>0</v>
      </c>
      <c r="I68" s="132">
        <f>MAX(Kt*(TANH(psi_t*(Tabella8[[#This Row],[Day]]-pt)-phi_t)+TANH(phi_t))/(1+TANH(phi_t)),0)</f>
        <v>0</v>
      </c>
      <c r="J68" s="109">
        <f>Tabella8[[#This Row],[Italy fit]]/Kt</f>
        <v>0</v>
      </c>
      <c r="K68" s="10">
        <f>Tabella8[[#This Row],[Italy fit]]*NOT(ISBLANK(Tabella8[[#This Row],[Italy cumulative]]))</f>
        <v>0</v>
      </c>
      <c r="L68" s="10">
        <f>Tabella8[[#This Row],[Italy sum of regions]]+CI</f>
        <v>2460.5777545213355</v>
      </c>
      <c r="M68" s="10">
        <f>MAX(Tabella8[[#This Row],[Italy sum of regions]]-CI,0)</f>
        <v>0</v>
      </c>
      <c r="N68" s="57">
        <f t="shared" si="0"/>
        <v>4</v>
      </c>
      <c r="O68" s="10">
        <f>Tabella8[[#This Row],[region data]]*NOT(ISBLANK(Tabella8[[#This Row],[region data]]))</f>
        <v>4</v>
      </c>
      <c r="P68" s="107">
        <f>MAX(Kr*(TANH(psi_r*(Tabella8[[#This Row],[Day]]-pr)-phi_r)+TANH(phi_r))/(1+TANH(phi_r)),0)</f>
        <v>0</v>
      </c>
      <c r="Q68" s="107">
        <f>Tabella8[[#This Row],[region fit]]/Kr</f>
        <v>0</v>
      </c>
      <c r="R68" s="10">
        <f>Tabella8[[#This Row],[region fit]]*NOT(ISBLANK(Tabella8[[#This Row],[region data]]))</f>
        <v>0</v>
      </c>
      <c r="S68" s="10">
        <f>Tabella8[[#This Row],[region fit]]+CIr</f>
        <v>86.019277464869106</v>
      </c>
      <c r="T68" s="10">
        <f>MAX(Tabella8[[#This Row],[region fit]]-CIr,0)</f>
        <v>0</v>
      </c>
      <c r="U68" s="10">
        <f>Tabella8[[#This Row],[Italy cumulative]]-Tabella8[[#This Row],[region data]]</f>
        <v>113</v>
      </c>
      <c r="V68" s="10">
        <f>Tabella8[[#This Row],[rest of Italy ]]*NOT(ISBLANK(Tabella8[[#This Row],[rest of Italy ]]))</f>
        <v>113</v>
      </c>
      <c r="W68" s="108">
        <f>MAX(Ko*(TANH(psi_o*(Tabella8[[#This Row],[Day]]-po)-phi_o)+TANH(phi_o))/(1+TANH(phi_o)),0)</f>
        <v>0</v>
      </c>
      <c r="X68" s="108">
        <f>Tabella8[[#This Row],[rest of Italy fit]]/Ko</f>
        <v>0</v>
      </c>
      <c r="Y68" s="22">
        <f>Tabella8[[#This Row],[rest of Italy fit]]*NOT(ISBLANK(Tabella8[[#This Row],[rest of Italy ]]))</f>
        <v>0</v>
      </c>
      <c r="Z68" s="10">
        <f>Tabella8[[#This Row],[rest of Italy fit]]+CIo</f>
        <v>2484.3366939346993</v>
      </c>
      <c r="AA68" s="10">
        <f>MAX(Tabella8[[#This Row],[rest of Italy fit]]-CIo,0)</f>
        <v>0</v>
      </c>
      <c r="AC68" s="55" t="s">
        <v>148</v>
      </c>
      <c r="AD68" s="87">
        <v>5</v>
      </c>
      <c r="AE68" s="87">
        <v>6</v>
      </c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 s="65"/>
      <c r="AY68" s="65"/>
      <c r="AZ68" s="79"/>
      <c r="BA68" s="32"/>
      <c r="BB68" s="32"/>
      <c r="BC68" s="79"/>
      <c r="BD68" s="68"/>
      <c r="BE68" s="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  <c r="LS68"/>
      <c r="LT68"/>
      <c r="LU68"/>
      <c r="LV68"/>
      <c r="LW68"/>
      <c r="LX68"/>
      <c r="LY68"/>
      <c r="LZ68"/>
      <c r="MA68"/>
      <c r="MB68"/>
      <c r="MC68"/>
      <c r="MD68"/>
      <c r="ME68"/>
      <c r="MF68"/>
      <c r="MG68"/>
      <c r="MH68"/>
      <c r="MI68"/>
      <c r="MJ68"/>
      <c r="MK68"/>
      <c r="ML68"/>
      <c r="MM68"/>
      <c r="MN68"/>
      <c r="MO68"/>
      <c r="MP68"/>
      <c r="MQ68"/>
      <c r="MR68"/>
      <c r="MS68"/>
      <c r="MT68"/>
      <c r="MU68"/>
      <c r="MV68"/>
      <c r="MW68"/>
      <c r="MX68"/>
      <c r="MY68"/>
      <c r="MZ68"/>
      <c r="NA68"/>
      <c r="NB68"/>
      <c r="NC68"/>
      <c r="ND68"/>
      <c r="NE68"/>
      <c r="NF68"/>
      <c r="NG68"/>
      <c r="NH68"/>
      <c r="NI68"/>
      <c r="NJ68"/>
      <c r="NK68"/>
      <c r="NL68"/>
      <c r="NM68"/>
      <c r="NN68"/>
    </row>
    <row r="69" spans="2:378" x14ac:dyDescent="0.3">
      <c r="B69" s="9">
        <v>43892</v>
      </c>
      <c r="C69" s="4">
        <v>62</v>
      </c>
      <c r="D69" s="10">
        <f>'dpc-covid19-ita-andamento-naz'!J9+'dpc-covid19-ita-andamento-naz'!K9</f>
        <v>201</v>
      </c>
      <c r="E69" s="10">
        <f>Tabella8[[#This Row],[Italy cumulative]]*NOT(ISBLANK(Tabella8[[#This Row],[Italy cumulative]]))</f>
        <v>201</v>
      </c>
      <c r="F69" s="10">
        <f>Tabella8[[#This Row],[region fit]]+Tabella8[[#This Row],[rest of Italy fit]]</f>
        <v>0</v>
      </c>
      <c r="G69" s="72">
        <f>Tabella8[[#This Row],[Italy sum of regions]]/K_sum</f>
        <v>0</v>
      </c>
      <c r="H69" s="10">
        <f>Tabella8[[#This Row],[Italy sum of regions]]*NOT(ISBLANK(Tabella8[[#This Row],[Italy cumulative]]))</f>
        <v>0</v>
      </c>
      <c r="I69" s="132">
        <f>MAX(Kt*(TANH(psi_t*(Tabella8[[#This Row],[Day]]-pt)-phi_t)+TANH(phi_t))/(1+TANH(phi_t)),0)</f>
        <v>0</v>
      </c>
      <c r="J69" s="109">
        <f>Tabella8[[#This Row],[Italy fit]]/Kt</f>
        <v>0</v>
      </c>
      <c r="K69" s="10">
        <f>Tabella8[[#This Row],[Italy fit]]*NOT(ISBLANK(Tabella8[[#This Row],[Italy cumulative]]))</f>
        <v>0</v>
      </c>
      <c r="L69" s="10">
        <f>Tabella8[[#This Row],[Italy sum of regions]]+CI</f>
        <v>2460.5777545213355</v>
      </c>
      <c r="M69" s="10">
        <f>MAX(Tabella8[[#This Row],[Italy sum of regions]]-CI,0)</f>
        <v>0</v>
      </c>
      <c r="N69" s="57">
        <f t="shared" si="0"/>
        <v>4</v>
      </c>
      <c r="O69" s="10">
        <f>Tabella8[[#This Row],[region data]]*NOT(ISBLANK(Tabella8[[#This Row],[region data]]))</f>
        <v>4</v>
      </c>
      <c r="P69" s="107">
        <f>MAX(Kr*(TANH(psi_r*(Tabella8[[#This Row],[Day]]-pr)-phi_r)+TANH(phi_r))/(1+TANH(phi_r)),0)</f>
        <v>0</v>
      </c>
      <c r="Q69" s="107">
        <f>Tabella8[[#This Row],[region fit]]/Kr</f>
        <v>0</v>
      </c>
      <c r="R69" s="10">
        <f>Tabella8[[#This Row],[region fit]]*NOT(ISBLANK(Tabella8[[#This Row],[region data]]))</f>
        <v>0</v>
      </c>
      <c r="S69" s="10">
        <f>Tabella8[[#This Row],[region fit]]+CIr</f>
        <v>86.019277464869106</v>
      </c>
      <c r="T69" s="10">
        <f>MAX(Tabella8[[#This Row],[region fit]]-CIr,0)</f>
        <v>0</v>
      </c>
      <c r="U69" s="10">
        <f>Tabella8[[#This Row],[Italy cumulative]]-Tabella8[[#This Row],[region data]]</f>
        <v>197</v>
      </c>
      <c r="V69" s="10">
        <f>Tabella8[[#This Row],[rest of Italy ]]*NOT(ISBLANK(Tabella8[[#This Row],[rest of Italy ]]))</f>
        <v>197</v>
      </c>
      <c r="W69" s="108">
        <f>MAX(Ko*(TANH(psi_o*(Tabella8[[#This Row],[Day]]-po)-phi_o)+TANH(phi_o))/(1+TANH(phi_o)),0)</f>
        <v>0</v>
      </c>
      <c r="X69" s="108">
        <f>Tabella8[[#This Row],[rest of Italy fit]]/Ko</f>
        <v>0</v>
      </c>
      <c r="Y69" s="22">
        <f>Tabella8[[#This Row],[rest of Italy fit]]*NOT(ISBLANK(Tabella8[[#This Row],[rest of Italy ]]))</f>
        <v>0</v>
      </c>
      <c r="Z69" s="10">
        <f>Tabella8[[#This Row],[rest of Italy fit]]+CIo</f>
        <v>2484.3366939346993</v>
      </c>
      <c r="AA69" s="10">
        <f>MAX(Tabella8[[#This Row],[rest of Italy fit]]-CIo,0)</f>
        <v>0</v>
      </c>
      <c r="AC69" s="55" t="s">
        <v>149</v>
      </c>
      <c r="AD69" s="87">
        <v>5</v>
      </c>
      <c r="AE69" s="87">
        <v>7</v>
      </c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 s="65"/>
      <c r="AY69" s="65"/>
      <c r="AZ69" s="79"/>
      <c r="BA69" s="32"/>
      <c r="BB69" s="32"/>
      <c r="BC69" s="79"/>
      <c r="BD69" s="68"/>
      <c r="BE69" s="68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  <c r="LW69"/>
      <c r="LX69"/>
      <c r="LY69"/>
      <c r="LZ69"/>
      <c r="MA69"/>
      <c r="MB69"/>
      <c r="MC69"/>
      <c r="MD69"/>
      <c r="ME69"/>
      <c r="MF69"/>
      <c r="MG69"/>
      <c r="MH69"/>
      <c r="MI69"/>
      <c r="MJ69"/>
      <c r="MK69"/>
      <c r="ML69"/>
      <c r="MM69"/>
      <c r="MN69"/>
      <c r="MO69"/>
      <c r="MP69"/>
      <c r="MQ69"/>
      <c r="MR69"/>
      <c r="MS69"/>
      <c r="MT69"/>
      <c r="MU69"/>
      <c r="MV69"/>
      <c r="MW69"/>
      <c r="MX69"/>
      <c r="MY69"/>
      <c r="MZ69"/>
      <c r="NA69"/>
      <c r="NB69"/>
      <c r="NC69"/>
      <c r="ND69"/>
      <c r="NE69"/>
      <c r="NF69"/>
      <c r="NG69"/>
      <c r="NH69"/>
      <c r="NI69"/>
      <c r="NJ69"/>
      <c r="NK69"/>
      <c r="NL69"/>
      <c r="NM69"/>
      <c r="NN69"/>
    </row>
    <row r="70" spans="2:378" x14ac:dyDescent="0.3">
      <c r="B70" s="9">
        <v>43893</v>
      </c>
      <c r="C70" s="4">
        <v>63</v>
      </c>
      <c r="D70" s="10">
        <f>'dpc-covid19-ita-andamento-naz'!J10+'dpc-covid19-ita-andamento-naz'!K10</f>
        <v>239</v>
      </c>
      <c r="E70" s="10">
        <f>Tabella8[[#This Row],[Italy cumulative]]*NOT(ISBLANK(Tabella8[[#This Row],[Italy cumulative]]))</f>
        <v>239</v>
      </c>
      <c r="F70" s="10">
        <f>Tabella8[[#This Row],[region fit]]+Tabella8[[#This Row],[rest of Italy fit]]</f>
        <v>0</v>
      </c>
      <c r="G70" s="72">
        <f>Tabella8[[#This Row],[Italy sum of regions]]/K_sum</f>
        <v>0</v>
      </c>
      <c r="H70" s="10">
        <f>Tabella8[[#This Row],[Italy sum of regions]]*NOT(ISBLANK(Tabella8[[#This Row],[Italy cumulative]]))</f>
        <v>0</v>
      </c>
      <c r="I70" s="132">
        <f>MAX(Kt*(TANH(psi_t*(Tabella8[[#This Row],[Day]]-pt)-phi_t)+TANH(phi_t))/(1+TANH(phi_t)),0)</f>
        <v>0</v>
      </c>
      <c r="J70" s="109">
        <f>Tabella8[[#This Row],[Italy fit]]/Kt</f>
        <v>0</v>
      </c>
      <c r="K70" s="10">
        <f>Tabella8[[#This Row],[Italy fit]]*NOT(ISBLANK(Tabella8[[#This Row],[Italy cumulative]]))</f>
        <v>0</v>
      </c>
      <c r="L70" s="10">
        <f>Tabella8[[#This Row],[Italy sum of regions]]+CI</f>
        <v>2460.5777545213355</v>
      </c>
      <c r="M70" s="10">
        <f>MAX(Tabella8[[#This Row],[Italy sum of regions]]-CI,0)</f>
        <v>0</v>
      </c>
      <c r="N70" s="57">
        <f t="shared" si="0"/>
        <v>5</v>
      </c>
      <c r="O70" s="10">
        <f>Tabella8[[#This Row],[region data]]*NOT(ISBLANK(Tabella8[[#This Row],[region data]]))</f>
        <v>5</v>
      </c>
      <c r="P70" s="107">
        <f>MAX(Kr*(TANH(psi_r*(Tabella8[[#This Row],[Day]]-pr)-phi_r)+TANH(phi_r))/(1+TANH(phi_r)),0)</f>
        <v>0</v>
      </c>
      <c r="Q70" s="107">
        <f>Tabella8[[#This Row],[region fit]]/Kr</f>
        <v>0</v>
      </c>
      <c r="R70" s="10">
        <f>Tabella8[[#This Row],[region fit]]*NOT(ISBLANK(Tabella8[[#This Row],[region data]]))</f>
        <v>0</v>
      </c>
      <c r="S70" s="10">
        <f>Tabella8[[#This Row],[region fit]]+CIr</f>
        <v>86.019277464869106</v>
      </c>
      <c r="T70" s="10">
        <f>MAX(Tabella8[[#This Row],[region fit]]-CIr,0)</f>
        <v>0</v>
      </c>
      <c r="U70" s="10">
        <f>Tabella8[[#This Row],[Italy cumulative]]-Tabella8[[#This Row],[region data]]</f>
        <v>234</v>
      </c>
      <c r="V70" s="10">
        <f>Tabella8[[#This Row],[rest of Italy ]]*NOT(ISBLANK(Tabella8[[#This Row],[rest of Italy ]]))</f>
        <v>234</v>
      </c>
      <c r="W70" s="108">
        <f>MAX(Ko*(TANH(psi_o*(Tabella8[[#This Row],[Day]]-po)-phi_o)+TANH(phi_o))/(1+TANH(phi_o)),0)</f>
        <v>0</v>
      </c>
      <c r="X70" s="108">
        <f>Tabella8[[#This Row],[rest of Italy fit]]/Ko</f>
        <v>0</v>
      </c>
      <c r="Y70" s="22">
        <f>Tabella8[[#This Row],[rest of Italy fit]]*NOT(ISBLANK(Tabella8[[#This Row],[rest of Italy ]]))</f>
        <v>0</v>
      </c>
      <c r="Z70" s="10">
        <f>Tabella8[[#This Row],[rest of Italy fit]]+CIo</f>
        <v>2484.3366939346993</v>
      </c>
      <c r="AA70" s="10">
        <f>MAX(Tabella8[[#This Row],[rest of Italy fit]]-CIo,0)</f>
        <v>0</v>
      </c>
      <c r="AC70" s="55" t="s">
        <v>150</v>
      </c>
      <c r="AD70" s="87">
        <v>5</v>
      </c>
      <c r="AE70" s="87">
        <v>8</v>
      </c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 s="65"/>
      <c r="AY70" s="65"/>
      <c r="AZ70" s="79"/>
      <c r="BA70" s="32"/>
      <c r="BB70" s="32"/>
      <c r="BC70" s="79"/>
      <c r="BD70" s="68"/>
      <c r="BE70" s="68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  <c r="LS70"/>
      <c r="LT70"/>
      <c r="LU70"/>
      <c r="LV70"/>
      <c r="LW70"/>
      <c r="LX70"/>
      <c r="LY70"/>
      <c r="LZ70"/>
      <c r="MA70"/>
      <c r="MB70"/>
      <c r="MC70"/>
      <c r="MD70"/>
      <c r="ME70"/>
      <c r="MF70"/>
      <c r="MG70"/>
      <c r="MH70"/>
      <c r="MI70"/>
      <c r="MJ70"/>
      <c r="MK70"/>
      <c r="ML70"/>
      <c r="MM70"/>
      <c r="MN70"/>
      <c r="MO70"/>
      <c r="MP70"/>
      <c r="MQ70"/>
      <c r="MR70"/>
      <c r="MS70"/>
      <c r="MT70"/>
      <c r="MU70"/>
      <c r="MV70"/>
      <c r="MW70"/>
      <c r="MX70"/>
      <c r="MY70"/>
      <c r="MZ70"/>
      <c r="NA70"/>
      <c r="NB70"/>
      <c r="NC70"/>
      <c r="ND70"/>
      <c r="NE70"/>
      <c r="NF70"/>
      <c r="NG70"/>
      <c r="NH70"/>
      <c r="NI70"/>
      <c r="NJ70"/>
      <c r="NK70"/>
      <c r="NL70"/>
      <c r="NM70"/>
      <c r="NN70"/>
    </row>
    <row r="71" spans="2:378" x14ac:dyDescent="0.3">
      <c r="B71" s="9">
        <v>43894</v>
      </c>
      <c r="C71" s="4">
        <v>64</v>
      </c>
      <c r="D71" s="10">
        <f>'dpc-covid19-ita-andamento-naz'!J11+'dpc-covid19-ita-andamento-naz'!K11</f>
        <v>383</v>
      </c>
      <c r="E71" s="10">
        <f>Tabella8[[#This Row],[Italy cumulative]]*NOT(ISBLANK(Tabella8[[#This Row],[Italy cumulative]]))</f>
        <v>383</v>
      </c>
      <c r="F71" s="10">
        <f>Tabella8[[#This Row],[region fit]]+Tabella8[[#This Row],[rest of Italy fit]]</f>
        <v>0</v>
      </c>
      <c r="G71" s="72">
        <f>Tabella8[[#This Row],[Italy sum of regions]]/K_sum</f>
        <v>0</v>
      </c>
      <c r="H71" s="10">
        <f>Tabella8[[#This Row],[Italy sum of regions]]*NOT(ISBLANK(Tabella8[[#This Row],[Italy cumulative]]))</f>
        <v>0</v>
      </c>
      <c r="I71" s="132">
        <f>MAX(Kt*(TANH(psi_t*(Tabella8[[#This Row],[Day]]-pt)-phi_t)+TANH(phi_t))/(1+TANH(phi_t)),0)</f>
        <v>0</v>
      </c>
      <c r="J71" s="109">
        <f>Tabella8[[#This Row],[Italy fit]]/Kt</f>
        <v>0</v>
      </c>
      <c r="K71" s="10">
        <f>Tabella8[[#This Row],[Italy fit]]*NOT(ISBLANK(Tabella8[[#This Row],[Italy cumulative]]))</f>
        <v>0</v>
      </c>
      <c r="L71" s="10">
        <f>Tabella8[[#This Row],[Italy sum of regions]]+CI</f>
        <v>2460.5777545213355</v>
      </c>
      <c r="M71" s="10">
        <f>MAX(Tabella8[[#This Row],[Italy sum of regions]]-CI,0)</f>
        <v>0</v>
      </c>
      <c r="N71" s="57">
        <f t="shared" si="0"/>
        <v>5</v>
      </c>
      <c r="O71" s="10">
        <f>Tabella8[[#This Row],[region data]]*NOT(ISBLANK(Tabella8[[#This Row],[region data]]))</f>
        <v>5</v>
      </c>
      <c r="P71" s="107">
        <f>MAX(Kr*(TANH(psi_r*(Tabella8[[#This Row],[Day]]-pr)-phi_r)+TANH(phi_r))/(1+TANH(phi_r)),0)</f>
        <v>0</v>
      </c>
      <c r="Q71" s="107">
        <f>Tabella8[[#This Row],[region fit]]/Kr</f>
        <v>0</v>
      </c>
      <c r="R71" s="10">
        <f>Tabella8[[#This Row],[region fit]]*NOT(ISBLANK(Tabella8[[#This Row],[region data]]))</f>
        <v>0</v>
      </c>
      <c r="S71" s="10">
        <f>Tabella8[[#This Row],[region fit]]+CIr</f>
        <v>86.019277464869106</v>
      </c>
      <c r="T71" s="10">
        <f>MAX(Tabella8[[#This Row],[region fit]]-CIr,0)</f>
        <v>0</v>
      </c>
      <c r="U71" s="10">
        <f>Tabella8[[#This Row],[Italy cumulative]]-Tabella8[[#This Row],[region data]]</f>
        <v>378</v>
      </c>
      <c r="V71" s="10">
        <f>Tabella8[[#This Row],[rest of Italy ]]*NOT(ISBLANK(Tabella8[[#This Row],[rest of Italy ]]))</f>
        <v>378</v>
      </c>
      <c r="W71" s="108">
        <f>MAX(Ko*(TANH(psi_o*(Tabella8[[#This Row],[Day]]-po)-phi_o)+TANH(phi_o))/(1+TANH(phi_o)),0)</f>
        <v>0</v>
      </c>
      <c r="X71" s="108">
        <f>Tabella8[[#This Row],[rest of Italy fit]]/Ko</f>
        <v>0</v>
      </c>
      <c r="Y71" s="22">
        <f>Tabella8[[#This Row],[rest of Italy fit]]*NOT(ISBLANK(Tabella8[[#This Row],[rest of Italy ]]))</f>
        <v>0</v>
      </c>
      <c r="Z71" s="10">
        <f>Tabella8[[#This Row],[rest of Italy fit]]+CIo</f>
        <v>2484.3366939346993</v>
      </c>
      <c r="AA71" s="10">
        <f>MAX(Tabella8[[#This Row],[rest of Italy fit]]-CIo,0)</f>
        <v>0</v>
      </c>
      <c r="AC71" s="55" t="s">
        <v>151</v>
      </c>
      <c r="AD71" s="87">
        <v>5</v>
      </c>
      <c r="AE71" s="87">
        <v>8</v>
      </c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 s="65"/>
      <c r="AY71" s="65"/>
      <c r="AZ71" s="79"/>
      <c r="BA71" s="32"/>
      <c r="BB71" s="32"/>
      <c r="BC71" s="79"/>
      <c r="BD71" s="68"/>
      <c r="BE71" s="68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</row>
    <row r="72" spans="2:378" x14ac:dyDescent="0.3">
      <c r="B72" s="15">
        <v>43895</v>
      </c>
      <c r="C72" s="4">
        <v>65</v>
      </c>
      <c r="D72" s="10">
        <f>'dpc-covid19-ita-andamento-naz'!J12+'dpc-covid19-ita-andamento-naz'!K12</f>
        <v>562</v>
      </c>
      <c r="E72" s="10">
        <f>Tabella8[[#This Row],[Italy cumulative]]*NOT(ISBLANK(Tabella8[[#This Row],[Italy cumulative]]))</f>
        <v>562</v>
      </c>
      <c r="F72" s="10">
        <f>Tabella8[[#This Row],[region fit]]+Tabella8[[#This Row],[rest of Italy fit]]</f>
        <v>0</v>
      </c>
      <c r="G72" s="72">
        <f>Tabella8[[#This Row],[Italy sum of regions]]/K_sum</f>
        <v>0</v>
      </c>
      <c r="H72" s="10">
        <f>Tabella8[[#This Row],[Italy sum of regions]]*NOT(ISBLANK(Tabella8[[#This Row],[Italy cumulative]]))</f>
        <v>0</v>
      </c>
      <c r="I72" s="132">
        <f>MAX(Kt*(TANH(psi_t*(Tabella8[[#This Row],[Day]]-pt)-phi_t)+TANH(phi_t))/(1+TANH(phi_t)),0)</f>
        <v>0</v>
      </c>
      <c r="J72" s="109">
        <f>Tabella8[[#This Row],[Italy fit]]/Kt</f>
        <v>0</v>
      </c>
      <c r="K72" s="10">
        <f>Tabella8[[#This Row],[Italy fit]]*NOT(ISBLANK(Tabella8[[#This Row],[Italy cumulative]]))</f>
        <v>0</v>
      </c>
      <c r="L72" s="10">
        <f>Tabella8[[#This Row],[Italy sum of regions]]+CI</f>
        <v>2460.5777545213355</v>
      </c>
      <c r="M72" s="10">
        <f>MAX(Tabella8[[#This Row],[Italy sum of regions]]-CI,0)</f>
        <v>0</v>
      </c>
      <c r="N72" s="57">
        <f t="shared" si="0"/>
        <v>7</v>
      </c>
      <c r="O72" s="10">
        <f>Tabella8[[#This Row],[region data]]*NOT(ISBLANK(Tabella8[[#This Row],[region data]]))</f>
        <v>7</v>
      </c>
      <c r="P72" s="107">
        <f>MAX(Kr*(TANH(psi_r*(Tabella8[[#This Row],[Day]]-pr)-phi_r)+TANH(phi_r))/(1+TANH(phi_r)),0)</f>
        <v>0</v>
      </c>
      <c r="Q72" s="107">
        <f>Tabella8[[#This Row],[region fit]]/Kr</f>
        <v>0</v>
      </c>
      <c r="R72" s="10">
        <f>Tabella8[[#This Row],[region fit]]*NOT(ISBLANK(Tabella8[[#This Row],[region data]]))</f>
        <v>0</v>
      </c>
      <c r="S72" s="10">
        <f>Tabella8[[#This Row],[region fit]]+CIr</f>
        <v>86.019277464869106</v>
      </c>
      <c r="T72" s="10">
        <f>MAX(Tabella8[[#This Row],[region fit]]-CIr,0)</f>
        <v>0</v>
      </c>
      <c r="U72" s="10">
        <f>Tabella8[[#This Row],[Italy cumulative]]-Tabella8[[#This Row],[region data]]</f>
        <v>555</v>
      </c>
      <c r="V72" s="10">
        <f>Tabella8[[#This Row],[rest of Italy ]]*NOT(ISBLANK(Tabella8[[#This Row],[rest of Italy ]]))</f>
        <v>555</v>
      </c>
      <c r="W72" s="108">
        <f>MAX(Ko*(TANH(psi_o*(Tabella8[[#This Row],[Day]]-po)-phi_o)+TANH(phi_o))/(1+TANH(phi_o)),0)</f>
        <v>0</v>
      </c>
      <c r="X72" s="108">
        <f>Tabella8[[#This Row],[rest of Italy fit]]/Ko</f>
        <v>0</v>
      </c>
      <c r="Y72" s="22">
        <f>Tabella8[[#This Row],[rest of Italy fit]]*NOT(ISBLANK(Tabella8[[#This Row],[rest of Italy ]]))</f>
        <v>0</v>
      </c>
      <c r="Z72" s="10">
        <f>Tabella8[[#This Row],[rest of Italy fit]]+CIo</f>
        <v>2484.3366939346993</v>
      </c>
      <c r="AA72" s="10">
        <f>MAX(Tabella8[[#This Row],[rest of Italy fit]]-CIo,0)</f>
        <v>0</v>
      </c>
      <c r="AC72" s="55" t="s">
        <v>152</v>
      </c>
      <c r="AD72" s="87">
        <v>20</v>
      </c>
      <c r="AE72" s="87">
        <v>11</v>
      </c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 s="65"/>
      <c r="AY72" s="65"/>
      <c r="AZ72" s="79"/>
      <c r="BA72" s="32"/>
      <c r="BB72" s="32"/>
      <c r="BC72" s="79"/>
      <c r="BD72" s="68"/>
      <c r="BE72" s="68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  <c r="LS72"/>
      <c r="LT72"/>
      <c r="LU72"/>
      <c r="LV72"/>
      <c r="LW72"/>
      <c r="LX72"/>
      <c r="LY72"/>
      <c r="LZ72"/>
      <c r="MA72"/>
      <c r="MB72"/>
      <c r="MC72"/>
      <c r="MD72"/>
      <c r="ME72"/>
      <c r="MF72"/>
      <c r="MG72"/>
      <c r="MH72"/>
      <c r="MI72"/>
      <c r="MJ72"/>
      <c r="MK72"/>
      <c r="ML72"/>
      <c r="MM72"/>
      <c r="MN72"/>
      <c r="MO72"/>
      <c r="MP72"/>
      <c r="MQ72"/>
      <c r="MR72"/>
      <c r="MS72"/>
      <c r="MT72"/>
      <c r="MU72"/>
      <c r="MV72"/>
      <c r="MW72"/>
      <c r="MX72"/>
      <c r="MY72"/>
      <c r="MZ72"/>
      <c r="NA72"/>
      <c r="NB72"/>
      <c r="NC72"/>
      <c r="ND72"/>
      <c r="NE72"/>
      <c r="NF72"/>
      <c r="NG72"/>
      <c r="NH72"/>
      <c r="NI72"/>
      <c r="NJ72"/>
      <c r="NK72"/>
      <c r="NL72"/>
      <c r="NM72"/>
      <c r="NN72"/>
    </row>
    <row r="73" spans="2:378" x14ac:dyDescent="0.3">
      <c r="B73" s="9">
        <v>43896</v>
      </c>
      <c r="C73" s="4">
        <v>66</v>
      </c>
      <c r="D73" s="10">
        <f>'dpc-covid19-ita-andamento-naz'!J13+'dpc-covid19-ita-andamento-naz'!K13</f>
        <v>720</v>
      </c>
      <c r="E73" s="10">
        <f>Tabella8[[#This Row],[Italy cumulative]]*NOT(ISBLANK(Tabella8[[#This Row],[Italy cumulative]]))</f>
        <v>720</v>
      </c>
      <c r="F73" s="10">
        <f>Tabella8[[#This Row],[region fit]]+Tabella8[[#This Row],[rest of Italy fit]]</f>
        <v>0</v>
      </c>
      <c r="G73" s="72">
        <f>Tabella8[[#This Row],[Italy sum of regions]]/K_sum</f>
        <v>0</v>
      </c>
      <c r="H73" s="10">
        <f>Tabella8[[#This Row],[Italy sum of regions]]*NOT(ISBLANK(Tabella8[[#This Row],[Italy cumulative]]))</f>
        <v>0</v>
      </c>
      <c r="I73" s="132">
        <f>MAX(Kt*(TANH(psi_t*(Tabella8[[#This Row],[Day]]-pt)-phi_t)+TANH(phi_t))/(1+TANH(phi_t)),0)</f>
        <v>0</v>
      </c>
      <c r="J73" s="109">
        <f>Tabella8[[#This Row],[Italy fit]]/Kt</f>
        <v>0</v>
      </c>
      <c r="K73" s="10">
        <f>Tabella8[[#This Row],[Italy fit]]*NOT(ISBLANK(Tabella8[[#This Row],[Italy cumulative]]))</f>
        <v>0</v>
      </c>
      <c r="L73" s="10">
        <f>Tabella8[[#This Row],[Italy sum of regions]]+CI</f>
        <v>2460.5777545213355</v>
      </c>
      <c r="M73" s="10">
        <f>MAX(Tabella8[[#This Row],[Italy sum of regions]]-CI,0)</f>
        <v>0</v>
      </c>
      <c r="N73" s="57">
        <f t="shared" si="0"/>
        <v>8</v>
      </c>
      <c r="O73" s="10">
        <f>Tabella8[[#This Row],[region data]]*NOT(ISBLANK(Tabella8[[#This Row],[region data]]))</f>
        <v>8</v>
      </c>
      <c r="P73" s="107">
        <f>MAX(Kr*(TANH(psi_r*(Tabella8[[#This Row],[Day]]-pr)-phi_r)+TANH(phi_r))/(1+TANH(phi_r)),0)</f>
        <v>0</v>
      </c>
      <c r="Q73" s="107">
        <f>Tabella8[[#This Row],[region fit]]/Kr</f>
        <v>0</v>
      </c>
      <c r="R73" s="10">
        <f>Tabella8[[#This Row],[region fit]]*NOT(ISBLANK(Tabella8[[#This Row],[region data]]))</f>
        <v>0</v>
      </c>
      <c r="S73" s="10">
        <f>Tabella8[[#This Row],[region fit]]+CIr</f>
        <v>86.019277464869106</v>
      </c>
      <c r="T73" s="10">
        <f>MAX(Tabella8[[#This Row],[region fit]]-CIr,0)</f>
        <v>0</v>
      </c>
      <c r="U73" s="10">
        <f>Tabella8[[#This Row],[Italy cumulative]]-Tabella8[[#This Row],[region data]]</f>
        <v>712</v>
      </c>
      <c r="V73" s="10">
        <f>Tabella8[[#This Row],[rest of Italy ]]*NOT(ISBLANK(Tabella8[[#This Row],[rest of Italy ]]))</f>
        <v>712</v>
      </c>
      <c r="W73" s="108">
        <f>MAX(Ko*(TANH(psi_o*(Tabella8[[#This Row],[Day]]-po)-phi_o)+TANH(phi_o))/(1+TANH(phi_o)),0)</f>
        <v>0</v>
      </c>
      <c r="X73" s="108">
        <f>Tabella8[[#This Row],[rest of Italy fit]]/Ko</f>
        <v>0</v>
      </c>
      <c r="Y73" s="22">
        <f>Tabella8[[#This Row],[rest of Italy fit]]*NOT(ISBLANK(Tabella8[[#This Row],[rest of Italy ]]))</f>
        <v>0</v>
      </c>
      <c r="Z73" s="10">
        <f>Tabella8[[#This Row],[rest of Italy fit]]+CIo</f>
        <v>2484.3366939346993</v>
      </c>
      <c r="AA73" s="10">
        <f>MAX(Tabella8[[#This Row],[rest of Italy fit]]-CIo,0)</f>
        <v>0</v>
      </c>
      <c r="AC73" s="55" t="s">
        <v>153</v>
      </c>
      <c r="AD73" s="87">
        <v>24</v>
      </c>
      <c r="AE73" s="87">
        <v>17</v>
      </c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 s="65"/>
      <c r="AY73" s="65"/>
      <c r="AZ73" s="79"/>
      <c r="BA73" s="32"/>
      <c r="BB73" s="32"/>
      <c r="BC73" s="79"/>
      <c r="BD73" s="68"/>
      <c r="BE73" s="68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/>
      <c r="LM73"/>
      <c r="LN73"/>
      <c r="LO73"/>
      <c r="LP73"/>
      <c r="LQ73"/>
      <c r="LR73"/>
      <c r="LS73"/>
      <c r="LT73"/>
      <c r="LU73"/>
      <c r="LV73"/>
      <c r="LW73"/>
      <c r="LX73"/>
      <c r="LY73"/>
      <c r="LZ73"/>
      <c r="MA73"/>
      <c r="MB73"/>
      <c r="MC73"/>
      <c r="MD73"/>
      <c r="ME73"/>
      <c r="MF73"/>
      <c r="MG73"/>
      <c r="MH73"/>
      <c r="MI73"/>
      <c r="MJ73"/>
      <c r="MK73"/>
      <c r="ML73"/>
      <c r="MM73"/>
      <c r="MN73"/>
      <c r="MO73"/>
      <c r="MP73"/>
      <c r="MQ73"/>
      <c r="MR73"/>
      <c r="MS73"/>
      <c r="MT73"/>
      <c r="MU73"/>
      <c r="MV73"/>
      <c r="MW73"/>
      <c r="MX73"/>
      <c r="MY73"/>
      <c r="MZ73"/>
      <c r="NA73"/>
      <c r="NB73"/>
      <c r="NC73"/>
      <c r="ND73"/>
      <c r="NE73"/>
      <c r="NF73"/>
      <c r="NG73"/>
      <c r="NH73"/>
      <c r="NI73"/>
      <c r="NJ73"/>
      <c r="NK73"/>
      <c r="NL73"/>
      <c r="NM73"/>
      <c r="NN73"/>
    </row>
    <row r="74" spans="2:378" x14ac:dyDescent="0.3">
      <c r="B74" s="9">
        <v>43897</v>
      </c>
      <c r="C74" s="4">
        <v>67</v>
      </c>
      <c r="D74" s="10">
        <f>'dpc-covid19-ita-andamento-naz'!J14+'dpc-covid19-ita-andamento-naz'!K14</f>
        <v>822</v>
      </c>
      <c r="E74" s="10">
        <f>Tabella8[[#This Row],[Italy cumulative]]*NOT(ISBLANK(Tabella8[[#This Row],[Italy cumulative]]))</f>
        <v>822</v>
      </c>
      <c r="F74" s="10">
        <f>Tabella8[[#This Row],[region fit]]+Tabella8[[#This Row],[rest of Italy fit]]</f>
        <v>0</v>
      </c>
      <c r="G74" s="72">
        <f>Tabella8[[#This Row],[Italy sum of regions]]/K_sum</f>
        <v>0</v>
      </c>
      <c r="H74" s="10">
        <f>Tabella8[[#This Row],[Italy sum of regions]]*NOT(ISBLANK(Tabella8[[#This Row],[Italy cumulative]]))</f>
        <v>0</v>
      </c>
      <c r="I74" s="132">
        <f>MAX(Kt*(TANH(psi_t*(Tabella8[[#This Row],[Day]]-pt)-phi_t)+TANH(phi_t))/(1+TANH(phi_t)),0)</f>
        <v>0</v>
      </c>
      <c r="J74" s="109">
        <f>Tabella8[[#This Row],[Italy fit]]/Kt</f>
        <v>0</v>
      </c>
      <c r="K74" s="10">
        <f>Tabella8[[#This Row],[Italy fit]]*NOT(ISBLANK(Tabella8[[#This Row],[Italy cumulative]]))</f>
        <v>0</v>
      </c>
      <c r="L74" s="10">
        <f>Tabella8[[#This Row],[Italy sum of regions]]+CI</f>
        <v>2460.5777545213355</v>
      </c>
      <c r="M74" s="10">
        <f>MAX(Tabella8[[#This Row],[Italy sum of regions]]-CI,0)</f>
        <v>0</v>
      </c>
      <c r="N74" s="57">
        <f t="shared" si="0"/>
        <v>9</v>
      </c>
      <c r="O74" s="10">
        <f>Tabella8[[#This Row],[region data]]*NOT(ISBLANK(Tabella8[[#This Row],[region data]]))</f>
        <v>9</v>
      </c>
      <c r="P74" s="107">
        <f>MAX(Kr*(TANH(psi_r*(Tabella8[[#This Row],[Day]]-pr)-phi_r)+TANH(phi_r))/(1+TANH(phi_r)),0)</f>
        <v>0</v>
      </c>
      <c r="Q74" s="107">
        <f>Tabella8[[#This Row],[region fit]]/Kr</f>
        <v>0</v>
      </c>
      <c r="R74" s="10">
        <f>Tabella8[[#This Row],[region fit]]*NOT(ISBLANK(Tabella8[[#This Row],[region data]]))</f>
        <v>0</v>
      </c>
      <c r="S74" s="10">
        <f>Tabella8[[#This Row],[region fit]]+CIr</f>
        <v>86.019277464869106</v>
      </c>
      <c r="T74" s="10">
        <f>MAX(Tabella8[[#This Row],[region fit]]-CIr,0)</f>
        <v>0</v>
      </c>
      <c r="U74" s="10">
        <f>Tabella8[[#This Row],[Italy cumulative]]-Tabella8[[#This Row],[region data]]</f>
        <v>813</v>
      </c>
      <c r="V74" s="10">
        <f>Tabella8[[#This Row],[rest of Italy ]]*NOT(ISBLANK(Tabella8[[#This Row],[rest of Italy ]]))</f>
        <v>813</v>
      </c>
      <c r="W74" s="108">
        <f>MAX(Ko*(TANH(psi_o*(Tabella8[[#This Row],[Day]]-po)-phi_o)+TANH(phi_o))/(1+TANH(phi_o)),0)</f>
        <v>0</v>
      </c>
      <c r="X74" s="108">
        <f>Tabella8[[#This Row],[rest of Italy fit]]/Ko</f>
        <v>0</v>
      </c>
      <c r="Y74" s="22">
        <f>Tabella8[[#This Row],[rest of Italy fit]]*NOT(ISBLANK(Tabella8[[#This Row],[rest of Italy ]]))</f>
        <v>0</v>
      </c>
      <c r="Z74" s="10">
        <f>Tabella8[[#This Row],[rest of Italy fit]]+CIo</f>
        <v>2484.3366939346993</v>
      </c>
      <c r="AA74" s="10">
        <f>MAX(Tabella8[[#This Row],[rest of Italy fit]]-CIo,0)</f>
        <v>0</v>
      </c>
      <c r="AC74" s="55" t="s">
        <v>154</v>
      </c>
      <c r="AD74" s="87">
        <v>52</v>
      </c>
      <c r="AE74" s="87">
        <v>27</v>
      </c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 s="65"/>
      <c r="AY74" s="65"/>
      <c r="AZ74" s="79"/>
      <c r="BA74" s="32"/>
      <c r="BB74" s="32"/>
      <c r="BC74" s="79"/>
      <c r="BD74" s="68"/>
      <c r="BE74" s="68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  <c r="LS74"/>
      <c r="LT74"/>
      <c r="LU74"/>
      <c r="LV74"/>
      <c r="LW74"/>
      <c r="LX74"/>
      <c r="LY74"/>
      <c r="LZ74"/>
      <c r="MA74"/>
      <c r="MB74"/>
      <c r="MC74"/>
      <c r="MD74"/>
      <c r="ME74"/>
      <c r="MF74"/>
      <c r="MG74"/>
      <c r="MH74"/>
      <c r="MI74"/>
      <c r="MJ74"/>
      <c r="MK74"/>
      <c r="ML74"/>
      <c r="MM74"/>
      <c r="MN74"/>
      <c r="MO74"/>
      <c r="MP74"/>
      <c r="MQ74"/>
      <c r="MR74"/>
      <c r="MS74"/>
      <c r="MT74"/>
      <c r="MU74"/>
      <c r="MV74"/>
      <c r="MW74"/>
      <c r="MX74"/>
      <c r="MY74"/>
      <c r="MZ74"/>
      <c r="NA74"/>
      <c r="NB74"/>
      <c r="NC74"/>
      <c r="ND74"/>
      <c r="NE74"/>
      <c r="NF74"/>
      <c r="NG74"/>
      <c r="NH74"/>
      <c r="NI74"/>
      <c r="NJ74"/>
      <c r="NK74"/>
      <c r="NL74"/>
      <c r="NM74"/>
      <c r="NN74"/>
    </row>
    <row r="75" spans="2:378" x14ac:dyDescent="0.3">
      <c r="B75" s="15">
        <v>43898</v>
      </c>
      <c r="C75" s="4">
        <v>68</v>
      </c>
      <c r="D75" s="10">
        <f>'dpc-covid19-ita-andamento-naz'!J15+'dpc-covid19-ita-andamento-naz'!K15</f>
        <v>988</v>
      </c>
      <c r="E75" s="10">
        <f>Tabella8[[#This Row],[Italy cumulative]]*NOT(ISBLANK(Tabella8[[#This Row],[Italy cumulative]]))</f>
        <v>988</v>
      </c>
      <c r="F75" s="10">
        <f>Tabella8[[#This Row],[region fit]]+Tabella8[[#This Row],[rest of Italy fit]]</f>
        <v>0</v>
      </c>
      <c r="G75" s="72">
        <f>Tabella8[[#This Row],[Italy sum of regions]]/K_sum</f>
        <v>0</v>
      </c>
      <c r="H75" s="10">
        <f>Tabella8[[#This Row],[Italy sum of regions]]*NOT(ISBLANK(Tabella8[[#This Row],[Italy cumulative]]))</f>
        <v>0</v>
      </c>
      <c r="I75" s="132">
        <f>MAX(Kt*(TANH(psi_t*(Tabella8[[#This Row],[Day]]-pt)-phi_t)+TANH(phi_t))/(1+TANH(phi_t)),0)</f>
        <v>0</v>
      </c>
      <c r="J75" s="109">
        <f>Tabella8[[#This Row],[Italy fit]]/Kt</f>
        <v>0</v>
      </c>
      <c r="K75" s="10">
        <f>Tabella8[[#This Row],[Italy fit]]*NOT(ISBLANK(Tabella8[[#This Row],[Italy cumulative]]))</f>
        <v>0</v>
      </c>
      <c r="L75" s="10">
        <f>Tabella8[[#This Row],[Italy sum of regions]]+CI</f>
        <v>2460.5777545213355</v>
      </c>
      <c r="M75" s="10">
        <f>MAX(Tabella8[[#This Row],[Italy sum of regions]]-CI,0)</f>
        <v>0</v>
      </c>
      <c r="N75" s="57">
        <f t="shared" si="0"/>
        <v>11</v>
      </c>
      <c r="O75" s="10">
        <f>Tabella8[[#This Row],[region data]]*NOT(ISBLANK(Tabella8[[#This Row],[region data]]))</f>
        <v>11</v>
      </c>
      <c r="P75" s="107">
        <f>MAX(Kr*(TANH(psi_r*(Tabella8[[#This Row],[Day]]-pr)-phi_r)+TANH(phi_r))/(1+TANH(phi_r)),0)</f>
        <v>0</v>
      </c>
      <c r="Q75" s="107">
        <f>Tabella8[[#This Row],[region fit]]/Kr</f>
        <v>0</v>
      </c>
      <c r="R75" s="10">
        <f>Tabella8[[#This Row],[region fit]]*NOT(ISBLANK(Tabella8[[#This Row],[region data]]))</f>
        <v>0</v>
      </c>
      <c r="S75" s="10">
        <f>Tabella8[[#This Row],[region fit]]+CIr</f>
        <v>86.019277464869106</v>
      </c>
      <c r="T75" s="10">
        <f>MAX(Tabella8[[#This Row],[region fit]]-CIr,0)</f>
        <v>0</v>
      </c>
      <c r="U75" s="10">
        <f>Tabella8[[#This Row],[Italy cumulative]]-Tabella8[[#This Row],[region data]]</f>
        <v>977</v>
      </c>
      <c r="V75" s="10">
        <f>Tabella8[[#This Row],[rest of Italy ]]*NOT(ISBLANK(Tabella8[[#This Row],[rest of Italy ]]))</f>
        <v>977</v>
      </c>
      <c r="W75" s="108">
        <f>MAX(Ko*(TANH(psi_o*(Tabella8[[#This Row],[Day]]-po)-phi_o)+TANH(phi_o))/(1+TANH(phi_o)),0)</f>
        <v>0</v>
      </c>
      <c r="X75" s="108">
        <f>Tabella8[[#This Row],[rest of Italy fit]]/Ko</f>
        <v>0</v>
      </c>
      <c r="Y75" s="22">
        <f>Tabella8[[#This Row],[rest of Italy fit]]*NOT(ISBLANK(Tabella8[[#This Row],[rest of Italy ]]))</f>
        <v>0</v>
      </c>
      <c r="Z75" s="10">
        <f>Tabella8[[#This Row],[rest of Italy fit]]+CIo</f>
        <v>2484.3366939346993</v>
      </c>
      <c r="AA75" s="10">
        <f>MAX(Tabella8[[#This Row],[rest of Italy fit]]-CIo,0)</f>
        <v>0</v>
      </c>
      <c r="AC75" s="55" t="s">
        <v>155</v>
      </c>
      <c r="AD75" s="87">
        <v>33</v>
      </c>
      <c r="AE75" s="87">
        <v>33</v>
      </c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 s="65"/>
      <c r="AY75" s="65"/>
      <c r="AZ75" s="79"/>
      <c r="BA75" s="32"/>
      <c r="BB75" s="32"/>
      <c r="BC75" s="79"/>
      <c r="BD75" s="68"/>
      <c r="BE75" s="68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</row>
    <row r="76" spans="2:378" x14ac:dyDescent="0.3">
      <c r="B76" s="9">
        <v>43899</v>
      </c>
      <c r="C76" s="4">
        <v>69</v>
      </c>
      <c r="D76" s="10">
        <f>'dpc-covid19-ita-andamento-naz'!J16+'dpc-covid19-ita-andamento-naz'!K16</f>
        <v>1187</v>
      </c>
      <c r="E76" s="10">
        <f>Tabella8[[#This Row],[Italy cumulative]]*NOT(ISBLANK(Tabella8[[#This Row],[Italy cumulative]]))</f>
        <v>1187</v>
      </c>
      <c r="F76" s="10">
        <f>Tabella8[[#This Row],[region fit]]+Tabella8[[#This Row],[rest of Italy fit]]</f>
        <v>0</v>
      </c>
      <c r="G76" s="72">
        <f>Tabella8[[#This Row],[Italy sum of regions]]/K_sum</f>
        <v>0</v>
      </c>
      <c r="H76" s="10">
        <f>Tabella8[[#This Row],[Italy sum of regions]]*NOT(ISBLANK(Tabella8[[#This Row],[Italy cumulative]]))</f>
        <v>0</v>
      </c>
      <c r="I76" s="132">
        <f>MAX(Kt*(TANH(psi_t*(Tabella8[[#This Row],[Day]]-pt)-phi_t)+TANH(phi_t))/(1+TANH(phi_t)),0)</f>
        <v>0</v>
      </c>
      <c r="J76" s="109">
        <f>Tabella8[[#This Row],[Italy fit]]/Kt</f>
        <v>0</v>
      </c>
      <c r="K76" s="10">
        <f>Tabella8[[#This Row],[Italy fit]]*NOT(ISBLANK(Tabella8[[#This Row],[Italy cumulative]]))</f>
        <v>0</v>
      </c>
      <c r="L76" s="10">
        <f>Tabella8[[#This Row],[Italy sum of regions]]+CI</f>
        <v>2460.5777545213355</v>
      </c>
      <c r="M76" s="10">
        <f>MAX(Tabella8[[#This Row],[Italy sum of regions]]-CI,0)</f>
        <v>0</v>
      </c>
      <c r="N76" s="57">
        <f t="shared" si="0"/>
        <v>12</v>
      </c>
      <c r="O76" s="10">
        <f>Tabella8[[#This Row],[region data]]*NOT(ISBLANK(Tabella8[[#This Row],[region data]]))</f>
        <v>12</v>
      </c>
      <c r="P76" s="107">
        <f>MAX(Kr*(TANH(psi_r*(Tabella8[[#This Row],[Day]]-pr)-phi_r)+TANH(phi_r))/(1+TANH(phi_r)),0)</f>
        <v>0</v>
      </c>
      <c r="Q76" s="107">
        <f>Tabella8[[#This Row],[region fit]]/Kr</f>
        <v>0</v>
      </c>
      <c r="R76" s="10">
        <f>Tabella8[[#This Row],[region fit]]*NOT(ISBLANK(Tabella8[[#This Row],[region data]]))</f>
        <v>0</v>
      </c>
      <c r="S76" s="10">
        <f>Tabella8[[#This Row],[region fit]]+CIr</f>
        <v>86.019277464869106</v>
      </c>
      <c r="T76" s="10">
        <f>MAX(Tabella8[[#This Row],[region fit]]-CIr,0)</f>
        <v>0</v>
      </c>
      <c r="U76" s="10">
        <f>Tabella8[[#This Row],[Italy cumulative]]-Tabella8[[#This Row],[region data]]</f>
        <v>1175</v>
      </c>
      <c r="V76" s="10">
        <f>Tabella8[[#This Row],[rest of Italy ]]*NOT(ISBLANK(Tabella8[[#This Row],[rest of Italy ]]))</f>
        <v>1175</v>
      </c>
      <c r="W76" s="108">
        <f>MAX(Ko*(TANH(psi_o*(Tabella8[[#This Row],[Day]]-po)-phi_o)+TANH(phi_o))/(1+TANH(phi_o)),0)</f>
        <v>0</v>
      </c>
      <c r="X76" s="108">
        <f>Tabella8[[#This Row],[rest of Italy fit]]/Ko</f>
        <v>0</v>
      </c>
      <c r="Y76" s="22">
        <f>Tabella8[[#This Row],[rest of Italy fit]]*NOT(ISBLANK(Tabella8[[#This Row],[rest of Italy ]]))</f>
        <v>0</v>
      </c>
      <c r="Z76" s="10">
        <f>Tabella8[[#This Row],[rest of Italy fit]]+CIo</f>
        <v>2484.3366939346993</v>
      </c>
      <c r="AA76" s="10">
        <f>MAX(Tabella8[[#This Row],[rest of Italy fit]]-CIo,0)</f>
        <v>0</v>
      </c>
      <c r="AC76" s="55" t="s">
        <v>156</v>
      </c>
      <c r="AD76" s="87">
        <v>42</v>
      </c>
      <c r="AE76" s="87">
        <v>50</v>
      </c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 s="65"/>
      <c r="AY76" s="65"/>
      <c r="AZ76" s="79"/>
      <c r="BA76" s="32"/>
      <c r="BB76" s="32"/>
      <c r="BC76" s="79"/>
      <c r="BD76" s="68"/>
      <c r="BE76" s="68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  <c r="LS76"/>
      <c r="LT76"/>
      <c r="LU76"/>
      <c r="LV76"/>
      <c r="LW76"/>
      <c r="LX76"/>
      <c r="LY76"/>
      <c r="LZ76"/>
      <c r="MA76"/>
      <c r="MB76"/>
      <c r="MC76"/>
      <c r="MD76"/>
      <c r="ME76"/>
      <c r="MF76"/>
      <c r="MG76"/>
      <c r="MH76"/>
      <c r="MI76"/>
      <c r="MJ76"/>
      <c r="MK76"/>
      <c r="ML76"/>
      <c r="MM76"/>
      <c r="MN76"/>
      <c r="MO76"/>
      <c r="MP76"/>
      <c r="MQ76"/>
      <c r="MR76"/>
      <c r="MS76"/>
      <c r="MT76"/>
      <c r="MU76"/>
      <c r="MV76"/>
      <c r="MW76"/>
      <c r="MX76"/>
      <c r="MY76"/>
      <c r="MZ76"/>
      <c r="NA76"/>
      <c r="NB76"/>
      <c r="NC76"/>
      <c r="ND76"/>
      <c r="NE76"/>
      <c r="NF76"/>
      <c r="NG76"/>
      <c r="NH76"/>
      <c r="NI76"/>
      <c r="NJ76"/>
      <c r="NK76"/>
      <c r="NL76"/>
      <c r="NM76"/>
      <c r="NN76"/>
    </row>
    <row r="77" spans="2:378" x14ac:dyDescent="0.3">
      <c r="B77" s="15">
        <v>43900</v>
      </c>
      <c r="C77" s="4">
        <v>70</v>
      </c>
      <c r="D77" s="10">
        <f>'dpc-covid19-ita-andamento-naz'!J17+'dpc-covid19-ita-andamento-naz'!K17</f>
        <v>1635</v>
      </c>
      <c r="E77" s="10">
        <f>Tabella8[[#This Row],[Italy cumulative]]*NOT(ISBLANK(Tabella8[[#This Row],[Italy cumulative]]))</f>
        <v>1635</v>
      </c>
      <c r="F77" s="10">
        <f>Tabella8[[#This Row],[region fit]]+Tabella8[[#This Row],[rest of Italy fit]]</f>
        <v>242.70089901987399</v>
      </c>
      <c r="G77" s="72">
        <f>Tabella8[[#This Row],[Italy sum of regions]]/K_sum</f>
        <v>1.0786706623105511E-3</v>
      </c>
      <c r="H77" s="10">
        <f>Tabella8[[#This Row],[Italy sum of regions]]*NOT(ISBLANK(Tabella8[[#This Row],[Italy cumulative]]))</f>
        <v>242.70089901987399</v>
      </c>
      <c r="I77" s="132">
        <f>MAX(Kt*(TANH(psi_t*(Tabella8[[#This Row],[Day]]-pt)-phi_t)+TANH(phi_t))/(1+TANH(phi_t)),0)</f>
        <v>129.02576862024938</v>
      </c>
      <c r="J77" s="109">
        <f>Tabella8[[#This Row],[Italy fit]]/Kt</f>
        <v>5.7344786053444171E-4</v>
      </c>
      <c r="K77" s="10">
        <f>Tabella8[[#This Row],[Italy fit]]*NOT(ISBLANK(Tabella8[[#This Row],[Italy cumulative]]))</f>
        <v>129.02576862024938</v>
      </c>
      <c r="L77" s="10">
        <f>Tabella8[[#This Row],[Italy sum of regions]]+CI</f>
        <v>2703.2786535412097</v>
      </c>
      <c r="M77" s="10">
        <f>MAX(Tabella8[[#This Row],[Italy sum of regions]]-CI,0)</f>
        <v>0</v>
      </c>
      <c r="N77" s="57">
        <f t="shared" si="0"/>
        <v>13</v>
      </c>
      <c r="O77" s="10">
        <f>Tabella8[[#This Row],[region data]]*NOT(ISBLANK(Tabella8[[#This Row],[region data]]))</f>
        <v>13</v>
      </c>
      <c r="P77" s="107">
        <f>MAX(Kr*(TANH(psi_r*(Tabella8[[#This Row],[Day]]-pr)-phi_r)+TANH(phi_r))/(1+TANH(phi_r)),0)</f>
        <v>0</v>
      </c>
      <c r="Q77" s="107">
        <f>Tabella8[[#This Row],[region fit]]/Kr</f>
        <v>0</v>
      </c>
      <c r="R77" s="10">
        <f>Tabella8[[#This Row],[region fit]]*NOT(ISBLANK(Tabella8[[#This Row],[region data]]))</f>
        <v>0</v>
      </c>
      <c r="S77" s="10">
        <f>Tabella8[[#This Row],[region fit]]+CIr</f>
        <v>86.019277464869106</v>
      </c>
      <c r="T77" s="10">
        <f>MAX(Tabella8[[#This Row],[region fit]]-CIr,0)</f>
        <v>0</v>
      </c>
      <c r="U77" s="10">
        <f>Tabella8[[#This Row],[Italy cumulative]]-Tabella8[[#This Row],[region data]]</f>
        <v>1622</v>
      </c>
      <c r="V77" s="10">
        <f>Tabella8[[#This Row],[rest of Italy ]]*NOT(ISBLANK(Tabella8[[#This Row],[rest of Italy ]]))</f>
        <v>1622</v>
      </c>
      <c r="W77" s="108">
        <f>MAX(Ko*(TANH(psi_o*(Tabella8[[#This Row],[Day]]-po)-phi_o)+TANH(phi_o))/(1+TANH(phi_o)),0)</f>
        <v>242.70089901987399</v>
      </c>
      <c r="X77" s="108">
        <f>Tabella8[[#This Row],[rest of Italy fit]]/Ko</f>
        <v>1.1234592372349858E-3</v>
      </c>
      <c r="Y77" s="22">
        <f>Tabella8[[#This Row],[rest of Italy fit]]*NOT(ISBLANK(Tabella8[[#This Row],[rest of Italy ]]))</f>
        <v>242.70089901987399</v>
      </c>
      <c r="Z77" s="10">
        <f>Tabella8[[#This Row],[rest of Italy fit]]+CIo</f>
        <v>2727.0375929545735</v>
      </c>
      <c r="AA77" s="10">
        <f>MAX(Tabella8[[#This Row],[rest of Italy fit]]-CIo,0)</f>
        <v>0</v>
      </c>
      <c r="AC77" s="55" t="s">
        <v>157</v>
      </c>
      <c r="AD77" s="87">
        <v>57</v>
      </c>
      <c r="AE77" s="87">
        <v>60</v>
      </c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 s="65"/>
      <c r="AY77" s="65"/>
      <c r="AZ77" s="79"/>
      <c r="BA77" s="32"/>
      <c r="BB77" s="32"/>
      <c r="BC77" s="79"/>
      <c r="BD77" s="68"/>
      <c r="BE77" s="68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/>
      <c r="LM77"/>
      <c r="LN77"/>
      <c r="LO77"/>
      <c r="LP77"/>
      <c r="LQ77"/>
      <c r="LR77"/>
      <c r="LS77"/>
      <c r="LT77"/>
      <c r="LU77"/>
      <c r="LV77"/>
      <c r="LW77"/>
      <c r="LX77"/>
      <c r="LY77"/>
      <c r="LZ77"/>
      <c r="MA77"/>
      <c r="MB77"/>
      <c r="MC77"/>
      <c r="MD77"/>
      <c r="ME77"/>
      <c r="MF77"/>
      <c r="MG77"/>
      <c r="MH77"/>
      <c r="MI77"/>
      <c r="MJ77"/>
      <c r="MK77"/>
      <c r="ML77"/>
      <c r="MM77"/>
      <c r="MN77"/>
      <c r="MO77"/>
      <c r="MP77"/>
      <c r="MQ77"/>
      <c r="MR77"/>
      <c r="MS77"/>
      <c r="MT77"/>
      <c r="MU77"/>
      <c r="MV77"/>
      <c r="MW77"/>
      <c r="MX77"/>
      <c r="MY77"/>
      <c r="MZ77"/>
      <c r="NA77"/>
      <c r="NB77"/>
      <c r="NC77"/>
      <c r="ND77"/>
      <c r="NE77"/>
      <c r="NF77"/>
      <c r="NG77"/>
      <c r="NH77"/>
      <c r="NI77"/>
      <c r="NJ77"/>
      <c r="NK77"/>
      <c r="NL77"/>
      <c r="NM77"/>
      <c r="NN77"/>
    </row>
    <row r="78" spans="2:378" x14ac:dyDescent="0.3">
      <c r="B78" s="9">
        <v>43901</v>
      </c>
      <c r="C78" s="4">
        <v>71</v>
      </c>
      <c r="D78" s="10">
        <f>'dpc-covid19-ita-andamento-naz'!J18+'dpc-covid19-ita-andamento-naz'!K18</f>
        <v>1872</v>
      </c>
      <c r="E78" s="10">
        <f>Tabella8[[#This Row],[Italy cumulative]]*NOT(ISBLANK(Tabella8[[#This Row],[Italy cumulative]]))</f>
        <v>1872</v>
      </c>
      <c r="F78" s="10">
        <f>Tabella8[[#This Row],[region fit]]+Tabella8[[#This Row],[rest of Italy fit]]</f>
        <v>1061.5303582923698</v>
      </c>
      <c r="G78" s="72">
        <f>Tabella8[[#This Row],[Italy sum of regions]]/K_sum</f>
        <v>4.7179127035216432E-3</v>
      </c>
      <c r="H78" s="10">
        <f>Tabella8[[#This Row],[Italy sum of regions]]*NOT(ISBLANK(Tabella8[[#This Row],[Italy cumulative]]))</f>
        <v>1061.5303582923698</v>
      </c>
      <c r="I78" s="132">
        <f>MAX(Kt*(TANH(psi_t*(Tabella8[[#This Row],[Day]]-pt)-phi_t)+TANH(phi_t))/(1+TANH(phi_t)),0)</f>
        <v>978.05040302826933</v>
      </c>
      <c r="J78" s="109">
        <f>Tabella8[[#This Row],[Italy fit]]/Kt</f>
        <v>4.3468906801256415E-3</v>
      </c>
      <c r="K78" s="10">
        <f>Tabella8[[#This Row],[Italy fit]]*NOT(ISBLANK(Tabella8[[#This Row],[Italy cumulative]]))</f>
        <v>978.05040302826933</v>
      </c>
      <c r="L78" s="10">
        <f>Tabella8[[#This Row],[Italy sum of regions]]+CI</f>
        <v>3522.1081128137052</v>
      </c>
      <c r="M78" s="10">
        <f>MAX(Tabella8[[#This Row],[Italy sum of regions]]-CI,0)</f>
        <v>0</v>
      </c>
      <c r="N78" s="57">
        <f t="shared" si="0"/>
        <v>13</v>
      </c>
      <c r="O78" s="10">
        <f>Tabella8[[#This Row],[region data]]*NOT(ISBLANK(Tabella8[[#This Row],[region data]]))</f>
        <v>13</v>
      </c>
      <c r="P78" s="107">
        <f>MAX(Kr*(TANH(psi_r*(Tabella8[[#This Row],[Day]]-pr)-phi_r)+TANH(phi_r))/(1+TANH(phi_r)),0)</f>
        <v>0</v>
      </c>
      <c r="Q78" s="107">
        <f>Tabella8[[#This Row],[region fit]]/Kr</f>
        <v>0</v>
      </c>
      <c r="R78" s="10">
        <f>Tabella8[[#This Row],[region fit]]*NOT(ISBLANK(Tabella8[[#This Row],[region data]]))</f>
        <v>0</v>
      </c>
      <c r="S78" s="10">
        <f>Tabella8[[#This Row],[region fit]]+CIr</f>
        <v>86.019277464869106</v>
      </c>
      <c r="T78" s="10">
        <f>MAX(Tabella8[[#This Row],[region fit]]-CIr,0)</f>
        <v>0</v>
      </c>
      <c r="U78" s="10">
        <f>Tabella8[[#This Row],[Italy cumulative]]-Tabella8[[#This Row],[region data]]</f>
        <v>1859</v>
      </c>
      <c r="V78" s="10">
        <f>Tabella8[[#This Row],[rest of Italy ]]*NOT(ISBLANK(Tabella8[[#This Row],[rest of Italy ]]))</f>
        <v>1859</v>
      </c>
      <c r="W78" s="108">
        <f>MAX(Ko*(TANH(psi_o*(Tabella8[[#This Row],[Day]]-po)-phi_o)+TANH(phi_o))/(1+TANH(phi_o)),0)</f>
        <v>1061.5303582923698</v>
      </c>
      <c r="X78" s="108">
        <f>Tabella8[[#This Row],[rest of Italy fit]]/Ko</f>
        <v>4.9138099259008923E-3</v>
      </c>
      <c r="Y78" s="22">
        <f>Tabella8[[#This Row],[rest of Italy fit]]*NOT(ISBLANK(Tabella8[[#This Row],[rest of Italy ]]))</f>
        <v>1061.5303582923698</v>
      </c>
      <c r="Z78" s="10">
        <f>Tabella8[[#This Row],[rest of Italy fit]]+CIo</f>
        <v>3545.8670522270691</v>
      </c>
      <c r="AA78" s="10">
        <f>MAX(Tabella8[[#This Row],[rest of Italy fit]]-CIo,0)</f>
        <v>0</v>
      </c>
      <c r="AC78" s="55" t="s">
        <v>158</v>
      </c>
      <c r="AD78" s="87">
        <v>70</v>
      </c>
      <c r="AE78" s="87">
        <v>73</v>
      </c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 s="65"/>
      <c r="AY78" s="65"/>
      <c r="AZ78" s="79"/>
      <c r="BA78" s="32"/>
      <c r="BB78" s="32"/>
      <c r="BC78" s="79"/>
      <c r="BD78" s="68"/>
      <c r="BE78" s="6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/>
      <c r="KH78"/>
      <c r="KI78"/>
      <c r="KJ78"/>
      <c r="KK78"/>
      <c r="KL78"/>
      <c r="KM78"/>
      <c r="KN78"/>
      <c r="KO78"/>
      <c r="KP78"/>
      <c r="KQ78"/>
      <c r="KR78"/>
      <c r="KS78"/>
      <c r="KT78"/>
      <c r="KU78"/>
      <c r="KV78"/>
      <c r="KW78"/>
      <c r="KX78"/>
      <c r="KY78"/>
      <c r="KZ78"/>
      <c r="LA78"/>
      <c r="LB78"/>
      <c r="LC78"/>
      <c r="LD78"/>
      <c r="LE78"/>
      <c r="LF78"/>
      <c r="LG78"/>
      <c r="LH78"/>
      <c r="LI78"/>
      <c r="LJ78"/>
      <c r="LK78"/>
      <c r="LL78"/>
      <c r="LM78"/>
      <c r="LN78"/>
      <c r="LO78"/>
      <c r="LP78"/>
      <c r="LQ78"/>
      <c r="LR78"/>
      <c r="LS78"/>
      <c r="LT78"/>
      <c r="LU78"/>
      <c r="LV78"/>
      <c r="LW78"/>
      <c r="LX78"/>
      <c r="LY78"/>
      <c r="LZ78"/>
      <c r="MA78"/>
      <c r="MB78"/>
      <c r="MC78"/>
      <c r="MD78"/>
      <c r="ME78"/>
      <c r="MF78"/>
      <c r="MG78"/>
      <c r="MH78"/>
      <c r="MI78"/>
      <c r="MJ78"/>
      <c r="MK78"/>
      <c r="ML78"/>
      <c r="MM78"/>
      <c r="MN78"/>
      <c r="MO78"/>
      <c r="MP78"/>
      <c r="MQ78"/>
      <c r="MR78"/>
      <c r="MS78"/>
      <c r="MT78"/>
      <c r="MU78"/>
      <c r="MV78"/>
      <c r="MW78"/>
      <c r="MX78"/>
      <c r="MY78"/>
      <c r="MZ78"/>
      <c r="NA78"/>
      <c r="NB78"/>
      <c r="NC78"/>
      <c r="ND78"/>
      <c r="NE78"/>
      <c r="NF78"/>
      <c r="NG78"/>
      <c r="NH78"/>
      <c r="NI78"/>
      <c r="NJ78"/>
      <c r="NK78"/>
      <c r="NL78"/>
      <c r="NM78"/>
      <c r="NN78"/>
    </row>
    <row r="79" spans="2:378" x14ac:dyDescent="0.3">
      <c r="B79" s="15">
        <v>43902</v>
      </c>
      <c r="C79" s="4">
        <v>72</v>
      </c>
      <c r="D79" s="10">
        <f>'dpc-covid19-ita-andamento-naz'!J19+'dpc-covid19-ita-andamento-naz'!K19</f>
        <v>2274</v>
      </c>
      <c r="E79" s="10">
        <f>Tabella8[[#This Row],[Italy cumulative]]*NOT(ISBLANK(Tabella8[[#This Row],[Italy cumulative]]))</f>
        <v>2274</v>
      </c>
      <c r="F79" s="10">
        <f>Tabella8[[#This Row],[region fit]]+Tabella8[[#This Row],[rest of Italy fit]]</f>
        <v>1914.841051772273</v>
      </c>
      <c r="G79" s="72">
        <f>Tabella8[[#This Row],[Italy sum of regions]]/K_sum</f>
        <v>8.5104046745434359E-3</v>
      </c>
      <c r="H79" s="10">
        <f>Tabella8[[#This Row],[Italy sum of regions]]*NOT(ISBLANK(Tabella8[[#This Row],[Italy cumulative]]))</f>
        <v>1914.841051772273</v>
      </c>
      <c r="I79" s="132">
        <f>MAX(Kt*(TANH(psi_t*(Tabella8[[#This Row],[Day]]-pt)-phi_t)+TANH(phi_t))/(1+TANH(phi_t)),0)</f>
        <v>1863.1845850473394</v>
      </c>
      <c r="J79" s="109">
        <f>Tabella8[[#This Row],[Italy fit]]/Kt</f>
        <v>8.280820377988175E-3</v>
      </c>
      <c r="K79" s="10">
        <f>Tabella8[[#This Row],[Italy fit]]*NOT(ISBLANK(Tabella8[[#This Row],[Italy cumulative]]))</f>
        <v>1863.1845850473394</v>
      </c>
      <c r="L79" s="10">
        <f>Tabella8[[#This Row],[Italy sum of regions]]+CI</f>
        <v>4375.4188062936082</v>
      </c>
      <c r="M79" s="10">
        <f>MAX(Tabella8[[#This Row],[Italy sum of regions]]-CI,0)</f>
        <v>0</v>
      </c>
      <c r="N79" s="57">
        <f t="shared" si="0"/>
        <v>31</v>
      </c>
      <c r="O79" s="10">
        <f>Tabella8[[#This Row],[region data]]*NOT(ISBLANK(Tabella8[[#This Row],[region data]]))</f>
        <v>31</v>
      </c>
      <c r="P79" s="107">
        <f>MAX(Kr*(TANH(psi_r*(Tabella8[[#This Row],[Day]]-pr)-phi_r)+TANH(phi_r))/(1+TANH(phi_r)),0)</f>
        <v>0</v>
      </c>
      <c r="Q79" s="107">
        <f>Tabella8[[#This Row],[region fit]]/Kr</f>
        <v>0</v>
      </c>
      <c r="R79" s="10">
        <f>Tabella8[[#This Row],[region fit]]*NOT(ISBLANK(Tabella8[[#This Row],[region data]]))</f>
        <v>0</v>
      </c>
      <c r="S79" s="10">
        <f>Tabella8[[#This Row],[region fit]]+CIr</f>
        <v>86.019277464869106</v>
      </c>
      <c r="T79" s="10">
        <f>MAX(Tabella8[[#This Row],[region fit]]-CIr,0)</f>
        <v>0</v>
      </c>
      <c r="U79" s="10">
        <f>Tabella8[[#This Row],[Italy cumulative]]-Tabella8[[#This Row],[region data]]</f>
        <v>2243</v>
      </c>
      <c r="V79" s="10">
        <f>Tabella8[[#This Row],[rest of Italy ]]*NOT(ISBLANK(Tabella8[[#This Row],[rest of Italy ]]))</f>
        <v>2243</v>
      </c>
      <c r="W79" s="108">
        <f>MAX(Ko*(TANH(psi_o*(Tabella8[[#This Row],[Day]]-po)-phi_o)+TANH(phi_o))/(1+TANH(phi_o)),0)</f>
        <v>1914.841051772273</v>
      </c>
      <c r="X79" s="108">
        <f>Tabella8[[#This Row],[rest of Italy fit]]/Ko</f>
        <v>8.8637737896230754E-3</v>
      </c>
      <c r="Y79" s="22">
        <f>Tabella8[[#This Row],[rest of Italy fit]]*NOT(ISBLANK(Tabella8[[#This Row],[rest of Italy ]]))</f>
        <v>1914.841051772273</v>
      </c>
      <c r="Z79" s="10">
        <f>Tabella8[[#This Row],[rest of Italy fit]]+CIo</f>
        <v>4399.177745706972</v>
      </c>
      <c r="AA79" s="10">
        <f>MAX(Tabella8[[#This Row],[rest of Italy fit]]-CIo,0)</f>
        <v>0</v>
      </c>
      <c r="AC79" s="55" t="s">
        <v>159</v>
      </c>
      <c r="AD79" s="87">
        <v>85</v>
      </c>
      <c r="AE79" s="87">
        <v>91</v>
      </c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 s="65"/>
      <c r="AY79" s="65"/>
      <c r="AZ79" s="79"/>
      <c r="BA79" s="32"/>
      <c r="BB79" s="32"/>
      <c r="BC79" s="79"/>
      <c r="BD79" s="68"/>
      <c r="BE79" s="68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/>
      <c r="KS79"/>
      <c r="KT79"/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/>
      <c r="LM79"/>
      <c r="LN79"/>
      <c r="LO79"/>
      <c r="LP79"/>
      <c r="LQ79"/>
      <c r="LR79"/>
      <c r="LS79"/>
      <c r="LT79"/>
      <c r="LU79"/>
      <c r="LV79"/>
      <c r="LW79"/>
      <c r="LX79"/>
      <c r="LY79"/>
      <c r="LZ79"/>
      <c r="MA79"/>
      <c r="MB79"/>
      <c r="MC79"/>
      <c r="MD79"/>
      <c r="ME79"/>
      <c r="MF79"/>
      <c r="MG79"/>
      <c r="MH79"/>
      <c r="MI79"/>
      <c r="MJ79"/>
      <c r="MK79"/>
      <c r="ML79"/>
      <c r="MM79"/>
      <c r="MN79"/>
      <c r="MO79"/>
      <c r="MP79"/>
      <c r="MQ79"/>
      <c r="MR79"/>
      <c r="MS79"/>
      <c r="MT79"/>
      <c r="MU79"/>
      <c r="MV79"/>
      <c r="MW79"/>
      <c r="MX79"/>
      <c r="MY79"/>
      <c r="MZ79"/>
      <c r="NA79"/>
      <c r="NB79"/>
      <c r="NC79"/>
      <c r="ND79"/>
      <c r="NE79"/>
      <c r="NF79"/>
      <c r="NG79"/>
      <c r="NH79"/>
      <c r="NI79"/>
      <c r="NJ79"/>
      <c r="NK79"/>
      <c r="NL79"/>
      <c r="NM79"/>
      <c r="NN79"/>
    </row>
    <row r="80" spans="2:378" x14ac:dyDescent="0.3">
      <c r="B80" s="9">
        <v>43903</v>
      </c>
      <c r="C80" s="4">
        <v>73</v>
      </c>
      <c r="D80" s="10">
        <f>'dpc-covid19-ita-andamento-naz'!J20+'dpc-covid19-ita-andamento-naz'!K20</f>
        <v>2705</v>
      </c>
      <c r="E80" s="10">
        <f>Tabella8[[#This Row],[Italy cumulative]]*NOT(ISBLANK(Tabella8[[#This Row],[Italy cumulative]]))</f>
        <v>2705</v>
      </c>
      <c r="F80" s="10">
        <f>Tabella8[[#This Row],[region fit]]+Tabella8[[#This Row],[rest of Italy fit]]</f>
        <v>2803.7663210252686</v>
      </c>
      <c r="G80" s="72">
        <f>Tabella8[[#This Row],[Italy sum of regions]]/K_sum</f>
        <v>1.2461183649001194E-2</v>
      </c>
      <c r="H80" s="10">
        <f>Tabella8[[#This Row],[Italy sum of regions]]*NOT(ISBLANK(Tabella8[[#This Row],[Italy cumulative]]))</f>
        <v>2803.7663210252686</v>
      </c>
      <c r="I80" s="132">
        <f>MAX(Kt*(TANH(psi_t*(Tabella8[[#This Row],[Day]]-pt)-phi_t)+TANH(phi_t))/(1+TANH(phi_t)),0)</f>
        <v>2785.6321063424789</v>
      </c>
      <c r="J80" s="109">
        <f>Tabella8[[#This Row],[Italy fit]]/Kt</f>
        <v>1.2380587139299907E-2</v>
      </c>
      <c r="K80" s="10">
        <f>Tabella8[[#This Row],[Italy fit]]*NOT(ISBLANK(Tabella8[[#This Row],[Italy cumulative]]))</f>
        <v>2785.6321063424789</v>
      </c>
      <c r="L80" s="10">
        <f>Tabella8[[#This Row],[Italy sum of regions]]+CI</f>
        <v>5264.3440755466036</v>
      </c>
      <c r="M80" s="10">
        <f>MAX(Tabella8[[#This Row],[Italy sum of regions]]-CI,0)</f>
        <v>343.18856650393309</v>
      </c>
      <c r="N80" s="57">
        <f t="shared" si="0"/>
        <v>41</v>
      </c>
      <c r="O80" s="10">
        <f>Tabella8[[#This Row],[region data]]*NOT(ISBLANK(Tabella8[[#This Row],[region data]]))</f>
        <v>41</v>
      </c>
      <c r="P80" s="107">
        <f>MAX(Kr*(TANH(psi_r*(Tabella8[[#This Row],[Day]]-pr)-phi_r)+TANH(phi_r))/(1+TANH(phi_r)),0)</f>
        <v>0</v>
      </c>
      <c r="Q80" s="107">
        <f>Tabella8[[#This Row],[region fit]]/Kr</f>
        <v>0</v>
      </c>
      <c r="R80" s="10">
        <f>Tabella8[[#This Row],[region fit]]*NOT(ISBLANK(Tabella8[[#This Row],[region data]]))</f>
        <v>0</v>
      </c>
      <c r="S80" s="10">
        <f>Tabella8[[#This Row],[region fit]]+CIr</f>
        <v>86.019277464869106</v>
      </c>
      <c r="T80" s="10">
        <f>MAX(Tabella8[[#This Row],[region fit]]-CIr,0)</f>
        <v>0</v>
      </c>
      <c r="U80" s="10">
        <f>Tabella8[[#This Row],[Italy cumulative]]-Tabella8[[#This Row],[region data]]</f>
        <v>2664</v>
      </c>
      <c r="V80" s="10">
        <f>Tabella8[[#This Row],[rest of Italy ]]*NOT(ISBLANK(Tabella8[[#This Row],[rest of Italy ]]))</f>
        <v>2664</v>
      </c>
      <c r="W80" s="108">
        <f>MAX(Ko*(TANH(psi_o*(Tabella8[[#This Row],[Day]]-po)-phi_o)+TANH(phi_o))/(1+TANH(phi_o)),0)</f>
        <v>2803.7663210252686</v>
      </c>
      <c r="X80" s="108">
        <f>Tabella8[[#This Row],[rest of Italy fit]]/Ko</f>
        <v>1.2978597051452431E-2</v>
      </c>
      <c r="Y80" s="22">
        <f>Tabella8[[#This Row],[rest of Italy fit]]*NOT(ISBLANK(Tabella8[[#This Row],[rest of Italy ]]))</f>
        <v>2803.7663210252686</v>
      </c>
      <c r="Z80" s="10">
        <f>Tabella8[[#This Row],[rest of Italy fit]]+CIo</f>
        <v>5288.1030149599683</v>
      </c>
      <c r="AA80" s="10">
        <f>MAX(Tabella8[[#This Row],[rest of Italy fit]]-CIo,0)</f>
        <v>319.42962709056928</v>
      </c>
      <c r="AC80" s="55" t="s">
        <v>160</v>
      </c>
      <c r="AD80" s="87">
        <v>101</v>
      </c>
      <c r="AE80" s="87">
        <v>119</v>
      </c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 s="65"/>
      <c r="AY80" s="65"/>
      <c r="AZ80" s="79"/>
      <c r="BA80" s="32"/>
      <c r="BB80" s="32"/>
      <c r="BC80" s="79"/>
      <c r="BD80" s="68"/>
      <c r="BE80" s="68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/>
      <c r="LM80"/>
      <c r="LN80"/>
      <c r="LO80"/>
      <c r="LP80"/>
      <c r="LQ80"/>
      <c r="LR80"/>
      <c r="LS80"/>
      <c r="LT80"/>
      <c r="LU80"/>
      <c r="LV80"/>
      <c r="LW80"/>
      <c r="LX80"/>
      <c r="LY80"/>
      <c r="LZ80"/>
      <c r="MA80"/>
      <c r="MB80"/>
      <c r="MC80"/>
      <c r="MD80"/>
      <c r="ME80"/>
      <c r="MF80"/>
      <c r="MG80"/>
      <c r="MH80"/>
      <c r="MI80"/>
      <c r="MJ80"/>
      <c r="MK80"/>
      <c r="ML80"/>
      <c r="MM80"/>
      <c r="MN80"/>
      <c r="MO80"/>
      <c r="MP80"/>
      <c r="MQ80"/>
      <c r="MR80"/>
      <c r="MS80"/>
      <c r="MT80"/>
      <c r="MU80"/>
      <c r="MV80"/>
      <c r="MW80"/>
      <c r="MX80"/>
      <c r="MY80"/>
      <c r="MZ80"/>
      <c r="NA80"/>
      <c r="NB80"/>
      <c r="NC80"/>
      <c r="ND80"/>
      <c r="NE80"/>
      <c r="NF80"/>
      <c r="NG80"/>
      <c r="NH80"/>
      <c r="NI80"/>
      <c r="NJ80"/>
      <c r="NK80"/>
      <c r="NL80"/>
      <c r="NM80"/>
      <c r="NN80"/>
    </row>
    <row r="81" spans="2:378" x14ac:dyDescent="0.3">
      <c r="B81" s="9">
        <v>43904</v>
      </c>
      <c r="C81" s="4">
        <v>74</v>
      </c>
      <c r="D81" s="10">
        <f>'dpc-covid19-ita-andamento-naz'!J21+'dpc-covid19-ita-andamento-naz'!K21</f>
        <v>3407</v>
      </c>
      <c r="E81" s="10">
        <f>Tabella8[[#This Row],[Italy cumulative]]*NOT(ISBLANK(Tabella8[[#This Row],[Italy cumulative]]))</f>
        <v>3407</v>
      </c>
      <c r="F81" s="10">
        <f>Tabella8[[#This Row],[region fit]]+Tabella8[[#This Row],[rest of Italy fit]]</f>
        <v>3729.4469052643476</v>
      </c>
      <c r="G81" s="72">
        <f>Tabella8[[#This Row],[Italy sum of regions]]/K_sum</f>
        <v>1.6575319578952655E-2</v>
      </c>
      <c r="H81" s="10">
        <f>Tabella8[[#This Row],[Italy sum of regions]]*NOT(ISBLANK(Tabella8[[#This Row],[Italy cumulative]]))</f>
        <v>3729.4469052643476</v>
      </c>
      <c r="I81" s="132">
        <f>MAX(Kt*(TANH(psi_t*(Tabella8[[#This Row],[Day]]-pt)-phi_t)+TANH(phi_t))/(1+TANH(phi_t)),0)</f>
        <v>3746.6055186727481</v>
      </c>
      <c r="J81" s="109">
        <f>Tabella8[[#This Row],[Italy fit]]/Kt</f>
        <v>1.6651580082989993E-2</v>
      </c>
      <c r="K81" s="10">
        <f>Tabella8[[#This Row],[Italy fit]]*NOT(ISBLANK(Tabella8[[#This Row],[Italy cumulative]]))</f>
        <v>3746.6055186727481</v>
      </c>
      <c r="L81" s="10">
        <f>Tabella8[[#This Row],[Italy sum of regions]]+CI</f>
        <v>6190.0246597856831</v>
      </c>
      <c r="M81" s="10">
        <f>MAX(Tabella8[[#This Row],[Italy sum of regions]]-CI,0)</f>
        <v>1268.8691507430121</v>
      </c>
      <c r="N81" s="57">
        <f t="shared" si="0"/>
        <v>79</v>
      </c>
      <c r="O81" s="10">
        <f>Tabella8[[#This Row],[region data]]*NOT(ISBLANK(Tabella8[[#This Row],[region data]]))</f>
        <v>79</v>
      </c>
      <c r="P81" s="107">
        <f>MAX(Kr*(TANH(psi_r*(Tabella8[[#This Row],[Day]]-pr)-phi_r)+TANH(phi_r))/(1+TANH(phi_r)),0)</f>
        <v>0</v>
      </c>
      <c r="Q81" s="107">
        <f>Tabella8[[#This Row],[region fit]]/Kr</f>
        <v>0</v>
      </c>
      <c r="R81" s="10">
        <f>Tabella8[[#This Row],[region fit]]*NOT(ISBLANK(Tabella8[[#This Row],[region data]]))</f>
        <v>0</v>
      </c>
      <c r="S81" s="10">
        <f>Tabella8[[#This Row],[region fit]]+CIr</f>
        <v>86.019277464869106</v>
      </c>
      <c r="T81" s="10">
        <f>MAX(Tabella8[[#This Row],[region fit]]-CIr,0)</f>
        <v>0</v>
      </c>
      <c r="U81" s="10">
        <f>Tabella8[[#This Row],[Italy cumulative]]-Tabella8[[#This Row],[region data]]</f>
        <v>3328</v>
      </c>
      <c r="V81" s="10">
        <f>Tabella8[[#This Row],[rest of Italy ]]*NOT(ISBLANK(Tabella8[[#This Row],[rest of Italy ]]))</f>
        <v>3328</v>
      </c>
      <c r="W81" s="108">
        <f>MAX(Ko*(TANH(psi_o*(Tabella8[[#This Row],[Day]]-po)-phi_o)+TANH(phi_o))/(1+TANH(phi_o)),0)</f>
        <v>3729.4469052643476</v>
      </c>
      <c r="X81" s="108">
        <f>Tabella8[[#This Row],[rest of Italy fit]]/Ko</f>
        <v>1.7263560178050953E-2</v>
      </c>
      <c r="Y81" s="22">
        <f>Tabella8[[#This Row],[rest of Italy fit]]*NOT(ISBLANK(Tabella8[[#This Row],[rest of Italy ]]))</f>
        <v>3729.4469052643476</v>
      </c>
      <c r="Z81" s="10">
        <f>Tabella8[[#This Row],[rest of Italy fit]]+CIo</f>
        <v>6213.7835991990469</v>
      </c>
      <c r="AA81" s="10">
        <f>MAX(Tabella8[[#This Row],[rest of Italy fit]]-CIo,0)</f>
        <v>1245.1102113296483</v>
      </c>
      <c r="AC81" s="55" t="s">
        <v>161</v>
      </c>
      <c r="AD81" s="87">
        <v>125</v>
      </c>
      <c r="AE81" s="87">
        <v>152</v>
      </c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 s="65"/>
      <c r="AY81" s="65"/>
      <c r="AZ81" s="79"/>
      <c r="BA81" s="32"/>
      <c r="BB81" s="32"/>
      <c r="BC81" s="79"/>
      <c r="BD81" s="68"/>
      <c r="BE81" s="68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/>
      <c r="LL81"/>
      <c r="LM81"/>
      <c r="LN81"/>
      <c r="LO81"/>
      <c r="LP81"/>
      <c r="LQ81"/>
      <c r="LR81"/>
      <c r="LS81"/>
      <c r="LT81"/>
      <c r="LU81"/>
      <c r="LV81"/>
      <c r="LW81"/>
      <c r="LX81"/>
      <c r="LY81"/>
      <c r="LZ81"/>
      <c r="MA81"/>
      <c r="MB81"/>
      <c r="MC81"/>
      <c r="MD81"/>
      <c r="ME81"/>
      <c r="MF81"/>
      <c r="MG81"/>
      <c r="MH81"/>
      <c r="MI81"/>
      <c r="MJ81"/>
      <c r="MK81"/>
      <c r="ML81"/>
      <c r="MM81"/>
      <c r="MN81"/>
      <c r="MO81"/>
      <c r="MP81"/>
      <c r="MQ81"/>
      <c r="MR81"/>
      <c r="MS81"/>
      <c r="MT81"/>
      <c r="MU81"/>
      <c r="MV81"/>
      <c r="MW81"/>
      <c r="MX81"/>
      <c r="MY81"/>
      <c r="MZ81"/>
      <c r="NA81"/>
      <c r="NB81"/>
      <c r="NC81"/>
      <c r="ND81"/>
      <c r="NE81"/>
      <c r="NF81"/>
      <c r="NG81"/>
      <c r="NH81"/>
      <c r="NI81"/>
      <c r="NJ81"/>
      <c r="NK81"/>
      <c r="NL81"/>
      <c r="NM81"/>
      <c r="NN81"/>
    </row>
    <row r="82" spans="2:378" x14ac:dyDescent="0.3">
      <c r="B82" s="9">
        <v>43905</v>
      </c>
      <c r="C82" s="4">
        <v>75</v>
      </c>
      <c r="D82" s="10">
        <f>'dpc-covid19-ita-andamento-naz'!J22+'dpc-covid19-ita-andamento-naz'!K22</f>
        <v>4144</v>
      </c>
      <c r="E82" s="10">
        <f>Tabella8[[#This Row],[Italy cumulative]]*NOT(ISBLANK(Tabella8[[#This Row],[Italy cumulative]]))</f>
        <v>4144</v>
      </c>
      <c r="F82" s="10">
        <f>Tabella8[[#This Row],[region fit]]+Tabella8[[#This Row],[rest of Italy fit]]</f>
        <v>4693.0278268014363</v>
      </c>
      <c r="G82" s="72">
        <f>Tabella8[[#This Row],[Italy sum of regions]]/K_sum</f>
        <v>2.0857901452450828E-2</v>
      </c>
      <c r="H82" s="10">
        <f>Tabella8[[#This Row],[Italy sum of regions]]*NOT(ISBLANK(Tabella8[[#This Row],[Italy cumulative]]))</f>
        <v>4693.0278268014363</v>
      </c>
      <c r="I82" s="132">
        <f>MAX(Kt*(TANH(psi_t*(Tabella8[[#This Row],[Day]]-pt)-phi_t)+TANH(phi_t))/(1+TANH(phi_t)),0)</f>
        <v>4747.3228558556657</v>
      </c>
      <c r="J82" s="109">
        <f>Tabella8[[#This Row],[Italy fit]]/Kt</f>
        <v>2.1099212692691847E-2</v>
      </c>
      <c r="K82" s="10">
        <f>Tabella8[[#This Row],[Italy fit]]*NOT(ISBLANK(Tabella8[[#This Row],[Italy cumulative]]))</f>
        <v>4747.3228558556657</v>
      </c>
      <c r="L82" s="10">
        <f>Tabella8[[#This Row],[Italy sum of regions]]+CI</f>
        <v>7153.6055813227722</v>
      </c>
      <c r="M82" s="10">
        <f>MAX(Tabella8[[#This Row],[Italy sum of regions]]-CI,0)</f>
        <v>2232.4500722801008</v>
      </c>
      <c r="N82" s="57">
        <f t="shared" si="0"/>
        <v>66</v>
      </c>
      <c r="O82" s="10">
        <f>Tabella8[[#This Row],[region data]]*NOT(ISBLANK(Tabella8[[#This Row],[region data]]))</f>
        <v>66</v>
      </c>
      <c r="P82" s="107">
        <f>MAX(Kr*(TANH(psi_r*(Tabella8[[#This Row],[Day]]-pr)-phi_r)+TANH(phi_r))/(1+TANH(phi_r)),0)</f>
        <v>0</v>
      </c>
      <c r="Q82" s="107">
        <f>Tabella8[[#This Row],[region fit]]/Kr</f>
        <v>0</v>
      </c>
      <c r="R82" s="10">
        <f>Tabella8[[#This Row],[region fit]]*NOT(ISBLANK(Tabella8[[#This Row],[region data]]))</f>
        <v>0</v>
      </c>
      <c r="S82" s="10">
        <f>Tabella8[[#This Row],[region fit]]+CIr</f>
        <v>86.019277464869106</v>
      </c>
      <c r="T82" s="10">
        <f>MAX(Tabella8[[#This Row],[region fit]]-CIr,0)</f>
        <v>0</v>
      </c>
      <c r="U82" s="10">
        <f>Tabella8[[#This Row],[Italy cumulative]]-Tabella8[[#This Row],[region data]]</f>
        <v>4078</v>
      </c>
      <c r="V82" s="10">
        <f>Tabella8[[#This Row],[rest of Italy ]]*NOT(ISBLANK(Tabella8[[#This Row],[rest of Italy ]]))</f>
        <v>4078</v>
      </c>
      <c r="W82" s="108">
        <f>MAX(Ko*(TANH(psi_o*(Tabella8[[#This Row],[Day]]-po)-phi_o)+TANH(phi_o))/(1+TANH(phi_o)),0)</f>
        <v>4693.0278268014363</v>
      </c>
      <c r="X82" s="108">
        <f>Tabella8[[#This Row],[rest of Italy fit]]/Ko</f>
        <v>2.1723963462488713E-2</v>
      </c>
      <c r="Y82" s="22">
        <f>Tabella8[[#This Row],[rest of Italy fit]]*NOT(ISBLANK(Tabella8[[#This Row],[rest of Italy ]]))</f>
        <v>4693.0278268014363</v>
      </c>
      <c r="Z82" s="10">
        <f>Tabella8[[#This Row],[rest of Italy fit]]+CIo</f>
        <v>7177.3645207361351</v>
      </c>
      <c r="AA82" s="10">
        <f>MAX(Tabella8[[#This Row],[rest of Italy fit]]-CIo,0)</f>
        <v>2208.691132866737</v>
      </c>
      <c r="AC82" s="55" t="s">
        <v>162</v>
      </c>
      <c r="AD82" s="87">
        <v>143</v>
      </c>
      <c r="AE82" s="87">
        <v>171</v>
      </c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 s="65"/>
      <c r="AY82" s="65"/>
      <c r="AZ82" s="79"/>
      <c r="BA82" s="32"/>
      <c r="BB82" s="32"/>
      <c r="BC82" s="79"/>
      <c r="BD82" s="68"/>
      <c r="BE82" s="68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  <c r="JZ82"/>
      <c r="KA82"/>
      <c r="KB82"/>
      <c r="KC82"/>
      <c r="KD82"/>
      <c r="KE82"/>
      <c r="KF82"/>
      <c r="KG82"/>
      <c r="KH82"/>
      <c r="KI82"/>
      <c r="KJ82"/>
      <c r="KK82"/>
      <c r="KL82"/>
      <c r="KM82"/>
      <c r="KN82"/>
      <c r="KO82"/>
      <c r="KP82"/>
      <c r="KQ82"/>
      <c r="KR82"/>
      <c r="KS82"/>
      <c r="KT82"/>
      <c r="KU82"/>
      <c r="KV82"/>
      <c r="KW82"/>
      <c r="KX82"/>
      <c r="KY82"/>
      <c r="KZ82"/>
      <c r="LA82"/>
      <c r="LB82"/>
      <c r="LC82"/>
      <c r="LD82"/>
      <c r="LE82"/>
      <c r="LF82"/>
      <c r="LG82"/>
      <c r="LH82"/>
      <c r="LI82"/>
      <c r="LJ82"/>
      <c r="LK82"/>
      <c r="LL82"/>
      <c r="LM82"/>
      <c r="LN82"/>
      <c r="LO82"/>
      <c r="LP82"/>
      <c r="LQ82"/>
      <c r="LR82"/>
      <c r="LS82"/>
      <c r="LT82"/>
      <c r="LU82"/>
      <c r="LV82"/>
      <c r="LW82"/>
      <c r="LX82"/>
      <c r="LY82"/>
      <c r="LZ82"/>
      <c r="MA82"/>
      <c r="MB82"/>
      <c r="MC82"/>
      <c r="MD82"/>
      <c r="ME82"/>
      <c r="MF82"/>
      <c r="MG82"/>
      <c r="MH82"/>
      <c r="MI82"/>
      <c r="MJ82"/>
      <c r="MK82"/>
      <c r="ML82"/>
      <c r="MM82"/>
      <c r="MN82"/>
      <c r="MO82"/>
      <c r="MP82"/>
      <c r="MQ82"/>
      <c r="MR82"/>
      <c r="MS82"/>
      <c r="MT82"/>
      <c r="MU82"/>
      <c r="MV82"/>
      <c r="MW82"/>
      <c r="MX82"/>
      <c r="MY82"/>
      <c r="MZ82"/>
      <c r="NA82"/>
      <c r="NB82"/>
      <c r="NC82"/>
      <c r="ND82"/>
      <c r="NE82"/>
      <c r="NF82"/>
      <c r="NG82"/>
      <c r="NH82"/>
      <c r="NI82"/>
      <c r="NJ82"/>
      <c r="NK82"/>
      <c r="NL82"/>
      <c r="NM82"/>
      <c r="NN82"/>
    </row>
    <row r="83" spans="2:378" x14ac:dyDescent="0.3">
      <c r="B83" s="9">
        <v>43906</v>
      </c>
      <c r="C83" s="4">
        <v>76</v>
      </c>
      <c r="D83" s="10">
        <f>'dpc-covid19-ita-andamento-naz'!J23+'dpc-covid19-ita-andamento-naz'!K23</f>
        <v>4907</v>
      </c>
      <c r="E83" s="10">
        <f>Tabella8[[#This Row],[Italy cumulative]]*NOT(ISBLANK(Tabella8[[#This Row],[Italy cumulative]]))</f>
        <v>4907</v>
      </c>
      <c r="F83" s="10">
        <f>Tabella8[[#This Row],[region fit]]+Tabella8[[#This Row],[rest of Italy fit]]</f>
        <v>5727.7557840954441</v>
      </c>
      <c r="G83" s="72">
        <f>Tabella8[[#This Row],[Italy sum of regions]]/K_sum</f>
        <v>2.5456692373757528E-2</v>
      </c>
      <c r="H83" s="10">
        <f>Tabella8[[#This Row],[Italy sum of regions]]*NOT(ISBLANK(Tabella8[[#This Row],[Italy cumulative]]))</f>
        <v>5727.7557840954441</v>
      </c>
      <c r="I83" s="132">
        <f>MAX(Kt*(TANH(psi_t*(Tabella8[[#This Row],[Day]]-pt)-phi_t)+TANH(phi_t))/(1+TANH(phi_t)),0)</f>
        <v>5789.0040141284207</v>
      </c>
      <c r="J83" s="109">
        <f>Tabella8[[#This Row],[Italy fit]]/Kt</f>
        <v>2.5728906729459648E-2</v>
      </c>
      <c r="K83" s="10">
        <f>Tabella8[[#This Row],[Italy fit]]*NOT(ISBLANK(Tabella8[[#This Row],[Italy cumulative]]))</f>
        <v>5789.0040141284207</v>
      </c>
      <c r="L83" s="10">
        <f>Tabella8[[#This Row],[Italy sum of regions]]+CI</f>
        <v>8188.3335386167801</v>
      </c>
      <c r="M83" s="10">
        <f>MAX(Tabella8[[#This Row],[Italy sum of regions]]-CI,0)</f>
        <v>3267.1780295741087</v>
      </c>
      <c r="N83" s="57">
        <f t="shared" si="0"/>
        <v>92</v>
      </c>
      <c r="O83" s="10">
        <f>Tabella8[[#This Row],[region data]]*NOT(ISBLANK(Tabella8[[#This Row],[region data]]))</f>
        <v>92</v>
      </c>
      <c r="P83" s="107">
        <f>MAX(Kr*(TANH(psi_r*(Tabella8[[#This Row],[Day]]-pr)-phi_r)+TANH(phi_r))/(1+TANH(phi_r)),0)</f>
        <v>32.100824509866122</v>
      </c>
      <c r="Q83" s="107">
        <f>Tabella8[[#This Row],[region fit]]/Kr</f>
        <v>3.5786872363284417E-3</v>
      </c>
      <c r="R83" s="10">
        <f>Tabella8[[#This Row],[region fit]]*NOT(ISBLANK(Tabella8[[#This Row],[region data]]))</f>
        <v>32.100824509866122</v>
      </c>
      <c r="S83" s="10">
        <f>Tabella8[[#This Row],[region fit]]+CIr</f>
        <v>118.12010197473523</v>
      </c>
      <c r="T83" s="10">
        <f>MAX(Tabella8[[#This Row],[region fit]]-CIr,0)</f>
        <v>0</v>
      </c>
      <c r="U83" s="10">
        <f>Tabella8[[#This Row],[Italy cumulative]]-Tabella8[[#This Row],[region data]]</f>
        <v>4815</v>
      </c>
      <c r="V83" s="10">
        <f>Tabella8[[#This Row],[rest of Italy ]]*NOT(ISBLANK(Tabella8[[#This Row],[rest of Italy ]]))</f>
        <v>4815</v>
      </c>
      <c r="W83" s="108">
        <f>MAX(Ko*(TANH(psi_o*(Tabella8[[#This Row],[Day]]-po)-phi_o)+TANH(phi_o))/(1+TANH(phi_o)),0)</f>
        <v>5695.6549595855777</v>
      </c>
      <c r="X83" s="108">
        <f>Tabella8[[#This Row],[rest of Italy fit]]/Ko</f>
        <v>2.6365111140052667E-2</v>
      </c>
      <c r="Y83" s="22">
        <f>Tabella8[[#This Row],[rest of Italy fit]]*NOT(ISBLANK(Tabella8[[#This Row],[rest of Italy ]]))</f>
        <v>5695.6549595855777</v>
      </c>
      <c r="Z83" s="10">
        <f>Tabella8[[#This Row],[rest of Italy fit]]+CIo</f>
        <v>8179.9916535202774</v>
      </c>
      <c r="AA83" s="10">
        <f>MAX(Tabella8[[#This Row],[rest of Italy fit]]-CIo,0)</f>
        <v>3211.3182656508784</v>
      </c>
      <c r="AC83" s="55" t="s">
        <v>163</v>
      </c>
      <c r="AD83" s="87">
        <v>159</v>
      </c>
      <c r="AE83" s="87">
        <v>212</v>
      </c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 s="65"/>
      <c r="AY83" s="65"/>
      <c r="AZ83" s="79"/>
      <c r="BA83" s="32"/>
      <c r="BB83" s="32"/>
      <c r="BC83" s="79"/>
      <c r="BD83" s="68"/>
      <c r="BE83" s="68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/>
      <c r="KD83"/>
      <c r="KE83"/>
      <c r="KF83"/>
      <c r="KG83"/>
      <c r="KH83"/>
      <c r="KI83"/>
      <c r="KJ83"/>
      <c r="KK83"/>
      <c r="KL83"/>
      <c r="KM83"/>
      <c r="KN83"/>
      <c r="KO83"/>
      <c r="KP83"/>
      <c r="KQ83"/>
      <c r="KR83"/>
      <c r="KS83"/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/>
      <c r="LM83"/>
      <c r="LN83"/>
      <c r="LO83"/>
      <c r="LP83"/>
      <c r="LQ83"/>
      <c r="LR83"/>
      <c r="LS83"/>
      <c r="LT83"/>
      <c r="LU83"/>
      <c r="LV83"/>
      <c r="LW83"/>
      <c r="LX83"/>
      <c r="LY83"/>
      <c r="LZ83"/>
      <c r="MA83"/>
      <c r="MB83"/>
      <c r="MC83"/>
      <c r="MD83"/>
      <c r="ME83"/>
      <c r="MF83"/>
      <c r="MG83"/>
      <c r="MH83"/>
      <c r="MI83"/>
      <c r="MJ83"/>
      <c r="MK83"/>
      <c r="ML83"/>
      <c r="MM83"/>
      <c r="MN83"/>
      <c r="MO83"/>
      <c r="MP83"/>
      <c r="MQ83"/>
      <c r="MR83"/>
      <c r="MS83"/>
      <c r="MT83"/>
      <c r="MU83"/>
      <c r="MV83"/>
      <c r="MW83"/>
      <c r="MX83"/>
      <c r="MY83"/>
      <c r="MZ83"/>
      <c r="NA83"/>
      <c r="NB83"/>
      <c r="NC83"/>
      <c r="ND83"/>
      <c r="NE83"/>
      <c r="NF83"/>
      <c r="NG83"/>
      <c r="NH83"/>
      <c r="NI83"/>
      <c r="NJ83"/>
      <c r="NK83"/>
      <c r="NL83"/>
      <c r="NM83"/>
      <c r="NN83"/>
    </row>
    <row r="84" spans="2:378" x14ac:dyDescent="0.3">
      <c r="B84" s="9">
        <v>43907</v>
      </c>
      <c r="C84" s="4">
        <v>77</v>
      </c>
      <c r="D84" s="10">
        <f>'dpc-covid19-ita-andamento-naz'!J24+'dpc-covid19-ita-andamento-naz'!K24</f>
        <v>5444</v>
      </c>
      <c r="E84" s="10">
        <f>Tabella8[[#This Row],[Italy cumulative]]*NOT(ISBLANK(Tabella8[[#This Row],[Italy cumulative]]))</f>
        <v>5444</v>
      </c>
      <c r="F84" s="10">
        <f>Tabella8[[#This Row],[region fit]]+Tabella8[[#This Row],[rest of Italy fit]]</f>
        <v>6814.6042940609495</v>
      </c>
      <c r="G84" s="72">
        <f>Tabella8[[#This Row],[Italy sum of regions]]/K_sum</f>
        <v>3.0287130195826441E-2</v>
      </c>
      <c r="H84" s="10">
        <f>Tabella8[[#This Row],[Italy sum of regions]]*NOT(ISBLANK(Tabella8[[#This Row],[Italy cumulative]]))</f>
        <v>6814.6042940609495</v>
      </c>
      <c r="I84" s="132">
        <f>MAX(Kt*(TANH(psi_t*(Tabella8[[#This Row],[Day]]-pt)-phi_t)+TANH(phi_t))/(1+TANH(phi_t)),0)</f>
        <v>6872.8667783592682</v>
      </c>
      <c r="J84" s="109">
        <f>Tabella8[[#This Row],[Italy fit]]/Kt</f>
        <v>3.0546074570485637E-2</v>
      </c>
      <c r="K84" s="10">
        <f>Tabella8[[#This Row],[Italy fit]]*NOT(ISBLANK(Tabella8[[#This Row],[Italy cumulative]]))</f>
        <v>6872.8667783592682</v>
      </c>
      <c r="L84" s="10">
        <f>Tabella8[[#This Row],[Italy sum of regions]]+CI</f>
        <v>9275.1820485822846</v>
      </c>
      <c r="M84" s="10">
        <f>MAX(Tabella8[[#This Row],[Italy sum of regions]]-CI,0)</f>
        <v>4354.0265395396145</v>
      </c>
      <c r="N84" s="57">
        <f t="shared" si="0"/>
        <v>117</v>
      </c>
      <c r="O84" s="10">
        <f>Tabella8[[#This Row],[region data]]*NOT(ISBLANK(Tabella8[[#This Row],[region data]]))</f>
        <v>117</v>
      </c>
      <c r="P84" s="107">
        <f>MAX(Kr*(TANH(psi_r*(Tabella8[[#This Row],[Day]]-pr)-phi_r)+TANH(phi_r))/(1+TANH(phi_r)),0)</f>
        <v>76.133024300898043</v>
      </c>
      <c r="Q84" s="107">
        <f>Tabella8[[#This Row],[region fit]]/Kr</f>
        <v>8.4875166444702381E-3</v>
      </c>
      <c r="R84" s="10">
        <f>Tabella8[[#This Row],[region fit]]*NOT(ISBLANK(Tabella8[[#This Row],[region data]]))</f>
        <v>76.133024300898043</v>
      </c>
      <c r="S84" s="10">
        <f>Tabella8[[#This Row],[region fit]]+CIr</f>
        <v>162.15230176576716</v>
      </c>
      <c r="T84" s="10">
        <f>MAX(Tabella8[[#This Row],[region fit]]-CIr,0)</f>
        <v>0</v>
      </c>
      <c r="U84" s="10">
        <f>Tabella8[[#This Row],[Italy cumulative]]-Tabella8[[#This Row],[region data]]</f>
        <v>5327</v>
      </c>
      <c r="V84" s="10">
        <f>Tabella8[[#This Row],[rest of Italy ]]*NOT(ISBLANK(Tabella8[[#This Row],[rest of Italy ]]))</f>
        <v>5327</v>
      </c>
      <c r="W84" s="108">
        <f>MAX(Ko*(TANH(psi_o*(Tabella8[[#This Row],[Day]]-po)-phi_o)+TANH(phi_o))/(1+TANH(phi_o)),0)</f>
        <v>6738.4712697600517</v>
      </c>
      <c r="X84" s="108">
        <f>Tabella8[[#This Row],[rest of Italy fit]]/Ko</f>
        <v>3.1192293985835541E-2</v>
      </c>
      <c r="Y84" s="22">
        <f>Tabella8[[#This Row],[rest of Italy fit]]*NOT(ISBLANK(Tabella8[[#This Row],[rest of Italy ]]))</f>
        <v>6738.4712697600517</v>
      </c>
      <c r="Z84" s="10">
        <f>Tabella8[[#This Row],[rest of Italy fit]]+CIo</f>
        <v>9222.8079636947514</v>
      </c>
      <c r="AA84" s="10">
        <f>MAX(Tabella8[[#This Row],[rest of Italy fit]]-CIo,0)</f>
        <v>4254.1345758253519</v>
      </c>
      <c r="AC84" s="55" t="s">
        <v>164</v>
      </c>
      <c r="AD84" s="87">
        <v>193</v>
      </c>
      <c r="AE84" s="87">
        <v>231</v>
      </c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 s="65"/>
      <c r="AY84" s="65"/>
      <c r="AZ84" s="79"/>
      <c r="BA84" s="32"/>
      <c r="BB84" s="32"/>
      <c r="BC84" s="79"/>
      <c r="BD84" s="68"/>
      <c r="BE84" s="68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/>
      <c r="KT84"/>
      <c r="KU84"/>
      <c r="KV84"/>
      <c r="KW84"/>
      <c r="KX84"/>
      <c r="KY84"/>
      <c r="KZ84"/>
      <c r="LA84"/>
      <c r="LB84"/>
      <c r="LC84"/>
      <c r="LD84"/>
      <c r="LE84"/>
      <c r="LF84"/>
      <c r="LG84"/>
      <c r="LH84"/>
      <c r="LI84"/>
      <c r="LJ84"/>
      <c r="LK84"/>
      <c r="LL84"/>
      <c r="LM84"/>
      <c r="LN84"/>
      <c r="LO84"/>
      <c r="LP84"/>
      <c r="LQ84"/>
      <c r="LR84"/>
      <c r="LS84"/>
      <c r="LT84"/>
      <c r="LU84"/>
      <c r="LV84"/>
      <c r="LW84"/>
      <c r="LX84"/>
      <c r="LY84"/>
      <c r="LZ84"/>
      <c r="MA84"/>
      <c r="MB84"/>
      <c r="MC84"/>
      <c r="MD84"/>
      <c r="ME84"/>
      <c r="MF84"/>
      <c r="MG84"/>
      <c r="MH84"/>
      <c r="MI84"/>
      <c r="MJ84"/>
      <c r="MK84"/>
      <c r="ML84"/>
      <c r="MM84"/>
      <c r="MN84"/>
      <c r="MO84"/>
      <c r="MP84"/>
      <c r="MQ84"/>
      <c r="MR84"/>
      <c r="MS84"/>
      <c r="MT84"/>
      <c r="MU84"/>
      <c r="MV84"/>
      <c r="MW84"/>
      <c r="MX84"/>
      <c r="MY84"/>
      <c r="MZ84"/>
      <c r="NA84"/>
      <c r="NB84"/>
      <c r="NC84"/>
      <c r="ND84"/>
      <c r="NE84"/>
      <c r="NF84"/>
      <c r="NG84"/>
      <c r="NH84"/>
      <c r="NI84"/>
      <c r="NJ84"/>
      <c r="NK84"/>
      <c r="NL84"/>
      <c r="NM84"/>
      <c r="NN84"/>
    </row>
    <row r="85" spans="2:378" x14ac:dyDescent="0.3">
      <c r="B85" s="9">
        <v>43908</v>
      </c>
      <c r="C85" s="4">
        <v>78</v>
      </c>
      <c r="D85" s="10">
        <f>'dpc-covid19-ita-andamento-naz'!J25+'dpc-covid19-ita-andamento-naz'!K25</f>
        <v>7003</v>
      </c>
      <c r="E85" s="10">
        <f>Tabella8[[#This Row],[Italy cumulative]]*NOT(ISBLANK(Tabella8[[#This Row],[Italy cumulative]]))</f>
        <v>7003</v>
      </c>
      <c r="F85" s="10">
        <f>Tabella8[[#This Row],[region fit]]+Tabella8[[#This Row],[rest of Italy fit]]</f>
        <v>7944.8632197976785</v>
      </c>
      <c r="G85" s="72">
        <f>Tabella8[[#This Row],[Italy sum of regions]]/K_sum</f>
        <v>3.5310503199100791E-2</v>
      </c>
      <c r="H85" s="10">
        <f>Tabella8[[#This Row],[Italy sum of regions]]*NOT(ISBLANK(Tabella8[[#This Row],[Italy cumulative]]))</f>
        <v>7944.8632197976785</v>
      </c>
      <c r="I85" s="132">
        <f>MAX(Kt*(TANH(psi_t*(Tabella8[[#This Row],[Day]]-pt)-phi_t)+TANH(phi_t))/(1+TANH(phi_t)),0)</f>
        <v>8000.1224833371307</v>
      </c>
      <c r="J85" s="109">
        <f>Tabella8[[#This Row],[Italy fit]]/Kt</f>
        <v>3.5556099925942802E-2</v>
      </c>
      <c r="K85" s="10">
        <f>Tabella8[[#This Row],[Italy fit]]*NOT(ISBLANK(Tabella8[[#This Row],[Italy cumulative]]))</f>
        <v>8000.1224833371307</v>
      </c>
      <c r="L85" s="10">
        <f>Tabella8[[#This Row],[Italy sum of regions]]+CI</f>
        <v>10405.440974319014</v>
      </c>
      <c r="M85" s="10">
        <f>MAX(Tabella8[[#This Row],[Italy sum of regions]]-CI,0)</f>
        <v>5484.2854652763435</v>
      </c>
      <c r="N85" s="57">
        <f t="shared" si="0"/>
        <v>143</v>
      </c>
      <c r="O85" s="10">
        <f>Tabella8[[#This Row],[region data]]*NOT(ISBLANK(Tabella8[[#This Row],[region data]]))</f>
        <v>143</v>
      </c>
      <c r="P85" s="107">
        <f>MAX(Kr*(TANH(psi_r*(Tabella8[[#This Row],[Day]]-pr)-phi_r)+TANH(phi_r))/(1+TANH(phi_r)),0)</f>
        <v>122.25050093716941</v>
      </c>
      <c r="Q85" s="107">
        <f>Tabella8[[#This Row],[region fit]]/Kr</f>
        <v>1.3628818387644305E-2</v>
      </c>
      <c r="R85" s="10">
        <f>Tabella8[[#This Row],[region fit]]*NOT(ISBLANK(Tabella8[[#This Row],[region data]]))</f>
        <v>122.25050093716941</v>
      </c>
      <c r="S85" s="10">
        <f>Tabella8[[#This Row],[region fit]]+CIr</f>
        <v>208.26977840203853</v>
      </c>
      <c r="T85" s="10">
        <f>MAX(Tabella8[[#This Row],[region fit]]-CIr,0)</f>
        <v>36.2312234723003</v>
      </c>
      <c r="U85" s="10">
        <f>Tabella8[[#This Row],[Italy cumulative]]-Tabella8[[#This Row],[region data]]</f>
        <v>6860</v>
      </c>
      <c r="V85" s="10">
        <f>Tabella8[[#This Row],[rest of Italy ]]*NOT(ISBLANK(Tabella8[[#This Row],[rest of Italy ]]))</f>
        <v>6860</v>
      </c>
      <c r="W85" s="108">
        <f>MAX(Ko*(TANH(psi_o*(Tabella8[[#This Row],[Day]]-po)-phi_o)+TANH(phi_o))/(1+TANH(phi_o)),0)</f>
        <v>7822.6127188605087</v>
      </c>
      <c r="X85" s="108">
        <f>Tabella8[[#This Row],[rest of Italy fit]]/Ko</f>
        <v>3.6210770350694386E-2</v>
      </c>
      <c r="Y85" s="22">
        <f>Tabella8[[#This Row],[rest of Italy fit]]*NOT(ISBLANK(Tabella8[[#This Row],[rest of Italy ]]))</f>
        <v>7822.6127188605087</v>
      </c>
      <c r="Z85" s="10">
        <f>Tabella8[[#This Row],[rest of Italy fit]]+CIo</f>
        <v>10306.949412795208</v>
      </c>
      <c r="AA85" s="10">
        <f>MAX(Tabella8[[#This Row],[rest of Italy fit]]-CIo,0)</f>
        <v>5338.2760249258099</v>
      </c>
      <c r="AC85" s="55" t="s">
        <v>165</v>
      </c>
      <c r="AD85" s="87">
        <v>225</v>
      </c>
      <c r="AE85" s="87">
        <v>254</v>
      </c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 s="65"/>
      <c r="AY85" s="65"/>
      <c r="AZ85" s="79"/>
      <c r="BA85" s="32"/>
      <c r="BB85" s="32"/>
      <c r="BC85" s="79"/>
      <c r="BD85" s="68"/>
      <c r="BE85" s="68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  <c r="JZ85"/>
      <c r="KA85"/>
      <c r="KB85"/>
      <c r="KC85"/>
      <c r="KD85"/>
      <c r="KE85"/>
      <c r="KF85"/>
      <c r="KG85"/>
      <c r="KH85"/>
      <c r="KI85"/>
      <c r="KJ85"/>
      <c r="KK85"/>
      <c r="KL85"/>
      <c r="KM85"/>
      <c r="KN85"/>
      <c r="KO85"/>
      <c r="KP85"/>
      <c r="KQ85"/>
      <c r="KR85"/>
      <c r="KS85"/>
      <c r="KT85"/>
      <c r="KU85"/>
      <c r="KV85"/>
      <c r="KW85"/>
      <c r="KX85"/>
      <c r="KY85"/>
      <c r="KZ85"/>
      <c r="LA85"/>
      <c r="LB85"/>
      <c r="LC85"/>
      <c r="LD85"/>
      <c r="LE85"/>
      <c r="LF85"/>
      <c r="LG85"/>
      <c r="LH85"/>
      <c r="LI85"/>
      <c r="LJ85"/>
      <c r="LK85"/>
      <c r="LL85"/>
      <c r="LM85"/>
      <c r="LN85"/>
      <c r="LO85"/>
      <c r="LP85"/>
      <c r="LQ85"/>
      <c r="LR85"/>
      <c r="LS85"/>
      <c r="LT85"/>
      <c r="LU85"/>
      <c r="LV85"/>
      <c r="LW85"/>
      <c r="LX85"/>
      <c r="LY85"/>
      <c r="LZ85"/>
      <c r="MA85"/>
      <c r="MB85"/>
      <c r="MC85"/>
      <c r="MD85"/>
      <c r="ME85"/>
      <c r="MF85"/>
      <c r="MG85"/>
      <c r="MH85"/>
      <c r="MI85"/>
      <c r="MJ85"/>
      <c r="MK85"/>
      <c r="ML85"/>
      <c r="MM85"/>
      <c r="MN85"/>
      <c r="MO85"/>
      <c r="MP85"/>
      <c r="MQ85"/>
      <c r="MR85"/>
      <c r="MS85"/>
      <c r="MT85"/>
      <c r="MU85"/>
      <c r="MV85"/>
      <c r="MW85"/>
      <c r="MX85"/>
      <c r="MY85"/>
      <c r="MZ85"/>
      <c r="NA85"/>
      <c r="NB85"/>
      <c r="NC85"/>
      <c r="ND85"/>
      <c r="NE85"/>
      <c r="NF85"/>
      <c r="NG85"/>
      <c r="NH85"/>
      <c r="NI85"/>
      <c r="NJ85"/>
      <c r="NK85"/>
      <c r="NL85"/>
      <c r="NM85"/>
      <c r="NN85"/>
    </row>
    <row r="86" spans="2:378" x14ac:dyDescent="0.3">
      <c r="B86" s="9">
        <v>43909</v>
      </c>
      <c r="C86" s="4">
        <v>79</v>
      </c>
      <c r="D86" s="10">
        <f>'dpc-covid19-ita-andamento-naz'!J26+'dpc-covid19-ita-andamento-naz'!K26</f>
        <v>7845</v>
      </c>
      <c r="E86" s="10">
        <f>Tabella8[[#This Row],[Italy cumulative]]*NOT(ISBLANK(Tabella8[[#This Row],[Italy cumulative]]))</f>
        <v>7845</v>
      </c>
      <c r="F86" s="10">
        <f>Tabella8[[#This Row],[region fit]]+Tabella8[[#This Row],[rest of Italy fit]]</f>
        <v>9119.7301135061807</v>
      </c>
      <c r="G86" s="72">
        <f>Tabella8[[#This Row],[Italy sum of regions]]/K_sum</f>
        <v>4.0532133837805247E-2</v>
      </c>
      <c r="H86" s="10">
        <f>Tabella8[[#This Row],[Italy sum of regions]]*NOT(ISBLANK(Tabella8[[#This Row],[Italy cumulative]]))</f>
        <v>9119.7301135061807</v>
      </c>
      <c r="I86" s="132">
        <f>MAX(Kt*(TANH(psi_t*(Tabella8[[#This Row],[Day]]-pt)-phi_t)+TANH(phi_t))/(1+TANH(phi_t)),0)</f>
        <v>9171.971301530506</v>
      </c>
      <c r="J86" s="109">
        <f>Tabella8[[#This Row],[Italy fit]]/Kt</f>
        <v>4.0764316895691141E-2</v>
      </c>
      <c r="K86" s="10">
        <f>Tabella8[[#This Row],[Italy fit]]*NOT(ISBLANK(Tabella8[[#This Row],[Italy cumulative]]))</f>
        <v>9171.971301530506</v>
      </c>
      <c r="L86" s="10">
        <f>Tabella8[[#This Row],[Italy sum of regions]]+CI</f>
        <v>11580.307868027516</v>
      </c>
      <c r="M86" s="10">
        <f>MAX(Tabella8[[#This Row],[Italy sum of regions]]-CI,0)</f>
        <v>6659.1523589848457</v>
      </c>
      <c r="N86" s="57">
        <f t="shared" si="0"/>
        <v>176</v>
      </c>
      <c r="O86" s="10">
        <f>Tabella8[[#This Row],[region data]]*NOT(ISBLANK(Tabella8[[#This Row],[region data]]))</f>
        <v>176</v>
      </c>
      <c r="P86" s="107">
        <f>MAX(Kr*(TANH(psi_r*(Tabella8[[#This Row],[Day]]-pr)-phi_r)+TANH(phi_r))/(1+TANH(phi_r)),0)</f>
        <v>170.52629118323117</v>
      </c>
      <c r="Q86" s="107">
        <f>Tabella8[[#This Row],[region fit]]/Kr</f>
        <v>1.9010734803035806E-2</v>
      </c>
      <c r="R86" s="10">
        <f>Tabella8[[#This Row],[region fit]]*NOT(ISBLANK(Tabella8[[#This Row],[region data]]))</f>
        <v>170.52629118323117</v>
      </c>
      <c r="S86" s="10">
        <f>Tabella8[[#This Row],[region fit]]+CIr</f>
        <v>256.54556864810024</v>
      </c>
      <c r="T86" s="10">
        <f>MAX(Tabella8[[#This Row],[region fit]]-CIr,0)</f>
        <v>84.50701371836206</v>
      </c>
      <c r="U86" s="10">
        <f>Tabella8[[#This Row],[Italy cumulative]]-Tabella8[[#This Row],[region data]]</f>
        <v>7669</v>
      </c>
      <c r="V86" s="10">
        <f>Tabella8[[#This Row],[rest of Italy ]]*NOT(ISBLANK(Tabella8[[#This Row],[rest of Italy ]]))</f>
        <v>7669</v>
      </c>
      <c r="W86" s="108">
        <f>MAX(Ko*(TANH(psi_o*(Tabella8[[#This Row],[Day]]-po)-phi_o)+TANH(phi_o))/(1+TANH(phi_o)),0)</f>
        <v>8949.2038223229501</v>
      </c>
      <c r="X86" s="108">
        <f>Tabella8[[#This Row],[rest of Italy fit]]/Ko</f>
        <v>4.1425745601643062E-2</v>
      </c>
      <c r="Y86" s="22">
        <f>Tabella8[[#This Row],[rest of Italy fit]]*NOT(ISBLANK(Tabella8[[#This Row],[rest of Italy ]]))</f>
        <v>8949.2038223229501</v>
      </c>
      <c r="Z86" s="10">
        <f>Tabella8[[#This Row],[rest of Italy fit]]+CIo</f>
        <v>11433.54051625765</v>
      </c>
      <c r="AA86" s="10">
        <f>MAX(Tabella8[[#This Row],[rest of Italy fit]]-CIo,0)</f>
        <v>6464.8671283882504</v>
      </c>
      <c r="AC86" s="55" t="s">
        <v>166</v>
      </c>
      <c r="AD86" s="87">
        <v>260</v>
      </c>
      <c r="AE86" s="87">
        <v>280</v>
      </c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 s="65"/>
      <c r="AY86" s="65"/>
      <c r="AZ86" s="79"/>
      <c r="BA86" s="32"/>
      <c r="BB86" s="32"/>
      <c r="BC86" s="79"/>
      <c r="BD86" s="68"/>
      <c r="BE86" s="68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/>
      <c r="JN86"/>
      <c r="JO86"/>
      <c r="JP86"/>
      <c r="JQ86"/>
      <c r="JR86"/>
      <c r="JS86"/>
      <c r="JT86"/>
      <c r="JU86"/>
      <c r="JV86"/>
      <c r="JW86"/>
      <c r="JX86"/>
      <c r="JY86"/>
      <c r="JZ86"/>
      <c r="KA86"/>
      <c r="KB86"/>
      <c r="KC86"/>
      <c r="KD86"/>
      <c r="KE86"/>
      <c r="KF86"/>
      <c r="KG86"/>
      <c r="KH86"/>
      <c r="KI86"/>
      <c r="KJ86"/>
      <c r="KK86"/>
      <c r="KL86"/>
      <c r="KM86"/>
      <c r="KN86"/>
      <c r="KO86"/>
      <c r="KP86"/>
      <c r="KQ86"/>
      <c r="KR86"/>
      <c r="KS86"/>
      <c r="KT86"/>
      <c r="KU86"/>
      <c r="KV86"/>
      <c r="KW86"/>
      <c r="KX86"/>
      <c r="KY86"/>
      <c r="KZ86"/>
      <c r="LA86"/>
      <c r="LB86"/>
      <c r="LC86"/>
      <c r="LD86"/>
      <c r="LE86"/>
      <c r="LF86"/>
      <c r="LG86"/>
      <c r="LH86"/>
      <c r="LI86"/>
      <c r="LJ86"/>
      <c r="LK86"/>
      <c r="LL86"/>
      <c r="LM86"/>
      <c r="LN86"/>
      <c r="LO86"/>
      <c r="LP86"/>
      <c r="LQ86"/>
      <c r="LR86"/>
      <c r="LS86"/>
      <c r="LT86"/>
      <c r="LU86"/>
      <c r="LV86"/>
      <c r="LW86"/>
      <c r="LX86"/>
      <c r="LY86"/>
      <c r="LZ86"/>
      <c r="MA86"/>
      <c r="MB86"/>
      <c r="MC86"/>
      <c r="MD86"/>
      <c r="ME86"/>
      <c r="MF86"/>
      <c r="MG86"/>
      <c r="MH86"/>
      <c r="MI86"/>
      <c r="MJ86"/>
      <c r="MK86"/>
      <c r="ML86"/>
      <c r="MM86"/>
      <c r="MN86"/>
      <c r="MO86"/>
      <c r="MP86"/>
      <c r="MQ86"/>
      <c r="MR86"/>
      <c r="MS86"/>
      <c r="MT86"/>
      <c r="MU86"/>
      <c r="MV86"/>
      <c r="MW86"/>
      <c r="MX86"/>
      <c r="MY86"/>
      <c r="MZ86"/>
      <c r="NA86"/>
      <c r="NB86"/>
      <c r="NC86"/>
      <c r="ND86"/>
      <c r="NE86"/>
      <c r="NF86"/>
      <c r="NG86"/>
      <c r="NH86"/>
      <c r="NI86"/>
      <c r="NJ86"/>
      <c r="NK86"/>
      <c r="NL86"/>
      <c r="NM86"/>
      <c r="NN86"/>
    </row>
    <row r="87" spans="2:378" x14ac:dyDescent="0.3">
      <c r="B87" s="9">
        <v>43910</v>
      </c>
      <c r="C87" s="4">
        <v>80</v>
      </c>
      <c r="D87" s="10">
        <f>'dpc-covid19-ita-andamento-naz'!J27+'dpc-covid19-ita-andamento-naz'!K27</f>
        <v>9161</v>
      </c>
      <c r="E87" s="10">
        <f>Tabella8[[#This Row],[Italy cumulative]]*NOT(ISBLANK(Tabella8[[#This Row],[Italy cumulative]]))</f>
        <v>9161</v>
      </c>
      <c r="F87" s="10">
        <f>Tabella8[[#This Row],[region fit]]+Tabella8[[#This Row],[rest of Italy fit]]</f>
        <v>10340.386097652477</v>
      </c>
      <c r="G87" s="72">
        <f>Tabella8[[#This Row],[Italy sum of regions]]/K_sum</f>
        <v>4.5957271545122122E-2</v>
      </c>
      <c r="H87" s="10">
        <f>Tabella8[[#This Row],[Italy sum of regions]]*NOT(ISBLANK(Tabella8[[#This Row],[Italy cumulative]]))</f>
        <v>10340.386097652477</v>
      </c>
      <c r="I87" s="132">
        <f>MAX(Kt*(TANH(psi_t*(Tabella8[[#This Row],[Day]]-pt)-phi_t)+TANH(phi_t))/(1+TANH(phi_t)),0)</f>
        <v>10389.597151287138</v>
      </c>
      <c r="J87" s="109">
        <f>Tabella8[[#This Row],[Italy fit]]/Kt</f>
        <v>4.6175987339053946E-2</v>
      </c>
      <c r="K87" s="10">
        <f>Tabella8[[#This Row],[Italy fit]]*NOT(ISBLANK(Tabella8[[#This Row],[Italy cumulative]]))</f>
        <v>10389.597151287138</v>
      </c>
      <c r="L87" s="10">
        <f>Tabella8[[#This Row],[Italy sum of regions]]+CI</f>
        <v>12800.963852173812</v>
      </c>
      <c r="M87" s="10">
        <f>MAX(Tabella8[[#This Row],[Italy sum of regions]]-CI,0)</f>
        <v>7879.8083431311425</v>
      </c>
      <c r="N87" s="57">
        <f t="shared" si="0"/>
        <v>220</v>
      </c>
      <c r="O87" s="10">
        <f>Tabella8[[#This Row],[region data]]*NOT(ISBLANK(Tabella8[[#This Row],[region data]]))</f>
        <v>220</v>
      </c>
      <c r="P87" s="107">
        <f>MAX(Kr*(TANH(psi_r*(Tabella8[[#This Row],[Day]]-pr)-phi_r)+TANH(phi_r))/(1+TANH(phi_r)),0)</f>
        <v>221.03323925488343</v>
      </c>
      <c r="Q87" s="107">
        <f>Tabella8[[#This Row],[region fit]]/Kr</f>
        <v>2.4641386761971397E-2</v>
      </c>
      <c r="R87" s="10">
        <f>Tabella8[[#This Row],[region fit]]*NOT(ISBLANK(Tabella8[[#This Row],[region data]]))</f>
        <v>221.03323925488343</v>
      </c>
      <c r="S87" s="10">
        <f>Tabella8[[#This Row],[region fit]]+CIr</f>
        <v>307.05251671975253</v>
      </c>
      <c r="T87" s="10">
        <f>MAX(Tabella8[[#This Row],[region fit]]-CIr,0)</f>
        <v>135.01396179001432</v>
      </c>
      <c r="U87" s="10">
        <f>Tabella8[[#This Row],[Italy cumulative]]-Tabella8[[#This Row],[region data]]</f>
        <v>8941</v>
      </c>
      <c r="V87" s="10">
        <f>Tabella8[[#This Row],[rest of Italy ]]*NOT(ISBLANK(Tabella8[[#This Row],[rest of Italy ]]))</f>
        <v>8941</v>
      </c>
      <c r="W87" s="108">
        <f>MAX(Ko*(TANH(psi_o*(Tabella8[[#This Row],[Day]]-po)-phi_o)+TANH(phi_o))/(1+TANH(phi_o)),0)</f>
        <v>10119.352858397595</v>
      </c>
      <c r="X87" s="108">
        <f>Tabella8[[#This Row],[rest of Italy fit]]/Ko</f>
        <v>4.684234994397813E-2</v>
      </c>
      <c r="Y87" s="22">
        <f>Tabella8[[#This Row],[rest of Italy fit]]*NOT(ISBLANK(Tabella8[[#This Row],[rest of Italy ]]))</f>
        <v>10119.352858397595</v>
      </c>
      <c r="Z87" s="10">
        <f>Tabella8[[#This Row],[rest of Italy fit]]+CIo</f>
        <v>12603.689552332295</v>
      </c>
      <c r="AA87" s="10">
        <f>MAX(Tabella8[[#This Row],[rest of Italy fit]]-CIo,0)</f>
        <v>7635.0161644628952</v>
      </c>
      <c r="AC87" s="55" t="s">
        <v>167</v>
      </c>
      <c r="AD87" s="87">
        <v>305</v>
      </c>
      <c r="AE87" s="87">
        <v>331</v>
      </c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 s="65"/>
      <c r="AY87" s="65"/>
      <c r="AZ87" s="79"/>
      <c r="BA87" s="32"/>
      <c r="BB87" s="32"/>
      <c r="BC87" s="79"/>
      <c r="BD87" s="68"/>
      <c r="BE87" s="68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  <c r="JZ87"/>
      <c r="KA87"/>
      <c r="KB87"/>
      <c r="KC87"/>
      <c r="KD87"/>
      <c r="KE87"/>
      <c r="KF87"/>
      <c r="KG87"/>
      <c r="KH87"/>
      <c r="KI87"/>
      <c r="KJ87"/>
      <c r="KK87"/>
      <c r="KL87"/>
      <c r="KM87"/>
      <c r="KN87"/>
      <c r="KO87"/>
      <c r="KP87"/>
      <c r="KQ87"/>
      <c r="KR87"/>
      <c r="KS87"/>
      <c r="KT87"/>
      <c r="KU87"/>
      <c r="KV87"/>
      <c r="KW87"/>
      <c r="KX87"/>
      <c r="KY87"/>
      <c r="KZ87"/>
      <c r="LA87"/>
      <c r="LB87"/>
      <c r="LC87"/>
      <c r="LD87"/>
      <c r="LE87"/>
      <c r="LF87"/>
      <c r="LG87"/>
      <c r="LH87"/>
      <c r="LI87"/>
      <c r="LJ87"/>
      <c r="LK87"/>
      <c r="LL87"/>
      <c r="LM87"/>
      <c r="LN87"/>
      <c r="LO87"/>
      <c r="LP87"/>
      <c r="LQ87"/>
      <c r="LR87"/>
      <c r="LS87"/>
      <c r="LT87"/>
      <c r="LU87"/>
      <c r="LV87"/>
      <c r="LW87"/>
      <c r="LX87"/>
      <c r="LY87"/>
      <c r="LZ87"/>
      <c r="MA87"/>
      <c r="MB87"/>
      <c r="MC87"/>
      <c r="MD87"/>
      <c r="ME87"/>
      <c r="MF87"/>
      <c r="MG87"/>
      <c r="MH87"/>
      <c r="MI87"/>
      <c r="MJ87"/>
      <c r="MK87"/>
      <c r="ML87"/>
      <c r="MM87"/>
      <c r="MN87"/>
      <c r="MO87"/>
      <c r="MP87"/>
      <c r="MQ87"/>
      <c r="MR87"/>
      <c r="MS87"/>
      <c r="MT87"/>
      <c r="MU87"/>
      <c r="MV87"/>
      <c r="MW87"/>
      <c r="MX87"/>
      <c r="MY87"/>
      <c r="MZ87"/>
      <c r="NA87"/>
      <c r="NB87"/>
      <c r="NC87"/>
      <c r="ND87"/>
      <c r="NE87"/>
      <c r="NF87"/>
      <c r="NG87"/>
      <c r="NH87"/>
      <c r="NI87"/>
      <c r="NJ87"/>
      <c r="NK87"/>
      <c r="NL87"/>
      <c r="NM87"/>
      <c r="NN87"/>
    </row>
    <row r="88" spans="2:378" x14ac:dyDescent="0.3">
      <c r="B88" s="9">
        <v>43911</v>
      </c>
      <c r="C88" s="4">
        <v>81</v>
      </c>
      <c r="D88" s="10">
        <f>'dpc-covid19-ita-andamento-naz'!J28+'dpc-covid19-ita-andamento-naz'!K28</f>
        <v>10897</v>
      </c>
      <c r="E88" s="10">
        <f>Tabella8[[#This Row],[Italy cumulative]]*NOT(ISBLANK(Tabella8[[#This Row],[Italy cumulative]]))</f>
        <v>10897</v>
      </c>
      <c r="F88" s="10">
        <f>Tabella8[[#This Row],[region fit]]+Tabella8[[#This Row],[rest of Italy fit]]</f>
        <v>11607.990376530008</v>
      </c>
      <c r="G88" s="72">
        <f>Tabella8[[#This Row],[Italy sum of regions]]/K_sum</f>
        <v>5.159106834013337E-2</v>
      </c>
      <c r="H88" s="10">
        <f>Tabella8[[#This Row],[Italy sum of regions]]*NOT(ISBLANK(Tabella8[[#This Row],[Italy cumulative]]))</f>
        <v>11607.990376530008</v>
      </c>
      <c r="I88" s="132">
        <f>MAX(Kt*(TANH(psi_t*(Tabella8[[#This Row],[Day]]-pt)-phi_t)+TANH(phi_t))/(1+TANH(phi_t)),0)</f>
        <v>11654.162222470273</v>
      </c>
      <c r="J88" s="109">
        <f>Tabella8[[#This Row],[Italy fit]]/Kt</f>
        <v>5.1796276544312327E-2</v>
      </c>
      <c r="K88" s="10">
        <f>Tabella8[[#This Row],[Italy fit]]*NOT(ISBLANK(Tabella8[[#This Row],[Italy cumulative]]))</f>
        <v>11654.162222470273</v>
      </c>
      <c r="L88" s="10">
        <f>Tabella8[[#This Row],[Italy sum of regions]]+CI</f>
        <v>14068.568131051343</v>
      </c>
      <c r="M88" s="10">
        <f>MAX(Tabella8[[#This Row],[Italy sum of regions]]-CI,0)</f>
        <v>9147.4126220086728</v>
      </c>
      <c r="N88" s="57">
        <f t="shared" si="0"/>
        <v>277</v>
      </c>
      <c r="O88" s="10">
        <f>Tabella8[[#This Row],[region data]]*NOT(ISBLANK(Tabella8[[#This Row],[region data]]))</f>
        <v>277</v>
      </c>
      <c r="P88" s="107">
        <f>MAX(Kr*(TANH(psi_r*(Tabella8[[#This Row],[Day]]-pr)-phi_r)+TANH(phi_r))/(1+TANH(phi_r)),0)</f>
        <v>273.84365113606447</v>
      </c>
      <c r="Q88" s="107">
        <f>Tabella8[[#This Row],[region fit]]/Kr</f>
        <v>3.0528835132225693E-2</v>
      </c>
      <c r="R88" s="10">
        <f>Tabella8[[#This Row],[region fit]]*NOT(ISBLANK(Tabella8[[#This Row],[region data]]))</f>
        <v>273.84365113606447</v>
      </c>
      <c r="S88" s="10">
        <f>Tabella8[[#This Row],[region fit]]+CIr</f>
        <v>359.86292860093357</v>
      </c>
      <c r="T88" s="10">
        <f>MAX(Tabella8[[#This Row],[region fit]]-CIr,0)</f>
        <v>187.82437367119536</v>
      </c>
      <c r="U88" s="10">
        <f>Tabella8[[#This Row],[Italy cumulative]]-Tabella8[[#This Row],[region data]]</f>
        <v>10620</v>
      </c>
      <c r="V88" s="10">
        <f>Tabella8[[#This Row],[rest of Italy ]]*NOT(ISBLANK(Tabella8[[#This Row],[rest of Italy ]]))</f>
        <v>10620</v>
      </c>
      <c r="W88" s="108">
        <f>MAX(Ko*(TANH(psi_o*(Tabella8[[#This Row],[Day]]-po)-phi_o)+TANH(phi_o))/(1+TANH(phi_o)),0)</f>
        <v>11334.146725393943</v>
      </c>
      <c r="X88" s="108">
        <f>Tabella8[[#This Row],[rest of Italy fit]]/Ko</f>
        <v>5.2465614615534617E-2</v>
      </c>
      <c r="Y88" s="22">
        <f>Tabella8[[#This Row],[rest of Italy fit]]*NOT(ISBLANK(Tabella8[[#This Row],[rest of Italy ]]))</f>
        <v>11334.146725393943</v>
      </c>
      <c r="Z88" s="10">
        <f>Tabella8[[#This Row],[rest of Italy fit]]+CIo</f>
        <v>13818.483419328642</v>
      </c>
      <c r="AA88" s="10">
        <f>MAX(Tabella8[[#This Row],[rest of Italy fit]]-CIo,0)</f>
        <v>8849.810031459243</v>
      </c>
      <c r="AC88" s="55" t="s">
        <v>168</v>
      </c>
      <c r="AD88" s="87">
        <v>378</v>
      </c>
      <c r="AE88" s="87">
        <v>358</v>
      </c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 s="65"/>
      <c r="AY88" s="65"/>
      <c r="AZ88" s="79"/>
      <c r="BA88" s="32"/>
      <c r="BB88" s="32"/>
      <c r="BC88" s="79"/>
      <c r="BD88" s="68"/>
      <c r="BE88" s="6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/>
      <c r="JN88"/>
      <c r="JO88"/>
      <c r="JP88"/>
      <c r="JQ88"/>
      <c r="JR88"/>
      <c r="JS88"/>
      <c r="JT88"/>
      <c r="JU88"/>
      <c r="JV88"/>
      <c r="JW88"/>
      <c r="JX88"/>
      <c r="JY88"/>
      <c r="JZ88"/>
      <c r="KA88"/>
      <c r="KB88"/>
      <c r="KC88"/>
      <c r="KD88"/>
      <c r="KE88"/>
      <c r="KF88"/>
      <c r="KG88"/>
      <c r="KH88"/>
      <c r="KI88"/>
      <c r="KJ88"/>
      <c r="KK88"/>
      <c r="KL88"/>
      <c r="KM88"/>
      <c r="KN88"/>
      <c r="KO88"/>
      <c r="KP88"/>
      <c r="KQ88"/>
      <c r="KR88"/>
      <c r="KS88"/>
      <c r="KT88"/>
      <c r="KU88"/>
      <c r="KV88"/>
      <c r="KW88"/>
      <c r="KX88"/>
      <c r="KY88"/>
      <c r="KZ88"/>
      <c r="LA88"/>
      <c r="LB88"/>
      <c r="LC88"/>
      <c r="LD88"/>
      <c r="LE88"/>
      <c r="LF88"/>
      <c r="LG88"/>
      <c r="LH88"/>
      <c r="LI88"/>
      <c r="LJ88"/>
      <c r="LK88"/>
      <c r="LL88"/>
      <c r="LM88"/>
      <c r="LN88"/>
      <c r="LO88"/>
      <c r="LP88"/>
      <c r="LQ88"/>
      <c r="LR88"/>
      <c r="LS88"/>
      <c r="LT88"/>
      <c r="LU88"/>
      <c r="LV88"/>
      <c r="LW88"/>
      <c r="LX88"/>
      <c r="LY88"/>
      <c r="LZ88"/>
      <c r="MA88"/>
      <c r="MB88"/>
      <c r="MC88"/>
      <c r="MD88"/>
      <c r="ME88"/>
      <c r="MF88"/>
      <c r="MG88"/>
      <c r="MH88"/>
      <c r="MI88"/>
      <c r="MJ88"/>
      <c r="MK88"/>
      <c r="ML88"/>
      <c r="MM88"/>
      <c r="MN88"/>
      <c r="MO88"/>
      <c r="MP88"/>
      <c r="MQ88"/>
      <c r="MR88"/>
      <c r="MS88"/>
      <c r="MT88"/>
      <c r="MU88"/>
      <c r="MV88"/>
      <c r="MW88"/>
      <c r="MX88"/>
      <c r="MY88"/>
      <c r="MZ88"/>
      <c r="NA88"/>
      <c r="NB88"/>
      <c r="NC88"/>
      <c r="ND88"/>
      <c r="NE88"/>
      <c r="NF88"/>
      <c r="NG88"/>
      <c r="NH88"/>
      <c r="NI88"/>
      <c r="NJ88"/>
      <c r="NK88"/>
      <c r="NL88"/>
      <c r="NM88"/>
      <c r="NN88"/>
    </row>
    <row r="89" spans="2:378" x14ac:dyDescent="0.3">
      <c r="B89" s="9">
        <v>43912</v>
      </c>
      <c r="C89" s="4">
        <v>82</v>
      </c>
      <c r="D89" s="10">
        <f>'dpc-covid19-ita-andamento-naz'!J29+'dpc-covid19-ita-andamento-naz'!K29</f>
        <v>12500</v>
      </c>
      <c r="E89" s="10">
        <f>Tabella8[[#This Row],[Italy cumulative]]*NOT(ISBLANK(Tabella8[[#This Row],[Italy cumulative]]))</f>
        <v>12500</v>
      </c>
      <c r="F89" s="10">
        <f>Tabella8[[#This Row],[region fit]]+Tabella8[[#This Row],[rest of Italy fit]]</f>
        <v>12923.674363842643</v>
      </c>
      <c r="G89" s="72">
        <f>Tabella8[[#This Row],[Italy sum of regions]]/K_sum</f>
        <v>5.7438552728189526E-2</v>
      </c>
      <c r="H89" s="10">
        <f>Tabella8[[#This Row],[Italy sum of regions]]*NOT(ISBLANK(Tabella8[[#This Row],[Italy cumulative]]))</f>
        <v>12923.674363842643</v>
      </c>
      <c r="I89" s="132">
        <f>MAX(Kt*(TANH(psi_t*(Tabella8[[#This Row],[Day]]-pt)-phi_t)+TANH(phi_t))/(1+TANH(phi_t)),0)</f>
        <v>12966.801120014454</v>
      </c>
      <c r="J89" s="109">
        <f>Tabella8[[#This Row],[Italy fit]]/Kt</f>
        <v>5.7630227200064242E-2</v>
      </c>
      <c r="K89" s="10">
        <f>Tabella8[[#This Row],[Italy fit]]*NOT(ISBLANK(Tabella8[[#This Row],[Italy cumulative]]))</f>
        <v>12966.801120014454</v>
      </c>
      <c r="L89" s="10">
        <f>Tabella8[[#This Row],[Italy sum of regions]]+CI</f>
        <v>15384.252118363978</v>
      </c>
      <c r="M89" s="10">
        <f>MAX(Tabella8[[#This Row],[Italy sum of regions]]-CI,0)</f>
        <v>10463.096609321308</v>
      </c>
      <c r="N89" s="57">
        <f t="shared" si="0"/>
        <v>314</v>
      </c>
      <c r="O89" s="10">
        <f>Tabella8[[#This Row],[region data]]*NOT(ISBLANK(Tabella8[[#This Row],[region data]]))</f>
        <v>314</v>
      </c>
      <c r="P89" s="107">
        <f>MAX(Kr*(TANH(psi_r*(Tabella8[[#This Row],[Day]]-pr)-phi_r)+TANH(phi_r))/(1+TANH(phi_r)),0)</f>
        <v>329.02891540797884</v>
      </c>
      <c r="Q89" s="107">
        <f>Tabella8[[#This Row],[region fit]]/Kr</f>
        <v>3.6681038507021049E-2</v>
      </c>
      <c r="R89" s="10">
        <f>Tabella8[[#This Row],[region fit]]*NOT(ISBLANK(Tabella8[[#This Row],[region data]]))</f>
        <v>329.02891540797884</v>
      </c>
      <c r="S89" s="10">
        <f>Tabella8[[#This Row],[region fit]]+CIr</f>
        <v>415.04819287284795</v>
      </c>
      <c r="T89" s="10">
        <f>MAX(Tabella8[[#This Row],[region fit]]-CIr,0)</f>
        <v>243.00963794310974</v>
      </c>
      <c r="U89" s="10">
        <f>Tabella8[[#This Row],[Italy cumulative]]-Tabella8[[#This Row],[region data]]</f>
        <v>12186</v>
      </c>
      <c r="V89" s="10">
        <f>Tabella8[[#This Row],[rest of Italy ]]*NOT(ISBLANK(Tabella8[[#This Row],[rest of Italy ]]))</f>
        <v>12186</v>
      </c>
      <c r="W89" s="108">
        <f>MAX(Ko*(TANH(psi_o*(Tabella8[[#This Row],[Day]]-po)-phi_o)+TANH(phi_o))/(1+TANH(phi_o)),0)</f>
        <v>12594.645448434665</v>
      </c>
      <c r="X89" s="108">
        <f>Tabella8[[#This Row],[rest of Italy fit]]/Ko</f>
        <v>5.8300446458522726E-2</v>
      </c>
      <c r="Y89" s="22">
        <f>Tabella8[[#This Row],[rest of Italy fit]]*NOT(ISBLANK(Tabella8[[#This Row],[rest of Italy ]]))</f>
        <v>12594.645448434665</v>
      </c>
      <c r="Z89" s="10">
        <f>Tabella8[[#This Row],[rest of Italy fit]]+CIo</f>
        <v>15078.982142369365</v>
      </c>
      <c r="AA89" s="10">
        <f>MAX(Tabella8[[#This Row],[rest of Italy fit]]-CIo,0)</f>
        <v>10110.308754499965</v>
      </c>
      <c r="AC89" s="55" t="s">
        <v>169</v>
      </c>
      <c r="AD89" s="87">
        <v>420</v>
      </c>
      <c r="AE89" s="87">
        <v>377</v>
      </c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 s="65"/>
      <c r="AY89" s="65"/>
      <c r="AZ89" s="79"/>
      <c r="BA89" s="32"/>
      <c r="BB89" s="32"/>
      <c r="BC89" s="79"/>
      <c r="BD89" s="68"/>
      <c r="BE89" s="68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/>
      <c r="JQ89"/>
      <c r="JR89"/>
      <c r="JS89"/>
      <c r="JT89"/>
      <c r="JU89"/>
      <c r="JV89"/>
      <c r="JW89"/>
      <c r="JX89"/>
      <c r="JY89"/>
      <c r="JZ89"/>
      <c r="KA89"/>
      <c r="KB89"/>
      <c r="KC89"/>
      <c r="KD89"/>
      <c r="KE89"/>
      <c r="KF89"/>
      <c r="KG89"/>
      <c r="KH89"/>
      <c r="KI89"/>
      <c r="KJ89"/>
      <c r="KK89"/>
      <c r="KL89"/>
      <c r="KM89"/>
      <c r="KN89"/>
      <c r="KO89"/>
      <c r="KP89"/>
      <c r="KQ89"/>
      <c r="KR89"/>
      <c r="KS89"/>
      <c r="KT89"/>
      <c r="KU89"/>
      <c r="KV89"/>
      <c r="KW89"/>
      <c r="KX89"/>
      <c r="KY89"/>
      <c r="KZ89"/>
      <c r="LA89"/>
      <c r="LB89"/>
      <c r="LC89"/>
      <c r="LD89"/>
      <c r="LE89"/>
      <c r="LF89"/>
      <c r="LG89"/>
      <c r="LH89"/>
      <c r="LI89"/>
      <c r="LJ89"/>
      <c r="LK89"/>
      <c r="LL89"/>
      <c r="LM89"/>
      <c r="LN89"/>
      <c r="LO89"/>
      <c r="LP89"/>
      <c r="LQ89"/>
      <c r="LR89"/>
      <c r="LS89"/>
      <c r="LT89"/>
      <c r="LU89"/>
      <c r="LV89"/>
      <c r="LW89"/>
      <c r="LX89"/>
      <c r="LY89"/>
      <c r="LZ89"/>
      <c r="MA89"/>
      <c r="MB89"/>
      <c r="MC89"/>
      <c r="MD89"/>
      <c r="ME89"/>
      <c r="MF89"/>
      <c r="MG89"/>
      <c r="MH89"/>
      <c r="MI89"/>
      <c r="MJ89"/>
      <c r="MK89"/>
      <c r="ML89"/>
      <c r="MM89"/>
      <c r="MN89"/>
      <c r="MO89"/>
      <c r="MP89"/>
      <c r="MQ89"/>
      <c r="MR89"/>
      <c r="MS89"/>
      <c r="MT89"/>
      <c r="MU89"/>
      <c r="MV89"/>
      <c r="MW89"/>
      <c r="MX89"/>
      <c r="MY89"/>
      <c r="MZ89"/>
      <c r="NA89"/>
      <c r="NB89"/>
      <c r="NC89"/>
      <c r="ND89"/>
      <c r="NE89"/>
      <c r="NF89"/>
      <c r="NG89"/>
      <c r="NH89"/>
      <c r="NI89"/>
      <c r="NJ89"/>
      <c r="NK89"/>
      <c r="NL89"/>
      <c r="NM89"/>
      <c r="NN89"/>
    </row>
    <row r="90" spans="2:378" x14ac:dyDescent="0.3">
      <c r="B90" s="15">
        <v>43913</v>
      </c>
      <c r="C90" s="4">
        <v>83</v>
      </c>
      <c r="D90" s="10">
        <f>'dpc-covid19-ita-andamento-naz'!J30+'dpc-covid19-ita-andamento-naz'!K30</f>
        <v>13509</v>
      </c>
      <c r="E90" s="10">
        <f>Tabella8[[#This Row],[Italy cumulative]]*NOT(ISBLANK(Tabella8[[#This Row],[Italy cumulative]]))</f>
        <v>13509</v>
      </c>
      <c r="F90" s="10">
        <f>Tabella8[[#This Row],[region fit]]+Tabella8[[#This Row],[rest of Italy fit]]</f>
        <v>14288.535430668328</v>
      </c>
      <c r="G90" s="72">
        <f>Tabella8[[#This Row],[Italy sum of regions]]/K_sum</f>
        <v>6.3504601914081457E-2</v>
      </c>
      <c r="H90" s="10">
        <f>Tabella8[[#This Row],[Italy sum of regions]]*NOT(ISBLANK(Tabella8[[#This Row],[Italy cumulative]]))</f>
        <v>14288.535430668328</v>
      </c>
      <c r="I90" s="132">
        <f>MAX(Kt*(TANH(psi_t*(Tabella8[[#This Row],[Day]]-pt)-phi_t)+TANH(phi_t))/(1+TANH(phi_t)),0)</f>
        <v>14328.614629851865</v>
      </c>
      <c r="J90" s="109">
        <f>Tabella8[[#This Row],[Italy fit]]/Kt</f>
        <v>6.3682731688230507E-2</v>
      </c>
      <c r="K90" s="10">
        <f>Tabella8[[#This Row],[Italy fit]]*NOT(ISBLANK(Tabella8[[#This Row],[Italy cumulative]]))</f>
        <v>14328.614629851865</v>
      </c>
      <c r="L90" s="10">
        <f>Tabella8[[#This Row],[Italy sum of regions]]+CI</f>
        <v>16749.113185189664</v>
      </c>
      <c r="M90" s="10">
        <f>MAX(Tabella8[[#This Row],[Italy sum of regions]]-CI,0)</f>
        <v>11827.957676146993</v>
      </c>
      <c r="N90" s="57">
        <f t="shared" si="0"/>
        <v>371</v>
      </c>
      <c r="O90" s="10">
        <f>Tabella8[[#This Row],[region data]]*NOT(ISBLANK(Tabella8[[#This Row],[region data]]))</f>
        <v>371</v>
      </c>
      <c r="P90" s="107">
        <f>MAX(Kr*(TANH(psi_r*(Tabella8[[#This Row],[Day]]-pr)-phi_r)+TANH(phi_r))/(1+TANH(phi_r)),0)</f>
        <v>386.65909009117553</v>
      </c>
      <c r="Q90" s="107">
        <f>Tabella8[[#This Row],[region fit]]/Kr</f>
        <v>4.3105807145058586E-2</v>
      </c>
      <c r="R90" s="10">
        <f>Tabella8[[#This Row],[region fit]]*NOT(ISBLANK(Tabella8[[#This Row],[region data]]))</f>
        <v>386.65909009117553</v>
      </c>
      <c r="S90" s="10">
        <f>Tabella8[[#This Row],[region fit]]+CIr</f>
        <v>472.67836755604463</v>
      </c>
      <c r="T90" s="10">
        <f>MAX(Tabella8[[#This Row],[region fit]]-CIr,0)</f>
        <v>300.63981262630642</v>
      </c>
      <c r="U90" s="10">
        <f>Tabella8[[#This Row],[Italy cumulative]]-Tabella8[[#This Row],[region data]]</f>
        <v>13138</v>
      </c>
      <c r="V90" s="10">
        <f>Tabella8[[#This Row],[rest of Italy ]]*NOT(ISBLANK(Tabella8[[#This Row],[rest of Italy ]]))</f>
        <v>13138</v>
      </c>
      <c r="W90" s="108">
        <f>MAX(Ko*(TANH(psi_o*(Tabella8[[#This Row],[Day]]-po)-phi_o)+TANH(phi_o))/(1+TANH(phi_o)),0)</f>
        <v>13901.876340577151</v>
      </c>
      <c r="X90" s="108">
        <f>Tabella8[[#This Row],[rest of Italy fit]]/Ko</f>
        <v>6.4351600891437072E-2</v>
      </c>
      <c r="Y90" s="22">
        <f>Tabella8[[#This Row],[rest of Italy fit]]*NOT(ISBLANK(Tabella8[[#This Row],[rest of Italy ]]))</f>
        <v>13901.876340577151</v>
      </c>
      <c r="Z90" s="10">
        <f>Tabella8[[#This Row],[rest of Italy fit]]+CIo</f>
        <v>16386.213034511849</v>
      </c>
      <c r="AA90" s="10">
        <f>MAX(Tabella8[[#This Row],[rest of Italy fit]]-CIo,0)</f>
        <v>11417.539646642452</v>
      </c>
      <c r="AC90" s="55" t="s">
        <v>170</v>
      </c>
      <c r="AD90" s="87">
        <v>437</v>
      </c>
      <c r="AE90" s="87">
        <v>397</v>
      </c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 s="65"/>
      <c r="AY90" s="65"/>
      <c r="AZ90" s="79"/>
      <c r="BA90" s="32"/>
      <c r="BB90" s="32"/>
      <c r="BC90" s="79"/>
      <c r="BD90" s="68"/>
      <c r="BE90" s="68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/>
      <c r="JN90"/>
      <c r="JO90"/>
      <c r="JP90"/>
      <c r="JQ90"/>
      <c r="JR90"/>
      <c r="JS90"/>
      <c r="JT90"/>
      <c r="JU90"/>
      <c r="JV90"/>
      <c r="JW90"/>
      <c r="JX90"/>
      <c r="JY90"/>
      <c r="JZ90"/>
      <c r="KA90"/>
      <c r="KB90"/>
      <c r="KC90"/>
      <c r="KD90"/>
      <c r="KE90"/>
      <c r="KF90"/>
      <c r="KG90"/>
      <c r="KH90"/>
      <c r="KI90"/>
      <c r="KJ90"/>
      <c r="KK90"/>
      <c r="KL90"/>
      <c r="KM90"/>
      <c r="KN90"/>
      <c r="KO90"/>
      <c r="KP90"/>
      <c r="KQ90"/>
      <c r="KR90"/>
      <c r="KS90"/>
      <c r="KT90"/>
      <c r="KU90"/>
      <c r="KV90"/>
      <c r="KW90"/>
      <c r="KX90"/>
      <c r="KY90"/>
      <c r="KZ90"/>
      <c r="LA90"/>
      <c r="LB90"/>
      <c r="LC90"/>
      <c r="LD90"/>
      <c r="LE90"/>
      <c r="LF90"/>
      <c r="LG90"/>
      <c r="LH90"/>
      <c r="LI90"/>
      <c r="LJ90"/>
      <c r="LK90"/>
      <c r="LL90"/>
      <c r="LM90"/>
      <c r="LN90"/>
      <c r="LO90"/>
      <c r="LP90"/>
      <c r="LQ90"/>
      <c r="LR90"/>
      <c r="LS90"/>
      <c r="LT90"/>
      <c r="LU90"/>
      <c r="LV90"/>
      <c r="LW90"/>
      <c r="LX90"/>
      <c r="LY90"/>
      <c r="LZ90"/>
      <c r="MA90"/>
      <c r="MB90"/>
      <c r="MC90"/>
      <c r="MD90"/>
      <c r="ME90"/>
      <c r="MF90"/>
      <c r="MG90"/>
      <c r="MH90"/>
      <c r="MI90"/>
      <c r="MJ90"/>
      <c r="MK90"/>
      <c r="ML90"/>
      <c r="MM90"/>
      <c r="MN90"/>
      <c r="MO90"/>
      <c r="MP90"/>
      <c r="MQ90"/>
      <c r="MR90"/>
      <c r="MS90"/>
      <c r="MT90"/>
      <c r="MU90"/>
      <c r="MV90"/>
      <c r="MW90"/>
      <c r="MX90"/>
      <c r="MY90"/>
      <c r="MZ90"/>
      <c r="NA90"/>
      <c r="NB90"/>
      <c r="NC90"/>
      <c r="ND90"/>
      <c r="NE90"/>
      <c r="NF90"/>
      <c r="NG90"/>
      <c r="NH90"/>
      <c r="NI90"/>
      <c r="NJ90"/>
      <c r="NK90"/>
      <c r="NL90"/>
      <c r="NM90"/>
      <c r="NN90"/>
    </row>
    <row r="91" spans="2:378" x14ac:dyDescent="0.3">
      <c r="B91" s="9">
        <v>43914</v>
      </c>
      <c r="C91" s="4">
        <v>84</v>
      </c>
      <c r="D91" s="10">
        <f>'dpc-covid19-ita-andamento-naz'!J31+'dpc-covid19-ita-andamento-naz'!K31</f>
        <v>15146</v>
      </c>
      <c r="E91" s="10">
        <f>Tabella8[[#This Row],[Italy cumulative]]*NOT(ISBLANK(Tabella8[[#This Row],[Italy cumulative]]))</f>
        <v>15146</v>
      </c>
      <c r="F91" s="10">
        <f>Tabella8[[#This Row],[region fit]]+Tabella8[[#This Row],[rest of Italy fit]]</f>
        <v>15703.630282663242</v>
      </c>
      <c r="G91" s="72">
        <f>Tabella8[[#This Row],[Italy sum of regions]]/K_sum</f>
        <v>6.9793912367392186E-2</v>
      </c>
      <c r="H91" s="10">
        <f>Tabella8[[#This Row],[Italy sum of regions]]*NOT(ISBLANK(Tabella8[[#This Row],[Italy cumulative]]))</f>
        <v>15703.630282663242</v>
      </c>
      <c r="I91" s="132">
        <f>MAX(Kt*(TANH(psi_t*(Tabella8[[#This Row],[Day]]-pt)-phi_t)+TANH(phi_t))/(1+TANH(phi_t)),0)</f>
        <v>15740.663116114691</v>
      </c>
      <c r="J91" s="109">
        <f>Tabella8[[#This Row],[Italy fit]]/Kt</f>
        <v>6.995850273828752E-2</v>
      </c>
      <c r="K91" s="10">
        <f>Tabella8[[#This Row],[Italy fit]]*NOT(ISBLANK(Tabella8[[#This Row],[Italy cumulative]]))</f>
        <v>15740.663116114691</v>
      </c>
      <c r="L91" s="10">
        <f>Tabella8[[#This Row],[Italy sum of regions]]+CI</f>
        <v>18164.208037184577</v>
      </c>
      <c r="M91" s="10">
        <f>MAX(Tabella8[[#This Row],[Italy sum of regions]]-CI,0)</f>
        <v>13243.052528141907</v>
      </c>
      <c r="N91" s="57">
        <f t="shared" si="0"/>
        <v>424</v>
      </c>
      <c r="O91" s="10">
        <f>Tabella8[[#This Row],[region data]]*NOT(ISBLANK(Tabella8[[#This Row],[region data]]))</f>
        <v>424</v>
      </c>
      <c r="P91" s="107">
        <f>MAX(Kr*(TANH(psi_r*(Tabella8[[#This Row],[Day]]-pr)-phi_r)+TANH(phi_r))/(1+TANH(phi_r)),0)</f>
        <v>446.80245537716399</v>
      </c>
      <c r="Q91" s="107">
        <f>Tabella8[[#This Row],[region fit]]/Kr</f>
        <v>4.981075310782207E-2</v>
      </c>
      <c r="R91" s="10">
        <f>Tabella8[[#This Row],[region fit]]*NOT(ISBLANK(Tabella8[[#This Row],[region data]]))</f>
        <v>446.80245537716399</v>
      </c>
      <c r="S91" s="10">
        <f>Tabella8[[#This Row],[region fit]]+CIr</f>
        <v>532.82173284203304</v>
      </c>
      <c r="T91" s="10">
        <f>MAX(Tabella8[[#This Row],[region fit]]-CIr,0)</f>
        <v>360.78317791229489</v>
      </c>
      <c r="U91" s="10">
        <f>Tabella8[[#This Row],[Italy cumulative]]-Tabella8[[#This Row],[region data]]</f>
        <v>14722</v>
      </c>
      <c r="V91" s="10">
        <f>Tabella8[[#This Row],[rest of Italy ]]*NOT(ISBLANK(Tabella8[[#This Row],[rest of Italy ]]))</f>
        <v>14722</v>
      </c>
      <c r="W91" s="108">
        <f>MAX(Ko*(TANH(psi_o*(Tabella8[[#This Row],[Day]]-po)-phi_o)+TANH(phi_o))/(1+TANH(phi_o)),0)</f>
        <v>15256.827827286077</v>
      </c>
      <c r="X91" s="108">
        <f>Tabella8[[#This Row],[rest of Italy fit]]/Ko</f>
        <v>7.0623653322622215E-2</v>
      </c>
      <c r="Y91" s="22">
        <f>Tabella8[[#This Row],[rest of Italy fit]]*NOT(ISBLANK(Tabella8[[#This Row],[rest of Italy ]]))</f>
        <v>15256.827827286077</v>
      </c>
      <c r="Z91" s="10">
        <f>Tabella8[[#This Row],[rest of Italy fit]]+CIo</f>
        <v>17741.164521220777</v>
      </c>
      <c r="AA91" s="10">
        <f>MAX(Tabella8[[#This Row],[rest of Italy fit]]-CIo,0)</f>
        <v>12772.491133351377</v>
      </c>
      <c r="AC91" s="55" t="s">
        <v>171</v>
      </c>
      <c r="AD91" s="87">
        <v>480</v>
      </c>
      <c r="AE91" s="87">
        <v>428</v>
      </c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 s="65"/>
      <c r="AY91" s="65"/>
      <c r="AZ91" s="79"/>
      <c r="BA91" s="32"/>
      <c r="BB91" s="32"/>
      <c r="BC91" s="79"/>
      <c r="BD91" s="68"/>
      <c r="BE91" s="68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  <c r="IX91"/>
      <c r="IY91"/>
      <c r="IZ91"/>
      <c r="JA91"/>
      <c r="JB91"/>
      <c r="JC91"/>
      <c r="JD91"/>
      <c r="JE91"/>
      <c r="JF91"/>
      <c r="JG91"/>
      <c r="JH91"/>
      <c r="JI91"/>
      <c r="JJ91"/>
      <c r="JK91"/>
      <c r="JL91"/>
      <c r="JM91"/>
      <c r="JN91"/>
      <c r="JO91"/>
      <c r="JP91"/>
      <c r="JQ91"/>
      <c r="JR91"/>
      <c r="JS91"/>
      <c r="JT91"/>
      <c r="JU91"/>
      <c r="JV91"/>
      <c r="JW91"/>
      <c r="JX91"/>
      <c r="JY91"/>
      <c r="JZ91"/>
      <c r="KA91"/>
      <c r="KB91"/>
      <c r="KC91"/>
      <c r="KD91"/>
      <c r="KE91"/>
      <c r="KF91"/>
      <c r="KG91"/>
      <c r="KH91"/>
      <c r="KI91"/>
      <c r="KJ91"/>
      <c r="KK91"/>
      <c r="KL91"/>
      <c r="KM91"/>
      <c r="KN91"/>
      <c r="KO91"/>
      <c r="KP91"/>
      <c r="KQ91"/>
      <c r="KR91"/>
      <c r="KS91"/>
      <c r="KT91"/>
      <c r="KU91"/>
      <c r="KV91"/>
      <c r="KW91"/>
      <c r="KX91"/>
      <c r="KY91"/>
      <c r="KZ91"/>
      <c r="LA91"/>
      <c r="LB91"/>
      <c r="LC91"/>
      <c r="LD91"/>
      <c r="LE91"/>
      <c r="LF91"/>
      <c r="LG91"/>
      <c r="LH91"/>
      <c r="LI91"/>
      <c r="LJ91"/>
      <c r="LK91"/>
      <c r="LL91"/>
      <c r="LM91"/>
      <c r="LN91"/>
      <c r="LO91"/>
      <c r="LP91"/>
      <c r="LQ91"/>
      <c r="LR91"/>
      <c r="LS91"/>
      <c r="LT91"/>
      <c r="LU91"/>
      <c r="LV91"/>
      <c r="LW91"/>
      <c r="LX91"/>
      <c r="LY91"/>
      <c r="LZ91"/>
      <c r="MA91"/>
      <c r="MB91"/>
      <c r="MC91"/>
      <c r="MD91"/>
      <c r="ME91"/>
      <c r="MF91"/>
      <c r="MG91"/>
      <c r="MH91"/>
      <c r="MI91"/>
      <c r="MJ91"/>
      <c r="MK91"/>
      <c r="ML91"/>
      <c r="MM91"/>
      <c r="MN91"/>
      <c r="MO91"/>
      <c r="MP91"/>
      <c r="MQ91"/>
      <c r="MR91"/>
      <c r="MS91"/>
      <c r="MT91"/>
      <c r="MU91"/>
      <c r="MV91"/>
      <c r="MW91"/>
      <c r="MX91"/>
      <c r="MY91"/>
      <c r="MZ91"/>
      <c r="NA91"/>
      <c r="NB91"/>
      <c r="NC91"/>
      <c r="ND91"/>
      <c r="NE91"/>
      <c r="NF91"/>
      <c r="NG91"/>
      <c r="NH91"/>
      <c r="NI91"/>
      <c r="NJ91"/>
      <c r="NK91"/>
      <c r="NL91"/>
      <c r="NM91"/>
      <c r="NN91"/>
    </row>
    <row r="92" spans="2:378" x14ac:dyDescent="0.3">
      <c r="B92" s="9">
        <v>43915</v>
      </c>
      <c r="C92" s="4">
        <v>85</v>
      </c>
      <c r="D92" s="10">
        <f>'dpc-covid19-ita-andamento-naz'!J32+'dpc-covid19-ita-andamento-naz'!K32</f>
        <v>16865</v>
      </c>
      <c r="E92" s="10">
        <f>Tabella8[[#This Row],[Italy cumulative]]*NOT(ISBLANK(Tabella8[[#This Row],[Italy cumulative]]))</f>
        <v>16865</v>
      </c>
      <c r="F92" s="10">
        <f>Tabella8[[#This Row],[region fit]]+Tabella8[[#This Row],[rest of Italy fit]]</f>
        <v>17169.96798036234</v>
      </c>
      <c r="G92" s="72">
        <f>Tabella8[[#This Row],[Italy sum of regions]]/K_sum</f>
        <v>7.6310968801610396E-2</v>
      </c>
      <c r="H92" s="10">
        <f>Tabella8[[#This Row],[Italy sum of regions]]*NOT(ISBLANK(Tabella8[[#This Row],[Italy cumulative]]))</f>
        <v>17169.96798036234</v>
      </c>
      <c r="I92" s="132">
        <f>MAX(Kt*(TANH(psi_t*(Tabella8[[#This Row],[Day]]-pt)-phi_t)+TANH(phi_t))/(1+TANH(phi_t)),0)</f>
        <v>17203.95956346106</v>
      </c>
      <c r="J92" s="109">
        <f>Tabella8[[#This Row],[Italy fit]]/Kt</f>
        <v>7.6462042504271382E-2</v>
      </c>
      <c r="K92" s="10">
        <f>Tabella8[[#This Row],[Italy fit]]*NOT(ISBLANK(Tabella8[[#This Row],[Italy cumulative]]))</f>
        <v>17203.95956346106</v>
      </c>
      <c r="L92" s="10">
        <f>Tabella8[[#This Row],[Italy sum of regions]]+CI</f>
        <v>19630.545734883675</v>
      </c>
      <c r="M92" s="10">
        <f>MAX(Tabella8[[#This Row],[Italy sum of regions]]-CI,0)</f>
        <v>14709.390225841005</v>
      </c>
      <c r="N92" s="57">
        <f t="shared" si="0"/>
        <v>479</v>
      </c>
      <c r="O92" s="10">
        <f>Tabella8[[#This Row],[region data]]*NOT(ISBLANK(Tabella8[[#This Row],[region data]]))</f>
        <v>479</v>
      </c>
      <c r="P92" s="107">
        <f>MAX(Kr*(TANH(psi_r*(Tabella8[[#This Row],[Day]]-pr)-phi_r)+TANH(phi_r))/(1+TANH(phi_r)),0)</f>
        <v>509.5250325647749</v>
      </c>
      <c r="Q92" s="107">
        <f>Tabella8[[#This Row],[region fit]]/Kr</f>
        <v>5.6803236629294859E-2</v>
      </c>
      <c r="R92" s="10">
        <f>Tabella8[[#This Row],[region fit]]*NOT(ISBLANK(Tabella8[[#This Row],[region data]]))</f>
        <v>509.5250325647749</v>
      </c>
      <c r="S92" s="10">
        <f>Tabella8[[#This Row],[region fit]]+CIr</f>
        <v>595.54431002964407</v>
      </c>
      <c r="T92" s="10">
        <f>MAX(Tabella8[[#This Row],[region fit]]-CIr,0)</f>
        <v>423.5057550999058</v>
      </c>
      <c r="U92" s="10">
        <f>Tabella8[[#This Row],[Italy cumulative]]-Tabella8[[#This Row],[region data]]</f>
        <v>16386</v>
      </c>
      <c r="V92" s="10">
        <f>Tabella8[[#This Row],[rest of Italy ]]*NOT(ISBLANK(Tabella8[[#This Row],[rest of Italy ]]))</f>
        <v>16386</v>
      </c>
      <c r="W92" s="108">
        <f>MAX(Ko*(TANH(psi_o*(Tabella8[[#This Row],[Day]]-po)-phi_o)+TANH(phi_o))/(1+TANH(phi_o)),0)</f>
        <v>16660.442947797565</v>
      </c>
      <c r="X92" s="108">
        <f>Tabella8[[#This Row],[rest of Italy fit]]/Ko</f>
        <v>7.71209690681737E-2</v>
      </c>
      <c r="Y92" s="22">
        <f>Tabella8[[#This Row],[rest of Italy fit]]*NOT(ISBLANK(Tabella8[[#This Row],[rest of Italy ]]))</f>
        <v>16660.442947797565</v>
      </c>
      <c r="Z92" s="10">
        <f>Tabella8[[#This Row],[rest of Italy fit]]+CIo</f>
        <v>19144.779641732264</v>
      </c>
      <c r="AA92" s="10">
        <f>MAX(Tabella8[[#This Row],[rest of Italy fit]]-CIo,0)</f>
        <v>14176.106253862865</v>
      </c>
      <c r="AC92" s="55" t="s">
        <v>172</v>
      </c>
      <c r="AD92" s="87">
        <v>555</v>
      </c>
      <c r="AE92" s="87">
        <v>460</v>
      </c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 s="65"/>
      <c r="AY92" s="65"/>
      <c r="AZ92" s="79"/>
      <c r="BA92" s="32"/>
      <c r="BB92" s="32"/>
      <c r="BC92" s="79"/>
      <c r="BD92" s="68"/>
      <c r="BE92" s="68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  <c r="IW92"/>
      <c r="IX92"/>
      <c r="IY92"/>
      <c r="IZ92"/>
      <c r="JA92"/>
      <c r="JB92"/>
      <c r="JC92"/>
      <c r="JD92"/>
      <c r="JE92"/>
      <c r="JF92"/>
      <c r="JG92"/>
      <c r="JH92"/>
      <c r="JI92"/>
      <c r="JJ92"/>
      <c r="JK92"/>
      <c r="JL92"/>
      <c r="JM92"/>
      <c r="JN92"/>
      <c r="JO92"/>
      <c r="JP92"/>
      <c r="JQ92"/>
      <c r="JR92"/>
      <c r="JS92"/>
      <c r="JT92"/>
      <c r="JU92"/>
      <c r="JV92"/>
      <c r="JW92"/>
      <c r="JX92"/>
      <c r="JY92"/>
      <c r="JZ92"/>
      <c r="KA92"/>
      <c r="KB92"/>
      <c r="KC92"/>
      <c r="KD92"/>
      <c r="KE92"/>
      <c r="KF92"/>
      <c r="KG92"/>
      <c r="KH92"/>
      <c r="KI92"/>
      <c r="KJ92"/>
      <c r="KK92"/>
      <c r="KL92"/>
      <c r="KM92"/>
      <c r="KN92"/>
      <c r="KO92"/>
      <c r="KP92"/>
      <c r="KQ92"/>
      <c r="KR92"/>
      <c r="KS92"/>
      <c r="KT92"/>
      <c r="KU92"/>
      <c r="KV92"/>
      <c r="KW92"/>
      <c r="KX92"/>
      <c r="KY92"/>
      <c r="KZ92"/>
      <c r="LA92"/>
      <c r="LB92"/>
      <c r="LC92"/>
      <c r="LD92"/>
      <c r="LE92"/>
      <c r="LF92"/>
      <c r="LG92"/>
      <c r="LH92"/>
      <c r="LI92"/>
      <c r="LJ92"/>
      <c r="LK92"/>
      <c r="LL92"/>
      <c r="LM92"/>
      <c r="LN92"/>
      <c r="LO92"/>
      <c r="LP92"/>
      <c r="LQ92"/>
      <c r="LR92"/>
      <c r="LS92"/>
      <c r="LT92"/>
      <c r="LU92"/>
      <c r="LV92"/>
      <c r="LW92"/>
      <c r="LX92"/>
      <c r="LY92"/>
      <c r="LZ92"/>
      <c r="MA92"/>
      <c r="MB92"/>
      <c r="MC92"/>
      <c r="MD92"/>
      <c r="ME92"/>
      <c r="MF92"/>
      <c r="MG92"/>
      <c r="MH92"/>
      <c r="MI92"/>
      <c r="MJ92"/>
      <c r="MK92"/>
      <c r="ML92"/>
      <c r="MM92"/>
      <c r="MN92"/>
      <c r="MO92"/>
      <c r="MP92"/>
      <c r="MQ92"/>
      <c r="MR92"/>
      <c r="MS92"/>
      <c r="MT92"/>
      <c r="MU92"/>
      <c r="MV92"/>
      <c r="MW92"/>
      <c r="MX92"/>
      <c r="MY92"/>
      <c r="MZ92"/>
      <c r="NA92"/>
      <c r="NB92"/>
      <c r="NC92"/>
      <c r="ND92"/>
      <c r="NE92"/>
      <c r="NF92"/>
      <c r="NG92"/>
      <c r="NH92"/>
      <c r="NI92"/>
      <c r="NJ92"/>
      <c r="NK92"/>
      <c r="NL92"/>
      <c r="NM92"/>
      <c r="NN92"/>
    </row>
    <row r="93" spans="2:378" x14ac:dyDescent="0.3">
      <c r="B93" s="9">
        <v>43916</v>
      </c>
      <c r="C93" s="4">
        <v>86</v>
      </c>
      <c r="D93" s="10">
        <f>'dpc-covid19-ita-andamento-naz'!J33+'dpc-covid19-ita-andamento-naz'!K33</f>
        <v>18526</v>
      </c>
      <c r="E93" s="10">
        <f>Tabella8[[#This Row],[Italy cumulative]]*NOT(ISBLANK(Tabella8[[#This Row],[Italy cumulative]]))</f>
        <v>18526</v>
      </c>
      <c r="F93" s="10">
        <f>Tabella8[[#This Row],[region fit]]+Tabella8[[#This Row],[rest of Italy fit]]</f>
        <v>18688.502621920961</v>
      </c>
      <c r="G93" s="72">
        <f>Tabella8[[#This Row],[Italy sum of regions]]/K_sum</f>
        <v>8.3060011652982046E-2</v>
      </c>
      <c r="H93" s="10">
        <f>Tabella8[[#This Row],[Italy sum of regions]]*NOT(ISBLANK(Tabella8[[#This Row],[Italy cumulative]]))</f>
        <v>18688.502621920961</v>
      </c>
      <c r="I93" s="132">
        <f>MAX(Kt*(TANH(psi_t*(Tabella8[[#This Row],[Day]]-pt)-phi_t)+TANH(phi_t))/(1+TANH(phi_t)),0)</f>
        <v>18719.462283792105</v>
      </c>
      <c r="J93" s="109">
        <f>Tabella8[[#This Row],[Italy fit]]/Kt</f>
        <v>8.3197610150187132E-2</v>
      </c>
      <c r="K93" s="10">
        <f>Tabella8[[#This Row],[Italy fit]]*NOT(ISBLANK(Tabella8[[#This Row],[Italy cumulative]]))</f>
        <v>18719.462283792105</v>
      </c>
      <c r="L93" s="10">
        <f>Tabella8[[#This Row],[Italy sum of regions]]+CI</f>
        <v>21149.080376442296</v>
      </c>
      <c r="M93" s="10">
        <f>MAX(Tabella8[[#This Row],[Italy sum of regions]]-CI,0)</f>
        <v>16227.924867399626</v>
      </c>
      <c r="N93" s="57">
        <f t="shared" si="0"/>
        <v>540</v>
      </c>
      <c r="O93" s="10">
        <f>Tabella8[[#This Row],[region data]]*NOT(ISBLANK(Tabella8[[#This Row],[region data]]))</f>
        <v>540</v>
      </c>
      <c r="P93" s="107">
        <f>MAX(Kr*(TANH(psi_r*(Tabella8[[#This Row],[Day]]-pr)-phi_r)+TANH(phi_r))/(1+TANH(phi_r)),0)</f>
        <v>574.89007001946868</v>
      </c>
      <c r="Q93" s="107">
        <f>Tabella8[[#This Row],[region fit]]/Kr</f>
        <v>6.4090308809305316E-2</v>
      </c>
      <c r="R93" s="10">
        <f>Tabella8[[#This Row],[region fit]]*NOT(ISBLANK(Tabella8[[#This Row],[region data]]))</f>
        <v>574.89007001946868</v>
      </c>
      <c r="S93" s="10">
        <f>Tabella8[[#This Row],[region fit]]+CIr</f>
        <v>660.90934748433779</v>
      </c>
      <c r="T93" s="10">
        <f>MAX(Tabella8[[#This Row],[region fit]]-CIr,0)</f>
        <v>488.87079255459957</v>
      </c>
      <c r="U93" s="10">
        <f>Tabella8[[#This Row],[Italy cumulative]]-Tabella8[[#This Row],[region data]]</f>
        <v>17986</v>
      </c>
      <c r="V93" s="10">
        <f>Tabella8[[#This Row],[rest of Italy ]]*NOT(ISBLANK(Tabella8[[#This Row],[rest of Italy ]]))</f>
        <v>17986</v>
      </c>
      <c r="W93" s="108">
        <f>MAX(Ko*(TANH(psi_o*(Tabella8[[#This Row],[Day]]-po)-phi_o)+TANH(phi_o))/(1+TANH(phi_o)),0)</f>
        <v>18113.612551901493</v>
      </c>
      <c r="X93" s="108">
        <f>Tabella8[[#This Row],[rest of Italy fit]]/Ko</f>
        <v>8.3847671859933776E-2</v>
      </c>
      <c r="Y93" s="22">
        <f>Tabella8[[#This Row],[rest of Italy fit]]*NOT(ISBLANK(Tabella8[[#This Row],[rest of Italy ]]))</f>
        <v>18113.612551901493</v>
      </c>
      <c r="Z93" s="10">
        <f>Tabella8[[#This Row],[rest of Italy fit]]+CIo</f>
        <v>20597.949245836193</v>
      </c>
      <c r="AA93" s="10">
        <f>MAX(Tabella8[[#This Row],[rest of Italy fit]]-CIo,0)</f>
        <v>15629.275857966793</v>
      </c>
      <c r="AC93" s="55" t="s">
        <v>173</v>
      </c>
      <c r="AD93" s="87">
        <v>634</v>
      </c>
      <c r="AE93" s="87">
        <v>488</v>
      </c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 s="65"/>
      <c r="AY93" s="65"/>
      <c r="AZ93" s="79"/>
      <c r="BA93" s="32"/>
      <c r="BB93" s="32"/>
      <c r="BC93" s="79"/>
      <c r="BD93" s="68"/>
      <c r="BE93" s="68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  <c r="IW93"/>
      <c r="IX93"/>
      <c r="IY93"/>
      <c r="IZ93"/>
      <c r="JA93"/>
      <c r="JB93"/>
      <c r="JC93"/>
      <c r="JD93"/>
      <c r="JE93"/>
      <c r="JF93"/>
      <c r="JG93"/>
      <c r="JH93"/>
      <c r="JI93"/>
      <c r="JJ93"/>
      <c r="JK93"/>
      <c r="JL93"/>
      <c r="JM93"/>
      <c r="JN93"/>
      <c r="JO93"/>
      <c r="JP93"/>
      <c r="JQ93"/>
      <c r="JR93"/>
      <c r="JS93"/>
      <c r="JT93"/>
      <c r="JU93"/>
      <c r="JV93"/>
      <c r="JW93"/>
      <c r="JX93"/>
      <c r="JY93"/>
      <c r="JZ93"/>
      <c r="KA93"/>
      <c r="KB93"/>
      <c r="KC93"/>
      <c r="KD93"/>
      <c r="KE93"/>
      <c r="KF93"/>
      <c r="KG93"/>
      <c r="KH93"/>
      <c r="KI93"/>
      <c r="KJ93"/>
      <c r="KK93"/>
      <c r="KL93"/>
      <c r="KM93"/>
      <c r="KN93"/>
      <c r="KO93"/>
      <c r="KP93"/>
      <c r="KQ93"/>
      <c r="KR93"/>
      <c r="KS93"/>
      <c r="KT93"/>
      <c r="KU93"/>
      <c r="KV93"/>
      <c r="KW93"/>
      <c r="KX93"/>
      <c r="KY93"/>
      <c r="KZ93"/>
      <c r="LA93"/>
      <c r="LB93"/>
      <c r="LC93"/>
      <c r="LD93"/>
      <c r="LE93"/>
      <c r="LF93"/>
      <c r="LG93"/>
      <c r="LH93"/>
      <c r="LI93"/>
      <c r="LJ93"/>
      <c r="LK93"/>
      <c r="LL93"/>
      <c r="LM93"/>
      <c r="LN93"/>
      <c r="LO93"/>
      <c r="LP93"/>
      <c r="LQ93"/>
      <c r="LR93"/>
      <c r="LS93"/>
      <c r="LT93"/>
      <c r="LU93"/>
      <c r="LV93"/>
      <c r="LW93"/>
      <c r="LX93"/>
      <c r="LY93"/>
      <c r="LZ93"/>
      <c r="MA93"/>
      <c r="MB93"/>
      <c r="MC93"/>
      <c r="MD93"/>
      <c r="ME93"/>
      <c r="MF93"/>
      <c r="MG93"/>
      <c r="MH93"/>
      <c r="MI93"/>
      <c r="MJ93"/>
      <c r="MK93"/>
      <c r="ML93"/>
      <c r="MM93"/>
      <c r="MN93"/>
      <c r="MO93"/>
      <c r="MP93"/>
      <c r="MQ93"/>
      <c r="MR93"/>
      <c r="MS93"/>
      <c r="MT93"/>
      <c r="MU93"/>
      <c r="MV93"/>
      <c r="MW93"/>
      <c r="MX93"/>
      <c r="MY93"/>
      <c r="MZ93"/>
      <c r="NA93"/>
      <c r="NB93"/>
      <c r="NC93"/>
      <c r="ND93"/>
      <c r="NE93"/>
      <c r="NF93"/>
      <c r="NG93"/>
      <c r="NH93"/>
      <c r="NI93"/>
      <c r="NJ93"/>
      <c r="NK93"/>
      <c r="NL93"/>
      <c r="NM93"/>
      <c r="NN93"/>
    </row>
    <row r="94" spans="2:378" x14ac:dyDescent="0.3">
      <c r="B94" s="9">
        <v>43917</v>
      </c>
      <c r="C94" s="4">
        <v>87</v>
      </c>
      <c r="D94" s="10">
        <f>'dpc-covid19-ita-andamento-naz'!J34+'dpc-covid19-ita-andamento-naz'!K34</f>
        <v>20084</v>
      </c>
      <c r="E94" s="10">
        <f>Tabella8[[#This Row],[Italy cumulative]]*NOT(ISBLANK(Tabella8[[#This Row],[Italy cumulative]]))</f>
        <v>20084</v>
      </c>
      <c r="F94" s="10">
        <f>Tabella8[[#This Row],[region fit]]+Tabella8[[#This Row],[rest of Italy fit]]</f>
        <v>20260.125713596368</v>
      </c>
      <c r="G94" s="72">
        <f>Tabella8[[#This Row],[Italy sum of regions]]/K_sum</f>
        <v>9.0045003171539406E-2</v>
      </c>
      <c r="H94" s="10">
        <f>Tabella8[[#This Row],[Italy sum of regions]]*NOT(ISBLANK(Tabella8[[#This Row],[Italy cumulative]]))</f>
        <v>20260.125713596368</v>
      </c>
      <c r="I94" s="132">
        <f>MAX(Kt*(TANH(psi_t*(Tabella8[[#This Row],[Day]]-pt)-phi_t)+TANH(phi_t))/(1+TANH(phi_t)),0)</f>
        <v>20288.067312499181</v>
      </c>
      <c r="J94" s="109">
        <f>Tabella8[[#This Row],[Italy fit]]/Kt</f>
        <v>9.0169188055551922E-2</v>
      </c>
      <c r="K94" s="10">
        <f>Tabella8[[#This Row],[Italy fit]]*NOT(ISBLANK(Tabella8[[#This Row],[Italy cumulative]]))</f>
        <v>20288.067312499181</v>
      </c>
      <c r="L94" s="10">
        <f>Tabella8[[#This Row],[Italy sum of regions]]+CI</f>
        <v>22720.703468117703</v>
      </c>
      <c r="M94" s="10">
        <f>MAX(Tabella8[[#This Row],[Italy sum of regions]]-CI,0)</f>
        <v>17799.547959075033</v>
      </c>
      <c r="N94" s="57">
        <f t="shared" si="0"/>
        <v>636</v>
      </c>
      <c r="O94" s="10">
        <f>Tabella8[[#This Row],[region data]]*NOT(ISBLANK(Tabella8[[#This Row],[region data]]))</f>
        <v>636</v>
      </c>
      <c r="P94" s="107">
        <f>MAX(Kr*(TANH(psi_r*(Tabella8[[#This Row],[Day]]-pr)-phi_r)+TANH(phi_r))/(1+TANH(phi_r)),0)</f>
        <v>642.95749754149949</v>
      </c>
      <c r="Q94" s="107">
        <f>Tabella8[[#This Row],[region fit]]/Kr</f>
        <v>7.1678650785005515E-2</v>
      </c>
      <c r="R94" s="10">
        <f>Tabella8[[#This Row],[region fit]]*NOT(ISBLANK(Tabella8[[#This Row],[region data]]))</f>
        <v>642.95749754149949</v>
      </c>
      <c r="S94" s="10">
        <f>Tabella8[[#This Row],[region fit]]+CIr</f>
        <v>728.9767750063686</v>
      </c>
      <c r="T94" s="10">
        <f>MAX(Tabella8[[#This Row],[region fit]]-CIr,0)</f>
        <v>556.93822007663039</v>
      </c>
      <c r="U94" s="10">
        <f>Tabella8[[#This Row],[Italy cumulative]]-Tabella8[[#This Row],[region data]]</f>
        <v>19448</v>
      </c>
      <c r="V94" s="10">
        <f>Tabella8[[#This Row],[rest of Italy ]]*NOT(ISBLANK(Tabella8[[#This Row],[rest of Italy ]]))</f>
        <v>19448</v>
      </c>
      <c r="W94" s="108">
        <f>MAX(Ko*(TANH(psi_o*(Tabella8[[#This Row],[Day]]-po)-phi_o)+TANH(phi_o))/(1+TANH(phi_o)),0)</f>
        <v>19617.16821605487</v>
      </c>
      <c r="X94" s="108">
        <f>Tabella8[[#This Row],[rest of Italy fit]]/Ko</f>
        <v>9.0807611054274262E-2</v>
      </c>
      <c r="Y94" s="22">
        <f>Tabella8[[#This Row],[rest of Italy fit]]*NOT(ISBLANK(Tabella8[[#This Row],[rest of Italy ]]))</f>
        <v>19617.16821605487</v>
      </c>
      <c r="Z94" s="10">
        <f>Tabella8[[#This Row],[rest of Italy fit]]+CIo</f>
        <v>22101.50490998957</v>
      </c>
      <c r="AA94" s="10">
        <f>MAX(Tabella8[[#This Row],[rest of Italy fit]]-CIo,0)</f>
        <v>17132.83152212017</v>
      </c>
      <c r="AC94" s="55" t="s">
        <v>174</v>
      </c>
      <c r="AD94" s="87">
        <v>700</v>
      </c>
      <c r="AE94" s="87">
        <v>519</v>
      </c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 s="65"/>
      <c r="AY94" s="65"/>
      <c r="AZ94" s="79"/>
      <c r="BA94" s="32"/>
      <c r="BB94" s="32"/>
      <c r="BC94" s="79"/>
      <c r="BD94" s="68"/>
      <c r="BE94" s="68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  <c r="IW94"/>
      <c r="IX94"/>
      <c r="IY94"/>
      <c r="IZ94"/>
      <c r="JA94"/>
      <c r="JB94"/>
      <c r="JC94"/>
      <c r="JD94"/>
      <c r="JE94"/>
      <c r="JF94"/>
      <c r="JG94"/>
      <c r="JH94"/>
      <c r="JI94"/>
      <c r="JJ94"/>
      <c r="JK94"/>
      <c r="JL94"/>
      <c r="JM94"/>
      <c r="JN94"/>
      <c r="JO94"/>
      <c r="JP94"/>
      <c r="JQ94"/>
      <c r="JR94"/>
      <c r="JS94"/>
      <c r="JT94"/>
      <c r="JU94"/>
      <c r="JV94"/>
      <c r="JW94"/>
      <c r="JX94"/>
      <c r="JY94"/>
      <c r="JZ94"/>
      <c r="KA94"/>
      <c r="KB94"/>
      <c r="KC94"/>
      <c r="KD94"/>
      <c r="KE94"/>
      <c r="KF94"/>
      <c r="KG94"/>
      <c r="KH94"/>
      <c r="KI94"/>
      <c r="KJ94"/>
      <c r="KK94"/>
      <c r="KL94"/>
      <c r="KM94"/>
      <c r="KN94"/>
      <c r="KO94"/>
      <c r="KP94"/>
      <c r="KQ94"/>
      <c r="KR94"/>
      <c r="KS94"/>
      <c r="KT94"/>
      <c r="KU94"/>
      <c r="KV94"/>
      <c r="KW94"/>
      <c r="KX94"/>
      <c r="KY94"/>
      <c r="KZ94"/>
      <c r="LA94"/>
      <c r="LB94"/>
      <c r="LC94"/>
      <c r="LD94"/>
      <c r="LE94"/>
      <c r="LF94"/>
      <c r="LG94"/>
      <c r="LH94"/>
      <c r="LI94"/>
      <c r="LJ94"/>
      <c r="LK94"/>
      <c r="LL94"/>
      <c r="LM94"/>
      <c r="LN94"/>
      <c r="LO94"/>
      <c r="LP94"/>
      <c r="LQ94"/>
      <c r="LR94"/>
      <c r="LS94"/>
      <c r="LT94"/>
      <c r="LU94"/>
      <c r="LV94"/>
      <c r="LW94"/>
      <c r="LX94"/>
      <c r="LY94"/>
      <c r="LZ94"/>
      <c r="MA94"/>
      <c r="MB94"/>
      <c r="MC94"/>
      <c r="MD94"/>
      <c r="ME94"/>
      <c r="MF94"/>
      <c r="MG94"/>
      <c r="MH94"/>
      <c r="MI94"/>
      <c r="MJ94"/>
      <c r="MK94"/>
      <c r="ML94"/>
      <c r="MM94"/>
      <c r="MN94"/>
      <c r="MO94"/>
      <c r="MP94"/>
      <c r="MQ94"/>
      <c r="MR94"/>
      <c r="MS94"/>
      <c r="MT94"/>
      <c r="MU94"/>
      <c r="MV94"/>
      <c r="MW94"/>
      <c r="MX94"/>
      <c r="MY94"/>
      <c r="MZ94"/>
      <c r="NA94"/>
      <c r="NB94"/>
      <c r="NC94"/>
      <c r="ND94"/>
      <c r="NE94"/>
      <c r="NF94"/>
      <c r="NG94"/>
      <c r="NH94"/>
      <c r="NI94"/>
      <c r="NJ94"/>
      <c r="NK94"/>
      <c r="NL94"/>
      <c r="NM94"/>
      <c r="NN94"/>
    </row>
    <row r="95" spans="2:378" x14ac:dyDescent="0.3">
      <c r="B95" s="9">
        <v>43918</v>
      </c>
      <c r="C95" s="4">
        <v>88</v>
      </c>
      <c r="D95" s="10">
        <f>'dpc-covid19-ita-andamento-naz'!J35+'dpc-covid19-ita-andamento-naz'!K35</f>
        <v>22407</v>
      </c>
      <c r="E95" s="10">
        <f>Tabella8[[#This Row],[Italy cumulative]]*NOT(ISBLANK(Tabella8[[#This Row],[Italy cumulative]]))</f>
        <v>22407</v>
      </c>
      <c r="F95" s="10">
        <f>Tabella8[[#This Row],[region fit]]+Tabella8[[#This Row],[rest of Italy fit]]</f>
        <v>21885.658259656062</v>
      </c>
      <c r="G95" s="72">
        <f>Tabella8[[#This Row],[Italy sum of regions]]/K_sum</f>
        <v>9.7269592265138052E-2</v>
      </c>
      <c r="H95" s="10">
        <f>Tabella8[[#This Row],[Italy sum of regions]]*NOT(ISBLANK(Tabella8[[#This Row],[Italy cumulative]]))</f>
        <v>21885.658259656062</v>
      </c>
      <c r="I95" s="132">
        <f>MAX(Kt*(TANH(psi_t*(Tabella8[[#This Row],[Day]]-pt)-phi_t)+TANH(phi_t))/(1+TANH(phi_t)),0)</f>
        <v>21910.600525673406</v>
      </c>
      <c r="J95" s="109">
        <f>Tabella8[[#This Row],[Italy fit]]/Kt</f>
        <v>9.7380446780770694E-2</v>
      </c>
      <c r="K95" s="10">
        <f>Tabella8[[#This Row],[Italy fit]]*NOT(ISBLANK(Tabella8[[#This Row],[Italy cumulative]]))</f>
        <v>21910.600525673406</v>
      </c>
      <c r="L95" s="10">
        <f>Tabella8[[#This Row],[Italy sum of regions]]+CI</f>
        <v>24346.236014177397</v>
      </c>
      <c r="M95" s="10">
        <f>MAX(Tabella8[[#This Row],[Italy sum of regions]]-CI,0)</f>
        <v>19425.080505134727</v>
      </c>
      <c r="N95" s="57">
        <f t="shared" si="0"/>
        <v>736</v>
      </c>
      <c r="O95" s="10">
        <f>Tabella8[[#This Row],[region data]]*NOT(ISBLANK(Tabella8[[#This Row],[region data]]))</f>
        <v>736</v>
      </c>
      <c r="P95" s="107">
        <f>MAX(Kr*(TANH(psi_r*(Tabella8[[#This Row],[Day]]-pr)-phi_r)+TANH(phi_r))/(1+TANH(phi_r)),0)</f>
        <v>713.7833511598343</v>
      </c>
      <c r="Q95" s="107">
        <f>Tabella8[[#This Row],[region fit]]/Kr</f>
        <v>7.9574509605332702E-2</v>
      </c>
      <c r="R95" s="10">
        <f>Tabella8[[#This Row],[region fit]]*NOT(ISBLANK(Tabella8[[#This Row],[region data]]))</f>
        <v>713.7833511598343</v>
      </c>
      <c r="S95" s="10">
        <f>Tabella8[[#This Row],[region fit]]+CIr</f>
        <v>799.8026286247034</v>
      </c>
      <c r="T95" s="10">
        <f>MAX(Tabella8[[#This Row],[region fit]]-CIr,0)</f>
        <v>627.76407369496519</v>
      </c>
      <c r="U95" s="10">
        <f>Tabella8[[#This Row],[Italy cumulative]]-Tabella8[[#This Row],[region data]]</f>
        <v>21671</v>
      </c>
      <c r="V95" s="10">
        <f>Tabella8[[#This Row],[rest of Italy ]]*NOT(ISBLANK(Tabella8[[#This Row],[rest of Italy ]]))</f>
        <v>21671</v>
      </c>
      <c r="W95" s="108">
        <f>MAX(Ko*(TANH(psi_o*(Tabella8[[#This Row],[Day]]-po)-phi_o)+TANH(phi_o))/(1+TANH(phi_o)),0)</f>
        <v>21171.874908496229</v>
      </c>
      <c r="X95" s="108">
        <f>Tabella8[[#This Row],[rest of Italy fit]]/Ko</f>
        <v>9.8004327679008602E-2</v>
      </c>
      <c r="Y95" s="22">
        <f>Tabella8[[#This Row],[rest of Italy fit]]*NOT(ISBLANK(Tabella8[[#This Row],[rest of Italy ]]))</f>
        <v>21171.874908496229</v>
      </c>
      <c r="Z95" s="10">
        <f>Tabella8[[#This Row],[rest of Italy fit]]+CIo</f>
        <v>23656.211602430929</v>
      </c>
      <c r="AA95" s="10">
        <f>MAX(Tabella8[[#This Row],[rest of Italy fit]]-CIo,0)</f>
        <v>18687.538214561529</v>
      </c>
      <c r="AC95" s="55" t="s">
        <v>175</v>
      </c>
      <c r="AD95" s="87">
        <v>767</v>
      </c>
      <c r="AE95" s="87">
        <v>542</v>
      </c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 s="65"/>
      <c r="AY95" s="65"/>
      <c r="AZ95" s="79"/>
      <c r="BA95" s="32"/>
      <c r="BB95" s="32"/>
      <c r="BC95" s="79"/>
      <c r="BD95" s="68"/>
      <c r="BE95" s="68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  <c r="IW95"/>
      <c r="IX95"/>
      <c r="IY95"/>
      <c r="IZ95"/>
      <c r="JA95"/>
      <c r="JB95"/>
      <c r="JC95"/>
      <c r="JD95"/>
      <c r="JE95"/>
      <c r="JF95"/>
      <c r="JG95"/>
      <c r="JH95"/>
      <c r="JI95"/>
      <c r="JJ95"/>
      <c r="JK95"/>
      <c r="JL95"/>
      <c r="JM95"/>
      <c r="JN95"/>
      <c r="JO95"/>
      <c r="JP95"/>
      <c r="JQ95"/>
      <c r="JR95"/>
      <c r="JS95"/>
      <c r="JT95"/>
      <c r="JU95"/>
      <c r="JV95"/>
      <c r="JW95"/>
      <c r="JX95"/>
      <c r="JY95"/>
      <c r="JZ95"/>
      <c r="KA95"/>
      <c r="KB95"/>
      <c r="KC95"/>
      <c r="KD95"/>
      <c r="KE95"/>
      <c r="KF95"/>
      <c r="KG95"/>
      <c r="KH95"/>
      <c r="KI95"/>
      <c r="KJ95"/>
      <c r="KK95"/>
      <c r="KL95"/>
      <c r="KM95"/>
      <c r="KN95"/>
      <c r="KO95"/>
      <c r="KP95"/>
      <c r="KQ95"/>
      <c r="KR95"/>
      <c r="KS95"/>
      <c r="KT95"/>
      <c r="KU95"/>
      <c r="KV95"/>
      <c r="KW95"/>
      <c r="KX95"/>
      <c r="KY95"/>
      <c r="KZ95"/>
      <c r="LA95"/>
      <c r="LB95"/>
      <c r="LC95"/>
      <c r="LD95"/>
      <c r="LE95"/>
      <c r="LF95"/>
      <c r="LG95"/>
      <c r="LH95"/>
      <c r="LI95"/>
      <c r="LJ95"/>
      <c r="LK95"/>
      <c r="LL95"/>
      <c r="LM95"/>
      <c r="LN95"/>
      <c r="LO95"/>
      <c r="LP95"/>
      <c r="LQ95"/>
      <c r="LR95"/>
      <c r="LS95"/>
      <c r="LT95"/>
      <c r="LU95"/>
      <c r="LV95"/>
      <c r="LW95"/>
      <c r="LX95"/>
      <c r="LY95"/>
      <c r="LZ95"/>
      <c r="MA95"/>
      <c r="MB95"/>
      <c r="MC95"/>
      <c r="MD95"/>
      <c r="ME95"/>
      <c r="MF95"/>
      <c r="MG95"/>
      <c r="MH95"/>
      <c r="MI95"/>
      <c r="MJ95"/>
      <c r="MK95"/>
      <c r="ML95"/>
      <c r="MM95"/>
      <c r="MN95"/>
      <c r="MO95"/>
      <c r="MP95"/>
      <c r="MQ95"/>
      <c r="MR95"/>
      <c r="MS95"/>
      <c r="MT95"/>
      <c r="MU95"/>
      <c r="MV95"/>
      <c r="MW95"/>
      <c r="MX95"/>
      <c r="MY95"/>
      <c r="MZ95"/>
      <c r="NA95"/>
      <c r="NB95"/>
      <c r="NC95"/>
      <c r="ND95"/>
      <c r="NE95"/>
      <c r="NF95"/>
      <c r="NG95"/>
      <c r="NH95"/>
      <c r="NI95"/>
      <c r="NJ95"/>
      <c r="NK95"/>
      <c r="NL95"/>
      <c r="NM95"/>
      <c r="NN95"/>
    </row>
    <row r="96" spans="2:378" x14ac:dyDescent="0.3">
      <c r="B96" s="9">
        <v>43919</v>
      </c>
      <c r="C96" s="4">
        <v>89</v>
      </c>
      <c r="D96" s="10">
        <f>'dpc-covid19-ita-andamento-naz'!J36+'dpc-covid19-ita-andamento-naz'!K36</f>
        <v>23809</v>
      </c>
      <c r="E96" s="10">
        <f>Tabella8[[#This Row],[Italy cumulative]]*NOT(ISBLANK(Tabella8[[#This Row],[Italy cumulative]]))</f>
        <v>23809</v>
      </c>
      <c r="F96" s="10">
        <f>Tabella8[[#This Row],[region fit]]+Tabella8[[#This Row],[rest of Italy fit]]</f>
        <v>23565.842610167681</v>
      </c>
      <c r="G96" s="72">
        <f>Tabella8[[#This Row],[Italy sum of regions]]/K_sum</f>
        <v>0.10473707826741192</v>
      </c>
      <c r="H96" s="10">
        <f>Tabella8[[#This Row],[Italy sum of regions]]*NOT(ISBLANK(Tabella8[[#This Row],[Italy cumulative]]))</f>
        <v>23565.842610167681</v>
      </c>
      <c r="I96" s="132">
        <f>MAX(Kt*(TANH(psi_t*(Tabella8[[#This Row],[Day]]-pt)-phi_t)+TANH(phi_t))/(1+TANH(phi_t)),0)</f>
        <v>23587.809516367521</v>
      </c>
      <c r="J96" s="109">
        <f>Tabella8[[#This Row],[Italy fit]]/Kt</f>
        <v>0.10483470896163342</v>
      </c>
      <c r="K96" s="10">
        <f>Tabella8[[#This Row],[Italy fit]]*NOT(ISBLANK(Tabella8[[#This Row],[Italy cumulative]]))</f>
        <v>23587.809516367521</v>
      </c>
      <c r="L96" s="10">
        <f>Tabella8[[#This Row],[Italy sum of regions]]+CI</f>
        <v>26026.420364689016</v>
      </c>
      <c r="M96" s="10">
        <f>MAX(Tabella8[[#This Row],[Italy sum of regions]]-CI,0)</f>
        <v>21105.264855646346</v>
      </c>
      <c r="N96" s="57">
        <f t="shared" si="0"/>
        <v>797</v>
      </c>
      <c r="O96" s="10">
        <f>Tabella8[[#This Row],[region data]]*NOT(ISBLANK(Tabella8[[#This Row],[region data]]))</f>
        <v>797</v>
      </c>
      <c r="P96" s="107">
        <f>MAX(Kr*(TANH(psi_r*(Tabella8[[#This Row],[Day]]-pr)-phi_r)+TANH(phi_r))/(1+TANH(phi_r)),0)</f>
        <v>787.41917105948437</v>
      </c>
      <c r="Q96" s="107">
        <f>Tabella8[[#This Row],[region fit]]/Kr</f>
        <v>8.7783631110310414E-2</v>
      </c>
      <c r="R96" s="10">
        <f>Tabella8[[#This Row],[region fit]]*NOT(ISBLANK(Tabella8[[#This Row],[region data]]))</f>
        <v>787.41917105948437</v>
      </c>
      <c r="S96" s="10">
        <f>Tabella8[[#This Row],[region fit]]+CIr</f>
        <v>873.43844852435348</v>
      </c>
      <c r="T96" s="10">
        <f>MAX(Tabella8[[#This Row],[region fit]]-CIr,0)</f>
        <v>701.39989359461526</v>
      </c>
      <c r="U96" s="10">
        <f>Tabella8[[#This Row],[Italy cumulative]]-Tabella8[[#This Row],[region data]]</f>
        <v>23012</v>
      </c>
      <c r="V96" s="10">
        <f>Tabella8[[#This Row],[rest of Italy ]]*NOT(ISBLANK(Tabella8[[#This Row],[rest of Italy ]]))</f>
        <v>23012</v>
      </c>
      <c r="W96" s="108">
        <f>MAX(Ko*(TANH(psi_o*(Tabella8[[#This Row],[Day]]-po)-phi_o)+TANH(phi_o))/(1+TANH(phi_o)),0)</f>
        <v>22778.423439108195</v>
      </c>
      <c r="X96" s="108">
        <f>Tabella8[[#This Row],[rest of Italy fit]]/Ko</f>
        <v>0.10544101948390591</v>
      </c>
      <c r="Y96" s="22">
        <f>Tabella8[[#This Row],[rest of Italy fit]]*NOT(ISBLANK(Tabella8[[#This Row],[rest of Italy ]]))</f>
        <v>22778.423439108195</v>
      </c>
      <c r="Z96" s="10">
        <f>Tabella8[[#This Row],[rest of Italy fit]]+CIo</f>
        <v>25262.760133042895</v>
      </c>
      <c r="AA96" s="10">
        <f>MAX(Tabella8[[#This Row],[rest of Italy fit]]-CIo,0)</f>
        <v>20294.086745173496</v>
      </c>
      <c r="AC96" s="55" t="s">
        <v>176</v>
      </c>
      <c r="AD96" s="87">
        <v>800</v>
      </c>
      <c r="AE96" s="87">
        <v>556</v>
      </c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 s="65"/>
      <c r="AY96" s="65"/>
      <c r="AZ96" s="79"/>
      <c r="BA96" s="32"/>
      <c r="BB96" s="32"/>
      <c r="BC96" s="79"/>
      <c r="BD96" s="81"/>
      <c r="BE96" s="68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  <c r="IW96"/>
      <c r="IX96"/>
      <c r="IY96"/>
      <c r="IZ96"/>
      <c r="JA96"/>
      <c r="JB96"/>
      <c r="JC96"/>
      <c r="JD96"/>
      <c r="JE96"/>
      <c r="JF96"/>
      <c r="JG96"/>
      <c r="JH96"/>
      <c r="JI96"/>
      <c r="JJ96"/>
      <c r="JK96"/>
      <c r="JL96"/>
      <c r="JM96"/>
      <c r="JN96"/>
      <c r="JO96"/>
      <c r="JP96"/>
      <c r="JQ96"/>
      <c r="JR96"/>
      <c r="JS96"/>
      <c r="JT96"/>
      <c r="JU96"/>
      <c r="JV96"/>
      <c r="JW96"/>
      <c r="JX96"/>
      <c r="JY96"/>
      <c r="JZ96"/>
      <c r="KA96"/>
      <c r="KB96"/>
      <c r="KC96"/>
      <c r="KD96"/>
      <c r="KE96"/>
      <c r="KF96"/>
      <c r="KG96"/>
      <c r="KH96"/>
      <c r="KI96"/>
      <c r="KJ96"/>
      <c r="KK96"/>
      <c r="KL96"/>
      <c r="KM96"/>
      <c r="KN96"/>
      <c r="KO96"/>
      <c r="KP96"/>
      <c r="KQ96"/>
      <c r="KR96"/>
      <c r="KS96"/>
      <c r="KT96"/>
      <c r="KU96"/>
      <c r="KV96"/>
      <c r="KW96"/>
      <c r="KX96"/>
      <c r="KY96"/>
      <c r="KZ96"/>
      <c r="LA96"/>
      <c r="LB96"/>
      <c r="LC96"/>
      <c r="LD96"/>
      <c r="LE96"/>
      <c r="LF96"/>
      <c r="LG96"/>
      <c r="LH96"/>
      <c r="LI96"/>
      <c r="LJ96"/>
      <c r="LK96"/>
      <c r="LL96"/>
      <c r="LM96"/>
      <c r="LN96"/>
      <c r="LO96"/>
      <c r="LP96"/>
      <c r="LQ96"/>
      <c r="LR96"/>
      <c r="LS96"/>
      <c r="LT96"/>
      <c r="LU96"/>
      <c r="LV96"/>
      <c r="LW96"/>
      <c r="LX96"/>
      <c r="LY96"/>
      <c r="LZ96"/>
      <c r="MA96"/>
      <c r="MB96"/>
      <c r="MC96"/>
      <c r="MD96"/>
      <c r="ME96"/>
      <c r="MF96"/>
      <c r="MG96"/>
      <c r="MH96"/>
      <c r="MI96"/>
      <c r="MJ96"/>
      <c r="MK96"/>
      <c r="ML96"/>
      <c r="MM96"/>
      <c r="MN96"/>
      <c r="MO96"/>
      <c r="MP96"/>
      <c r="MQ96"/>
      <c r="MR96"/>
      <c r="MS96"/>
      <c r="MT96"/>
      <c r="MU96"/>
      <c r="MV96"/>
      <c r="MW96"/>
      <c r="MX96"/>
      <c r="MY96"/>
      <c r="MZ96"/>
      <c r="NA96"/>
      <c r="NB96"/>
      <c r="NC96"/>
      <c r="ND96"/>
      <c r="NE96"/>
      <c r="NF96"/>
      <c r="NG96"/>
      <c r="NH96"/>
      <c r="NI96"/>
      <c r="NJ96"/>
      <c r="NK96"/>
      <c r="NL96"/>
      <c r="NM96"/>
      <c r="NN96"/>
    </row>
    <row r="97" spans="2:378" x14ac:dyDescent="0.3">
      <c r="B97" s="9">
        <v>43920</v>
      </c>
      <c r="C97" s="4">
        <v>90</v>
      </c>
      <c r="D97" s="10">
        <f>'dpc-covid19-ita-andamento-naz'!J37+'dpc-covid19-ita-andamento-naz'!K37</f>
        <v>26211</v>
      </c>
      <c r="E97" s="10">
        <f>Tabella8[[#This Row],[Italy cumulative]]*NOT(ISBLANK(Tabella8[[#This Row],[Italy cumulative]]))</f>
        <v>26211</v>
      </c>
      <c r="F97" s="10">
        <f>Tabella8[[#This Row],[region fit]]+Tabella8[[#This Row],[rest of Italy fit]]</f>
        <v>25301.334112205797</v>
      </c>
      <c r="G97" s="72">
        <f>Tabella8[[#This Row],[Italy sum of regions]]/K_sum</f>
        <v>0.11245037383202576</v>
      </c>
      <c r="H97" s="10">
        <f>Tabella8[[#This Row],[Italy sum of regions]]*NOT(ISBLANK(Tabella8[[#This Row],[Italy cumulative]]))</f>
        <v>25301.334112205797</v>
      </c>
      <c r="I97" s="132">
        <f>MAX(Kt*(TANH(psi_t*(Tabella8[[#This Row],[Day]]-pt)-phi_t)+TANH(phi_t))/(1+TANH(phi_t)),0)</f>
        <v>25320.355274959162</v>
      </c>
      <c r="J97" s="109">
        <f>Tabella8[[#This Row],[Italy fit]]/Kt</f>
        <v>0.11253491233315183</v>
      </c>
      <c r="K97" s="10">
        <f>Tabella8[[#This Row],[Italy fit]]*NOT(ISBLANK(Tabella8[[#This Row],[Italy cumulative]]))</f>
        <v>25320.355274959162</v>
      </c>
      <c r="L97" s="10">
        <f>Tabella8[[#This Row],[Italy sum of regions]]+CI</f>
        <v>27761.911866727132</v>
      </c>
      <c r="M97" s="10">
        <f>MAX(Tabella8[[#This Row],[Italy sum of regions]]-CI,0)</f>
        <v>22840.756357684462</v>
      </c>
      <c r="N97" s="57">
        <f t="shared" si="0"/>
        <v>834</v>
      </c>
      <c r="O97" s="10">
        <f>Tabella8[[#This Row],[region data]]*NOT(ISBLANK(Tabella8[[#This Row],[region data]]))</f>
        <v>834</v>
      </c>
      <c r="P97" s="107">
        <f>MAX(Kr*(TANH(psi_r*(Tabella8[[#This Row],[Day]]-pr)-phi_r)+TANH(phi_r))/(1+TANH(phi_r)),0)</f>
        <v>863.9113760946401</v>
      </c>
      <c r="Q97" s="107">
        <f>Tabella8[[#This Row],[region fit]]/Kr</f>
        <v>9.6311190200071367E-2</v>
      </c>
      <c r="R97" s="10">
        <f>Tabella8[[#This Row],[region fit]]*NOT(ISBLANK(Tabella8[[#This Row],[region data]]))</f>
        <v>863.9113760946401</v>
      </c>
      <c r="S97" s="10">
        <f>Tabella8[[#This Row],[region fit]]+CIr</f>
        <v>949.93065355950921</v>
      </c>
      <c r="T97" s="10">
        <f>MAX(Tabella8[[#This Row],[region fit]]-CIr,0)</f>
        <v>777.892098629771</v>
      </c>
      <c r="U97" s="10">
        <f>Tabella8[[#This Row],[Italy cumulative]]-Tabella8[[#This Row],[region data]]</f>
        <v>25377</v>
      </c>
      <c r="V97" s="10">
        <f>Tabella8[[#This Row],[rest of Italy ]]*NOT(ISBLANK(Tabella8[[#This Row],[rest of Italy ]]))</f>
        <v>25377</v>
      </c>
      <c r="W97" s="108">
        <f>MAX(Ko*(TANH(psi_o*(Tabella8[[#This Row],[Day]]-po)-phi_o)+TANH(phi_o))/(1+TANH(phi_o)),0)</f>
        <v>24437.422736111159</v>
      </c>
      <c r="X97" s="108">
        <f>Tabella8[[#This Row],[rest of Italy fit]]/Ko</f>
        <v>0.11312050518960866</v>
      </c>
      <c r="Y97" s="22">
        <f>Tabella8[[#This Row],[rest of Italy fit]]*NOT(ISBLANK(Tabella8[[#This Row],[rest of Italy ]]))</f>
        <v>24437.422736111159</v>
      </c>
      <c r="Z97" s="10">
        <f>Tabella8[[#This Row],[rest of Italy fit]]+CIo</f>
        <v>26921.759430045859</v>
      </c>
      <c r="AA97" s="10">
        <f>MAX(Tabella8[[#This Row],[rest of Italy fit]]-CIo,0)</f>
        <v>21953.086042176459</v>
      </c>
      <c r="AC97" s="55" t="s">
        <v>177</v>
      </c>
      <c r="AD97" s="87">
        <v>837</v>
      </c>
      <c r="AE97" s="87">
        <v>595</v>
      </c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 s="65"/>
      <c r="AY97" s="65"/>
      <c r="AZ97"/>
      <c r="BA97" s="32"/>
      <c r="BB97" s="32"/>
      <c r="BC97"/>
      <c r="BD97" s="81"/>
      <c r="BE97" s="68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  <c r="IW97"/>
      <c r="IX97"/>
      <c r="IY97"/>
      <c r="IZ97"/>
      <c r="JA97"/>
      <c r="JB97"/>
      <c r="JC97"/>
      <c r="JD97"/>
      <c r="JE97"/>
      <c r="JF97"/>
      <c r="JG97"/>
      <c r="JH97"/>
      <c r="JI97"/>
      <c r="JJ97"/>
      <c r="JK97"/>
      <c r="JL97"/>
      <c r="JM97"/>
      <c r="JN97"/>
      <c r="JO97"/>
      <c r="JP97"/>
      <c r="JQ97"/>
      <c r="JR97"/>
      <c r="JS97"/>
      <c r="JT97"/>
      <c r="JU97"/>
      <c r="JV97"/>
      <c r="JW97"/>
      <c r="JX97"/>
      <c r="JY97"/>
      <c r="JZ97"/>
      <c r="KA97"/>
      <c r="KB97"/>
      <c r="KC97"/>
      <c r="KD97"/>
      <c r="KE97"/>
      <c r="KF97"/>
      <c r="KG97"/>
      <c r="KH97"/>
      <c r="KI97"/>
      <c r="KJ97"/>
      <c r="KK97"/>
      <c r="KL97"/>
      <c r="KM97"/>
      <c r="KN97"/>
      <c r="KO97"/>
      <c r="KP97"/>
      <c r="KQ97"/>
      <c r="KR97"/>
      <c r="KS97"/>
      <c r="KT97"/>
      <c r="KU97"/>
      <c r="KV97"/>
      <c r="KW97"/>
      <c r="KX97"/>
      <c r="KY97"/>
      <c r="KZ97"/>
      <c r="LA97"/>
      <c r="LB97"/>
      <c r="LC97"/>
      <c r="LD97"/>
      <c r="LE97"/>
      <c r="LF97"/>
      <c r="LG97"/>
      <c r="LH97"/>
      <c r="LI97"/>
      <c r="LJ97"/>
      <c r="LK97"/>
      <c r="LL97"/>
      <c r="LM97"/>
      <c r="LN97"/>
      <c r="LO97"/>
      <c r="LP97"/>
      <c r="LQ97"/>
      <c r="LR97"/>
      <c r="LS97"/>
      <c r="LT97"/>
      <c r="LU97"/>
      <c r="LV97"/>
      <c r="LW97"/>
      <c r="LX97"/>
      <c r="LY97"/>
      <c r="LZ97"/>
      <c r="MA97"/>
      <c r="MB97"/>
      <c r="MC97"/>
      <c r="MD97"/>
      <c r="ME97"/>
      <c r="MF97"/>
      <c r="MG97"/>
      <c r="MH97"/>
      <c r="MI97"/>
      <c r="MJ97"/>
      <c r="MK97"/>
      <c r="ML97"/>
      <c r="MM97"/>
      <c r="MN97"/>
      <c r="MO97"/>
      <c r="MP97"/>
      <c r="MQ97"/>
      <c r="MR97"/>
      <c r="MS97"/>
      <c r="MT97"/>
      <c r="MU97"/>
      <c r="MV97"/>
      <c r="MW97"/>
      <c r="MX97"/>
      <c r="MY97"/>
      <c r="MZ97"/>
      <c r="NA97"/>
      <c r="NB97"/>
      <c r="NC97"/>
      <c r="ND97"/>
      <c r="NE97"/>
      <c r="NF97"/>
      <c r="NG97"/>
      <c r="NH97"/>
      <c r="NI97"/>
      <c r="NJ97"/>
      <c r="NK97"/>
      <c r="NL97"/>
      <c r="NM97"/>
      <c r="NN97"/>
    </row>
    <row r="98" spans="2:378" x14ac:dyDescent="0.3">
      <c r="B98" s="9">
        <v>43921</v>
      </c>
      <c r="C98" s="4">
        <v>91</v>
      </c>
      <c r="D98" s="10">
        <f>'dpc-covid19-ita-andamento-naz'!J38+'dpc-covid19-ita-andamento-naz'!K38</f>
        <v>28157</v>
      </c>
      <c r="E98" s="10">
        <f>Tabella8[[#This Row],[Italy cumulative]]*NOT(ISBLANK(Tabella8[[#This Row],[Italy cumulative]]))</f>
        <v>28157</v>
      </c>
      <c r="F98" s="10">
        <f>Tabella8[[#This Row],[region fit]]+Tabella8[[#This Row],[rest of Italy fit]]</f>
        <v>27092.69261731868</v>
      </c>
      <c r="G98" s="72">
        <f>Tabella8[[#This Row],[Italy sum of regions]]/K_sum</f>
        <v>0.12041196718808303</v>
      </c>
      <c r="H98" s="10">
        <f>Tabella8[[#This Row],[Italy sum of regions]]*NOT(ISBLANK(Tabella8[[#This Row],[Italy cumulative]]))</f>
        <v>27092.69261731868</v>
      </c>
      <c r="I98" s="132">
        <f>MAX(Kt*(TANH(psi_t*(Tabella8[[#This Row],[Day]]-pt)-phi_t)+TANH(phi_t))/(1+TANH(phi_t)),0)</f>
        <v>27108.803725840477</v>
      </c>
      <c r="J98" s="109">
        <f>Tabella8[[#This Row],[Italy fit]]/Kt</f>
        <v>0.12048357211484656</v>
      </c>
      <c r="K98" s="10">
        <f>Tabella8[[#This Row],[Italy fit]]*NOT(ISBLANK(Tabella8[[#This Row],[Italy cumulative]]))</f>
        <v>27108.803725840477</v>
      </c>
      <c r="L98" s="10">
        <f>Tabella8[[#This Row],[Italy sum of regions]]+CI</f>
        <v>29553.270371840015</v>
      </c>
      <c r="M98" s="10">
        <f>MAX(Tabella8[[#This Row],[Italy sum of regions]]-CI,0)</f>
        <v>24632.114862797345</v>
      </c>
      <c r="N98" s="57">
        <f t="shared" si="0"/>
        <v>908</v>
      </c>
      <c r="O98" s="10">
        <f>Tabella8[[#This Row],[region data]]*NOT(ISBLANK(Tabella8[[#This Row],[region data]]))</f>
        <v>908</v>
      </c>
      <c r="P98" s="107">
        <f>MAX(Kr*(TANH(psi_r*(Tabella8[[#This Row],[Day]]-pr)-phi_r)+TANH(phi_r))/(1+TANH(phi_r)),0)</f>
        <v>943.30061913025622</v>
      </c>
      <c r="Q98" s="107">
        <f>Tabella8[[#This Row],[region fit]]/Kr</f>
        <v>0.10516171896658374</v>
      </c>
      <c r="R98" s="10">
        <f>Tabella8[[#This Row],[region fit]]*NOT(ISBLANK(Tabella8[[#This Row],[region data]]))</f>
        <v>943.30061913025622</v>
      </c>
      <c r="S98" s="10">
        <f>Tabella8[[#This Row],[region fit]]+CIr</f>
        <v>1029.3198965951253</v>
      </c>
      <c r="T98" s="10">
        <f>MAX(Tabella8[[#This Row],[region fit]]-CIr,0)</f>
        <v>857.28134166538712</v>
      </c>
      <c r="U98" s="10">
        <f>Tabella8[[#This Row],[Italy cumulative]]-Tabella8[[#This Row],[region data]]</f>
        <v>27249</v>
      </c>
      <c r="V98" s="10">
        <f>Tabella8[[#This Row],[rest of Italy ]]*NOT(ISBLANK(Tabella8[[#This Row],[rest of Italy ]]))</f>
        <v>27249</v>
      </c>
      <c r="W98" s="108">
        <f>MAX(Ko*(TANH(psi_o*(Tabella8[[#This Row],[Day]]-po)-phi_o)+TANH(phi_o))/(1+TANH(phi_o)),0)</f>
        <v>26149.391998188425</v>
      </c>
      <c r="X98" s="108">
        <f>Tabella8[[#This Row],[rest of Italy fit]]/Ko</f>
        <v>0.1210451881599242</v>
      </c>
      <c r="Y98" s="22">
        <f>Tabella8[[#This Row],[rest of Italy fit]]*NOT(ISBLANK(Tabella8[[#This Row],[rest of Italy ]]))</f>
        <v>26149.391998188425</v>
      </c>
      <c r="Z98" s="10">
        <f>Tabella8[[#This Row],[rest of Italy fit]]+CIo</f>
        <v>28633.728692123124</v>
      </c>
      <c r="AA98" s="10">
        <f>MAX(Tabella8[[#This Row],[rest of Italy fit]]-CIo,0)</f>
        <v>23665.055304253725</v>
      </c>
      <c r="AC98" s="55" t="s">
        <v>178</v>
      </c>
      <c r="AD98" s="87">
        <v>925</v>
      </c>
      <c r="AE98" s="87">
        <v>620</v>
      </c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 s="65"/>
      <c r="AY98" s="65"/>
      <c r="AZ98"/>
      <c r="BA98" s="32"/>
      <c r="BB98" s="32"/>
      <c r="BC98"/>
      <c r="BD98" s="81"/>
      <c r="BE98" s="6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  <c r="IW98"/>
      <c r="IX98"/>
      <c r="IY98"/>
      <c r="IZ98"/>
      <c r="JA98"/>
      <c r="JB98"/>
      <c r="JC98"/>
      <c r="JD98"/>
      <c r="JE98"/>
      <c r="JF98"/>
      <c r="JG98"/>
      <c r="JH98"/>
      <c r="JI98"/>
      <c r="JJ98"/>
      <c r="JK98"/>
      <c r="JL98"/>
      <c r="JM98"/>
      <c r="JN98"/>
      <c r="JO98"/>
      <c r="JP98"/>
      <c r="JQ98"/>
      <c r="JR98"/>
      <c r="JS98"/>
      <c r="JT98"/>
      <c r="JU98"/>
      <c r="JV98"/>
      <c r="JW98"/>
      <c r="JX98"/>
      <c r="JY98"/>
      <c r="JZ98"/>
      <c r="KA98"/>
      <c r="KB98"/>
      <c r="KC98"/>
      <c r="KD98"/>
      <c r="KE98"/>
      <c r="KF98"/>
      <c r="KG98"/>
      <c r="KH98"/>
      <c r="KI98"/>
      <c r="KJ98"/>
      <c r="KK98"/>
      <c r="KL98"/>
      <c r="KM98"/>
      <c r="KN98"/>
      <c r="KO98"/>
      <c r="KP98"/>
      <c r="KQ98"/>
      <c r="KR98"/>
      <c r="KS98"/>
      <c r="KT98"/>
      <c r="KU98"/>
      <c r="KV98"/>
      <c r="KW98"/>
      <c r="KX98"/>
      <c r="KY98"/>
      <c r="KZ98"/>
      <c r="LA98"/>
      <c r="LB98"/>
      <c r="LC98"/>
      <c r="LD98"/>
      <c r="LE98"/>
      <c r="LF98"/>
      <c r="LG98"/>
      <c r="LH98"/>
      <c r="LI98"/>
      <c r="LJ98"/>
      <c r="LK98"/>
      <c r="LL98"/>
      <c r="LM98"/>
      <c r="LN98"/>
      <c r="LO98"/>
      <c r="LP98"/>
      <c r="LQ98"/>
      <c r="LR98"/>
      <c r="LS98"/>
      <c r="LT98"/>
      <c r="LU98"/>
      <c r="LV98"/>
      <c r="LW98"/>
      <c r="LX98"/>
      <c r="LY98"/>
      <c r="LZ98"/>
      <c r="MA98"/>
      <c r="MB98"/>
      <c r="MC98"/>
      <c r="MD98"/>
      <c r="ME98"/>
      <c r="MF98"/>
      <c r="MG98"/>
      <c r="MH98"/>
      <c r="MI98"/>
      <c r="MJ98"/>
      <c r="MK98"/>
      <c r="ML98"/>
      <c r="MM98"/>
      <c r="MN98"/>
      <c r="MO98"/>
      <c r="MP98"/>
      <c r="MQ98"/>
      <c r="MR98"/>
      <c r="MS98"/>
      <c r="MT98"/>
      <c r="MU98"/>
      <c r="MV98"/>
      <c r="MW98"/>
      <c r="MX98"/>
      <c r="MY98"/>
      <c r="MZ98"/>
      <c r="NA98"/>
      <c r="NB98"/>
      <c r="NC98"/>
      <c r="ND98"/>
      <c r="NE98"/>
      <c r="NF98"/>
      <c r="NG98"/>
      <c r="NH98"/>
      <c r="NI98"/>
      <c r="NJ98"/>
      <c r="NK98"/>
      <c r="NL98"/>
      <c r="NM98"/>
      <c r="NN98"/>
    </row>
    <row r="99" spans="2:378" x14ac:dyDescent="0.3">
      <c r="B99" s="9">
        <v>43922</v>
      </c>
      <c r="C99" s="4">
        <v>92</v>
      </c>
      <c r="D99" s="10">
        <f>'dpc-covid19-ita-andamento-naz'!J39+'dpc-covid19-ita-andamento-naz'!K39</f>
        <v>30002</v>
      </c>
      <c r="E99" s="10">
        <f>Tabella8[[#This Row],[Italy cumulative]]*NOT(ISBLANK(Tabella8[[#This Row],[Italy cumulative]]))</f>
        <v>30002</v>
      </c>
      <c r="F99" s="10">
        <f>Tabella8[[#This Row],[region fit]]+Tabella8[[#This Row],[rest of Italy fit]]</f>
        <v>28940.373905526001</v>
      </c>
      <c r="G99" s="72">
        <f>Tabella8[[#This Row],[Italy sum of regions]]/K_sum</f>
        <v>0.12862388402456001</v>
      </c>
      <c r="H99" s="10">
        <f>Tabella8[[#This Row],[Italy sum of regions]]*NOT(ISBLANK(Tabella8[[#This Row],[Italy cumulative]]))</f>
        <v>28940.373905526001</v>
      </c>
      <c r="I99" s="132">
        <f>MAX(Kt*(TANH(psi_t*(Tabella8[[#This Row],[Day]]-pt)-phi_t)+TANH(phi_t))/(1+TANH(phi_t)),0)</f>
        <v>28953.617179946959</v>
      </c>
      <c r="J99" s="109">
        <f>Tabella8[[#This Row],[Italy fit]]/Kt</f>
        <v>0.12868274302198648</v>
      </c>
      <c r="K99" s="10">
        <f>Tabella8[[#This Row],[Italy fit]]*NOT(ISBLANK(Tabella8[[#This Row],[Italy cumulative]]))</f>
        <v>28953.617179946959</v>
      </c>
      <c r="L99" s="10">
        <f>Tabella8[[#This Row],[Italy sum of regions]]+CI</f>
        <v>31400.951660047336</v>
      </c>
      <c r="M99" s="10">
        <f>MAX(Tabella8[[#This Row],[Italy sum of regions]]-CI,0)</f>
        <v>26479.796151004666</v>
      </c>
      <c r="N99" s="57">
        <f t="shared" si="0"/>
        <v>1015</v>
      </c>
      <c r="O99" s="10">
        <f>Tabella8[[#This Row],[region data]]*NOT(ISBLANK(Tabella8[[#This Row],[region data]]))</f>
        <v>1015</v>
      </c>
      <c r="P99" s="107">
        <f>MAX(Kr*(TANH(psi_r*(Tabella8[[#This Row],[Day]]-pr)-phi_r)+TANH(phi_r))/(1+TANH(phi_r)),0)</f>
        <v>1025.6211282791292</v>
      </c>
      <c r="Q99" s="107">
        <f>Tabella8[[#This Row],[region fit]]/Kr</f>
        <v>0.11433903325296869</v>
      </c>
      <c r="R99" s="10">
        <f>Tabella8[[#This Row],[region fit]]*NOT(ISBLANK(Tabella8[[#This Row],[region data]]))</f>
        <v>1025.6211282791292</v>
      </c>
      <c r="S99" s="10">
        <f>Tabella8[[#This Row],[region fit]]+CIr</f>
        <v>1111.6404057439981</v>
      </c>
      <c r="T99" s="10">
        <f>MAX(Tabella8[[#This Row],[region fit]]-CIr,0)</f>
        <v>939.60185081426005</v>
      </c>
      <c r="U99" s="10">
        <f>Tabella8[[#This Row],[Italy cumulative]]-Tabella8[[#This Row],[region data]]</f>
        <v>28987</v>
      </c>
      <c r="V99" s="10">
        <f>Tabella8[[#This Row],[rest of Italy ]]*NOT(ISBLANK(Tabella8[[#This Row],[rest of Italy ]]))</f>
        <v>28987</v>
      </c>
      <c r="W99" s="108">
        <f>MAX(Ko*(TANH(psi_o*(Tabella8[[#This Row],[Day]]-po)-phi_o)+TANH(phi_o))/(1+TANH(phi_o)),0)</f>
        <v>27914.752777246871</v>
      </c>
      <c r="X99" s="108">
        <f>Tabella8[[#This Row],[rest of Italy fit]]/Ko</f>
        <v>0.12921701975302907</v>
      </c>
      <c r="Y99" s="22">
        <f>Tabella8[[#This Row],[rest of Italy fit]]*NOT(ISBLANK(Tabella8[[#This Row],[rest of Italy ]]))</f>
        <v>27914.752777246871</v>
      </c>
      <c r="Z99" s="10">
        <f>Tabella8[[#This Row],[rest of Italy fit]]+CIo</f>
        <v>30399.089471181571</v>
      </c>
      <c r="AA99" s="10">
        <f>MAX(Tabella8[[#This Row],[rest of Italy fit]]-CIo,0)</f>
        <v>25430.416083312171</v>
      </c>
      <c r="AC99" s="55" t="s">
        <v>179</v>
      </c>
      <c r="AD99" s="87">
        <v>1007</v>
      </c>
      <c r="AE99" s="87">
        <v>654</v>
      </c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 s="65"/>
      <c r="AY99" s="65"/>
      <c r="AZ99"/>
      <c r="BA99" s="32"/>
      <c r="BB99" s="32"/>
      <c r="BC99"/>
      <c r="BD99" s="81"/>
      <c r="BE99" s="68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  <c r="FQ99"/>
      <c r="FR99"/>
      <c r="FS99"/>
      <c r="FT99"/>
      <c r="FU99"/>
      <c r="FV99"/>
      <c r="FW99"/>
      <c r="FX99"/>
      <c r="FY99"/>
      <c r="FZ99"/>
      <c r="GA99"/>
      <c r="GB99"/>
      <c r="GC99"/>
      <c r="GD99"/>
      <c r="GE99"/>
      <c r="GF99"/>
      <c r="GG99"/>
      <c r="GH99"/>
      <c r="GI99"/>
      <c r="GJ99"/>
      <c r="GK99"/>
      <c r="GL99"/>
      <c r="GM99"/>
      <c r="GN99"/>
      <c r="GO99"/>
      <c r="GP99"/>
      <c r="GQ99"/>
      <c r="GR99"/>
      <c r="GS99"/>
      <c r="GT99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  <c r="HO99"/>
      <c r="HP99"/>
      <c r="HQ99"/>
      <c r="HR99"/>
      <c r="HS99"/>
      <c r="HT99"/>
      <c r="HU99"/>
      <c r="HV99"/>
      <c r="HW99"/>
      <c r="HX99"/>
      <c r="HY99"/>
      <c r="HZ99"/>
      <c r="IA99"/>
      <c r="IB99"/>
      <c r="IC99"/>
      <c r="ID99"/>
      <c r="IE99"/>
      <c r="IF99"/>
      <c r="IG99"/>
      <c r="IH99"/>
      <c r="II99"/>
      <c r="IJ99"/>
      <c r="IK99"/>
      <c r="IL99"/>
      <c r="IM99"/>
      <c r="IN99"/>
      <c r="IO99"/>
      <c r="IP99"/>
      <c r="IQ99"/>
      <c r="IR99"/>
      <c r="IS99"/>
      <c r="IT99"/>
      <c r="IU99"/>
      <c r="IV99"/>
      <c r="IW99"/>
      <c r="IX99"/>
      <c r="IY99"/>
      <c r="IZ99"/>
      <c r="JA99"/>
      <c r="JB99"/>
      <c r="JC99"/>
      <c r="JD99"/>
      <c r="JE99"/>
      <c r="JF99"/>
      <c r="JG99"/>
      <c r="JH99"/>
      <c r="JI99"/>
      <c r="JJ99"/>
      <c r="JK99"/>
      <c r="JL99"/>
      <c r="JM99"/>
      <c r="JN99"/>
      <c r="JO99"/>
      <c r="JP99"/>
      <c r="JQ99"/>
      <c r="JR99"/>
      <c r="JS99"/>
      <c r="JT99"/>
      <c r="JU99"/>
      <c r="JV99"/>
      <c r="JW99"/>
      <c r="JX99"/>
      <c r="JY99"/>
      <c r="JZ99"/>
      <c r="KA99"/>
      <c r="KB99"/>
      <c r="KC99"/>
      <c r="KD99"/>
      <c r="KE99"/>
      <c r="KF99"/>
      <c r="KG99"/>
      <c r="KH99"/>
      <c r="KI99"/>
      <c r="KJ99"/>
      <c r="KK99"/>
      <c r="KL99"/>
      <c r="KM99"/>
      <c r="KN99"/>
      <c r="KO99"/>
      <c r="KP99"/>
      <c r="KQ99"/>
      <c r="KR99"/>
      <c r="KS99"/>
      <c r="KT99"/>
      <c r="KU99"/>
      <c r="KV99"/>
      <c r="KW99"/>
      <c r="KX99"/>
      <c r="KY99"/>
      <c r="KZ99"/>
      <c r="LA99"/>
      <c r="LB99"/>
      <c r="LC99"/>
      <c r="LD99"/>
      <c r="LE99"/>
      <c r="LF99"/>
      <c r="LG99"/>
      <c r="LH99"/>
      <c r="LI99"/>
      <c r="LJ99"/>
      <c r="LK99"/>
      <c r="LL99"/>
      <c r="LM99"/>
      <c r="LN99"/>
      <c r="LO99"/>
      <c r="LP99"/>
      <c r="LQ99"/>
      <c r="LR99"/>
      <c r="LS99"/>
      <c r="LT99"/>
      <c r="LU99"/>
      <c r="LV99"/>
      <c r="LW99"/>
      <c r="LX99"/>
      <c r="LY99"/>
      <c r="LZ99"/>
      <c r="MA99"/>
      <c r="MB99"/>
      <c r="MC99"/>
      <c r="MD99"/>
      <c r="ME99"/>
      <c r="MF99"/>
      <c r="MG99"/>
      <c r="MH99"/>
      <c r="MI99"/>
      <c r="MJ99"/>
      <c r="MK99"/>
      <c r="ML99"/>
      <c r="MM99"/>
      <c r="MN99"/>
      <c r="MO99"/>
      <c r="MP99"/>
      <c r="MQ99"/>
      <c r="MR99"/>
      <c r="MS99"/>
      <c r="MT99"/>
      <c r="MU99"/>
      <c r="MV99"/>
      <c r="MW99"/>
      <c r="MX99"/>
      <c r="MY99"/>
      <c r="MZ99"/>
      <c r="NA99"/>
      <c r="NB99"/>
      <c r="NC99"/>
      <c r="ND99"/>
      <c r="NE99"/>
      <c r="NF99"/>
      <c r="NG99"/>
      <c r="NH99"/>
      <c r="NI99"/>
      <c r="NJ99"/>
      <c r="NK99"/>
      <c r="NL99"/>
      <c r="NM99"/>
      <c r="NN99"/>
    </row>
    <row r="100" spans="2:378" x14ac:dyDescent="0.3">
      <c r="B100" s="9">
        <v>43923</v>
      </c>
      <c r="C100" s="4">
        <v>93</v>
      </c>
      <c r="D100" s="10">
        <f>'dpc-covid19-ita-andamento-naz'!J40+'dpc-covid19-ita-andamento-naz'!K40</f>
        <v>32193</v>
      </c>
      <c r="E100" s="10">
        <f>Tabella8[[#This Row],[Italy cumulative]]*NOT(ISBLANK(Tabella8[[#This Row],[Italy cumulative]]))</f>
        <v>32193</v>
      </c>
      <c r="F100" s="10">
        <f>Tabella8[[#This Row],[region fit]]+Tabella8[[#This Row],[rest of Italy fit]]</f>
        <v>30844.721093544871</v>
      </c>
      <c r="G100" s="72">
        <f>Tabella8[[#This Row],[Italy sum of regions]]/K_sum</f>
        <v>0.13708764930464387</v>
      </c>
      <c r="H100" s="10">
        <f>Tabella8[[#This Row],[Italy sum of regions]]*NOT(ISBLANK(Tabella8[[#This Row],[Italy cumulative]]))</f>
        <v>30844.721093544871</v>
      </c>
      <c r="I100" s="132">
        <f>MAX(Kt*(TANH(psi_t*(Tabella8[[#This Row],[Day]]-pt)-phi_t)+TANH(phi_t))/(1+TANH(phi_t)),0)</f>
        <v>30855.145769920447</v>
      </c>
      <c r="J100" s="109">
        <f>Tabella8[[#This Row],[Italy fit]]/Kt</f>
        <v>0.13713398119964643</v>
      </c>
      <c r="K100" s="10">
        <f>Tabella8[[#This Row],[Italy fit]]*NOT(ISBLANK(Tabella8[[#This Row],[Italy cumulative]]))</f>
        <v>30855.145769920447</v>
      </c>
      <c r="L100" s="10">
        <f>Tabella8[[#This Row],[Italy sum of regions]]+CI</f>
        <v>33305.29884806621</v>
      </c>
      <c r="M100" s="10">
        <f>MAX(Tabella8[[#This Row],[Italy sum of regions]]-CI,0)</f>
        <v>28384.143339023536</v>
      </c>
      <c r="N100" s="57">
        <f t="shared" si="0"/>
        <v>1122</v>
      </c>
      <c r="O100" s="10">
        <f>Tabella8[[#This Row],[region data]]*NOT(ISBLANK(Tabella8[[#This Row],[region data]]))</f>
        <v>1122</v>
      </c>
      <c r="P100" s="107">
        <f>MAX(Kr*(TANH(psi_r*(Tabella8[[#This Row],[Day]]-pr)-phi_r)+TANH(phi_r))/(1+TANH(phi_r)),0)</f>
        <v>1110.9000399457316</v>
      </c>
      <c r="Q100" s="107">
        <f>Tabella8[[#This Row],[region fit]]/Kr</f>
        <v>0.12384615829941266</v>
      </c>
      <c r="R100" s="10">
        <f>Tabella8[[#This Row],[region fit]]*NOT(ISBLANK(Tabella8[[#This Row],[region data]]))</f>
        <v>1110.9000399457316</v>
      </c>
      <c r="S100" s="10">
        <f>Tabella8[[#This Row],[region fit]]+CIr</f>
        <v>1196.9193174106008</v>
      </c>
      <c r="T100" s="10">
        <f>MAX(Tabella8[[#This Row],[region fit]]-CIr,0)</f>
        <v>1024.8807624808624</v>
      </c>
      <c r="U100" s="10">
        <f>Tabella8[[#This Row],[Italy cumulative]]-Tabella8[[#This Row],[region data]]</f>
        <v>31071</v>
      </c>
      <c r="V100" s="10">
        <f>Tabella8[[#This Row],[rest of Italy ]]*NOT(ISBLANK(Tabella8[[#This Row],[rest of Italy ]]))</f>
        <v>31071</v>
      </c>
      <c r="W100" s="108">
        <f>MAX(Ko*(TANH(psi_o*(Tabella8[[#This Row],[Day]]-po)-phi_o)+TANH(phi_o))/(1+TANH(phi_o)),0)</f>
        <v>29733.821053599138</v>
      </c>
      <c r="X100" s="108">
        <f>Tabella8[[#This Row],[rest of Italy fit]]/Ko</f>
        <v>0.13763746263759263</v>
      </c>
      <c r="Y100" s="22">
        <f>Tabella8[[#This Row],[rest of Italy fit]]*NOT(ISBLANK(Tabella8[[#This Row],[rest of Italy ]]))</f>
        <v>29733.821053599138</v>
      </c>
      <c r="Z100" s="10">
        <f>Tabella8[[#This Row],[rest of Italy fit]]+CIo</f>
        <v>32218.157747533838</v>
      </c>
      <c r="AA100" s="10">
        <f>MAX(Tabella8[[#This Row],[rest of Italy fit]]-CIo,0)</f>
        <v>27249.484359664439</v>
      </c>
      <c r="AC100" s="55" t="s">
        <v>180</v>
      </c>
      <c r="AD100" s="87">
        <v>1085</v>
      </c>
      <c r="AE100" s="87">
        <v>682</v>
      </c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 s="65"/>
      <c r="AY100" s="65"/>
      <c r="AZ100"/>
      <c r="BA100" s="32"/>
      <c r="BB100" s="32"/>
      <c r="BC100"/>
      <c r="BD100" s="81"/>
      <c r="BE100" s="68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  <c r="IW100"/>
      <c r="IX100"/>
      <c r="IY100"/>
      <c r="IZ100"/>
      <c r="JA100"/>
      <c r="JB100"/>
      <c r="JC100"/>
      <c r="JD100"/>
      <c r="JE100"/>
      <c r="JF100"/>
      <c r="JG100"/>
      <c r="JH100"/>
      <c r="JI100"/>
      <c r="JJ100"/>
      <c r="JK100"/>
      <c r="JL100"/>
      <c r="JM100"/>
      <c r="JN100"/>
      <c r="JO100"/>
      <c r="JP100"/>
      <c r="JQ100"/>
      <c r="JR100"/>
      <c r="JS100"/>
      <c r="JT100"/>
      <c r="JU100"/>
      <c r="JV100"/>
      <c r="JW100"/>
      <c r="JX100"/>
      <c r="JY100"/>
      <c r="JZ100"/>
      <c r="KA100"/>
      <c r="KB100"/>
      <c r="KC100"/>
      <c r="KD100"/>
      <c r="KE100"/>
      <c r="KF100"/>
      <c r="KG100"/>
      <c r="KH100"/>
      <c r="KI100"/>
      <c r="KJ100"/>
      <c r="KK100"/>
      <c r="KL100"/>
      <c r="KM100"/>
      <c r="KN100"/>
      <c r="KO100"/>
      <c r="KP100"/>
      <c r="KQ100"/>
      <c r="KR100"/>
      <c r="KS100"/>
      <c r="KT100"/>
      <c r="KU100"/>
      <c r="KV100"/>
      <c r="KW100"/>
      <c r="KX100"/>
      <c r="KY100"/>
      <c r="KZ100"/>
      <c r="LA100"/>
      <c r="LB100"/>
      <c r="LC100"/>
      <c r="LD100"/>
      <c r="LE100"/>
      <c r="LF100"/>
      <c r="LG100"/>
      <c r="LH100"/>
      <c r="LI100"/>
      <c r="LJ100"/>
      <c r="LK100"/>
      <c r="LL100"/>
      <c r="LM100"/>
      <c r="LN100"/>
      <c r="LO100"/>
      <c r="LP100"/>
      <c r="LQ100"/>
      <c r="LR100"/>
      <c r="LS100"/>
      <c r="LT100"/>
      <c r="LU100"/>
      <c r="LV100"/>
      <c r="LW100"/>
      <c r="LX100"/>
      <c r="LY100"/>
      <c r="LZ100"/>
      <c r="MA100"/>
      <c r="MB100"/>
      <c r="MC100"/>
      <c r="MD100"/>
      <c r="ME100"/>
      <c r="MF100"/>
      <c r="MG100"/>
      <c r="MH100"/>
      <c r="MI100"/>
      <c r="MJ100"/>
      <c r="MK100"/>
      <c r="ML100"/>
      <c r="MM100"/>
      <c r="MN100"/>
      <c r="MO100"/>
      <c r="MP100"/>
      <c r="MQ100"/>
      <c r="MR100"/>
      <c r="MS100"/>
      <c r="MT100"/>
      <c r="MU100"/>
      <c r="MV100"/>
      <c r="MW100"/>
      <c r="MX100"/>
      <c r="MY100"/>
      <c r="MZ100"/>
      <c r="NA100"/>
      <c r="NB100"/>
      <c r="NC100"/>
      <c r="ND100"/>
      <c r="NE100"/>
      <c r="NF100"/>
      <c r="NG100"/>
      <c r="NH100"/>
      <c r="NI100"/>
      <c r="NJ100"/>
      <c r="NK100"/>
      <c r="NL100"/>
      <c r="NM100"/>
      <c r="NN100"/>
    </row>
    <row r="101" spans="2:378" x14ac:dyDescent="0.3">
      <c r="B101" s="9">
        <v>43924</v>
      </c>
      <c r="C101" s="4">
        <v>94</v>
      </c>
      <c r="D101" s="10">
        <f>'dpc-covid19-ita-andamento-naz'!J41+'dpc-covid19-ita-andamento-naz'!K41</f>
        <v>34439</v>
      </c>
      <c r="E101" s="10">
        <f>Tabella8[[#This Row],[Italy cumulative]]*NOT(ISBLANK(Tabella8[[#This Row],[Italy cumulative]]))</f>
        <v>34439</v>
      </c>
      <c r="F101" s="10">
        <f>Tabella8[[#This Row],[region fit]]+Tabella8[[#This Row],[rest of Italy fit]]</f>
        <v>32805.956102221615</v>
      </c>
      <c r="G101" s="72">
        <f>Tabella8[[#This Row],[Italy sum of regions]]/K_sum</f>
        <v>0.14580424934320718</v>
      </c>
      <c r="H101" s="10">
        <f>Tabella8[[#This Row],[Italy sum of regions]]*NOT(ISBLANK(Tabella8[[#This Row],[Italy cumulative]]))</f>
        <v>32805.956102221615</v>
      </c>
      <c r="I101" s="132">
        <f>MAX(Kt*(TANH(psi_t*(Tabella8[[#This Row],[Day]]-pt)-phi_t)+TANH(phi_t))/(1+TANH(phi_t)),0)</f>
        <v>32813.618941838598</v>
      </c>
      <c r="J101" s="109">
        <f>Tabella8[[#This Row],[Italy fit]]/Kt</f>
        <v>0.14583830640817155</v>
      </c>
      <c r="K101" s="10">
        <f>Tabella8[[#This Row],[Italy fit]]*NOT(ISBLANK(Tabella8[[#This Row],[Italy cumulative]]))</f>
        <v>32813.618941838598</v>
      </c>
      <c r="L101" s="10">
        <f>Tabella8[[#This Row],[Italy sum of regions]]+CI</f>
        <v>35266.53385674295</v>
      </c>
      <c r="M101" s="10">
        <f>MAX(Tabella8[[#This Row],[Italy sum of regions]]-CI,0)</f>
        <v>30345.37834770028</v>
      </c>
      <c r="N101" s="57">
        <f t="shared" si="0"/>
        <v>1219</v>
      </c>
      <c r="O101" s="10">
        <f>Tabella8[[#This Row],[region data]]*NOT(ISBLANK(Tabella8[[#This Row],[region data]]))</f>
        <v>1219</v>
      </c>
      <c r="P101" s="107">
        <f>MAX(Kr*(TANH(psi_r*(Tabella8[[#This Row],[Day]]-pr)-phi_r)+TANH(phi_r))/(1+TANH(phi_r)),0)</f>
        <v>1199.1567304344867</v>
      </c>
      <c r="Q101" s="107">
        <f>Tabella8[[#This Row],[region fit]]/Kr</f>
        <v>0.13368525422903976</v>
      </c>
      <c r="R101" s="10">
        <f>Tabella8[[#This Row],[region fit]]*NOT(ISBLANK(Tabella8[[#This Row],[region data]]))</f>
        <v>1199.1567304344867</v>
      </c>
      <c r="S101" s="10">
        <f>Tabella8[[#This Row],[region fit]]+CIr</f>
        <v>1285.1760078993557</v>
      </c>
      <c r="T101" s="10">
        <f>MAX(Tabella8[[#This Row],[region fit]]-CIr,0)</f>
        <v>1113.1374529696177</v>
      </c>
      <c r="U101" s="10">
        <f>Tabella8[[#This Row],[Italy cumulative]]-Tabella8[[#This Row],[region data]]</f>
        <v>33220</v>
      </c>
      <c r="V101" s="10">
        <f>Tabella8[[#This Row],[rest of Italy ]]*NOT(ISBLANK(Tabella8[[#This Row],[rest of Italy ]]))</f>
        <v>33220</v>
      </c>
      <c r="W101" s="108">
        <f>MAX(Ko*(TANH(psi_o*(Tabella8[[#This Row],[Day]]-po)-phi_o)+TANH(phi_o))/(1+TANH(phi_o)),0)</f>
        <v>31606.799371787129</v>
      </c>
      <c r="X101" s="108">
        <f>Tabella8[[#This Row],[rest of Italy fit]]/Ko</f>
        <v>0.14630745438960852</v>
      </c>
      <c r="Y101" s="22">
        <f>Tabella8[[#This Row],[rest of Italy fit]]*NOT(ISBLANK(Tabella8[[#This Row],[rest of Italy ]]))</f>
        <v>31606.799371787129</v>
      </c>
      <c r="Z101" s="10">
        <f>Tabella8[[#This Row],[rest of Italy fit]]+CIo</f>
        <v>34091.136065721825</v>
      </c>
      <c r="AA101" s="10">
        <f>MAX(Tabella8[[#This Row],[rest of Italy fit]]-CIo,0)</f>
        <v>29122.462677852429</v>
      </c>
      <c r="AC101" s="55" t="s">
        <v>181</v>
      </c>
      <c r="AD101" s="87">
        <v>1181</v>
      </c>
      <c r="AE101" s="87">
        <v>709</v>
      </c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 s="65"/>
      <c r="AY101" s="65"/>
      <c r="AZ101"/>
      <c r="BA101" s="32"/>
      <c r="BB101" s="32"/>
      <c r="BC101"/>
      <c r="BD101" s="81"/>
      <c r="BE101" s="68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/>
      <c r="IV101"/>
      <c r="IW101"/>
      <c r="IX101"/>
      <c r="IY101"/>
      <c r="IZ101"/>
      <c r="JA101"/>
      <c r="JB101"/>
      <c r="JC101"/>
      <c r="JD101"/>
      <c r="JE101"/>
      <c r="JF101"/>
      <c r="JG101"/>
      <c r="JH101"/>
      <c r="JI101"/>
      <c r="JJ101"/>
      <c r="JK101"/>
      <c r="JL101"/>
      <c r="JM101"/>
      <c r="JN101"/>
      <c r="JO101"/>
      <c r="JP101"/>
      <c r="JQ101"/>
      <c r="JR101"/>
      <c r="JS101"/>
      <c r="JT101"/>
      <c r="JU101"/>
      <c r="JV101"/>
      <c r="JW101"/>
      <c r="JX101"/>
      <c r="JY101"/>
      <c r="JZ101"/>
      <c r="KA101"/>
      <c r="KB101"/>
      <c r="KC101"/>
      <c r="KD101"/>
      <c r="KE101"/>
      <c r="KF101"/>
      <c r="KG101"/>
      <c r="KH101"/>
      <c r="KI101"/>
      <c r="KJ101"/>
      <c r="KK101"/>
      <c r="KL101"/>
      <c r="KM101"/>
      <c r="KN101"/>
      <c r="KO101"/>
      <c r="KP101"/>
      <c r="KQ101"/>
      <c r="KR101"/>
      <c r="KS101"/>
      <c r="KT101"/>
      <c r="KU101"/>
      <c r="KV101"/>
      <c r="KW101"/>
      <c r="KX101"/>
      <c r="KY101"/>
      <c r="KZ101"/>
      <c r="LA101"/>
      <c r="LB101"/>
      <c r="LC101"/>
      <c r="LD101"/>
      <c r="LE101"/>
      <c r="LF101"/>
      <c r="LG101"/>
      <c r="LH101"/>
      <c r="LI101"/>
      <c r="LJ101"/>
      <c r="LK101"/>
      <c r="LL101"/>
      <c r="LM101"/>
      <c r="LN101"/>
      <c r="LO101"/>
      <c r="LP101"/>
      <c r="LQ101"/>
      <c r="LR101"/>
      <c r="LS101"/>
      <c r="LT101"/>
      <c r="LU101"/>
      <c r="LV101"/>
      <c r="LW101"/>
      <c r="LX101"/>
      <c r="LY101"/>
      <c r="LZ101"/>
      <c r="MA101"/>
      <c r="MB101"/>
      <c r="MC101"/>
      <c r="MD101"/>
      <c r="ME101"/>
      <c r="MF101"/>
      <c r="MG101"/>
      <c r="MH101"/>
      <c r="MI101"/>
      <c r="MJ101"/>
      <c r="MK101"/>
      <c r="ML101"/>
      <c r="MM101"/>
      <c r="MN101"/>
      <c r="MO101"/>
      <c r="MP101"/>
      <c r="MQ101"/>
      <c r="MR101"/>
      <c r="MS101"/>
      <c r="MT101"/>
      <c r="MU101"/>
      <c r="MV101"/>
      <c r="MW101"/>
      <c r="MX101"/>
      <c r="MY101"/>
      <c r="MZ101"/>
      <c r="NA101"/>
      <c r="NB101"/>
      <c r="NC101"/>
      <c r="ND101"/>
      <c r="NE101"/>
      <c r="NF101"/>
      <c r="NG101"/>
      <c r="NH101"/>
      <c r="NI101"/>
      <c r="NJ101"/>
      <c r="NK101"/>
      <c r="NL101"/>
      <c r="NM101"/>
      <c r="NN101"/>
    </row>
    <row r="102" spans="2:378" x14ac:dyDescent="0.3">
      <c r="B102" s="9">
        <v>43925</v>
      </c>
      <c r="C102" s="4">
        <v>95</v>
      </c>
      <c r="D102" s="10">
        <f>'dpc-covid19-ita-andamento-naz'!J42+'dpc-covid19-ita-andamento-naz'!K42</f>
        <v>36358</v>
      </c>
      <c r="E102" s="10">
        <f>Tabella8[[#This Row],[Italy cumulative]]*NOT(ISBLANK(Tabella8[[#This Row],[Italy cumulative]]))</f>
        <v>36358</v>
      </c>
      <c r="F102" s="10">
        <f>Tabella8[[#This Row],[region fit]]+Tabella8[[#This Row],[rest of Italy fit]]</f>
        <v>34824.171265119934</v>
      </c>
      <c r="G102" s="72">
        <f>Tabella8[[#This Row],[Italy sum of regions]]/K_sum</f>
        <v>0.15477409451164414</v>
      </c>
      <c r="H102" s="10">
        <f>Tabella8[[#This Row],[Italy sum of regions]]*NOT(ISBLANK(Tabella8[[#This Row],[Italy cumulative]]))</f>
        <v>34824.171265119934</v>
      </c>
      <c r="I102" s="132">
        <f>MAX(Kt*(TANH(psi_t*(Tabella8[[#This Row],[Day]]-pt)-phi_t)+TANH(phi_t))/(1+TANH(phi_t)),0)</f>
        <v>34829.137084278154</v>
      </c>
      <c r="J102" s="109">
        <f>Tabella8[[#This Row],[Italy fit]]/Kt</f>
        <v>0.15479616481901401</v>
      </c>
      <c r="K102" s="10">
        <f>Tabella8[[#This Row],[Italy fit]]*NOT(ISBLANK(Tabella8[[#This Row],[Italy cumulative]]))</f>
        <v>34829.137084278154</v>
      </c>
      <c r="L102" s="10">
        <f>Tabella8[[#This Row],[Italy sum of regions]]+CI</f>
        <v>37284.749019641269</v>
      </c>
      <c r="M102" s="10">
        <f>MAX(Tabella8[[#This Row],[Italy sum of regions]]-CI,0)</f>
        <v>32363.593510598599</v>
      </c>
      <c r="N102" s="57">
        <f t="shared" si="0"/>
        <v>1309</v>
      </c>
      <c r="O102" s="10">
        <f>Tabella8[[#This Row],[region data]]*NOT(ISBLANK(Tabella8[[#This Row],[region data]]))</f>
        <v>1309</v>
      </c>
      <c r="P102" s="107">
        <f>MAX(Kr*(TANH(psi_r*(Tabella8[[#This Row],[Day]]-pr)-phi_r)+TANH(phi_r))/(1+TANH(phi_r)),0)</f>
        <v>1290.4021537082767</v>
      </c>
      <c r="Q102" s="107">
        <f>Tabella8[[#This Row],[region fit]]/Kr</f>
        <v>0.14385754221942884</v>
      </c>
      <c r="R102" s="10">
        <f>Tabella8[[#This Row],[region fit]]*NOT(ISBLANK(Tabella8[[#This Row],[region data]]))</f>
        <v>1290.4021537082767</v>
      </c>
      <c r="S102" s="10">
        <f>Tabella8[[#This Row],[region fit]]+CIr</f>
        <v>1376.4214311731457</v>
      </c>
      <c r="T102" s="10">
        <f>MAX(Tabella8[[#This Row],[region fit]]-CIr,0)</f>
        <v>1204.3828762434077</v>
      </c>
      <c r="U102" s="10">
        <f>Tabella8[[#This Row],[Italy cumulative]]-Tabella8[[#This Row],[region data]]</f>
        <v>35049</v>
      </c>
      <c r="V102" s="10">
        <f>Tabella8[[#This Row],[rest of Italy ]]*NOT(ISBLANK(Tabella8[[#This Row],[rest of Italy ]]))</f>
        <v>35049</v>
      </c>
      <c r="W102" s="108">
        <f>MAX(Ko*(TANH(psi_o*(Tabella8[[#This Row],[Day]]-po)-phi_o)+TANH(phi_o))/(1+TANH(phi_o)),0)</f>
        <v>33533.769111411661</v>
      </c>
      <c r="X102" s="108">
        <f>Tabella8[[#This Row],[rest of Italy fit]]/Ko</f>
        <v>0.15522737171416776</v>
      </c>
      <c r="Y102" s="22">
        <f>Tabella8[[#This Row],[rest of Italy fit]]*NOT(ISBLANK(Tabella8[[#This Row],[rest of Italy ]]))</f>
        <v>33533.769111411661</v>
      </c>
      <c r="Z102" s="10">
        <f>Tabella8[[#This Row],[rest of Italy fit]]+CIo</f>
        <v>36018.105805346357</v>
      </c>
      <c r="AA102" s="10">
        <f>MAX(Tabella8[[#This Row],[rest of Italy fit]]-CIo,0)</f>
        <v>31049.432417476961</v>
      </c>
      <c r="AC102" s="55" t="s">
        <v>182</v>
      </c>
      <c r="AD102" s="87">
        <v>1309</v>
      </c>
      <c r="AE102" s="87">
        <v>734</v>
      </c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 s="65"/>
      <c r="AY102" s="65"/>
      <c r="AZ102"/>
      <c r="BA102" s="32"/>
      <c r="BB102" s="32"/>
      <c r="BC102"/>
      <c r="BD102" s="81"/>
      <c r="BE102" s="68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  <c r="DP102"/>
      <c r="DQ102"/>
      <c r="DR102"/>
      <c r="DS102"/>
      <c r="DT102"/>
      <c r="DU102"/>
      <c r="DV102"/>
      <c r="DW102"/>
      <c r="DX102"/>
      <c r="DY102"/>
      <c r="DZ102"/>
      <c r="EA102"/>
      <c r="EB102"/>
      <c r="EC102"/>
      <c r="ED102"/>
      <c r="EE102"/>
      <c r="EF102"/>
      <c r="EG102"/>
      <c r="EH102"/>
      <c r="EI102"/>
      <c r="EJ102"/>
      <c r="EK102"/>
      <c r="EL102"/>
      <c r="EM102"/>
      <c r="EN102"/>
      <c r="EO102"/>
      <c r="EP102"/>
      <c r="EQ102"/>
      <c r="ER102"/>
      <c r="ES102"/>
      <c r="ET102"/>
      <c r="EU102"/>
      <c r="EV102"/>
      <c r="EW102"/>
      <c r="EX102"/>
      <c r="EY102"/>
      <c r="EZ102"/>
      <c r="FA102"/>
      <c r="FB102"/>
      <c r="FC102"/>
      <c r="FD102"/>
      <c r="FE102"/>
      <c r="FF102"/>
      <c r="FG102"/>
      <c r="FH102"/>
      <c r="FI102"/>
      <c r="FJ102"/>
      <c r="FK102"/>
      <c r="FL102"/>
      <c r="FM102"/>
      <c r="FN102"/>
      <c r="FO102"/>
      <c r="FP102"/>
      <c r="FQ102"/>
      <c r="FR102"/>
      <c r="FS102"/>
      <c r="FT102"/>
      <c r="FU102"/>
      <c r="FV102"/>
      <c r="FW102"/>
      <c r="FX102"/>
      <c r="FY102"/>
      <c r="FZ102"/>
      <c r="GA102"/>
      <c r="GB102"/>
      <c r="GC102"/>
      <c r="GD102"/>
      <c r="GE102"/>
      <c r="GF102"/>
      <c r="GG102"/>
      <c r="GH102"/>
      <c r="GI102"/>
      <c r="GJ102"/>
      <c r="GK102"/>
      <c r="GL102"/>
      <c r="GM102"/>
      <c r="GN102"/>
      <c r="GO102"/>
      <c r="GP102"/>
      <c r="GQ102"/>
      <c r="GR102"/>
      <c r="GS102"/>
      <c r="GT102"/>
      <c r="GU102"/>
      <c r="GV102"/>
      <c r="GW102"/>
      <c r="GX102"/>
      <c r="GY102"/>
      <c r="GZ102"/>
      <c r="HA102"/>
      <c r="HB102"/>
      <c r="HC102"/>
      <c r="HD102"/>
      <c r="HE102"/>
      <c r="HF102"/>
      <c r="HG102"/>
      <c r="HH102"/>
      <c r="HI102"/>
      <c r="HJ102"/>
      <c r="HK102"/>
      <c r="HL102"/>
      <c r="HM102"/>
      <c r="HN102"/>
      <c r="HO102"/>
      <c r="HP102"/>
      <c r="HQ102"/>
      <c r="HR102"/>
      <c r="HS102"/>
      <c r="HT102"/>
      <c r="HU102"/>
      <c r="HV102"/>
      <c r="HW102"/>
      <c r="HX102"/>
      <c r="HY102"/>
      <c r="HZ102"/>
      <c r="IA102"/>
      <c r="IB102"/>
      <c r="IC102"/>
      <c r="ID102"/>
      <c r="IE102"/>
      <c r="IF102"/>
      <c r="IG102"/>
      <c r="IH102"/>
      <c r="II102"/>
      <c r="IJ102"/>
      <c r="IK102"/>
      <c r="IL102"/>
      <c r="IM102"/>
      <c r="IN102"/>
      <c r="IO102"/>
      <c r="IP102"/>
      <c r="IQ102"/>
      <c r="IR102"/>
      <c r="IS102"/>
      <c r="IT102"/>
      <c r="IU102"/>
      <c r="IV102"/>
      <c r="IW102"/>
      <c r="IX102"/>
      <c r="IY102"/>
      <c r="IZ102"/>
      <c r="JA102"/>
      <c r="JB102"/>
      <c r="JC102"/>
      <c r="JD102"/>
      <c r="JE102"/>
      <c r="JF102"/>
      <c r="JG102"/>
      <c r="JH102"/>
      <c r="JI102"/>
      <c r="JJ102"/>
      <c r="JK102"/>
      <c r="JL102"/>
      <c r="JM102"/>
      <c r="JN102"/>
      <c r="JO102"/>
      <c r="JP102"/>
      <c r="JQ102"/>
      <c r="JR102"/>
      <c r="JS102"/>
      <c r="JT102"/>
      <c r="JU102"/>
      <c r="JV102"/>
      <c r="JW102"/>
      <c r="JX102"/>
      <c r="JY102"/>
      <c r="JZ102"/>
      <c r="KA102"/>
      <c r="KB102"/>
      <c r="KC102"/>
      <c r="KD102"/>
      <c r="KE102"/>
      <c r="KF102"/>
      <c r="KG102"/>
      <c r="KH102"/>
      <c r="KI102"/>
      <c r="KJ102"/>
      <c r="KK102"/>
      <c r="KL102"/>
      <c r="KM102"/>
      <c r="KN102"/>
      <c r="KO102"/>
      <c r="KP102"/>
      <c r="KQ102"/>
      <c r="KR102"/>
      <c r="KS102"/>
      <c r="KT102"/>
      <c r="KU102"/>
      <c r="KV102"/>
      <c r="KW102"/>
      <c r="KX102"/>
      <c r="KY102"/>
      <c r="KZ102"/>
      <c r="LA102"/>
      <c r="LB102"/>
      <c r="LC102"/>
      <c r="LD102"/>
      <c r="LE102"/>
      <c r="LF102"/>
      <c r="LG102"/>
      <c r="LH102"/>
      <c r="LI102"/>
      <c r="LJ102"/>
      <c r="LK102"/>
      <c r="LL102"/>
      <c r="LM102"/>
      <c r="LN102"/>
      <c r="LO102"/>
      <c r="LP102"/>
      <c r="LQ102"/>
      <c r="LR102"/>
      <c r="LS102"/>
      <c r="LT102"/>
      <c r="LU102"/>
      <c r="LV102"/>
      <c r="LW102"/>
      <c r="LX102"/>
      <c r="LY102"/>
      <c r="LZ102"/>
      <c r="MA102"/>
      <c r="MB102"/>
      <c r="MC102"/>
      <c r="MD102"/>
      <c r="ME102"/>
      <c r="MF102"/>
      <c r="MG102"/>
      <c r="MH102"/>
      <c r="MI102"/>
      <c r="MJ102"/>
      <c r="MK102"/>
      <c r="ML102"/>
      <c r="MM102"/>
      <c r="MN102"/>
      <c r="MO102"/>
      <c r="MP102"/>
      <c r="MQ102"/>
      <c r="MR102"/>
      <c r="MS102"/>
      <c r="MT102"/>
      <c r="MU102"/>
      <c r="MV102"/>
      <c r="MW102"/>
      <c r="MX102"/>
      <c r="MY102"/>
      <c r="MZ102"/>
      <c r="NA102"/>
      <c r="NB102"/>
      <c r="NC102"/>
      <c r="ND102"/>
      <c r="NE102"/>
      <c r="NF102"/>
      <c r="NG102"/>
      <c r="NH102"/>
      <c r="NI102"/>
      <c r="NJ102"/>
      <c r="NK102"/>
      <c r="NL102"/>
      <c r="NM102"/>
      <c r="NN102"/>
    </row>
    <row r="103" spans="2:378" x14ac:dyDescent="0.3">
      <c r="B103" s="9">
        <v>43926</v>
      </c>
      <c r="C103" s="4">
        <v>96</v>
      </c>
      <c r="D103" s="10">
        <f>'dpc-covid19-ita-andamento-naz'!J43+'dpc-covid19-ita-andamento-naz'!K43</f>
        <v>37702</v>
      </c>
      <c r="E103" s="10">
        <f>Tabella8[[#This Row],[Italy cumulative]]*NOT(ISBLANK(Tabella8[[#This Row],[Italy cumulative]]))</f>
        <v>37702</v>
      </c>
      <c r="F103" s="10">
        <f>Tabella8[[#This Row],[region fit]]+Tabella8[[#This Row],[rest of Italy fit]]</f>
        <v>36899.321166705638</v>
      </c>
      <c r="G103" s="72">
        <f>Tabella8[[#This Row],[Italy sum of regions]]/K_sum</f>
        <v>0.16399698296313617</v>
      </c>
      <c r="H103" s="10">
        <f>Tabella8[[#This Row],[Italy sum of regions]]*NOT(ISBLANK(Tabella8[[#This Row],[Italy cumulative]]))</f>
        <v>36899.321166705638</v>
      </c>
      <c r="I103" s="132">
        <f>MAX(Kt*(TANH(psi_t*(Tabella8[[#This Row],[Day]]-pt)-phi_t)+TANH(phi_t))/(1+TANH(phi_t)),0)</f>
        <v>36901.663381846025</v>
      </c>
      <c r="J103" s="109">
        <f>Tabella8[[#This Row],[Italy fit]]/Kt</f>
        <v>0.16400739280820456</v>
      </c>
      <c r="K103" s="10">
        <f>Tabella8[[#This Row],[Italy fit]]*NOT(ISBLANK(Tabella8[[#This Row],[Italy cumulative]]))</f>
        <v>36901.663381846025</v>
      </c>
      <c r="L103" s="10">
        <f>Tabella8[[#This Row],[Italy sum of regions]]+CI</f>
        <v>39359.898921226973</v>
      </c>
      <c r="M103" s="10">
        <f>MAX(Tabella8[[#This Row],[Italy sum of regions]]-CI,0)</f>
        <v>34438.743412184303</v>
      </c>
      <c r="N103" s="57">
        <f t="shared" si="0"/>
        <v>1356</v>
      </c>
      <c r="O103" s="10">
        <f>Tabella8[[#This Row],[region data]]*NOT(ISBLANK(Tabella8[[#This Row],[region data]]))</f>
        <v>1356</v>
      </c>
      <c r="P103" s="107">
        <f>MAX(Kr*(TANH(psi_r*(Tabella8[[#This Row],[Day]]-pr)-phi_r)+TANH(phi_r))/(1+TANH(phi_r)),0)</f>
        <v>1384.6381936691487</v>
      </c>
      <c r="Q103" s="107">
        <f>Tabella8[[#This Row],[region fit]]/Kr</f>
        <v>0.15436323229310464</v>
      </c>
      <c r="R103" s="10">
        <f>Tabella8[[#This Row],[region fit]]*NOT(ISBLANK(Tabella8[[#This Row],[region data]]))</f>
        <v>1384.6381936691487</v>
      </c>
      <c r="S103" s="10">
        <f>Tabella8[[#This Row],[region fit]]+CIr</f>
        <v>1470.6574711340177</v>
      </c>
      <c r="T103" s="10">
        <f>MAX(Tabella8[[#This Row],[region fit]]-CIr,0)</f>
        <v>1298.6189162042797</v>
      </c>
      <c r="U103" s="10">
        <f>Tabella8[[#This Row],[Italy cumulative]]-Tabella8[[#This Row],[region data]]</f>
        <v>36346</v>
      </c>
      <c r="V103" s="10">
        <f>Tabella8[[#This Row],[rest of Italy ]]*NOT(ISBLANK(Tabella8[[#This Row],[rest of Italy ]]))</f>
        <v>36346</v>
      </c>
      <c r="W103" s="108">
        <f>MAX(Ko*(TANH(psi_o*(Tabella8[[#This Row],[Day]]-po)-phi_o)+TANH(phi_o))/(1+TANH(phi_o)),0)</f>
        <v>35514.682973036492</v>
      </c>
      <c r="X103" s="108">
        <f>Tabella8[[#This Row],[rest of Italy fit]]/Ko</f>
        <v>0.16439699566280835</v>
      </c>
      <c r="Y103" s="22">
        <f>Tabella8[[#This Row],[rest of Italy fit]]*NOT(ISBLANK(Tabella8[[#This Row],[rest of Italy ]]))</f>
        <v>35514.682973036492</v>
      </c>
      <c r="Z103" s="10">
        <f>Tabella8[[#This Row],[rest of Italy fit]]+CIo</f>
        <v>37999.019666971188</v>
      </c>
      <c r="AA103" s="10">
        <f>MAX(Tabella8[[#This Row],[rest of Italy fit]]-CIo,0)</f>
        <v>33030.346279101796</v>
      </c>
      <c r="AC103" s="55" t="s">
        <v>183</v>
      </c>
      <c r="AD103" s="87">
        <v>1412</v>
      </c>
      <c r="AE103" s="87">
        <v>749</v>
      </c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 s="65"/>
      <c r="AY103" s="65"/>
      <c r="AZ103"/>
      <c r="BA103" s="32"/>
      <c r="BB103" s="32"/>
      <c r="BC103"/>
      <c r="BD103" s="81"/>
      <c r="BE103" s="68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  <c r="DP103"/>
      <c r="DQ103"/>
      <c r="DR103"/>
      <c r="DS103"/>
      <c r="DT103"/>
      <c r="DU103"/>
      <c r="DV103"/>
      <c r="DW103"/>
      <c r="DX103"/>
      <c r="DY103"/>
      <c r="DZ103"/>
      <c r="EA103"/>
      <c r="EB103"/>
      <c r="EC103"/>
      <c r="ED103"/>
      <c r="EE103"/>
      <c r="EF103"/>
      <c r="EG103"/>
      <c r="EH103"/>
      <c r="EI103"/>
      <c r="EJ103"/>
      <c r="EK103"/>
      <c r="EL103"/>
      <c r="EM103"/>
      <c r="EN103"/>
      <c r="EO103"/>
      <c r="EP103"/>
      <c r="EQ103"/>
      <c r="ER103"/>
      <c r="ES103"/>
      <c r="ET103"/>
      <c r="EU103"/>
      <c r="EV103"/>
      <c r="EW103"/>
      <c r="EX103"/>
      <c r="EY103"/>
      <c r="EZ103"/>
      <c r="FA103"/>
      <c r="FB103"/>
      <c r="FC103"/>
      <c r="FD103"/>
      <c r="FE103"/>
      <c r="FF103"/>
      <c r="FG103"/>
      <c r="FH103"/>
      <c r="FI103"/>
      <c r="FJ103"/>
      <c r="FK103"/>
      <c r="FL103"/>
      <c r="FM103"/>
      <c r="FN103"/>
      <c r="FO103"/>
      <c r="FP103"/>
      <c r="FQ103"/>
      <c r="FR103"/>
      <c r="FS103"/>
      <c r="FT103"/>
      <c r="FU103"/>
      <c r="FV103"/>
      <c r="FW103"/>
      <c r="FX103"/>
      <c r="FY103"/>
      <c r="FZ103"/>
      <c r="GA103"/>
      <c r="GB103"/>
      <c r="GC103"/>
      <c r="GD103"/>
      <c r="GE103"/>
      <c r="GF103"/>
      <c r="GG103"/>
      <c r="GH103"/>
      <c r="GI103"/>
      <c r="GJ103"/>
      <c r="GK103"/>
      <c r="GL103"/>
      <c r="GM103"/>
      <c r="GN103"/>
      <c r="GO103"/>
      <c r="GP103"/>
      <c r="GQ103"/>
      <c r="GR103"/>
      <c r="GS103"/>
      <c r="GT103"/>
      <c r="GU103"/>
      <c r="GV103"/>
      <c r="GW103"/>
      <c r="GX103"/>
      <c r="GY103"/>
      <c r="GZ103"/>
      <c r="HA103"/>
      <c r="HB103"/>
      <c r="HC103"/>
      <c r="HD103"/>
      <c r="HE103"/>
      <c r="HF103"/>
      <c r="HG103"/>
      <c r="HH103"/>
      <c r="HI103"/>
      <c r="HJ103"/>
      <c r="HK103"/>
      <c r="HL103"/>
      <c r="HM103"/>
      <c r="HN103"/>
      <c r="HO103"/>
      <c r="HP103"/>
      <c r="HQ103"/>
      <c r="HR103"/>
      <c r="HS103"/>
      <c r="HT103"/>
      <c r="HU103"/>
      <c r="HV103"/>
      <c r="HW103"/>
      <c r="HX103"/>
      <c r="HY103"/>
      <c r="HZ103"/>
      <c r="IA103"/>
      <c r="IB103"/>
      <c r="IC103"/>
      <c r="ID103"/>
      <c r="IE103"/>
      <c r="IF103"/>
      <c r="IG103"/>
      <c r="IH103"/>
      <c r="II103"/>
      <c r="IJ103"/>
      <c r="IK103"/>
      <c r="IL103"/>
      <c r="IM103"/>
      <c r="IN103"/>
      <c r="IO103"/>
      <c r="IP103"/>
      <c r="IQ103"/>
      <c r="IR103"/>
      <c r="IS103"/>
      <c r="IT103"/>
      <c r="IU103"/>
      <c r="IV103"/>
      <c r="IW103"/>
      <c r="IX103"/>
      <c r="IY103"/>
      <c r="IZ103"/>
      <c r="JA103"/>
      <c r="JB103"/>
      <c r="JC103"/>
      <c r="JD103"/>
      <c r="JE103"/>
      <c r="JF103"/>
      <c r="JG103"/>
      <c r="JH103"/>
      <c r="JI103"/>
      <c r="JJ103"/>
      <c r="JK103"/>
      <c r="JL103"/>
      <c r="JM103"/>
      <c r="JN103"/>
      <c r="JO103"/>
      <c r="JP103"/>
      <c r="JQ103"/>
      <c r="JR103"/>
      <c r="JS103"/>
      <c r="JT103"/>
      <c r="JU103"/>
      <c r="JV103"/>
      <c r="JW103"/>
      <c r="JX103"/>
      <c r="JY103"/>
      <c r="JZ103"/>
      <c r="KA103"/>
      <c r="KB103"/>
      <c r="KC103"/>
      <c r="KD103"/>
      <c r="KE103"/>
      <c r="KF103"/>
      <c r="KG103"/>
      <c r="KH103"/>
      <c r="KI103"/>
      <c r="KJ103"/>
      <c r="KK103"/>
      <c r="KL103"/>
      <c r="KM103"/>
      <c r="KN103"/>
      <c r="KO103"/>
      <c r="KP103"/>
      <c r="KQ103"/>
      <c r="KR103"/>
      <c r="KS103"/>
      <c r="KT103"/>
      <c r="KU103"/>
      <c r="KV103"/>
      <c r="KW103"/>
      <c r="KX103"/>
      <c r="KY103"/>
      <c r="KZ103"/>
      <c r="LA103"/>
      <c r="LB103"/>
      <c r="LC103"/>
      <c r="LD103"/>
      <c r="LE103"/>
      <c r="LF103"/>
      <c r="LG103"/>
      <c r="LH103"/>
      <c r="LI103"/>
      <c r="LJ103"/>
      <c r="LK103"/>
      <c r="LL103"/>
      <c r="LM103"/>
      <c r="LN103"/>
      <c r="LO103"/>
      <c r="LP103"/>
      <c r="LQ103"/>
      <c r="LR103"/>
      <c r="LS103"/>
      <c r="LT103"/>
      <c r="LU103"/>
      <c r="LV103"/>
      <c r="LW103"/>
      <c r="LX103"/>
      <c r="LY103"/>
      <c r="LZ103"/>
      <c r="MA103"/>
      <c r="MB103"/>
      <c r="MC103"/>
      <c r="MD103"/>
      <c r="ME103"/>
      <c r="MF103"/>
      <c r="MG103"/>
      <c r="MH103"/>
      <c r="MI103"/>
      <c r="MJ103"/>
      <c r="MK103"/>
      <c r="ML103"/>
      <c r="MM103"/>
      <c r="MN103"/>
      <c r="MO103"/>
      <c r="MP103"/>
      <c r="MQ103"/>
      <c r="MR103"/>
      <c r="MS103"/>
      <c r="MT103"/>
      <c r="MU103"/>
      <c r="MV103"/>
      <c r="MW103"/>
      <c r="MX103"/>
      <c r="MY103"/>
      <c r="MZ103"/>
      <c r="NA103"/>
      <c r="NB103"/>
      <c r="NC103"/>
      <c r="ND103"/>
      <c r="NE103"/>
      <c r="NF103"/>
      <c r="NG103"/>
      <c r="NH103"/>
      <c r="NI103"/>
      <c r="NJ103"/>
      <c r="NK103"/>
      <c r="NL103"/>
      <c r="NM103"/>
      <c r="NN103"/>
    </row>
    <row r="104" spans="2:378" x14ac:dyDescent="0.3">
      <c r="B104" s="9">
        <v>43927</v>
      </c>
      <c r="C104" s="4">
        <v>97</v>
      </c>
      <c r="D104" s="10">
        <f>'dpc-covid19-ita-andamento-naz'!J44+'dpc-covid19-ita-andamento-naz'!K44</f>
        <v>39360</v>
      </c>
      <c r="E104" s="10">
        <f>Tabella8[[#This Row],[Italy cumulative]]*NOT(ISBLANK(Tabella8[[#This Row],[Italy cumulative]]))</f>
        <v>39360</v>
      </c>
      <c r="F104" s="10">
        <f>Tabella8[[#This Row],[region fit]]+Tabella8[[#This Row],[rest of Italy fit]]</f>
        <v>39031.214804384661</v>
      </c>
      <c r="G104" s="72">
        <f>Tabella8[[#This Row],[Italy sum of regions]]/K_sum</f>
        <v>0.17347206579726515</v>
      </c>
      <c r="H104" s="10">
        <f>Tabella8[[#This Row],[Italy sum of regions]]*NOT(ISBLANK(Tabella8[[#This Row],[Italy cumulative]]))</f>
        <v>39031.214804384661</v>
      </c>
      <c r="I104" s="132">
        <f>MAX(Kt*(TANH(psi_t*(Tabella8[[#This Row],[Day]]-pt)-phi_t)+TANH(phi_t))/(1+TANH(phi_t)),0)</f>
        <v>39031.015986023151</v>
      </c>
      <c r="J104" s="109">
        <f>Tabella8[[#This Row],[Italy fit]]/Kt</f>
        <v>0.1734711821601029</v>
      </c>
      <c r="K104" s="10">
        <f>Tabella8[[#This Row],[Italy fit]]*NOT(ISBLANK(Tabella8[[#This Row],[Italy cumulative]]))</f>
        <v>39031.015986023151</v>
      </c>
      <c r="L104" s="10">
        <f>Tabella8[[#This Row],[Italy sum of regions]]+CI</f>
        <v>41491.792558905996</v>
      </c>
      <c r="M104" s="10">
        <f>MAX(Tabella8[[#This Row],[Italy sum of regions]]-CI,0)</f>
        <v>36570.637049863326</v>
      </c>
      <c r="N104" s="57">
        <f t="shared" si="0"/>
        <v>1432</v>
      </c>
      <c r="O104" s="10">
        <f>Tabella8[[#This Row],[region data]]*NOT(ISBLANK(Tabella8[[#This Row],[region data]]))</f>
        <v>1432</v>
      </c>
      <c r="P104" s="107">
        <f>MAX(Kr*(TANH(psi_r*(Tabella8[[#This Row],[Day]]-pr)-phi_r)+TANH(phi_r))/(1+TANH(phi_r)),0)</f>
        <v>1481.8570400513306</v>
      </c>
      <c r="Q104" s="107">
        <f>Tabella8[[#This Row],[region fit]]/Kr</f>
        <v>0.16520145374039361</v>
      </c>
      <c r="R104" s="10">
        <f>Tabella8[[#This Row],[region fit]]*NOT(ISBLANK(Tabella8[[#This Row],[region data]]))</f>
        <v>1481.8570400513306</v>
      </c>
      <c r="S104" s="10">
        <f>Tabella8[[#This Row],[region fit]]+CIr</f>
        <v>1567.8763175161998</v>
      </c>
      <c r="T104" s="10">
        <f>MAX(Tabella8[[#This Row],[region fit]]-CIr,0)</f>
        <v>1395.8377625864614</v>
      </c>
      <c r="U104" s="10">
        <f>Tabella8[[#This Row],[Italy cumulative]]-Tabella8[[#This Row],[region data]]</f>
        <v>37928</v>
      </c>
      <c r="V104" s="10">
        <f>Tabella8[[#This Row],[rest of Italy ]]*NOT(ISBLANK(Tabella8[[#This Row],[rest of Italy ]]))</f>
        <v>37928</v>
      </c>
      <c r="W104" s="108">
        <f>MAX(Ko*(TANH(psi_o*(Tabella8[[#This Row],[Day]]-po)-phi_o)+TANH(phi_o))/(1+TANH(phi_o)),0)</f>
        <v>37549.357764333334</v>
      </c>
      <c r="X104" s="108">
        <f>Tabella8[[#This Row],[rest of Italy fit]]/Ko</f>
        <v>0.17381547824067645</v>
      </c>
      <c r="Y104" s="22">
        <f>Tabella8[[#This Row],[rest of Italy fit]]*NOT(ISBLANK(Tabella8[[#This Row],[rest of Italy ]]))</f>
        <v>37549.357764333334</v>
      </c>
      <c r="Z104" s="10">
        <f>Tabella8[[#This Row],[rest of Italy fit]]+CIo</f>
        <v>40033.69445826803</v>
      </c>
      <c r="AA104" s="10">
        <f>MAX(Tabella8[[#This Row],[rest of Italy fit]]-CIo,0)</f>
        <v>35065.021070398638</v>
      </c>
      <c r="AC104" s="55" t="s">
        <v>184</v>
      </c>
      <c r="AD104" s="87">
        <v>1471</v>
      </c>
      <c r="AE104" s="87">
        <v>760</v>
      </c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 s="65"/>
      <c r="AY104" s="65"/>
      <c r="AZ104"/>
      <c r="BA104" s="32"/>
      <c r="BB104" s="32"/>
      <c r="BC104"/>
      <c r="BD104" s="81"/>
      <c r="BE104" s="68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  <c r="DP104"/>
      <c r="DQ104"/>
      <c r="DR104"/>
      <c r="DS104"/>
      <c r="DT104"/>
      <c r="DU104"/>
      <c r="DV104"/>
      <c r="DW104"/>
      <c r="DX104"/>
      <c r="DY104"/>
      <c r="DZ104"/>
      <c r="EA104"/>
      <c r="EB104"/>
      <c r="EC104"/>
      <c r="ED104"/>
      <c r="EE104"/>
      <c r="EF104"/>
      <c r="EG104"/>
      <c r="EH104"/>
      <c r="EI104"/>
      <c r="EJ104"/>
      <c r="EK104"/>
      <c r="EL104"/>
      <c r="EM104"/>
      <c r="EN104"/>
      <c r="EO104"/>
      <c r="EP104"/>
      <c r="EQ104"/>
      <c r="ER104"/>
      <c r="ES104"/>
      <c r="ET104"/>
      <c r="EU104"/>
      <c r="EV104"/>
      <c r="EW104"/>
      <c r="EX104"/>
      <c r="EY104"/>
      <c r="EZ104"/>
      <c r="FA104"/>
      <c r="FB104"/>
      <c r="FC104"/>
      <c r="FD104"/>
      <c r="FE104"/>
      <c r="FF104"/>
      <c r="FG104"/>
      <c r="FH104"/>
      <c r="FI104"/>
      <c r="FJ104"/>
      <c r="FK104"/>
      <c r="FL104"/>
      <c r="FM104"/>
      <c r="FN104"/>
      <c r="FO104"/>
      <c r="FP104"/>
      <c r="FQ104"/>
      <c r="FR104"/>
      <c r="FS104"/>
      <c r="FT104"/>
      <c r="FU104"/>
      <c r="FV104"/>
      <c r="FW104"/>
      <c r="FX104"/>
      <c r="FY104"/>
      <c r="FZ104"/>
      <c r="GA104"/>
      <c r="GB104"/>
      <c r="GC104"/>
      <c r="GD104"/>
      <c r="GE104"/>
      <c r="GF104"/>
      <c r="GG104"/>
      <c r="GH104"/>
      <c r="GI104"/>
      <c r="GJ104"/>
      <c r="GK104"/>
      <c r="GL104"/>
      <c r="GM104"/>
      <c r="GN104"/>
      <c r="GO104"/>
      <c r="GP104"/>
      <c r="GQ104"/>
      <c r="GR104"/>
      <c r="GS104"/>
      <c r="GT104"/>
      <c r="GU104"/>
      <c r="GV104"/>
      <c r="GW104"/>
      <c r="GX104"/>
      <c r="GY104"/>
      <c r="GZ104"/>
      <c r="HA104"/>
      <c r="HB104"/>
      <c r="HC104"/>
      <c r="HD104"/>
      <c r="HE104"/>
      <c r="HF104"/>
      <c r="HG104"/>
      <c r="HH104"/>
      <c r="HI104"/>
      <c r="HJ104"/>
      <c r="HK104"/>
      <c r="HL104"/>
      <c r="HM104"/>
      <c r="HN104"/>
      <c r="HO104"/>
      <c r="HP104"/>
      <c r="HQ104"/>
      <c r="HR104"/>
      <c r="HS104"/>
      <c r="HT104"/>
      <c r="HU104"/>
      <c r="HV104"/>
      <c r="HW104"/>
      <c r="HX104"/>
      <c r="HY104"/>
      <c r="HZ104"/>
      <c r="IA104"/>
      <c r="IB104"/>
      <c r="IC104"/>
      <c r="ID104"/>
      <c r="IE104"/>
      <c r="IF104"/>
      <c r="IG104"/>
      <c r="IH104"/>
      <c r="II104"/>
      <c r="IJ104"/>
      <c r="IK104"/>
      <c r="IL104"/>
      <c r="IM104"/>
      <c r="IN104"/>
      <c r="IO104"/>
      <c r="IP104"/>
      <c r="IQ104"/>
      <c r="IR104"/>
      <c r="IS104"/>
      <c r="IT104"/>
      <c r="IU104"/>
      <c r="IV104"/>
      <c r="IW104"/>
      <c r="IX104"/>
      <c r="IY104"/>
      <c r="IZ104"/>
      <c r="JA104"/>
      <c r="JB104"/>
      <c r="JC104"/>
      <c r="JD104"/>
      <c r="JE104"/>
      <c r="JF104"/>
      <c r="JG104"/>
      <c r="JH104"/>
      <c r="JI104"/>
      <c r="JJ104"/>
      <c r="JK104"/>
      <c r="JL104"/>
      <c r="JM104"/>
      <c r="JN104"/>
      <c r="JO104"/>
      <c r="JP104"/>
      <c r="JQ104"/>
      <c r="JR104"/>
      <c r="JS104"/>
      <c r="JT104"/>
      <c r="JU104"/>
      <c r="JV104"/>
      <c r="JW104"/>
      <c r="JX104"/>
      <c r="JY104"/>
      <c r="JZ104"/>
      <c r="KA104"/>
      <c r="KB104"/>
      <c r="KC104"/>
      <c r="KD104"/>
      <c r="KE104"/>
      <c r="KF104"/>
      <c r="KG104"/>
      <c r="KH104"/>
      <c r="KI104"/>
      <c r="KJ104"/>
      <c r="KK104"/>
      <c r="KL104"/>
      <c r="KM104"/>
      <c r="KN104"/>
      <c r="KO104"/>
      <c r="KP104"/>
      <c r="KQ104"/>
      <c r="KR104"/>
      <c r="KS104"/>
      <c r="KT104"/>
      <c r="KU104"/>
      <c r="KV104"/>
      <c r="KW104"/>
      <c r="KX104"/>
      <c r="KY104"/>
      <c r="KZ104"/>
      <c r="LA104"/>
      <c r="LB104"/>
      <c r="LC104"/>
      <c r="LD104"/>
      <c r="LE104"/>
      <c r="LF104"/>
      <c r="LG104"/>
      <c r="LH104"/>
      <c r="LI104"/>
      <c r="LJ104"/>
      <c r="LK104"/>
      <c r="LL104"/>
      <c r="LM104"/>
      <c r="LN104"/>
      <c r="LO104"/>
      <c r="LP104"/>
      <c r="LQ104"/>
      <c r="LR104"/>
      <c r="LS104"/>
      <c r="LT104"/>
      <c r="LU104"/>
      <c r="LV104"/>
      <c r="LW104"/>
      <c r="LX104"/>
      <c r="LY104"/>
      <c r="LZ104"/>
      <c r="MA104"/>
      <c r="MB104"/>
      <c r="MC104"/>
      <c r="MD104"/>
      <c r="ME104"/>
      <c r="MF104"/>
      <c r="MG104"/>
      <c r="MH104"/>
      <c r="MI104"/>
      <c r="MJ104"/>
      <c r="MK104"/>
      <c r="ML104"/>
      <c r="MM104"/>
      <c r="MN104"/>
      <c r="MO104"/>
      <c r="MP104"/>
      <c r="MQ104"/>
      <c r="MR104"/>
      <c r="MS104"/>
      <c r="MT104"/>
      <c r="MU104"/>
      <c r="MV104"/>
      <c r="MW104"/>
      <c r="MX104"/>
      <c r="MY104"/>
      <c r="MZ104"/>
      <c r="NA104"/>
      <c r="NB104"/>
      <c r="NC104"/>
      <c r="ND104"/>
      <c r="NE104"/>
      <c r="NF104"/>
      <c r="NG104"/>
      <c r="NH104"/>
      <c r="NI104"/>
      <c r="NJ104"/>
      <c r="NK104"/>
      <c r="NL104"/>
      <c r="NM104"/>
      <c r="NN104"/>
    </row>
    <row r="105" spans="2:378" x14ac:dyDescent="0.3">
      <c r="B105" s="9">
        <v>43928</v>
      </c>
      <c r="C105" s="4">
        <v>98</v>
      </c>
      <c r="D105" s="10">
        <f>'dpc-covid19-ita-andamento-naz'!J45+'dpc-covid19-ita-andamento-naz'!K45</f>
        <v>41519</v>
      </c>
      <c r="E105" s="10">
        <f>Tabella8[[#This Row],[Italy cumulative]]*NOT(ISBLANK(Tabella8[[#This Row],[Italy cumulative]]))</f>
        <v>41519</v>
      </c>
      <c r="F105" s="10">
        <f>Tabella8[[#This Row],[region fit]]+Tabella8[[#This Row],[rest of Italy fit]]</f>
        <v>41219.508173590635</v>
      </c>
      <c r="G105" s="72">
        <f>Tabella8[[#This Row],[Italy sum of regions]]/K_sum</f>
        <v>0.18319781410484726</v>
      </c>
      <c r="H105" s="10">
        <f>Tabella8[[#This Row],[Italy sum of regions]]*NOT(ISBLANK(Tabella8[[#This Row],[Italy cumulative]]))</f>
        <v>41219.508173590635</v>
      </c>
      <c r="I105" s="132">
        <f>MAX(Kt*(TANH(psi_t*(Tabella8[[#This Row],[Day]]-pt)-phi_t)+TANH(phi_t))/(1+TANH(phi_t)),0)</f>
        <v>41216.860601031651</v>
      </c>
      <c r="J105" s="109">
        <f>Tabella8[[#This Row],[Italy fit]]/Kt</f>
        <v>0.18318604711569622</v>
      </c>
      <c r="K105" s="10">
        <f>Tabella8[[#This Row],[Italy fit]]*NOT(ISBLANK(Tabella8[[#This Row],[Italy cumulative]]))</f>
        <v>41216.860601031651</v>
      </c>
      <c r="L105" s="10">
        <f>Tabella8[[#This Row],[Italy sum of regions]]+CI</f>
        <v>43680.08592811197</v>
      </c>
      <c r="M105" s="10">
        <f>MAX(Tabella8[[#This Row],[Italy sum of regions]]-CI,0)</f>
        <v>38758.9304190693</v>
      </c>
      <c r="N105" s="57">
        <f t="shared" si="0"/>
        <v>1545</v>
      </c>
      <c r="O105" s="10">
        <f>Tabella8[[#This Row],[region data]]*NOT(ISBLANK(Tabella8[[#This Row],[region data]]))</f>
        <v>1545</v>
      </c>
      <c r="P105" s="107">
        <f>MAX(Kr*(TANH(psi_r*(Tabella8[[#This Row],[Day]]-pr)-phi_r)+TANH(phi_r))/(1+TANH(phi_r)),0)</f>
        <v>1582.0405976386276</v>
      </c>
      <c r="Q105" s="107">
        <f>Tabella8[[#This Row],[region fit]]/Kr</f>
        <v>0.17637018925737208</v>
      </c>
      <c r="R105" s="10">
        <f>Tabella8[[#This Row],[region fit]]*NOT(ISBLANK(Tabella8[[#This Row],[region data]]))</f>
        <v>1582.0405976386276</v>
      </c>
      <c r="S105" s="10">
        <f>Tabella8[[#This Row],[region fit]]+CIr</f>
        <v>1668.0598751034968</v>
      </c>
      <c r="T105" s="10">
        <f>MAX(Tabella8[[#This Row],[region fit]]-CIr,0)</f>
        <v>1496.0213201737583</v>
      </c>
      <c r="U105" s="10">
        <f>Tabella8[[#This Row],[Italy cumulative]]-Tabella8[[#This Row],[region data]]</f>
        <v>39974</v>
      </c>
      <c r="V105" s="10">
        <f>Tabella8[[#This Row],[rest of Italy ]]*NOT(ISBLANK(Tabella8[[#This Row],[rest of Italy ]]))</f>
        <v>39974</v>
      </c>
      <c r="W105" s="108">
        <f>MAX(Ko*(TANH(psi_o*(Tabella8[[#This Row],[Day]]-po)-phi_o)+TANH(phi_o))/(1+TANH(phi_o)),0)</f>
        <v>39637.467575952011</v>
      </c>
      <c r="X105" s="108">
        <f>Tabella8[[#This Row],[rest of Italy fit]]/Ko</f>
        <v>0.18348131081771982</v>
      </c>
      <c r="Y105" s="22">
        <f>Tabella8[[#This Row],[rest of Italy fit]]*NOT(ISBLANK(Tabella8[[#This Row],[rest of Italy ]]))</f>
        <v>39637.467575952011</v>
      </c>
      <c r="Z105" s="10">
        <f>Tabella8[[#This Row],[rest of Italy fit]]+CIo</f>
        <v>42121.804269886707</v>
      </c>
      <c r="AA105" s="10">
        <f>MAX(Tabella8[[#This Row],[rest of Italy fit]]-CIo,0)</f>
        <v>37153.130882017314</v>
      </c>
      <c r="AC105" s="55" t="s">
        <v>185</v>
      </c>
      <c r="AD105" s="87">
        <v>1549</v>
      </c>
      <c r="AE105" s="87">
        <v>793</v>
      </c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 s="65"/>
      <c r="AY105" s="65"/>
      <c r="AZ105"/>
      <c r="BA105" s="32"/>
      <c r="BB105" s="32"/>
      <c r="BC105"/>
      <c r="BD105" s="81"/>
      <c r="BE105" s="68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  <c r="DP105"/>
      <c r="DQ105"/>
      <c r="DR105"/>
      <c r="DS105"/>
      <c r="DT105"/>
      <c r="DU105"/>
      <c r="DV105"/>
      <c r="DW105"/>
      <c r="DX105"/>
      <c r="DY105"/>
      <c r="DZ105"/>
      <c r="EA105"/>
      <c r="EB105"/>
      <c r="EC105"/>
      <c r="ED105"/>
      <c r="EE105"/>
      <c r="EF105"/>
      <c r="EG105"/>
      <c r="EH105"/>
      <c r="EI105"/>
      <c r="EJ105"/>
      <c r="EK105"/>
      <c r="EL105"/>
      <c r="EM105"/>
      <c r="EN105"/>
      <c r="EO105"/>
      <c r="EP105"/>
      <c r="EQ105"/>
      <c r="ER105"/>
      <c r="ES105"/>
      <c r="ET105"/>
      <c r="EU105"/>
      <c r="EV105"/>
      <c r="EW105"/>
      <c r="EX105"/>
      <c r="EY105"/>
      <c r="EZ105"/>
      <c r="FA105"/>
      <c r="FB105"/>
      <c r="FC105"/>
      <c r="FD105"/>
      <c r="FE105"/>
      <c r="FF105"/>
      <c r="FG105"/>
      <c r="FH105"/>
      <c r="FI105"/>
      <c r="FJ105"/>
      <c r="FK105"/>
      <c r="FL105"/>
      <c r="FM105"/>
      <c r="FN105"/>
      <c r="FO105"/>
      <c r="FP105"/>
      <c r="FQ105"/>
      <c r="FR105"/>
      <c r="FS105"/>
      <c r="FT105"/>
      <c r="FU105"/>
      <c r="FV105"/>
      <c r="FW105"/>
      <c r="FX105"/>
      <c r="FY105"/>
      <c r="FZ105"/>
      <c r="GA105"/>
      <c r="GB105"/>
      <c r="GC105"/>
      <c r="GD105"/>
      <c r="GE105"/>
      <c r="GF105"/>
      <c r="GG105"/>
      <c r="GH105"/>
      <c r="GI105"/>
      <c r="GJ105"/>
      <c r="GK105"/>
      <c r="GL105"/>
      <c r="GM105"/>
      <c r="GN105"/>
      <c r="GO105"/>
      <c r="GP105"/>
      <c r="GQ105"/>
      <c r="GR105"/>
      <c r="GS105"/>
      <c r="GT105"/>
      <c r="GU105"/>
      <c r="GV105"/>
      <c r="GW105"/>
      <c r="GX105"/>
      <c r="GY105"/>
      <c r="GZ105"/>
      <c r="HA105"/>
      <c r="HB105"/>
      <c r="HC105"/>
      <c r="HD105"/>
      <c r="HE105"/>
      <c r="HF105"/>
      <c r="HG105"/>
      <c r="HH105"/>
      <c r="HI105"/>
      <c r="HJ105"/>
      <c r="HK105"/>
      <c r="HL105"/>
      <c r="HM105"/>
      <c r="HN105"/>
      <c r="HO105"/>
      <c r="HP105"/>
      <c r="HQ105"/>
      <c r="HR105"/>
      <c r="HS105"/>
      <c r="HT105"/>
      <c r="HU105"/>
      <c r="HV105"/>
      <c r="HW105"/>
      <c r="HX105"/>
      <c r="HY105"/>
      <c r="HZ105"/>
      <c r="IA105"/>
      <c r="IB105"/>
      <c r="IC105"/>
      <c r="ID105"/>
      <c r="IE105"/>
      <c r="IF105"/>
      <c r="IG105"/>
      <c r="IH105"/>
      <c r="II105"/>
      <c r="IJ105"/>
      <c r="IK105"/>
      <c r="IL105"/>
      <c r="IM105"/>
      <c r="IN105"/>
      <c r="IO105"/>
      <c r="IP105"/>
      <c r="IQ105"/>
      <c r="IR105"/>
      <c r="IS105"/>
      <c r="IT105"/>
      <c r="IU105"/>
      <c r="IV105"/>
      <c r="IW105"/>
      <c r="IX105"/>
      <c r="IY105"/>
      <c r="IZ105"/>
      <c r="JA105"/>
      <c r="JB105"/>
      <c r="JC105"/>
      <c r="JD105"/>
      <c r="JE105"/>
      <c r="JF105"/>
      <c r="JG105"/>
      <c r="JH105"/>
      <c r="JI105"/>
      <c r="JJ105"/>
      <c r="JK105"/>
      <c r="JL105"/>
      <c r="JM105"/>
      <c r="JN105"/>
      <c r="JO105"/>
      <c r="JP105"/>
      <c r="JQ105"/>
      <c r="JR105"/>
      <c r="JS105"/>
      <c r="JT105"/>
      <c r="JU105"/>
      <c r="JV105"/>
      <c r="JW105"/>
      <c r="JX105"/>
      <c r="JY105"/>
      <c r="JZ105"/>
      <c r="KA105"/>
      <c r="KB105"/>
      <c r="KC105"/>
      <c r="KD105"/>
      <c r="KE105"/>
      <c r="KF105"/>
      <c r="KG105"/>
      <c r="KH105"/>
      <c r="KI105"/>
      <c r="KJ105"/>
      <c r="KK105"/>
      <c r="KL105"/>
      <c r="KM105"/>
      <c r="KN105"/>
      <c r="KO105"/>
      <c r="KP105"/>
      <c r="KQ105"/>
      <c r="KR105"/>
      <c r="KS105"/>
      <c r="KT105"/>
      <c r="KU105"/>
      <c r="KV105"/>
      <c r="KW105"/>
      <c r="KX105"/>
      <c r="KY105"/>
      <c r="KZ105"/>
      <c r="LA105"/>
      <c r="LB105"/>
      <c r="LC105"/>
      <c r="LD105"/>
      <c r="LE105"/>
      <c r="LF105"/>
      <c r="LG105"/>
      <c r="LH105"/>
      <c r="LI105"/>
      <c r="LJ105"/>
      <c r="LK105"/>
      <c r="LL105"/>
      <c r="LM105"/>
      <c r="LN105"/>
      <c r="LO105"/>
      <c r="LP105"/>
      <c r="LQ105"/>
      <c r="LR105"/>
      <c r="LS105"/>
      <c r="LT105"/>
      <c r="LU105"/>
      <c r="LV105"/>
      <c r="LW105"/>
      <c r="LX105"/>
      <c r="LY105"/>
      <c r="LZ105"/>
      <c r="MA105"/>
      <c r="MB105"/>
      <c r="MC105"/>
      <c r="MD105"/>
      <c r="ME105"/>
      <c r="MF105"/>
      <c r="MG105"/>
      <c r="MH105"/>
      <c r="MI105"/>
      <c r="MJ105"/>
      <c r="MK105"/>
      <c r="ML105"/>
      <c r="MM105"/>
      <c r="MN105"/>
      <c r="MO105"/>
      <c r="MP105"/>
      <c r="MQ105"/>
      <c r="MR105"/>
      <c r="MS105"/>
      <c r="MT105"/>
      <c r="MU105"/>
      <c r="MV105"/>
      <c r="MW105"/>
      <c r="MX105"/>
      <c r="MY105"/>
      <c r="MZ105"/>
      <c r="NA105"/>
      <c r="NB105"/>
      <c r="NC105"/>
      <c r="ND105"/>
      <c r="NE105"/>
      <c r="NF105"/>
      <c r="NG105"/>
      <c r="NH105"/>
      <c r="NI105"/>
      <c r="NJ105"/>
      <c r="NK105"/>
      <c r="NL105"/>
      <c r="NM105"/>
      <c r="NN105"/>
    </row>
    <row r="106" spans="2:378" x14ac:dyDescent="0.3">
      <c r="B106" s="9">
        <v>43929</v>
      </c>
      <c r="C106" s="4">
        <v>99</v>
      </c>
      <c r="D106" s="10">
        <f>'dpc-covid19-ita-andamento-naz'!J46+'dpc-covid19-ita-andamento-naz'!K46</f>
        <v>44160</v>
      </c>
      <c r="E106" s="10">
        <f>Tabella8[[#This Row],[Italy cumulative]]*NOT(ISBLANK(Tabella8[[#This Row],[Italy cumulative]]))</f>
        <v>44160</v>
      </c>
      <c r="F106" s="10">
        <f>Tabella8[[#This Row],[region fit]]+Tabella8[[#This Row],[rest of Italy fit]]</f>
        <v>43463.69737897961</v>
      </c>
      <c r="G106" s="72">
        <f>Tabella8[[#This Row],[Italy sum of regions]]/K_sum</f>
        <v>0.19317198835102048</v>
      </c>
      <c r="H106" s="10">
        <f>Tabella8[[#This Row],[Italy sum of regions]]*NOT(ISBLANK(Tabella8[[#This Row],[Italy cumulative]]))</f>
        <v>43463.69737897961</v>
      </c>
      <c r="I106" s="132">
        <f>MAX(Kt*(TANH(psi_t*(Tabella8[[#This Row],[Day]]-pt)-phi_t)+TANH(phi_t))/(1+TANH(phi_t)),0)</f>
        <v>43458.703586257718</v>
      </c>
      <c r="J106" s="109">
        <f>Tabella8[[#This Row],[Italy fit]]/Kt</f>
        <v>0.19314979371670096</v>
      </c>
      <c r="K106" s="10">
        <f>Tabella8[[#This Row],[Italy fit]]*NOT(ISBLANK(Tabella8[[#This Row],[Italy cumulative]]))</f>
        <v>43458.703586257718</v>
      </c>
      <c r="L106" s="10">
        <f>Tabella8[[#This Row],[Italy sum of regions]]+CI</f>
        <v>45924.275133500945</v>
      </c>
      <c r="M106" s="10">
        <f>MAX(Tabella8[[#This Row],[Italy sum of regions]]-CI,0)</f>
        <v>41003.119624458275</v>
      </c>
      <c r="N106" s="57">
        <f t="shared" si="0"/>
        <v>1661</v>
      </c>
      <c r="O106" s="10">
        <f>Tabella8[[#This Row],[region data]]*NOT(ISBLANK(Tabella8[[#This Row],[region data]]))</f>
        <v>1661</v>
      </c>
      <c r="P106" s="107">
        <f>MAX(Kr*(TANH(psi_r*(Tabella8[[#This Row],[Day]]-pr)-phi_r)+TANH(phi_r))/(1+TANH(phi_r)),0)</f>
        <v>1685.1599390144866</v>
      </c>
      <c r="Q106" s="107">
        <f>Tabella8[[#This Row],[region fit]]/Kr</f>
        <v>0.18786621393695502</v>
      </c>
      <c r="R106" s="10">
        <f>Tabella8[[#This Row],[region fit]]*NOT(ISBLANK(Tabella8[[#This Row],[region data]]))</f>
        <v>1685.1599390144866</v>
      </c>
      <c r="S106" s="10">
        <f>Tabella8[[#This Row],[region fit]]+CIr</f>
        <v>1771.1792164793555</v>
      </c>
      <c r="T106" s="10">
        <f>MAX(Tabella8[[#This Row],[region fit]]-CIr,0)</f>
        <v>1599.1406615496176</v>
      </c>
      <c r="U106" s="10">
        <f>Tabella8[[#This Row],[Italy cumulative]]-Tabella8[[#This Row],[region data]]</f>
        <v>42499</v>
      </c>
      <c r="V106" s="10">
        <f>Tabella8[[#This Row],[rest of Italy ]]*NOT(ISBLANK(Tabella8[[#This Row],[rest of Italy ]]))</f>
        <v>42499</v>
      </c>
      <c r="W106" s="108">
        <f>MAX(Ko*(TANH(psi_o*(Tabella8[[#This Row],[Day]]-po)-phi_o)+TANH(phi_o))/(1+TANH(phi_o)),0)</f>
        <v>41778.537439965126</v>
      </c>
      <c r="X106" s="108">
        <f>Tabella8[[#This Row],[rest of Italy fit]]/Ko</f>
        <v>0.19339229477371256</v>
      </c>
      <c r="Y106" s="22">
        <f>Tabella8[[#This Row],[rest of Italy fit]]*NOT(ISBLANK(Tabella8[[#This Row],[rest of Italy ]]))</f>
        <v>41778.537439965126</v>
      </c>
      <c r="Z106" s="10">
        <f>Tabella8[[#This Row],[rest of Italy fit]]+CIo</f>
        <v>44262.874133899822</v>
      </c>
      <c r="AA106" s="10">
        <f>MAX(Tabella8[[#This Row],[rest of Italy fit]]-CIo,0)</f>
        <v>39294.20074603043</v>
      </c>
      <c r="AC106" s="55" t="s">
        <v>190</v>
      </c>
      <c r="AD106" s="87">
        <v>1665</v>
      </c>
      <c r="AE106" s="87">
        <v>807</v>
      </c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 s="65"/>
      <c r="AY106" s="65"/>
      <c r="AZ106"/>
      <c r="BA106" s="32"/>
      <c r="BB106" s="32"/>
      <c r="BC106"/>
      <c r="BD106" s="81"/>
      <c r="BE106" s="68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  <c r="DP106"/>
      <c r="DQ106"/>
      <c r="DR106"/>
      <c r="DS106"/>
      <c r="DT106"/>
      <c r="DU106"/>
      <c r="DV106"/>
      <c r="DW106"/>
      <c r="DX106"/>
      <c r="DY106"/>
      <c r="DZ106"/>
      <c r="EA106"/>
      <c r="EB106"/>
      <c r="EC106"/>
      <c r="ED106"/>
      <c r="EE106"/>
      <c r="EF106"/>
      <c r="EG106"/>
      <c r="EH106"/>
      <c r="EI106"/>
      <c r="EJ106"/>
      <c r="EK106"/>
      <c r="EL106"/>
      <c r="EM106"/>
      <c r="EN106"/>
      <c r="EO106"/>
      <c r="EP106"/>
      <c r="EQ106"/>
      <c r="ER106"/>
      <c r="ES106"/>
      <c r="ET106"/>
      <c r="EU106"/>
      <c r="EV106"/>
      <c r="EW106"/>
      <c r="EX106"/>
      <c r="EY106"/>
      <c r="EZ106"/>
      <c r="FA106"/>
      <c r="FB106"/>
      <c r="FC106"/>
      <c r="FD106"/>
      <c r="FE106"/>
      <c r="FF106"/>
      <c r="FG106"/>
      <c r="FH106"/>
      <c r="FI106"/>
      <c r="FJ106"/>
      <c r="FK106"/>
      <c r="FL106"/>
      <c r="FM106"/>
      <c r="FN106"/>
      <c r="FO106"/>
      <c r="FP106"/>
      <c r="FQ106"/>
      <c r="FR106"/>
      <c r="FS106"/>
      <c r="FT106"/>
      <c r="FU106"/>
      <c r="FV106"/>
      <c r="FW106"/>
      <c r="FX106"/>
      <c r="FY106"/>
      <c r="FZ106"/>
      <c r="GA106"/>
      <c r="GB106"/>
      <c r="GC106"/>
      <c r="GD106"/>
      <c r="GE106"/>
      <c r="GF106"/>
      <c r="GG106"/>
      <c r="GH106"/>
      <c r="GI106"/>
      <c r="GJ106"/>
      <c r="GK106"/>
      <c r="GL106"/>
      <c r="GM106"/>
      <c r="GN106"/>
      <c r="GO106"/>
      <c r="GP106"/>
      <c r="GQ106"/>
      <c r="GR106"/>
      <c r="GS106"/>
      <c r="GT106"/>
      <c r="GU106"/>
      <c r="GV106"/>
      <c r="GW106"/>
      <c r="GX106"/>
      <c r="GY106"/>
      <c r="GZ106"/>
      <c r="HA106"/>
      <c r="HB106"/>
      <c r="HC106"/>
      <c r="HD106"/>
      <c r="HE106"/>
      <c r="HF106"/>
      <c r="HG106"/>
      <c r="HH106"/>
      <c r="HI106"/>
      <c r="HJ106"/>
      <c r="HK106"/>
      <c r="HL106"/>
      <c r="HM106"/>
      <c r="HN106"/>
      <c r="HO106"/>
      <c r="HP106"/>
      <c r="HQ106"/>
      <c r="HR106"/>
      <c r="HS106"/>
      <c r="HT106"/>
      <c r="HU106"/>
      <c r="HV106"/>
      <c r="HW106"/>
      <c r="HX106"/>
      <c r="HY106"/>
      <c r="HZ106"/>
      <c r="IA106"/>
      <c r="IB106"/>
      <c r="IC106"/>
      <c r="ID106"/>
      <c r="IE106"/>
      <c r="IF106"/>
      <c r="IG106"/>
      <c r="IH106"/>
      <c r="II106"/>
      <c r="IJ106"/>
      <c r="IK106"/>
      <c r="IL106"/>
      <c r="IM106"/>
      <c r="IN106"/>
      <c r="IO106"/>
      <c r="IP106"/>
      <c r="IQ106"/>
      <c r="IR106"/>
      <c r="IS106"/>
      <c r="IT106"/>
      <c r="IU106"/>
      <c r="IV106"/>
      <c r="IW106"/>
      <c r="IX106"/>
      <c r="IY106"/>
      <c r="IZ106"/>
      <c r="JA106"/>
      <c r="JB106"/>
      <c r="JC106"/>
      <c r="JD106"/>
      <c r="JE106"/>
      <c r="JF106"/>
      <c r="JG106"/>
      <c r="JH106"/>
      <c r="JI106"/>
      <c r="JJ106"/>
      <c r="JK106"/>
      <c r="JL106"/>
      <c r="JM106"/>
      <c r="JN106"/>
      <c r="JO106"/>
      <c r="JP106"/>
      <c r="JQ106"/>
      <c r="JR106"/>
      <c r="JS106"/>
      <c r="JT106"/>
      <c r="JU106"/>
      <c r="JV106"/>
      <c r="JW106"/>
      <c r="JX106"/>
      <c r="JY106"/>
      <c r="JZ106"/>
      <c r="KA106"/>
      <c r="KB106"/>
      <c r="KC106"/>
      <c r="KD106"/>
      <c r="KE106"/>
      <c r="KF106"/>
      <c r="KG106"/>
      <c r="KH106"/>
      <c r="KI106"/>
      <c r="KJ106"/>
      <c r="KK106"/>
      <c r="KL106"/>
      <c r="KM106"/>
      <c r="KN106"/>
      <c r="KO106"/>
      <c r="KP106"/>
      <c r="KQ106"/>
      <c r="KR106"/>
      <c r="KS106"/>
      <c r="KT106"/>
      <c r="KU106"/>
      <c r="KV106"/>
      <c r="KW106"/>
      <c r="KX106"/>
      <c r="KY106"/>
      <c r="KZ106"/>
      <c r="LA106"/>
      <c r="LB106"/>
      <c r="LC106"/>
      <c r="LD106"/>
      <c r="LE106"/>
      <c r="LF106"/>
      <c r="LG106"/>
      <c r="LH106"/>
      <c r="LI106"/>
      <c r="LJ106"/>
      <c r="LK106"/>
      <c r="LL106"/>
      <c r="LM106"/>
      <c r="LN106"/>
      <c r="LO106"/>
      <c r="LP106"/>
      <c r="LQ106"/>
      <c r="LR106"/>
      <c r="LS106"/>
      <c r="LT106"/>
      <c r="LU106"/>
      <c r="LV106"/>
      <c r="LW106"/>
      <c r="LX106"/>
      <c r="LY106"/>
      <c r="LZ106"/>
      <c r="MA106"/>
      <c r="MB106"/>
      <c r="MC106"/>
      <c r="MD106"/>
      <c r="ME106"/>
      <c r="MF106"/>
      <c r="MG106"/>
      <c r="MH106"/>
      <c r="MI106"/>
      <c r="MJ106"/>
      <c r="MK106"/>
      <c r="ML106"/>
      <c r="MM106"/>
      <c r="MN106"/>
      <c r="MO106"/>
      <c r="MP106"/>
      <c r="MQ106"/>
      <c r="MR106"/>
      <c r="MS106"/>
      <c r="MT106"/>
      <c r="MU106"/>
      <c r="MV106"/>
      <c r="MW106"/>
      <c r="MX106"/>
      <c r="MY106"/>
      <c r="MZ106"/>
      <c r="NA106"/>
      <c r="NB106"/>
      <c r="NC106"/>
      <c r="ND106"/>
      <c r="NE106"/>
      <c r="NF106"/>
      <c r="NG106"/>
      <c r="NH106"/>
      <c r="NI106"/>
      <c r="NJ106"/>
      <c r="NK106"/>
      <c r="NL106"/>
      <c r="NM106"/>
      <c r="NN106"/>
    </row>
    <row r="107" spans="2:378" x14ac:dyDescent="0.3">
      <c r="B107" s="9">
        <v>43930</v>
      </c>
      <c r="C107" s="4">
        <v>100</v>
      </c>
      <c r="D107" s="10">
        <f>'dpc-covid19-ita-andamento-naz'!J47+'dpc-covid19-ita-andamento-naz'!K47</f>
        <v>46749</v>
      </c>
      <c r="E107" s="10">
        <f>Tabella8[[#This Row],[Italy cumulative]]*NOT(ISBLANK(Tabella8[[#This Row],[Italy cumulative]]))</f>
        <v>46749</v>
      </c>
      <c r="F107" s="10">
        <f>Tabella8[[#This Row],[region fit]]+Tabella8[[#This Row],[rest of Italy fit]]</f>
        <v>45763.11237736421</v>
      </c>
      <c r="G107" s="72">
        <f>Tabella8[[#This Row],[Italy sum of regions]]/K_sum</f>
        <v>0.20339161056606317</v>
      </c>
      <c r="H107" s="10">
        <f>Tabella8[[#This Row],[Italy sum of regions]]*NOT(ISBLANK(Tabella8[[#This Row],[Italy cumulative]]))</f>
        <v>45763.11237736421</v>
      </c>
      <c r="I107" s="132">
        <f>MAX(Kt*(TANH(psi_t*(Tabella8[[#This Row],[Day]]-pt)-phi_t)+TANH(phi_t))/(1+TANH(phi_t)),0)</f>
        <v>45755.885679343373</v>
      </c>
      <c r="J107" s="109">
        <f>Tabella8[[#This Row],[Italy fit]]/Kt</f>
        <v>0.20335949190819277</v>
      </c>
      <c r="K107" s="10">
        <f>Tabella8[[#This Row],[Italy fit]]*NOT(ISBLANK(Tabella8[[#This Row],[Italy cumulative]]))</f>
        <v>45755.885679343373</v>
      </c>
      <c r="L107" s="10">
        <f>Tabella8[[#This Row],[Italy sum of regions]]+CI</f>
        <v>48223.690131885545</v>
      </c>
      <c r="M107" s="10">
        <f>MAX(Tabella8[[#This Row],[Italy sum of regions]]-CI,0)</f>
        <v>43302.534622842875</v>
      </c>
      <c r="N107" s="57">
        <f t="shared" si="0"/>
        <v>1767</v>
      </c>
      <c r="O107" s="10">
        <f>Tabella8[[#This Row],[region data]]*NOT(ISBLANK(Tabella8[[#This Row],[region data]]))</f>
        <v>1767</v>
      </c>
      <c r="P107" s="107">
        <f>MAX(Kr*(TANH(psi_r*(Tabella8[[#This Row],[Day]]-pr)-phi_r)+TANH(phi_r))/(1+TANH(phi_r)),0)</f>
        <v>1791.1748113935785</v>
      </c>
      <c r="Q107" s="107">
        <f>Tabella8[[#This Row],[region fit]]/Kr</f>
        <v>0.19968504028913919</v>
      </c>
      <c r="R107" s="10">
        <f>Tabella8[[#This Row],[region fit]]*NOT(ISBLANK(Tabella8[[#This Row],[region data]]))</f>
        <v>1791.1748113935785</v>
      </c>
      <c r="S107" s="10">
        <f>Tabella8[[#This Row],[region fit]]+CIr</f>
        <v>1877.1940888584477</v>
      </c>
      <c r="T107" s="10">
        <f>MAX(Tabella8[[#This Row],[region fit]]-CIr,0)</f>
        <v>1705.1555339287092</v>
      </c>
      <c r="U107" s="10">
        <f>Tabella8[[#This Row],[Italy cumulative]]-Tabella8[[#This Row],[region data]]</f>
        <v>44982</v>
      </c>
      <c r="V107" s="10">
        <f>Tabella8[[#This Row],[rest of Italy ]]*NOT(ISBLANK(Tabella8[[#This Row],[rest of Italy ]]))</f>
        <v>44982</v>
      </c>
      <c r="W107" s="108">
        <f>MAX(Ko*(TANH(psi_o*(Tabella8[[#This Row],[Day]]-po)-phi_o)+TANH(phi_o))/(1+TANH(phi_o)),0)</f>
        <v>43971.937565970635</v>
      </c>
      <c r="X107" s="108">
        <f>Tabella8[[#This Row],[rest of Italy fit]]/Ko</f>
        <v>0.20354551481725056</v>
      </c>
      <c r="Y107" s="22">
        <f>Tabella8[[#This Row],[rest of Italy fit]]*NOT(ISBLANK(Tabella8[[#This Row],[rest of Italy ]]))</f>
        <v>43971.937565970635</v>
      </c>
      <c r="Z107" s="10">
        <f>Tabella8[[#This Row],[rest of Italy fit]]+CIo</f>
        <v>46456.274259905331</v>
      </c>
      <c r="AA107" s="10">
        <f>MAX(Tabella8[[#This Row],[rest of Italy fit]]-CIo,0)</f>
        <v>41487.600872035939</v>
      </c>
      <c r="AC107" s="55" t="s">
        <v>191</v>
      </c>
      <c r="AD107" s="87">
        <v>1774</v>
      </c>
      <c r="AE107" s="87">
        <v>828</v>
      </c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 s="65"/>
      <c r="AY107" s="65"/>
      <c r="AZ107"/>
      <c r="BA107" s="32"/>
      <c r="BB107" s="32"/>
      <c r="BC107"/>
      <c r="BD107" s="81"/>
      <c r="BE107" s="68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  <c r="DP107"/>
      <c r="DQ107"/>
      <c r="DR107"/>
      <c r="DS107"/>
      <c r="DT107"/>
      <c r="DU107"/>
      <c r="DV107"/>
      <c r="DW107"/>
      <c r="DX107"/>
      <c r="DY107"/>
      <c r="DZ107"/>
      <c r="EA107"/>
      <c r="EB107"/>
      <c r="EC107"/>
      <c r="ED107"/>
      <c r="EE107"/>
      <c r="EF107"/>
      <c r="EG107"/>
      <c r="EH107"/>
      <c r="EI107"/>
      <c r="EJ107"/>
      <c r="EK107"/>
      <c r="EL107"/>
      <c r="EM107"/>
      <c r="EN107"/>
      <c r="EO107"/>
      <c r="EP107"/>
      <c r="EQ107"/>
      <c r="ER107"/>
      <c r="ES107"/>
      <c r="ET107"/>
      <c r="EU107"/>
      <c r="EV107"/>
      <c r="EW107"/>
      <c r="EX107"/>
      <c r="EY107"/>
      <c r="EZ107"/>
      <c r="FA107"/>
      <c r="FB107"/>
      <c r="FC107"/>
      <c r="FD107"/>
      <c r="FE107"/>
      <c r="FF107"/>
      <c r="FG107"/>
      <c r="FH107"/>
      <c r="FI107"/>
      <c r="FJ107"/>
      <c r="FK107"/>
      <c r="FL107"/>
      <c r="FM107"/>
      <c r="FN107"/>
      <c r="FO107"/>
      <c r="FP107"/>
      <c r="FQ107"/>
      <c r="FR107"/>
      <c r="FS107"/>
      <c r="FT107"/>
      <c r="FU107"/>
      <c r="FV107"/>
      <c r="FW107"/>
      <c r="FX107"/>
      <c r="FY107"/>
      <c r="FZ107"/>
      <c r="GA107"/>
      <c r="GB107"/>
      <c r="GC107"/>
      <c r="GD107"/>
      <c r="GE107"/>
      <c r="GF107"/>
      <c r="GG107"/>
      <c r="GH107"/>
      <c r="GI107"/>
      <c r="GJ107"/>
      <c r="GK107"/>
      <c r="GL107"/>
      <c r="GM107"/>
      <c r="GN107"/>
      <c r="GO107"/>
      <c r="GP107"/>
      <c r="GQ107"/>
      <c r="GR107"/>
      <c r="GS107"/>
      <c r="GT107"/>
      <c r="GU107"/>
      <c r="GV107"/>
      <c r="GW107"/>
      <c r="GX107"/>
      <c r="GY107"/>
      <c r="GZ107"/>
      <c r="HA107"/>
      <c r="HB107"/>
      <c r="HC107"/>
      <c r="HD107"/>
      <c r="HE107"/>
      <c r="HF107"/>
      <c r="HG107"/>
      <c r="HH107"/>
      <c r="HI107"/>
      <c r="HJ107"/>
      <c r="HK107"/>
      <c r="HL107"/>
      <c r="HM107"/>
      <c r="HN107"/>
      <c r="HO107"/>
      <c r="HP107"/>
      <c r="HQ107"/>
      <c r="HR107"/>
      <c r="HS107"/>
      <c r="HT107"/>
      <c r="HU107"/>
      <c r="HV107"/>
      <c r="HW107"/>
      <c r="HX107"/>
      <c r="HY107"/>
      <c r="HZ107"/>
      <c r="IA107"/>
      <c r="IB107"/>
      <c r="IC107"/>
      <c r="ID107"/>
      <c r="IE107"/>
      <c r="IF107"/>
      <c r="IG107"/>
      <c r="IH107"/>
      <c r="II107"/>
      <c r="IJ107"/>
      <c r="IK107"/>
      <c r="IL107"/>
      <c r="IM107"/>
      <c r="IN107"/>
      <c r="IO107"/>
      <c r="IP107"/>
      <c r="IQ107"/>
      <c r="IR107"/>
      <c r="IS107"/>
      <c r="IT107"/>
      <c r="IU107"/>
      <c r="IV107"/>
      <c r="IW107"/>
      <c r="IX107"/>
      <c r="IY107"/>
      <c r="IZ107"/>
      <c r="JA107"/>
      <c r="JB107"/>
      <c r="JC107"/>
      <c r="JD107"/>
      <c r="JE107"/>
      <c r="JF107"/>
      <c r="JG107"/>
      <c r="JH107"/>
      <c r="JI107"/>
      <c r="JJ107"/>
      <c r="JK107"/>
      <c r="JL107"/>
      <c r="JM107"/>
      <c r="JN107"/>
      <c r="JO107"/>
      <c r="JP107"/>
      <c r="JQ107"/>
      <c r="JR107"/>
      <c r="JS107"/>
      <c r="JT107"/>
      <c r="JU107"/>
      <c r="JV107"/>
      <c r="JW107"/>
      <c r="JX107"/>
      <c r="JY107"/>
      <c r="JZ107"/>
      <c r="KA107"/>
      <c r="KB107"/>
      <c r="KC107"/>
      <c r="KD107"/>
      <c r="KE107"/>
      <c r="KF107"/>
      <c r="KG107"/>
      <c r="KH107"/>
      <c r="KI107"/>
      <c r="KJ107"/>
      <c r="KK107"/>
      <c r="KL107"/>
      <c r="KM107"/>
      <c r="KN107"/>
      <c r="KO107"/>
      <c r="KP107"/>
      <c r="KQ107"/>
      <c r="KR107"/>
      <c r="KS107"/>
      <c r="KT107"/>
      <c r="KU107"/>
      <c r="KV107"/>
      <c r="KW107"/>
      <c r="KX107"/>
      <c r="KY107"/>
      <c r="KZ107"/>
      <c r="LA107"/>
      <c r="LB107"/>
      <c r="LC107"/>
      <c r="LD107"/>
      <c r="LE107"/>
      <c r="LF107"/>
      <c r="LG107"/>
      <c r="LH107"/>
      <c r="LI107"/>
      <c r="LJ107"/>
      <c r="LK107"/>
      <c r="LL107"/>
      <c r="LM107"/>
      <c r="LN107"/>
      <c r="LO107"/>
      <c r="LP107"/>
      <c r="LQ107"/>
      <c r="LR107"/>
      <c r="LS107"/>
      <c r="LT107"/>
      <c r="LU107"/>
      <c r="LV107"/>
      <c r="LW107"/>
      <c r="LX107"/>
      <c r="LY107"/>
      <c r="LZ107"/>
      <c r="MA107"/>
      <c r="MB107"/>
      <c r="MC107"/>
      <c r="MD107"/>
      <c r="ME107"/>
      <c r="MF107"/>
      <c r="MG107"/>
      <c r="MH107"/>
      <c r="MI107"/>
      <c r="MJ107"/>
      <c r="MK107"/>
      <c r="ML107"/>
      <c r="MM107"/>
      <c r="MN107"/>
      <c r="MO107"/>
      <c r="MP107"/>
      <c r="MQ107"/>
      <c r="MR107"/>
      <c r="MS107"/>
      <c r="MT107"/>
      <c r="MU107"/>
      <c r="MV107"/>
      <c r="MW107"/>
      <c r="MX107"/>
      <c r="MY107"/>
      <c r="MZ107"/>
      <c r="NA107"/>
      <c r="NB107"/>
      <c r="NC107"/>
      <c r="ND107"/>
      <c r="NE107"/>
      <c r="NF107"/>
      <c r="NG107"/>
      <c r="NH107"/>
      <c r="NI107"/>
      <c r="NJ107"/>
      <c r="NK107"/>
      <c r="NL107"/>
      <c r="NM107"/>
      <c r="NN107"/>
    </row>
    <row r="108" spans="2:378" x14ac:dyDescent="0.3">
      <c r="B108" s="9">
        <v>43931</v>
      </c>
      <c r="C108" s="4">
        <v>101</v>
      </c>
      <c r="D108" s="10">
        <f>'dpc-covid19-ita-andamento-naz'!J48+'dpc-covid19-ita-andamento-naz'!K48</f>
        <v>49304</v>
      </c>
      <c r="E108" s="10">
        <f>Tabella8[[#This Row],[Italy cumulative]]*NOT(ISBLANK(Tabella8[[#This Row],[Italy cumulative]]))</f>
        <v>49304</v>
      </c>
      <c r="F108" s="10">
        <f>Tabella8[[#This Row],[region fit]]+Tabella8[[#This Row],[rest of Italy fit]]</f>
        <v>48116.911459106981</v>
      </c>
      <c r="G108" s="72">
        <f>Tabella8[[#This Row],[Italy sum of regions]]/K_sum</f>
        <v>0.21385293981825326</v>
      </c>
      <c r="H108" s="10">
        <f>Tabella8[[#This Row],[Italy sum of regions]]*NOT(ISBLANK(Tabella8[[#This Row],[Italy cumulative]]))</f>
        <v>48116.911459106981</v>
      </c>
      <c r="I108" s="132">
        <f>MAX(Kt*(TANH(psi_t*(Tabella8[[#This Row],[Day]]-pt)-phi_t)+TANH(phi_t))/(1+TANH(phi_t)),0)</f>
        <v>48107.576445208608</v>
      </c>
      <c r="J108" s="109">
        <f>Tabella8[[#This Row],[Italy fit]]/Kt</f>
        <v>0.21381145086759382</v>
      </c>
      <c r="K108" s="10">
        <f>Tabella8[[#This Row],[Italy fit]]*NOT(ISBLANK(Tabella8[[#This Row],[Italy cumulative]]))</f>
        <v>48107.576445208608</v>
      </c>
      <c r="L108" s="10">
        <f>Tabella8[[#This Row],[Italy sum of regions]]+CI</f>
        <v>50577.489213628316</v>
      </c>
      <c r="M108" s="10">
        <f>MAX(Tabella8[[#This Row],[Italy sum of regions]]-CI,0)</f>
        <v>45656.333704585646</v>
      </c>
      <c r="N108" s="57">
        <f t="shared" si="0"/>
        <v>1890</v>
      </c>
      <c r="O108" s="10">
        <f>Tabella8[[#This Row],[region data]]*NOT(ISBLANK(Tabella8[[#This Row],[region data]]))</f>
        <v>1890</v>
      </c>
      <c r="P108" s="107">
        <f>MAX(Kr*(TANH(psi_r*(Tabella8[[#This Row],[Day]]-pr)-phi_r)+TANH(phi_r))/(1+TANH(phi_r)),0)</f>
        <v>1900.0332082393834</v>
      </c>
      <c r="Q108" s="107">
        <f>Tabella8[[#This Row],[region fit]]/Kr</f>
        <v>0.21182087048376627</v>
      </c>
      <c r="R108" s="10">
        <f>Tabella8[[#This Row],[region fit]]*NOT(ISBLANK(Tabella8[[#This Row],[region data]]))</f>
        <v>1900.0332082393834</v>
      </c>
      <c r="S108" s="10">
        <f>Tabella8[[#This Row],[region fit]]+CIr</f>
        <v>1986.0524857042524</v>
      </c>
      <c r="T108" s="10">
        <f>MAX(Tabella8[[#This Row],[region fit]]-CIr,0)</f>
        <v>1814.0139307745144</v>
      </c>
      <c r="U108" s="10">
        <f>Tabella8[[#This Row],[Italy cumulative]]-Tabella8[[#This Row],[region data]]</f>
        <v>47414</v>
      </c>
      <c r="V108" s="10">
        <f>Tabella8[[#This Row],[rest of Italy ]]*NOT(ISBLANK(Tabella8[[#This Row],[rest of Italy ]]))</f>
        <v>47414</v>
      </c>
      <c r="W108" s="108">
        <f>MAX(Ko*(TANH(psi_o*(Tabella8[[#This Row],[Day]]-po)-phi_o)+TANH(phi_o))/(1+TANH(phi_o)),0)</f>
        <v>46216.878250867601</v>
      </c>
      <c r="X108" s="108">
        <f>Tabella8[[#This Row],[rest of Italy fit]]/Ko</f>
        <v>0.21393731542317085</v>
      </c>
      <c r="Y108" s="22">
        <f>Tabella8[[#This Row],[rest of Italy fit]]*NOT(ISBLANK(Tabella8[[#This Row],[rest of Italy ]]))</f>
        <v>46216.878250867601</v>
      </c>
      <c r="Z108" s="10">
        <f>Tabella8[[#This Row],[rest of Italy fit]]+CIo</f>
        <v>48701.214944802297</v>
      </c>
      <c r="AA108" s="10">
        <f>MAX(Tabella8[[#This Row],[rest of Italy fit]]-CIo,0)</f>
        <v>43732.541556932905</v>
      </c>
      <c r="AC108" s="55" t="s">
        <v>192</v>
      </c>
      <c r="AD108" s="87">
        <v>1863</v>
      </c>
      <c r="AE108" s="87">
        <v>866</v>
      </c>
      <c r="BA108" s="32"/>
      <c r="BB108" s="32"/>
      <c r="BD108" s="68"/>
      <c r="BE108" s="68"/>
    </row>
    <row r="109" spans="2:378" x14ac:dyDescent="0.3">
      <c r="B109" s="9">
        <v>43932</v>
      </c>
      <c r="C109" s="4">
        <v>102</v>
      </c>
      <c r="D109" s="10">
        <f>'dpc-covid19-ita-andamento-naz'!J49+'dpc-covid19-ita-andamento-naz'!K49</f>
        <v>52002</v>
      </c>
      <c r="E109" s="10">
        <f>Tabella8[[#This Row],[Italy cumulative]]*NOT(ISBLANK(Tabella8[[#This Row],[Italy cumulative]]))</f>
        <v>52002</v>
      </c>
      <c r="F109" s="10">
        <f>Tabella8[[#This Row],[region fit]]+Tabella8[[#This Row],[rest of Italy fit]]</f>
        <v>50524.076574111758</v>
      </c>
      <c r="G109" s="72">
        <f>Tabella8[[#This Row],[Italy sum of regions]]/K_sum</f>
        <v>0.22455145144049671</v>
      </c>
      <c r="H109" s="10">
        <f>Tabella8[[#This Row],[Italy sum of regions]]*NOT(ISBLANK(Tabella8[[#This Row],[Italy cumulative]]))</f>
        <v>50524.076574111758</v>
      </c>
      <c r="I109" s="132">
        <f>MAX(Kt*(TANH(psi_t*(Tabella8[[#This Row],[Day]]-pt)-phi_t)+TANH(phi_t))/(1+TANH(phi_t)),0)</f>
        <v>50512.769555802355</v>
      </c>
      <c r="J109" s="109">
        <f>Tabella8[[#This Row],[Italy fit]]/Kt</f>
        <v>0.22450119802578825</v>
      </c>
      <c r="K109" s="10">
        <f>Tabella8[[#This Row],[Italy fit]]*NOT(ISBLANK(Tabella8[[#This Row],[Italy cumulative]]))</f>
        <v>50512.769555802355</v>
      </c>
      <c r="L109" s="10">
        <f>Tabella8[[#This Row],[Italy sum of regions]]+CI</f>
        <v>52984.654328633093</v>
      </c>
      <c r="M109" s="10">
        <f>MAX(Tabella8[[#This Row],[Italy sum of regions]]-CI,0)</f>
        <v>48063.498819590422</v>
      </c>
      <c r="N109" s="57">
        <f t="shared" si="0"/>
        <v>2043</v>
      </c>
      <c r="O109" s="10">
        <f>Tabella8[[#This Row],[region data]]*NOT(ISBLANK(Tabella8[[#This Row],[region data]]))</f>
        <v>2043</v>
      </c>
      <c r="P109" s="107">
        <f>MAX(Kr*(TANH(psi_r*(Tabella8[[#This Row],[Day]]-pr)-phi_r)+TANH(phi_r))/(1+TANH(phi_r)),0)</f>
        <v>2011.6710163155669</v>
      </c>
      <c r="Q109" s="107">
        <f>Tabella8[[#This Row],[region fit]]/Kr</f>
        <v>0.22426655700285028</v>
      </c>
      <c r="R109" s="10">
        <f>Tabella8[[#This Row],[region fit]]*NOT(ISBLANK(Tabella8[[#This Row],[region data]]))</f>
        <v>2011.6710163155669</v>
      </c>
      <c r="S109" s="10">
        <f>Tabella8[[#This Row],[region fit]]+CIr</f>
        <v>2097.6902937804361</v>
      </c>
      <c r="T109" s="10">
        <f>MAX(Tabella8[[#This Row],[region fit]]-CIr,0)</f>
        <v>1925.6517388506977</v>
      </c>
      <c r="U109" s="10">
        <f>Tabella8[[#This Row],[Italy cumulative]]-Tabella8[[#This Row],[region data]]</f>
        <v>49959</v>
      </c>
      <c r="V109" s="10">
        <f>Tabella8[[#This Row],[rest of Italy ]]*NOT(ISBLANK(Tabella8[[#This Row],[rest of Italy ]]))</f>
        <v>49959</v>
      </c>
      <c r="W109" s="108">
        <f>MAX(Ko*(TANH(psi_o*(Tabella8[[#This Row],[Day]]-po)-phi_o)+TANH(phi_o))/(1+TANH(phi_o)),0)</f>
        <v>48512.405557796192</v>
      </c>
      <c r="X109" s="108">
        <f>Tabella8[[#This Row],[rest of Italy fit]]/Ko</f>
        <v>0.2245632808304226</v>
      </c>
      <c r="Y109" s="22">
        <f>Tabella8[[#This Row],[rest of Italy fit]]*NOT(ISBLANK(Tabella8[[#This Row],[rest of Italy ]]))</f>
        <v>48512.405557796192</v>
      </c>
      <c r="Z109" s="10">
        <f>Tabella8[[#This Row],[rest of Italy fit]]+CIo</f>
        <v>50996.742251730888</v>
      </c>
      <c r="AA109" s="10">
        <f>MAX(Tabella8[[#This Row],[rest of Italy fit]]-CIo,0)</f>
        <v>46028.068863861496</v>
      </c>
      <c r="AC109" s="55" t="s">
        <v>193</v>
      </c>
      <c r="AD109" s="87">
        <v>1992</v>
      </c>
      <c r="AE109" s="87">
        <v>897</v>
      </c>
      <c r="BA109" s="32"/>
      <c r="BB109" s="32"/>
      <c r="BD109" s="68"/>
      <c r="BE109" s="68"/>
    </row>
    <row r="110" spans="2:378" x14ac:dyDescent="0.3">
      <c r="B110" s="9">
        <v>43933</v>
      </c>
      <c r="C110" s="4">
        <v>103</v>
      </c>
      <c r="D110" s="10">
        <f>'dpc-covid19-ita-andamento-naz'!J50+'dpc-covid19-ita-andamento-naz'!K50</f>
        <v>54110</v>
      </c>
      <c r="E110" s="10">
        <f>Tabella8[[#This Row],[Italy cumulative]]*NOT(ISBLANK(Tabella8[[#This Row],[Italy cumulative]]))</f>
        <v>54110</v>
      </c>
      <c r="F110" s="10">
        <f>Tabella8[[#This Row],[region fit]]+Tabella8[[#This Row],[rest of Italy fit]]</f>
        <v>52983.409606131157</v>
      </c>
      <c r="G110" s="72">
        <f>Tabella8[[#This Row],[Italy sum of regions]]/K_sum</f>
        <v>0.23548182047169403</v>
      </c>
      <c r="H110" s="10">
        <f>Tabella8[[#This Row],[Italy sum of regions]]*NOT(ISBLANK(Tabella8[[#This Row],[Italy cumulative]]))</f>
        <v>52983.409606131157</v>
      </c>
      <c r="I110" s="132">
        <f>MAX(Kt*(TANH(psi_t*(Tabella8[[#This Row],[Day]]-pt)-phi_t)+TANH(phi_t))/(1+TANH(phi_t)),0)</f>
        <v>52970.279003145995</v>
      </c>
      <c r="J110" s="109">
        <f>Tabella8[[#This Row],[Italy fit]]/Kt</f>
        <v>0.23542346223620442</v>
      </c>
      <c r="K110" s="10">
        <f>Tabella8[[#This Row],[Italy fit]]*NOT(ISBLANK(Tabella8[[#This Row],[Italy cumulative]]))</f>
        <v>52970.279003145995</v>
      </c>
      <c r="L110" s="10">
        <f>Tabella8[[#This Row],[Italy sum of regions]]+CI</f>
        <v>55443.987360652492</v>
      </c>
      <c r="M110" s="10">
        <f>MAX(Tabella8[[#This Row],[Italy sum of regions]]-CI,0)</f>
        <v>50522.831851609822</v>
      </c>
      <c r="N110" s="57">
        <f t="shared" si="0"/>
        <v>2161</v>
      </c>
      <c r="O110" s="10">
        <f>Tabella8[[#This Row],[region data]]*NOT(ISBLANK(Tabella8[[#This Row],[region data]]))</f>
        <v>2161</v>
      </c>
      <c r="P110" s="107">
        <f>MAX(Kr*(TANH(psi_r*(Tabella8[[#This Row],[Day]]-pr)-phi_r)+TANH(phi_r))/(1+TANH(phi_r)),0)</f>
        <v>2126.0117485259707</v>
      </c>
      <c r="Q110" s="107">
        <f>Tabella8[[#This Row],[region fit]]/Kr</f>
        <v>0.23701357285685293</v>
      </c>
      <c r="R110" s="10">
        <f>Tabella8[[#This Row],[region fit]]*NOT(ISBLANK(Tabella8[[#This Row],[region data]]))</f>
        <v>2126.0117485259707</v>
      </c>
      <c r="S110" s="10">
        <f>Tabella8[[#This Row],[region fit]]+CIr</f>
        <v>2212.0310259908397</v>
      </c>
      <c r="T110" s="10">
        <f>MAX(Tabella8[[#This Row],[region fit]]-CIr,0)</f>
        <v>2039.9924710611017</v>
      </c>
      <c r="U110" s="10">
        <f>Tabella8[[#This Row],[Italy cumulative]]-Tabella8[[#This Row],[region data]]</f>
        <v>51949</v>
      </c>
      <c r="V110" s="10">
        <f>Tabella8[[#This Row],[rest of Italy ]]*NOT(ISBLANK(Tabella8[[#This Row],[rest of Italy ]]))</f>
        <v>51949</v>
      </c>
      <c r="W110" s="108">
        <f>MAX(Ko*(TANH(psi_o*(Tabella8[[#This Row],[Day]]-po)-phi_o)+TANH(phi_o))/(1+TANH(phi_o)),0)</f>
        <v>50857.397857605189</v>
      </c>
      <c r="X110" s="108">
        <f>Tabella8[[#This Row],[rest of Italy fit]]/Ko</f>
        <v>0.2354182190325658</v>
      </c>
      <c r="Y110" s="22">
        <f>Tabella8[[#This Row],[rest of Italy fit]]*NOT(ISBLANK(Tabella8[[#This Row],[rest of Italy ]]))</f>
        <v>50857.397857605189</v>
      </c>
      <c r="Z110" s="10">
        <f>Tabella8[[#This Row],[rest of Italy fit]]+CIo</f>
        <v>53341.734551539885</v>
      </c>
      <c r="AA110" s="10">
        <f>MAX(Tabella8[[#This Row],[rest of Italy fit]]-CIo,0)</f>
        <v>48373.061163670493</v>
      </c>
      <c r="AC110" s="55" t="s">
        <v>265</v>
      </c>
      <c r="AD110" s="87">
        <v>2110</v>
      </c>
      <c r="AE110" s="87">
        <v>928</v>
      </c>
      <c r="BA110" s="32"/>
      <c r="BB110" s="32"/>
      <c r="BD110" s="68"/>
      <c r="BE110" s="68"/>
    </row>
    <row r="111" spans="2:378" x14ac:dyDescent="0.3">
      <c r="B111" s="9">
        <v>43934</v>
      </c>
      <c r="C111" s="4">
        <v>104</v>
      </c>
      <c r="D111" s="10">
        <f>'dpc-covid19-ita-andamento-naz'!J51+'dpc-covid19-ita-andamento-naz'!K51</f>
        <v>55900</v>
      </c>
      <c r="E111" s="10">
        <f>Tabella8[[#This Row],[Italy cumulative]]*NOT(ISBLANK(Tabella8[[#This Row],[Italy cumulative]]))</f>
        <v>55900</v>
      </c>
      <c r="F111" s="10">
        <f>Tabella8[[#This Row],[region fit]]+Tabella8[[#This Row],[rest of Italy fit]]</f>
        <v>55493.529694717567</v>
      </c>
      <c r="G111" s="72">
        <f>Tabella8[[#This Row],[Italy sum of regions]]/K_sum</f>
        <v>0.24663790975430031</v>
      </c>
      <c r="H111" s="10">
        <f>Tabella8[[#This Row],[Italy sum of regions]]*NOT(ISBLANK(Tabella8[[#This Row],[Italy cumulative]]))</f>
        <v>55493.529694717567</v>
      </c>
      <c r="I111" s="132">
        <f>MAX(Kt*(TANH(psi_t*(Tabella8[[#This Row],[Day]]-pt)-phi_t)+TANH(phi_t))/(1+TANH(phi_t)),0)</f>
        <v>55478.736344095603</v>
      </c>
      <c r="J111" s="109">
        <f>Tabella8[[#This Row],[Italy fit]]/Kt</f>
        <v>0.2465721615293138</v>
      </c>
      <c r="K111" s="10">
        <f>Tabella8[[#This Row],[Italy fit]]*NOT(ISBLANK(Tabella8[[#This Row],[Italy cumulative]]))</f>
        <v>55478.736344095603</v>
      </c>
      <c r="L111" s="10">
        <f>Tabella8[[#This Row],[Italy sum of regions]]+CI</f>
        <v>57954.107449238902</v>
      </c>
      <c r="M111" s="10">
        <f>MAX(Tabella8[[#This Row],[Italy sum of regions]]-CI,0)</f>
        <v>53032.951940196232</v>
      </c>
      <c r="N111" s="57">
        <f t="shared" si="0"/>
        <v>2231</v>
      </c>
      <c r="O111" s="10">
        <f>Tabella8[[#This Row],[region data]]*NOT(ISBLANK(Tabella8[[#This Row],[region data]]))</f>
        <v>2231</v>
      </c>
      <c r="P111" s="107">
        <f>MAX(Kr*(TANH(psi_r*(Tabella8[[#This Row],[Day]]-pr)-phi_r)+TANH(phi_r))/(1+TANH(phi_r)),0)</f>
        <v>2242.9663723493127</v>
      </c>
      <c r="Q111" s="107">
        <f>Tabella8[[#This Row],[region fit]]/Kr</f>
        <v>0.25005199245811738</v>
      </c>
      <c r="R111" s="10">
        <f>Tabella8[[#This Row],[region fit]]*NOT(ISBLANK(Tabella8[[#This Row],[region data]]))</f>
        <v>2242.9663723493127</v>
      </c>
      <c r="S111" s="10">
        <f>Tabella8[[#This Row],[region fit]]+CIr</f>
        <v>2328.9856498141817</v>
      </c>
      <c r="T111" s="10">
        <f>MAX(Tabella8[[#This Row],[region fit]]-CIr,0)</f>
        <v>2156.9470948844437</v>
      </c>
      <c r="U111" s="10">
        <f>Tabella8[[#This Row],[Italy cumulative]]-Tabella8[[#This Row],[region data]]</f>
        <v>53669</v>
      </c>
      <c r="V111" s="10">
        <f>Tabella8[[#This Row],[rest of Italy ]]*NOT(ISBLANK(Tabella8[[#This Row],[rest of Italy ]]))</f>
        <v>53669</v>
      </c>
      <c r="W111" s="108">
        <f>MAX(Ko*(TANH(psi_o*(Tabella8[[#This Row],[Day]]-po)-phi_o)+TANH(phi_o))/(1+TANH(phi_o)),0)</f>
        <v>53250.563322368253</v>
      </c>
      <c r="X111" s="108">
        <f>Tabella8[[#This Row],[rest of Italy fit]]/Ko</f>
        <v>0.24649615017529164</v>
      </c>
      <c r="Y111" s="22">
        <f>Tabella8[[#This Row],[rest of Italy fit]]*NOT(ISBLANK(Tabella8[[#This Row],[rest of Italy ]]))</f>
        <v>53250.563322368253</v>
      </c>
      <c r="Z111" s="10">
        <f>Tabella8[[#This Row],[rest of Italy fit]]+CIo</f>
        <v>55734.900016302949</v>
      </c>
      <c r="AA111" s="10">
        <f>MAX(Tabella8[[#This Row],[rest of Italy fit]]-CIo,0)</f>
        <v>50766.226628433556</v>
      </c>
      <c r="AC111" s="55" t="s">
        <v>266</v>
      </c>
      <c r="AD111" s="87">
        <v>2216</v>
      </c>
      <c r="AE111" s="87">
        <v>957</v>
      </c>
      <c r="BA111" s="32"/>
      <c r="BB111" s="32"/>
      <c r="BD111" s="68"/>
      <c r="BE111" s="68"/>
    </row>
    <row r="112" spans="2:378" x14ac:dyDescent="0.3">
      <c r="B112" s="9">
        <v>43935</v>
      </c>
      <c r="C112" s="4">
        <v>105</v>
      </c>
      <c r="D112" s="10">
        <f>'dpc-covid19-ita-andamento-naz'!J52+'dpc-covid19-ita-andamento-naz'!K52</f>
        <v>58197</v>
      </c>
      <c r="E112" s="10">
        <f>Tabella8[[#This Row],[Italy cumulative]]*NOT(ISBLANK(Tabella8[[#This Row],[Italy cumulative]]))</f>
        <v>58197</v>
      </c>
      <c r="F112" s="10">
        <f>Tabella8[[#This Row],[region fit]]+Tabella8[[#This Row],[rest of Italy fit]]</f>
        <v>58052.871697681709</v>
      </c>
      <c r="G112" s="72">
        <f>Tabella8[[#This Row],[Italy sum of regions]]/K_sum</f>
        <v>0.25801276310080762</v>
      </c>
      <c r="H112" s="10">
        <f>Tabella8[[#This Row],[Italy sum of regions]]*NOT(ISBLANK(Tabella8[[#This Row],[Italy cumulative]]))</f>
        <v>58052.871697681709</v>
      </c>
      <c r="I112" s="132">
        <f>MAX(Kt*(TANH(psi_t*(Tabella8[[#This Row],[Day]]-pt)-phi_t)+TANH(phi_t))/(1+TANH(phi_t)),0)</f>
        <v>58036.589069107889</v>
      </c>
      <c r="J112" s="109">
        <f>Tabella8[[#This Row],[Italy fit]]/Kt</f>
        <v>0.25794039586270173</v>
      </c>
      <c r="K112" s="10">
        <f>Tabella8[[#This Row],[Italy fit]]*NOT(ISBLANK(Tabella8[[#This Row],[Italy cumulative]]))</f>
        <v>58036.589069107889</v>
      </c>
      <c r="L112" s="10">
        <f>Tabella8[[#This Row],[Italy sum of regions]]+CI</f>
        <v>60513.449452203044</v>
      </c>
      <c r="M112" s="10">
        <f>MAX(Tabella8[[#This Row],[Italy sum of regions]]-CI,0)</f>
        <v>55592.293943160374</v>
      </c>
      <c r="N112" s="57">
        <f t="shared" si="0"/>
        <v>2342</v>
      </c>
      <c r="O112" s="10">
        <f>Tabella8[[#This Row],[region data]]*NOT(ISBLANK(Tabella8[[#This Row],[region data]]))</f>
        <v>2342</v>
      </c>
      <c r="P112" s="107">
        <f>MAX(Kr*(TANH(psi_r*(Tabella8[[#This Row],[Day]]-pr)-phi_r)+TANH(phi_r))/(1+TANH(phi_r)),0)</f>
        <v>2362.4332428573034</v>
      </c>
      <c r="Q112" s="107">
        <f>Tabella8[[#This Row],[region fit]]/Kr</f>
        <v>0.26337048415354553</v>
      </c>
      <c r="R112" s="10">
        <f>Tabella8[[#This Row],[region fit]]*NOT(ISBLANK(Tabella8[[#This Row],[region data]]))</f>
        <v>2362.4332428573034</v>
      </c>
      <c r="S112" s="10">
        <f>Tabella8[[#This Row],[region fit]]+CIr</f>
        <v>2448.4525203221724</v>
      </c>
      <c r="T112" s="10">
        <f>MAX(Tabella8[[#This Row],[region fit]]-CIr,0)</f>
        <v>2276.4139653924344</v>
      </c>
      <c r="U112" s="10">
        <f>Tabella8[[#This Row],[Italy cumulative]]-Tabella8[[#This Row],[region data]]</f>
        <v>55855</v>
      </c>
      <c r="V112" s="10">
        <f>Tabella8[[#This Row],[rest of Italy ]]*NOT(ISBLANK(Tabella8[[#This Row],[rest of Italy ]]))</f>
        <v>55855</v>
      </c>
      <c r="W112" s="108">
        <f>MAX(Ko*(TANH(psi_o*(Tabella8[[#This Row],[Day]]-po)-phi_o)+TANH(phi_o))/(1+TANH(phi_o)),0)</f>
        <v>55690.438454824405</v>
      </c>
      <c r="X112" s="108">
        <f>Tabella8[[#This Row],[rest of Italy fit]]/Ko</f>
        <v>0.25779029974922191</v>
      </c>
      <c r="Y112" s="22">
        <f>Tabella8[[#This Row],[rest of Italy fit]]*NOT(ISBLANK(Tabella8[[#This Row],[rest of Italy ]]))</f>
        <v>55690.438454824405</v>
      </c>
      <c r="Z112" s="10">
        <f>Tabella8[[#This Row],[rest of Italy fit]]+CIo</f>
        <v>58174.775148759101</v>
      </c>
      <c r="AA112" s="10">
        <f>MAX(Tabella8[[#This Row],[rest of Italy fit]]-CIo,0)</f>
        <v>53206.101760889709</v>
      </c>
      <c r="AC112" s="55" t="s">
        <v>267</v>
      </c>
      <c r="AD112" s="87">
        <v>2311</v>
      </c>
      <c r="AE112" s="87">
        <v>990</v>
      </c>
      <c r="BA112" s="32"/>
      <c r="BB112" s="32"/>
      <c r="BD112" s="68"/>
      <c r="BE112" s="68"/>
    </row>
    <row r="113" spans="2:57" x14ac:dyDescent="0.3">
      <c r="B113" s="9">
        <v>43936</v>
      </c>
      <c r="C113" s="4">
        <v>106</v>
      </c>
      <c r="D113" s="10">
        <f>'dpc-covid19-ita-andamento-naz'!J53+'dpc-covid19-ita-andamento-naz'!K53</f>
        <v>59737</v>
      </c>
      <c r="E113" s="10">
        <f>Tabella8[[#This Row],[Italy cumulative]]*NOT(ISBLANK(Tabella8[[#This Row],[Italy cumulative]]))</f>
        <v>59737</v>
      </c>
      <c r="F113" s="10">
        <f>Tabella8[[#This Row],[region fit]]+Tabella8[[#This Row],[rest of Italy fit]]</f>
        <v>60659.685878332682</v>
      </c>
      <c r="G113" s="72">
        <f>Tabella8[[#This Row],[Italy sum of regions]]/K_sum</f>
        <v>0.26959860390370083</v>
      </c>
      <c r="H113" s="10">
        <f>Tabella8[[#This Row],[Italy sum of regions]]*NOT(ISBLANK(Tabella8[[#This Row],[Italy cumulative]]))</f>
        <v>60659.685878332682</v>
      </c>
      <c r="I113" s="132">
        <f>MAX(Kt*(TANH(psi_t*(Tabella8[[#This Row],[Day]]-pt)-phi_t)+TANH(phi_t))/(1+TANH(phi_t)),0)</f>
        <v>60642.100179094807</v>
      </c>
      <c r="J113" s="109">
        <f>Tabella8[[#This Row],[Italy fit]]/Kt</f>
        <v>0.26952044524042135</v>
      </c>
      <c r="K113" s="10">
        <f>Tabella8[[#This Row],[Italy fit]]*NOT(ISBLANK(Tabella8[[#This Row],[Italy cumulative]]))</f>
        <v>60642.100179094807</v>
      </c>
      <c r="L113" s="10">
        <f>Tabella8[[#This Row],[Italy sum of regions]]+CI</f>
        <v>63120.263632854017</v>
      </c>
      <c r="M113" s="10">
        <f>MAX(Tabella8[[#This Row],[Italy sum of regions]]-CI,0)</f>
        <v>58199.108123811347</v>
      </c>
      <c r="N113" s="57">
        <f t="shared" si="0"/>
        <v>2472</v>
      </c>
      <c r="O113" s="10">
        <f>Tabella8[[#This Row],[region data]]*NOT(ISBLANK(Tabella8[[#This Row],[region data]]))</f>
        <v>2472</v>
      </c>
      <c r="P113" s="107">
        <f>MAX(Kr*(TANH(psi_r*(Tabella8[[#This Row],[Day]]-pr)-phi_r)+TANH(phi_r))/(1+TANH(phi_r)),0)</f>
        <v>2484.2981482130458</v>
      </c>
      <c r="Q113" s="107">
        <f>Tabella8[[#This Row],[region fit]]/Kr</f>
        <v>0.27695631529688358</v>
      </c>
      <c r="R113" s="10">
        <f>Tabella8[[#This Row],[region fit]]*NOT(ISBLANK(Tabella8[[#This Row],[region data]]))</f>
        <v>2484.2981482130458</v>
      </c>
      <c r="S113" s="10">
        <f>Tabella8[[#This Row],[region fit]]+CIr</f>
        <v>2570.3174256779148</v>
      </c>
      <c r="T113" s="10">
        <f>MAX(Tabella8[[#This Row],[region fit]]-CIr,0)</f>
        <v>2398.2788707481768</v>
      </c>
      <c r="U113" s="10">
        <f>Tabella8[[#This Row],[Italy cumulative]]-Tabella8[[#This Row],[region data]]</f>
        <v>57265</v>
      </c>
      <c r="V113" s="10">
        <f>Tabella8[[#This Row],[rest of Italy ]]*NOT(ISBLANK(Tabella8[[#This Row],[rest of Italy ]]))</f>
        <v>57265</v>
      </c>
      <c r="W113" s="108">
        <f>MAX(Ko*(TANH(psi_o*(Tabella8[[#This Row],[Day]]-po)-phi_o)+TANH(phi_o))/(1+TANH(phi_o)),0)</f>
        <v>58175.387730119633</v>
      </c>
      <c r="X113" s="108">
        <f>Tabella8[[#This Row],[rest of Italy fit]]/Ko</f>
        <v>0.26929309693153558</v>
      </c>
      <c r="Y113" s="22">
        <f>Tabella8[[#This Row],[rest of Italy fit]]*NOT(ISBLANK(Tabella8[[#This Row],[rest of Italy ]]))</f>
        <v>58175.387730119633</v>
      </c>
      <c r="Z113" s="10">
        <f>Tabella8[[#This Row],[rest of Italy fit]]+CIo</f>
        <v>60659.72442405433</v>
      </c>
      <c r="AA113" s="10">
        <f>MAX(Tabella8[[#This Row],[rest of Italy fit]]-CIo,0)</f>
        <v>55691.051036184937</v>
      </c>
      <c r="AC113" s="55" t="s">
        <v>289</v>
      </c>
      <c r="AD113" s="87">
        <v>2420</v>
      </c>
      <c r="AE113" s="87">
        <v>1022</v>
      </c>
      <c r="BA113" s="32"/>
      <c r="BB113" s="32"/>
      <c r="BD113" s="68"/>
      <c r="BE113" s="68"/>
    </row>
    <row r="114" spans="2:57" x14ac:dyDescent="0.3">
      <c r="B114" s="9">
        <v>43937</v>
      </c>
      <c r="C114" s="4">
        <v>107</v>
      </c>
      <c r="D114" s="10">
        <f>'dpc-covid19-ita-andamento-naz'!J54+'dpc-covid19-ita-andamento-naz'!K54</f>
        <v>62334</v>
      </c>
      <c r="E114" s="10">
        <f>Tabella8[[#This Row],[Italy cumulative]]*NOT(ISBLANK(Tabella8[[#This Row],[Italy cumulative]]))</f>
        <v>62334</v>
      </c>
      <c r="F114" s="10">
        <f>Tabella8[[#This Row],[region fit]]+Tabella8[[#This Row],[rest of Italy fit]]</f>
        <v>63312.038891053213</v>
      </c>
      <c r="G114" s="72">
        <f>Tabella8[[#This Row],[Italy sum of regions]]/K_sum</f>
        <v>0.28138683951579208</v>
      </c>
      <c r="H114" s="10">
        <f>Tabella8[[#This Row],[Italy sum of regions]]*NOT(ISBLANK(Tabella8[[#This Row],[Italy cumulative]]))</f>
        <v>63312.038891053213</v>
      </c>
      <c r="I114" s="132">
        <f>MAX(Kt*(TANH(psi_t*(Tabella8[[#This Row],[Day]]-pt)-phi_t)+TANH(phi_t))/(1+TANH(phi_t)),0)</f>
        <v>63293.349044181807</v>
      </c>
      <c r="J114" s="109">
        <f>Tabella8[[#This Row],[Italy fit]]/Kt</f>
        <v>0.28130377352969693</v>
      </c>
      <c r="K114" s="10">
        <f>Tabella8[[#This Row],[Italy fit]]*NOT(ISBLANK(Tabella8[[#This Row],[Italy cumulative]]))</f>
        <v>63293.349044181807</v>
      </c>
      <c r="L114" s="10">
        <f>Tabella8[[#This Row],[Italy sum of regions]]+CI</f>
        <v>65772.616645574555</v>
      </c>
      <c r="M114" s="10">
        <f>MAX(Tabella8[[#This Row],[Italy sum of regions]]-CI,0)</f>
        <v>60851.461136531878</v>
      </c>
      <c r="N114" s="57">
        <f t="shared" si="0"/>
        <v>2602</v>
      </c>
      <c r="O114" s="10">
        <f>Tabella8[[#This Row],[region data]]*NOT(ISBLANK(Tabella8[[#This Row],[region data]]))</f>
        <v>2602</v>
      </c>
      <c r="P114" s="107">
        <f>MAX(Kr*(TANH(psi_r*(Tabella8[[#This Row],[Day]]-pr)-phi_r)+TANH(phi_r))/(1+TANH(phi_r)),0)</f>
        <v>2608.4344741836117</v>
      </c>
      <c r="Q114" s="107">
        <f>Tabella8[[#This Row],[region fit]]/Kr</f>
        <v>0.29079537058903138</v>
      </c>
      <c r="R114" s="10">
        <f>Tabella8[[#This Row],[region fit]]*NOT(ISBLANK(Tabella8[[#This Row],[region data]]))</f>
        <v>2608.4344741836117</v>
      </c>
      <c r="S114" s="10">
        <f>Tabella8[[#This Row],[region fit]]+CIr</f>
        <v>2694.4537516484806</v>
      </c>
      <c r="T114" s="10">
        <f>MAX(Tabella8[[#This Row],[region fit]]-CIr,0)</f>
        <v>2522.4151967187427</v>
      </c>
      <c r="U114" s="10">
        <f>Tabella8[[#This Row],[Italy cumulative]]-Tabella8[[#This Row],[region data]]</f>
        <v>59732</v>
      </c>
      <c r="V114" s="10">
        <f>Tabella8[[#This Row],[rest of Italy ]]*NOT(ISBLANK(Tabella8[[#This Row],[rest of Italy ]]))</f>
        <v>59732</v>
      </c>
      <c r="W114" s="108">
        <f>MAX(Ko*(TANH(psi_o*(Tabella8[[#This Row],[Day]]-po)-phi_o)+TANH(phi_o))/(1+TANH(phi_o)),0)</f>
        <v>60703.604416869603</v>
      </c>
      <c r="X114" s="108">
        <f>Tabella8[[#This Row],[rest of Italy fit]]/Ko</f>
        <v>0.28099617838665741</v>
      </c>
      <c r="Y114" s="22">
        <f>Tabella8[[#This Row],[rest of Italy fit]]*NOT(ISBLANK(Tabella8[[#This Row],[rest of Italy ]]))</f>
        <v>60703.604416869603</v>
      </c>
      <c r="Z114" s="10">
        <f>Tabella8[[#This Row],[rest of Italy fit]]+CIo</f>
        <v>63187.941110804299</v>
      </c>
      <c r="AA114" s="10">
        <f>MAX(Tabella8[[#This Row],[rest of Italy fit]]-CIo,0)</f>
        <v>58219.267722934906</v>
      </c>
      <c r="AC114" s="55" t="s">
        <v>333</v>
      </c>
      <c r="AD114" s="87">
        <v>2536</v>
      </c>
      <c r="AE114" s="87">
        <v>1047</v>
      </c>
      <c r="BA114" s="32"/>
      <c r="BB114" s="32"/>
      <c r="BD114" s="68"/>
      <c r="BE114" s="68"/>
    </row>
    <row r="115" spans="2:57" x14ac:dyDescent="0.3">
      <c r="B115" s="9">
        <v>43938</v>
      </c>
      <c r="C115" s="4">
        <v>108</v>
      </c>
      <c r="D115" s="10">
        <f>'dpc-covid19-ita-andamento-naz'!J55+'dpc-covid19-ita-andamento-naz'!K55</f>
        <v>65472</v>
      </c>
      <c r="E115" s="10">
        <f>Tabella8[[#This Row],[Italy cumulative]]*NOT(ISBLANK(Tabella8[[#This Row],[Italy cumulative]]))</f>
        <v>65472</v>
      </c>
      <c r="F115" s="10">
        <f>Tabella8[[#This Row],[region fit]]+Tabella8[[#This Row],[rest of Italy fit]]</f>
        <v>66007.816125967627</v>
      </c>
      <c r="G115" s="72">
        <f>Tabella8[[#This Row],[Italy sum of regions]]/K_sum</f>
        <v>0.29336807167096723</v>
      </c>
      <c r="H115" s="10">
        <f>Tabella8[[#This Row],[Italy sum of regions]]*NOT(ISBLANK(Tabella8[[#This Row],[Italy cumulative]]))</f>
        <v>66007.816125967627</v>
      </c>
      <c r="I115" s="132">
        <f>MAX(Kt*(TANH(psi_t*(Tabella8[[#This Row],[Day]]-pt)-phi_t)+TANH(phi_t))/(1+TANH(phi_t)),0)</f>
        <v>65988.233605889051</v>
      </c>
      <c r="J115" s="109">
        <f>Tabella8[[#This Row],[Italy fit]]/Kt</f>
        <v>0.2932810382483958</v>
      </c>
      <c r="K115" s="10">
        <f>Tabella8[[#This Row],[Italy fit]]*NOT(ISBLANK(Tabella8[[#This Row],[Italy cumulative]]))</f>
        <v>65988.233605889051</v>
      </c>
      <c r="L115" s="10">
        <f>Tabella8[[#This Row],[Italy sum of regions]]+CI</f>
        <v>68468.393880488962</v>
      </c>
      <c r="M115" s="10">
        <f>MAX(Tabella8[[#This Row],[Italy sum of regions]]-CI,0)</f>
        <v>63547.238371446292</v>
      </c>
      <c r="N115" s="57">
        <f t="shared" si="0"/>
        <v>2729</v>
      </c>
      <c r="O115" s="10">
        <f>Tabella8[[#This Row],[region data]]*NOT(ISBLANK(Tabella8[[#This Row],[region data]]))</f>
        <v>2729</v>
      </c>
      <c r="P115" s="107">
        <f>MAX(Kr*(TANH(psi_r*(Tabella8[[#This Row],[Day]]-pr)-phi_r)+TANH(phi_r))/(1+TANH(phi_r)),0)</f>
        <v>2734.70349257925</v>
      </c>
      <c r="Q115" s="107">
        <f>Tabella8[[#This Row],[region fit]]/Kr</f>
        <v>0.30487218423403012</v>
      </c>
      <c r="R115" s="10">
        <f>Tabella8[[#This Row],[region fit]]*NOT(ISBLANK(Tabella8[[#This Row],[region data]]))</f>
        <v>2734.70349257925</v>
      </c>
      <c r="S115" s="10">
        <f>Tabella8[[#This Row],[region fit]]+CIr</f>
        <v>2820.722770044119</v>
      </c>
      <c r="T115" s="10">
        <f>MAX(Tabella8[[#This Row],[region fit]]-CIr,0)</f>
        <v>2648.684215114381</v>
      </c>
      <c r="U115" s="10">
        <f>Tabella8[[#This Row],[Italy cumulative]]-Tabella8[[#This Row],[region data]]</f>
        <v>62743</v>
      </c>
      <c r="V115" s="10">
        <f>Tabella8[[#This Row],[rest of Italy ]]*NOT(ISBLANK(Tabella8[[#This Row],[rest of Italy ]]))</f>
        <v>62743</v>
      </c>
      <c r="W115" s="108">
        <f>MAX(Ko*(TANH(psi_o*(Tabella8[[#This Row],[Day]]-po)-phi_o)+TANH(phi_o))/(1+TANH(phi_o)),0)</f>
        <v>63273.11263338838</v>
      </c>
      <c r="X115" s="108">
        <f>Tabella8[[#This Row],[rest of Italy fit]]/Ko</f>
        <v>0.29289039778451315</v>
      </c>
      <c r="Y115" s="22">
        <f>Tabella8[[#This Row],[rest of Italy fit]]*NOT(ISBLANK(Tabella8[[#This Row],[rest of Italy ]]))</f>
        <v>63273.11263338838</v>
      </c>
      <c r="Z115" s="10">
        <f>Tabella8[[#This Row],[rest of Italy fit]]+CIo</f>
        <v>65757.449327323076</v>
      </c>
      <c r="AA115" s="10">
        <f>MAX(Tabella8[[#This Row],[rest of Italy fit]]-CIo,0)</f>
        <v>60788.775939453684</v>
      </c>
      <c r="AC115" s="55" t="s">
        <v>355</v>
      </c>
      <c r="AD115" s="87">
        <v>2660</v>
      </c>
      <c r="AE115" s="87">
        <v>1076</v>
      </c>
      <c r="BA115" s="32"/>
      <c r="BB115" s="32"/>
      <c r="BD115" s="68"/>
      <c r="BE115" s="68"/>
    </row>
    <row r="116" spans="2:57" x14ac:dyDescent="0.3">
      <c r="B116" s="9">
        <v>43939</v>
      </c>
      <c r="C116" s="4">
        <v>109</v>
      </c>
      <c r="D116" s="10">
        <f>'dpc-covid19-ita-andamento-naz'!J56+'dpc-covid19-ita-andamento-naz'!K56</f>
        <v>68154</v>
      </c>
      <c r="E116" s="10">
        <f>Tabella8[[#This Row],[Italy cumulative]]*NOT(ISBLANK(Tabella8[[#This Row],[Italy cumulative]]))</f>
        <v>68154</v>
      </c>
      <c r="F116" s="10">
        <f>Tabella8[[#This Row],[region fit]]+Tabella8[[#This Row],[rest of Italy fit]]</f>
        <v>68744.725458698871</v>
      </c>
      <c r="G116" s="72">
        <f>Tabella8[[#This Row],[Italy sum of regions]]/K_sum</f>
        <v>0.30553211314977274</v>
      </c>
      <c r="H116" s="10">
        <f>Tabella8[[#This Row],[Italy sum of regions]]*NOT(ISBLANK(Tabella8[[#This Row],[Italy cumulative]]))</f>
        <v>68744.725458698871</v>
      </c>
      <c r="I116" s="132">
        <f>MAX(Kt*(TANH(psi_t*(Tabella8[[#This Row],[Day]]-pt)-phi_t)+TANH(phi_t))/(1+TANH(phi_t)),0)</f>
        <v>68724.47397003349</v>
      </c>
      <c r="J116" s="109">
        <f>Tabella8[[#This Row],[Italy fit]]/Kt</f>
        <v>0.30544210653348219</v>
      </c>
      <c r="K116" s="10">
        <f>Tabella8[[#This Row],[Italy fit]]*NOT(ISBLANK(Tabella8[[#This Row],[Italy cumulative]]))</f>
        <v>68724.47397003349</v>
      </c>
      <c r="L116" s="10">
        <f>Tabella8[[#This Row],[Italy sum of regions]]+CI</f>
        <v>71205.303213220206</v>
      </c>
      <c r="M116" s="10">
        <f>MAX(Tabella8[[#This Row],[Italy sum of regions]]-CI,0)</f>
        <v>66284.147704177536</v>
      </c>
      <c r="N116" s="57">
        <f t="shared" si="0"/>
        <v>2889</v>
      </c>
      <c r="O116" s="10">
        <f>Tabella8[[#This Row],[region data]]*NOT(ISBLANK(Tabella8[[#This Row],[region data]]))</f>
        <v>2889</v>
      </c>
      <c r="P116" s="107">
        <f>MAX(Kr*(TANH(psi_r*(Tabella8[[#This Row],[Day]]-pr)-phi_r)+TANH(phi_r))/(1+TANH(phi_r)),0)</f>
        <v>2862.954776674921</v>
      </c>
      <c r="Q116" s="107">
        <f>Tabella8[[#This Row],[region fit]]/Kr</f>
        <v>0.31916998625138471</v>
      </c>
      <c r="R116" s="10">
        <f>Tabella8[[#This Row],[region fit]]*NOT(ISBLANK(Tabella8[[#This Row],[region data]]))</f>
        <v>2862.954776674921</v>
      </c>
      <c r="S116" s="10">
        <f>Tabella8[[#This Row],[region fit]]+CIr</f>
        <v>2948.97405413979</v>
      </c>
      <c r="T116" s="10">
        <f>MAX(Tabella8[[#This Row],[region fit]]-CIr,0)</f>
        <v>2776.9354992100521</v>
      </c>
      <c r="U116" s="10">
        <f>Tabella8[[#This Row],[Italy cumulative]]-Tabella8[[#This Row],[region data]]</f>
        <v>65265</v>
      </c>
      <c r="V116" s="10">
        <f>Tabella8[[#This Row],[rest of Italy ]]*NOT(ISBLANK(Tabella8[[#This Row],[rest of Italy ]]))</f>
        <v>65265</v>
      </c>
      <c r="W116" s="108">
        <f>MAX(Ko*(TANH(psi_o*(Tabella8[[#This Row],[Day]]-po)-phi_o)+TANH(phi_o))/(1+TANH(phi_o)),0)</f>
        <v>65881.770682023955</v>
      </c>
      <c r="X116" s="108">
        <f>Tabella8[[#This Row],[rest of Italy fit]]/Ko</f>
        <v>0.30496584123512455</v>
      </c>
      <c r="Y116" s="22">
        <f>Tabella8[[#This Row],[rest of Italy fit]]*NOT(ISBLANK(Tabella8[[#This Row],[rest of Italy ]]))</f>
        <v>65881.770682023955</v>
      </c>
      <c r="Z116" s="10">
        <f>Tabella8[[#This Row],[rest of Italy fit]]+CIo</f>
        <v>68366.107375958658</v>
      </c>
      <c r="AA116" s="10">
        <f>MAX(Tabella8[[#This Row],[rest of Italy fit]]-CIo,0)</f>
        <v>63397.433988089258</v>
      </c>
      <c r="AC116" s="55" t="s">
        <v>378</v>
      </c>
      <c r="AD116" s="87">
        <v>2775</v>
      </c>
      <c r="AE116" s="87">
        <v>1093</v>
      </c>
      <c r="BA116" s="32"/>
      <c r="BB116" s="32"/>
      <c r="BD116" s="68"/>
      <c r="BE116" s="68"/>
    </row>
    <row r="117" spans="2:57" x14ac:dyDescent="0.3">
      <c r="B117" s="9">
        <v>43940</v>
      </c>
      <c r="C117" s="4">
        <v>110</v>
      </c>
      <c r="D117" s="10">
        <f>'dpc-covid19-ita-andamento-naz'!J57+'dpc-covid19-ita-andamento-naz'!K57</f>
        <v>70715</v>
      </c>
      <c r="E117" s="10">
        <f>Tabella8[[#This Row],[Italy cumulative]]*NOT(ISBLANK(Tabella8[[#This Row],[Italy cumulative]]))</f>
        <v>70715</v>
      </c>
      <c r="F117" s="10">
        <f>Tabella8[[#This Row],[region fit]]+Tabella8[[#This Row],[rest of Italy fit]]</f>
        <v>71520.302434666039</v>
      </c>
      <c r="G117" s="72">
        <f>Tabella8[[#This Row],[Italy sum of regions]]/K_sum</f>
        <v>0.31786801082073796</v>
      </c>
      <c r="H117" s="10">
        <f>Tabella8[[#This Row],[Italy sum of regions]]*NOT(ISBLANK(Tabella8[[#This Row],[Italy cumulative]]))</f>
        <v>71520.302434666039</v>
      </c>
      <c r="I117" s="132">
        <f>MAX(Kt*(TANH(psi_t*(Tabella8[[#This Row],[Day]]-pt)-phi_t)+TANH(phi_t))/(1+TANH(phi_t)),0)</f>
        <v>71499.617421664065</v>
      </c>
      <c r="J117" s="109">
        <f>Tabella8[[#This Row],[Italy fit]]/Kt</f>
        <v>0.31777607742961805</v>
      </c>
      <c r="K117" s="10">
        <f>Tabella8[[#This Row],[Italy fit]]*NOT(ISBLANK(Tabella8[[#This Row],[Italy cumulative]]))</f>
        <v>71499.617421664065</v>
      </c>
      <c r="L117" s="10">
        <f>Tabella8[[#This Row],[Italy sum of regions]]+CI</f>
        <v>73980.880189187374</v>
      </c>
      <c r="M117" s="10">
        <f>MAX(Tabella8[[#This Row],[Italy sum of regions]]-CI,0)</f>
        <v>69059.724680144704</v>
      </c>
      <c r="N117" s="57">
        <f t="shared" si="0"/>
        <v>3038</v>
      </c>
      <c r="O117" s="10">
        <f>Tabella8[[#This Row],[region data]]*NOT(ISBLANK(Tabella8[[#This Row],[region data]]))</f>
        <v>3038</v>
      </c>
      <c r="P117" s="107">
        <f>MAX(Kr*(TANH(psi_r*(Tabella8[[#This Row],[Day]]-pr)-phi_r)+TANH(phi_r))/(1+TANH(phi_r)),0)</f>
        <v>2993.0267446110092</v>
      </c>
      <c r="Q117" s="107">
        <f>Tabella8[[#This Row],[region fit]]/Kr</f>
        <v>0.33367076305585386</v>
      </c>
      <c r="R117" s="10">
        <f>Tabella8[[#This Row],[region fit]]*NOT(ISBLANK(Tabella8[[#This Row],[region data]]))</f>
        <v>2993.0267446110092</v>
      </c>
      <c r="S117" s="10">
        <f>Tabella8[[#This Row],[region fit]]+CIr</f>
        <v>3079.0460220758782</v>
      </c>
      <c r="T117" s="10">
        <f>MAX(Tabella8[[#This Row],[region fit]]-CIr,0)</f>
        <v>2907.0074671461402</v>
      </c>
      <c r="U117" s="10">
        <f>Tabella8[[#This Row],[Italy cumulative]]-Tabella8[[#This Row],[region data]]</f>
        <v>67677</v>
      </c>
      <c r="V117" s="10">
        <f>Tabella8[[#This Row],[rest of Italy ]]*NOT(ISBLANK(Tabella8[[#This Row],[rest of Italy ]]))</f>
        <v>67677</v>
      </c>
      <c r="W117" s="108">
        <f>MAX(Ko*(TANH(psi_o*(Tabella8[[#This Row],[Day]]-po)-phi_o)+TANH(phi_o))/(1+TANH(phi_o)),0)</f>
        <v>68527.27569005503</v>
      </c>
      <c r="X117" s="108">
        <f>Tabella8[[#This Row],[rest of Italy fit]]/Ko</f>
        <v>0.31721184877125874</v>
      </c>
      <c r="Y117" s="22">
        <f>Tabella8[[#This Row],[rest of Italy fit]]*NOT(ISBLANK(Tabella8[[#This Row],[rest of Italy ]]))</f>
        <v>68527.27569005503</v>
      </c>
      <c r="Z117" s="10">
        <f>Tabella8[[#This Row],[rest of Italy fit]]+CIo</f>
        <v>71011.612383989734</v>
      </c>
      <c r="AA117" s="10">
        <f>MAX(Tabella8[[#This Row],[rest of Italy fit]]-CIo,0)</f>
        <v>66042.938996120327</v>
      </c>
      <c r="AC117" s="55" t="s">
        <v>4345</v>
      </c>
      <c r="AD117" s="87">
        <v>2894</v>
      </c>
      <c r="AE117" s="87">
        <v>1114</v>
      </c>
      <c r="BA117" s="32"/>
      <c r="BB117" s="32"/>
      <c r="BD117" s="68"/>
      <c r="BE117" s="68"/>
    </row>
    <row r="118" spans="2:57" x14ac:dyDescent="0.3">
      <c r="B118" s="9">
        <v>43941</v>
      </c>
      <c r="C118" s="4">
        <v>111</v>
      </c>
      <c r="D118" s="10">
        <f>'dpc-covid19-ita-andamento-naz'!J58+'dpc-covid19-ita-andamento-naz'!K58</f>
        <v>72991</v>
      </c>
      <c r="E118" s="10">
        <f>Tabella8[[#This Row],[Italy cumulative]]*NOT(ISBLANK(Tabella8[[#This Row],[Italy cumulative]]))</f>
        <v>72991</v>
      </c>
      <c r="F118" s="10">
        <f>Tabella8[[#This Row],[region fit]]+Tabella8[[#This Row],[rest of Italy fit]]</f>
        <v>74331.91689928199</v>
      </c>
      <c r="G118" s="72">
        <f>Tabella8[[#This Row],[Italy sum of regions]]/K_sum</f>
        <v>0.33036407510791993</v>
      </c>
      <c r="H118" s="10">
        <f>Tabella8[[#This Row],[Italy sum of regions]]*NOT(ISBLANK(Tabella8[[#This Row],[Italy cumulative]]))</f>
        <v>74331.91689928199</v>
      </c>
      <c r="I118" s="132">
        <f>MAX(Kt*(TANH(psi_t*(Tabella8[[#This Row],[Day]]-pt)-phi_t)+TANH(phi_t))/(1+TANH(phi_t)),0)</f>
        <v>74311.044875810316</v>
      </c>
      <c r="J118" s="109">
        <f>Tabella8[[#This Row],[Italy fit]]/Kt</f>
        <v>0.33027131055915698</v>
      </c>
      <c r="K118" s="10">
        <f>Tabella8[[#This Row],[Italy fit]]*NOT(ISBLANK(Tabella8[[#This Row],[Italy cumulative]]))</f>
        <v>74311.044875810316</v>
      </c>
      <c r="L118" s="10">
        <f>Tabella8[[#This Row],[Italy sum of regions]]+CI</f>
        <v>76792.494653803325</v>
      </c>
      <c r="M118" s="10">
        <f>MAX(Tabella8[[#This Row],[Italy sum of regions]]-CI,0)</f>
        <v>71871.339144760655</v>
      </c>
      <c r="N118" s="57">
        <f t="shared" si="0"/>
        <v>3173</v>
      </c>
      <c r="O118" s="10">
        <f>Tabella8[[#This Row],[region data]]*NOT(ISBLANK(Tabella8[[#This Row],[region data]]))</f>
        <v>3173</v>
      </c>
      <c r="P118" s="107">
        <f>MAX(Kr*(TANH(psi_r*(Tabella8[[#This Row],[Day]]-pr)-phi_r)+TANH(phi_r))/(1+TANH(phi_r)),0)</f>
        <v>3124.7473295525961</v>
      </c>
      <c r="Q118" s="107">
        <f>Tabella8[[#This Row],[region fit]]/Kr</f>
        <v>0.3483553321686283</v>
      </c>
      <c r="R118" s="10">
        <f>Tabella8[[#This Row],[region fit]]*NOT(ISBLANK(Tabella8[[#This Row],[region data]]))</f>
        <v>3124.7473295525961</v>
      </c>
      <c r="S118" s="10">
        <f>Tabella8[[#This Row],[region fit]]+CIr</f>
        <v>3210.766607017465</v>
      </c>
      <c r="T118" s="10">
        <f>MAX(Tabella8[[#This Row],[region fit]]-CIr,0)</f>
        <v>3038.7280520877271</v>
      </c>
      <c r="U118" s="10">
        <f>Tabella8[[#This Row],[Italy cumulative]]-Tabella8[[#This Row],[region data]]</f>
        <v>69818</v>
      </c>
      <c r="V118" s="10">
        <f>Tabella8[[#This Row],[rest of Italy ]]*NOT(ISBLANK(Tabella8[[#This Row],[rest of Italy ]]))</f>
        <v>69818</v>
      </c>
      <c r="W118" s="108">
        <f>MAX(Ko*(TANH(psi_o*(Tabella8[[#This Row],[Day]]-po)-phi_o)+TANH(phi_o))/(1+TANH(phi_o)),0)</f>
        <v>71207.169569729391</v>
      </c>
      <c r="X118" s="108">
        <f>Tabella8[[#This Row],[rest of Italy fit]]/Ko</f>
        <v>0.32961704193736702</v>
      </c>
      <c r="Y118" s="22">
        <f>Tabella8[[#This Row],[rest of Italy fit]]*NOT(ISBLANK(Tabella8[[#This Row],[rest of Italy ]]))</f>
        <v>71207.169569729391</v>
      </c>
      <c r="Z118" s="10">
        <f>Tabella8[[#This Row],[rest of Italy fit]]+CIo</f>
        <v>73691.506263664094</v>
      </c>
      <c r="AA118" s="10">
        <f>MAX(Tabella8[[#This Row],[rest of Italy fit]]-CIo,0)</f>
        <v>68722.832875794687</v>
      </c>
      <c r="AC118" s="55" t="s">
        <v>4378</v>
      </c>
      <c r="AD118" s="87">
        <v>2934</v>
      </c>
      <c r="AE118" s="87">
        <v>1128</v>
      </c>
      <c r="BA118" s="32"/>
      <c r="BB118" s="32"/>
      <c r="BD118" s="68"/>
      <c r="BE118" s="68"/>
    </row>
    <row r="119" spans="2:57" x14ac:dyDescent="0.3">
      <c r="B119" s="9">
        <v>43942</v>
      </c>
      <c r="C119" s="4">
        <v>112</v>
      </c>
      <c r="D119" s="10">
        <f>'dpc-covid19-ita-andamento-naz'!J59+'dpc-covid19-ita-andamento-naz'!K59</f>
        <v>76248</v>
      </c>
      <c r="E119" s="10">
        <f>Tabella8[[#This Row],[Italy cumulative]]*NOT(ISBLANK(Tabella8[[#This Row],[Italy cumulative]]))</f>
        <v>76248</v>
      </c>
      <c r="F119" s="10">
        <f>Tabella8[[#This Row],[region fit]]+Tabella8[[#This Row],[rest of Italy fit]]</f>
        <v>77176.781066075317</v>
      </c>
      <c r="G119" s="72">
        <f>Tabella8[[#This Row],[Italy sum of regions]]/K_sum</f>
        <v>0.34300791584922363</v>
      </c>
      <c r="H119" s="10">
        <f>Tabella8[[#This Row],[Italy sum of regions]]*NOT(ISBLANK(Tabella8[[#This Row],[Italy cumulative]]))</f>
        <v>77176.781066075317</v>
      </c>
      <c r="I119" s="132">
        <f>MAX(Kt*(TANH(psi_t*(Tabella8[[#This Row],[Day]]-pt)-phi_t)+TANH(phi_t))/(1+TANH(phi_t)),0)</f>
        <v>77155.978759027974</v>
      </c>
      <c r="J119" s="109">
        <f>Tabella8[[#This Row],[Italy fit]]/Kt</f>
        <v>0.34291546115123545</v>
      </c>
      <c r="K119" s="10">
        <f>Tabella8[[#This Row],[Italy fit]]*NOT(ISBLANK(Tabella8[[#This Row],[Italy cumulative]]))</f>
        <v>77155.978759027974</v>
      </c>
      <c r="L119" s="10">
        <f>Tabella8[[#This Row],[Italy sum of regions]]+CI</f>
        <v>79637.358820596652</v>
      </c>
      <c r="M119" s="10">
        <f>MAX(Tabella8[[#This Row],[Italy sum of regions]]-CI,0)</f>
        <v>74716.203311553982</v>
      </c>
      <c r="N119" s="57">
        <f t="shared" si="0"/>
        <v>3301</v>
      </c>
      <c r="O119" s="10">
        <f>Tabella8[[#This Row],[region data]]*NOT(ISBLANK(Tabella8[[#This Row],[region data]]))</f>
        <v>3301</v>
      </c>
      <c r="P119" s="107">
        <f>MAX(Kr*(TANH(psi_r*(Tabella8[[#This Row],[Day]]-pr)-phi_r)+TANH(phi_r))/(1+TANH(phi_r)),0)</f>
        <v>3257.9347730628738</v>
      </c>
      <c r="Q119" s="107">
        <f>Tabella8[[#This Row],[region fit]]/Kr</f>
        <v>0.36320343066475741</v>
      </c>
      <c r="R119" s="10">
        <f>Tabella8[[#This Row],[region fit]]*NOT(ISBLANK(Tabella8[[#This Row],[region data]]))</f>
        <v>3257.9347730628738</v>
      </c>
      <c r="S119" s="10">
        <f>Tabella8[[#This Row],[region fit]]+CIr</f>
        <v>3343.9540505277428</v>
      </c>
      <c r="T119" s="10">
        <f>MAX(Tabella8[[#This Row],[region fit]]-CIr,0)</f>
        <v>3171.9154955980048</v>
      </c>
      <c r="U119" s="10">
        <f>Tabella8[[#This Row],[Italy cumulative]]-Tabella8[[#This Row],[region data]]</f>
        <v>72947</v>
      </c>
      <c r="V119" s="10">
        <f>Tabella8[[#This Row],[rest of Italy ]]*NOT(ISBLANK(Tabella8[[#This Row],[rest of Italy ]]))</f>
        <v>72947</v>
      </c>
      <c r="W119" s="108">
        <f>MAX(Ko*(TANH(psi_o*(Tabella8[[#This Row],[Day]]-po)-phi_o)+TANH(phi_o))/(1+TANH(phi_o)),0)</f>
        <v>73918.846293012437</v>
      </c>
      <c r="X119" s="108">
        <f>Tabella8[[#This Row],[rest of Italy fit]]/Ko</f>
        <v>0.34216935746429866</v>
      </c>
      <c r="Y119" s="22">
        <f>Tabella8[[#This Row],[rest of Italy fit]]*NOT(ISBLANK(Tabella8[[#This Row],[rest of Italy ]]))</f>
        <v>73918.846293012437</v>
      </c>
      <c r="Z119" s="10">
        <f>Tabella8[[#This Row],[rest of Italy fit]]+CIo</f>
        <v>76403.18298694714</v>
      </c>
      <c r="AA119" s="10">
        <f>MAX(Tabella8[[#This Row],[rest of Italy fit]]-CIo,0)</f>
        <v>71434.509599077734</v>
      </c>
      <c r="AC119" s="55" t="s">
        <v>4425</v>
      </c>
      <c r="AD119" s="87">
        <v>3060</v>
      </c>
      <c r="AE119" s="87">
        <v>1141</v>
      </c>
      <c r="BA119" s="32"/>
      <c r="BB119" s="32"/>
      <c r="BD119" s="68"/>
      <c r="BE119" s="68"/>
    </row>
    <row r="120" spans="2:57" x14ac:dyDescent="0.3">
      <c r="B120" s="9">
        <v>43943</v>
      </c>
      <c r="C120" s="4">
        <v>113</v>
      </c>
      <c r="D120" s="10">
        <f>'dpc-covid19-ita-andamento-naz'!J60+'dpc-covid19-ita-andamento-naz'!K60</f>
        <v>79628</v>
      </c>
      <c r="E120" s="10">
        <f>Tabella8[[#This Row],[Italy cumulative]]*NOT(ISBLANK(Tabella8[[#This Row],[Italy cumulative]]))</f>
        <v>79628</v>
      </c>
      <c r="F120" s="10">
        <f>Tabella8[[#This Row],[region fit]]+Tabella8[[#This Row],[rest of Italy fit]]</f>
        <v>80051.958994536253</v>
      </c>
      <c r="G120" s="72">
        <f>Tabella8[[#This Row],[Italy sum of regions]]/K_sum</f>
        <v>0.35578648442016114</v>
      </c>
      <c r="H120" s="10">
        <f>Tabella8[[#This Row],[Italy sum of regions]]*NOT(ISBLANK(Tabella8[[#This Row],[Italy cumulative]]))</f>
        <v>80051.958994536253</v>
      </c>
      <c r="I120" s="132">
        <f>MAX(Kt*(TANH(psi_t*(Tabella8[[#This Row],[Day]]-pt)-phi_t)+TANH(phi_t))/(1+TANH(phi_t)),0)</f>
        <v>80031.492296992452</v>
      </c>
      <c r="J120" s="109">
        <f>Tabella8[[#This Row],[Italy fit]]/Kt</f>
        <v>0.35569552131996646</v>
      </c>
      <c r="K120" s="10">
        <f>Tabella8[[#This Row],[Italy fit]]*NOT(ISBLANK(Tabella8[[#This Row],[Italy cumulative]]))</f>
        <v>80031.492296992452</v>
      </c>
      <c r="L120" s="10">
        <f>Tabella8[[#This Row],[Italy sum of regions]]+CI</f>
        <v>82512.536749057588</v>
      </c>
      <c r="M120" s="10">
        <f>MAX(Tabella8[[#This Row],[Italy sum of regions]]-CI,0)</f>
        <v>77591.381240014918</v>
      </c>
      <c r="N120" s="57">
        <f t="shared" si="0"/>
        <v>3442</v>
      </c>
      <c r="O120" s="10">
        <f>Tabella8[[#This Row],[region data]]*NOT(ISBLANK(Tabella8[[#This Row],[region data]]))</f>
        <v>3442</v>
      </c>
      <c r="P120" s="107">
        <f>MAX(Kr*(TANH(psi_r*(Tabella8[[#This Row],[Day]]-pr)-phi_r)+TANH(phi_r))/(1+TANH(phi_r)),0)</f>
        <v>3392.3985357762895</v>
      </c>
      <c r="Q120" s="107">
        <f>Tabella8[[#This Row],[region fit]]/Kr</f>
        <v>0.37819381669746815</v>
      </c>
      <c r="R120" s="10">
        <f>Tabella8[[#This Row],[region fit]]*NOT(ISBLANK(Tabella8[[#This Row],[region data]]))</f>
        <v>3392.3985357762895</v>
      </c>
      <c r="S120" s="10">
        <f>Tabella8[[#This Row],[region fit]]+CIr</f>
        <v>3478.4178132411585</v>
      </c>
      <c r="T120" s="10">
        <f>MAX(Tabella8[[#This Row],[region fit]]-CIr,0)</f>
        <v>3306.3792583114205</v>
      </c>
      <c r="U120" s="10">
        <f>Tabella8[[#This Row],[Italy cumulative]]-Tabella8[[#This Row],[region data]]</f>
        <v>76186</v>
      </c>
      <c r="V120" s="10">
        <f>Tabella8[[#This Row],[rest of Italy ]]*NOT(ISBLANK(Tabella8[[#This Row],[rest of Italy ]]))</f>
        <v>76186</v>
      </c>
      <c r="W120" s="108">
        <f>MAX(Ko*(TANH(psi_o*(Tabella8[[#This Row],[Day]]-po)-phi_o)+TANH(phi_o))/(1+TANH(phi_o)),0)</f>
        <v>76659.560458759966</v>
      </c>
      <c r="X120" s="108">
        <f>Tabella8[[#This Row],[rest of Italy fit]]/Ko</f>
        <v>0.3548560869266304</v>
      </c>
      <c r="Y120" s="22">
        <f>Tabella8[[#This Row],[rest of Italy fit]]*NOT(ISBLANK(Tabella8[[#This Row],[rest of Italy ]]))</f>
        <v>76659.560458759966</v>
      </c>
      <c r="Z120" s="10">
        <f>Tabella8[[#This Row],[rest of Italy fit]]+CIo</f>
        <v>79143.89715269467</v>
      </c>
      <c r="AA120" s="10">
        <f>MAX(Tabella8[[#This Row],[rest of Italy fit]]-CIo,0)</f>
        <v>74175.223764825263</v>
      </c>
      <c r="AC120" s="55" t="s">
        <v>4680</v>
      </c>
      <c r="AD120" s="87">
        <v>3161</v>
      </c>
      <c r="AE120" s="87">
        <v>1152</v>
      </c>
      <c r="BA120" s="32"/>
      <c r="BB120" s="32"/>
      <c r="BD120" s="68"/>
      <c r="BE120" s="68"/>
    </row>
    <row r="121" spans="2:57" x14ac:dyDescent="0.3">
      <c r="B121" s="9">
        <v>43944</v>
      </c>
      <c r="C121" s="4">
        <v>114</v>
      </c>
      <c r="D121" s="10">
        <f>'dpc-covid19-ita-andamento-naz'!J61+'dpc-covid19-ita-andamento-naz'!K61</f>
        <v>83125</v>
      </c>
      <c r="E121" s="10">
        <f>Tabella8[[#This Row],[Italy cumulative]]*NOT(ISBLANK(Tabella8[[#This Row],[Italy cumulative]]))</f>
        <v>83125</v>
      </c>
      <c r="F121" s="10">
        <f>Tabella8[[#This Row],[region fit]]+Tabella8[[#This Row],[rest of Italy fit]]</f>
        <v>82954.377428776628</v>
      </c>
      <c r="G121" s="72">
        <f>Tabella8[[#This Row],[Italy sum of regions]]/K_sum</f>
        <v>0.3686861219056739</v>
      </c>
      <c r="H121" s="10">
        <f>Tabella8[[#This Row],[Italy sum of regions]]*NOT(ISBLANK(Tabella8[[#This Row],[Italy cumulative]]))</f>
        <v>82954.377428776628</v>
      </c>
      <c r="I121" s="132">
        <f>MAX(Kt*(TANH(psi_t*(Tabella8[[#This Row],[Day]]-pt)-phi_t)+TANH(phi_t))/(1+TANH(phi_t)),0)</f>
        <v>82934.520163104055</v>
      </c>
      <c r="J121" s="109">
        <f>Tabella8[[#This Row],[Italy fit]]/Kt</f>
        <v>0.36859786739157357</v>
      </c>
      <c r="K121" s="10">
        <f>Tabella8[[#This Row],[Italy fit]]*NOT(ISBLANK(Tabella8[[#This Row],[Italy cumulative]]))</f>
        <v>82934.520163104055</v>
      </c>
      <c r="L121" s="10">
        <f>Tabella8[[#This Row],[Italy sum of regions]]+CI</f>
        <v>85414.955183297963</v>
      </c>
      <c r="M121" s="10">
        <f>MAX(Tabella8[[#This Row],[Italy sum of regions]]-CI,0)</f>
        <v>80493.799674255293</v>
      </c>
      <c r="N121" s="57">
        <f t="shared" si="0"/>
        <v>3583</v>
      </c>
      <c r="O121" s="10">
        <f>Tabella8[[#This Row],[region data]]*NOT(ISBLANK(Tabella8[[#This Row],[region data]]))</f>
        <v>3583</v>
      </c>
      <c r="P121" s="107">
        <f>MAX(Kr*(TANH(psi_r*(Tabella8[[#This Row],[Day]]-pr)-phi_r)+TANH(phi_r))/(1+TANH(phi_r)),0)</f>
        <v>3527.9403171064591</v>
      </c>
      <c r="Q121" s="107">
        <f>Tabella8[[#This Row],[region fit]]/Kr</f>
        <v>0.39330438317797761</v>
      </c>
      <c r="R121" s="10">
        <f>Tabella8[[#This Row],[region fit]]*NOT(ISBLANK(Tabella8[[#This Row],[region data]]))</f>
        <v>3527.9403171064591</v>
      </c>
      <c r="S121" s="10">
        <f>Tabella8[[#This Row],[region fit]]+CIr</f>
        <v>3613.9595945713281</v>
      </c>
      <c r="T121" s="10">
        <f>MAX(Tabella8[[#This Row],[region fit]]-CIr,0)</f>
        <v>3441.9210396415901</v>
      </c>
      <c r="U121" s="10">
        <f>Tabella8[[#This Row],[Italy cumulative]]-Tabella8[[#This Row],[region data]]</f>
        <v>79542</v>
      </c>
      <c r="V121" s="10">
        <f>Tabella8[[#This Row],[rest of Italy ]]*NOT(ISBLANK(Tabella8[[#This Row],[rest of Italy ]]))</f>
        <v>79542</v>
      </c>
      <c r="W121" s="108">
        <f>MAX(Ko*(TANH(psi_o*(Tabella8[[#This Row],[Day]]-po)-phi_o)+TANH(phi_o))/(1+TANH(phi_o)),0)</f>
        <v>79426.437111670166</v>
      </c>
      <c r="X121" s="108">
        <f>Tabella8[[#This Row],[rest of Italy fit]]/Ko</f>
        <v>0.36766392219446448</v>
      </c>
      <c r="Y121" s="22">
        <f>Tabella8[[#This Row],[rest of Italy fit]]*NOT(ISBLANK(Tabella8[[#This Row],[rest of Italy ]]))</f>
        <v>79426.437111670166</v>
      </c>
      <c r="Z121" s="10">
        <f>Tabella8[[#This Row],[rest of Italy fit]]+CIo</f>
        <v>81910.773805604869</v>
      </c>
      <c r="AA121" s="10">
        <f>MAX(Tabella8[[#This Row],[rest of Italy fit]]-CIo,0)</f>
        <v>76942.100417735463</v>
      </c>
      <c r="AC121" s="55" t="s">
        <v>4681</v>
      </c>
      <c r="AD121" s="87">
        <v>3275</v>
      </c>
      <c r="AE121" s="87">
        <v>1167</v>
      </c>
      <c r="BA121" s="32"/>
      <c r="BB121" s="32"/>
      <c r="BD121" s="68"/>
      <c r="BE121" s="68"/>
    </row>
    <row r="122" spans="2:57" x14ac:dyDescent="0.3">
      <c r="B122" s="9">
        <v>43945</v>
      </c>
      <c r="C122" s="4">
        <v>115</v>
      </c>
      <c r="D122" s="10">
        <f>'dpc-covid19-ita-andamento-naz'!J62+'dpc-covid19-ita-andamento-naz'!K62</f>
        <v>86467</v>
      </c>
      <c r="E122" s="10">
        <f>Tabella8[[#This Row],[Italy cumulative]]*NOT(ISBLANK(Tabella8[[#This Row],[Italy cumulative]]))</f>
        <v>86467</v>
      </c>
      <c r="F122" s="10">
        <f>Tabella8[[#This Row],[region fit]]+Tabella8[[#This Row],[rest of Italy fit]]</f>
        <v>85880.837927342232</v>
      </c>
      <c r="G122" s="72">
        <f>Tabella8[[#This Row],[Italy sum of regions]]/K_sum</f>
        <v>0.38169261301040991</v>
      </c>
      <c r="H122" s="10">
        <f>Tabella8[[#This Row],[Italy sum of regions]]*NOT(ISBLANK(Tabella8[[#This Row],[Italy cumulative]]))</f>
        <v>85880.837927342232</v>
      </c>
      <c r="I122" s="132">
        <f>MAX(Kt*(TANH(psi_t*(Tabella8[[#This Row],[Day]]-pt)-phi_t)+TANH(phi_t))/(1+TANH(phi_t)),0)</f>
        <v>85861.870422645647</v>
      </c>
      <c r="J122" s="109">
        <f>Tabella8[[#This Row],[Italy fit]]/Kt</f>
        <v>0.38160831298953618</v>
      </c>
      <c r="K122" s="10">
        <f>Tabella8[[#This Row],[Italy fit]]*NOT(ISBLANK(Tabella8[[#This Row],[Italy cumulative]]))</f>
        <v>85861.870422645647</v>
      </c>
      <c r="L122" s="10">
        <f>Tabella8[[#This Row],[Italy sum of regions]]+CI</f>
        <v>88341.415681863567</v>
      </c>
      <c r="M122" s="10">
        <f>MAX(Tabella8[[#This Row],[Italy sum of regions]]-CI,0)</f>
        <v>83420.260172820897</v>
      </c>
      <c r="N122" s="57">
        <f t="shared" si="0"/>
        <v>3736</v>
      </c>
      <c r="O122" s="10">
        <f>Tabella8[[#This Row],[region data]]*NOT(ISBLANK(Tabella8[[#This Row],[region data]]))</f>
        <v>3736</v>
      </c>
      <c r="P122" s="107">
        <f>MAX(Kr*(TANH(psi_r*(Tabella8[[#This Row],[Day]]-pr)-phi_r)+TANH(phi_r))/(1+TANH(phi_r)),0)</f>
        <v>3664.3551734618636</v>
      </c>
      <c r="Q122" s="107">
        <f>Tabella8[[#This Row],[region fit]]/Kr</f>
        <v>0.40851228243722004</v>
      </c>
      <c r="R122" s="10">
        <f>Tabella8[[#This Row],[region fit]]*NOT(ISBLANK(Tabella8[[#This Row],[region data]]))</f>
        <v>3664.3551734618636</v>
      </c>
      <c r="S122" s="10">
        <f>Tabella8[[#This Row],[region fit]]+CIr</f>
        <v>3750.3744509267326</v>
      </c>
      <c r="T122" s="10">
        <f>MAX(Tabella8[[#This Row],[region fit]]-CIr,0)</f>
        <v>3578.3358959969946</v>
      </c>
      <c r="U122" s="10">
        <f>Tabella8[[#This Row],[Italy cumulative]]-Tabella8[[#This Row],[region data]]</f>
        <v>82731</v>
      </c>
      <c r="V122" s="10">
        <f>Tabella8[[#This Row],[rest of Italy ]]*NOT(ISBLANK(Tabella8[[#This Row],[rest of Italy ]]))</f>
        <v>82731</v>
      </c>
      <c r="W122" s="108">
        <f>MAX(Ko*(TANH(psi_o*(Tabella8[[#This Row],[Day]]-po)-phi_o)+TANH(phi_o))/(1+TANH(phi_o)),0)</f>
        <v>82216.482753880366</v>
      </c>
      <c r="X122" s="108">
        <f>Tabella8[[#This Row],[rest of Italy fit]]/Ko</f>
        <v>0.38057900640596382</v>
      </c>
      <c r="Y122" s="22">
        <f>Tabella8[[#This Row],[rest of Italy fit]]*NOT(ISBLANK(Tabella8[[#This Row],[rest of Italy ]]))</f>
        <v>82216.482753880366</v>
      </c>
      <c r="Z122" s="10">
        <f>Tabella8[[#This Row],[rest of Italy fit]]+CIo</f>
        <v>84700.819447815069</v>
      </c>
      <c r="AA122" s="10">
        <f>MAX(Tabella8[[#This Row],[rest of Italy fit]]-CIo,0)</f>
        <v>79732.146059945662</v>
      </c>
      <c r="AC122" s="55" t="s">
        <v>4682</v>
      </c>
      <c r="AD122" s="87">
        <v>3424</v>
      </c>
      <c r="AE122" s="87">
        <v>1184</v>
      </c>
      <c r="BA122" s="32"/>
      <c r="BB122" s="32"/>
      <c r="BD122" s="68"/>
      <c r="BE122" s="68"/>
    </row>
    <row r="123" spans="2:57" x14ac:dyDescent="0.3">
      <c r="B123" s="9">
        <v>43946</v>
      </c>
      <c r="C123" s="4">
        <v>116</v>
      </c>
      <c r="D123" s="10">
        <f>'dpc-covid19-ita-andamento-naz'!J63+'dpc-covid19-ita-andamento-naz'!K63</f>
        <v>89504</v>
      </c>
      <c r="E123" s="10">
        <f>Tabella8[[#This Row],[Italy cumulative]]*NOT(ISBLANK(Tabella8[[#This Row],[Italy cumulative]]))</f>
        <v>89504</v>
      </c>
      <c r="F123" s="10">
        <f>Tabella8[[#This Row],[region fit]]+Tabella8[[#This Row],[rest of Italy fit]]</f>
        <v>88828.030194183972</v>
      </c>
      <c r="G123" s="72">
        <f>Tabella8[[#This Row],[Italy sum of regions]]/K_sum</f>
        <v>0.39479124530748433</v>
      </c>
      <c r="H123" s="10">
        <f>Tabella8[[#This Row],[Italy sum of regions]]*NOT(ISBLANK(Tabella8[[#This Row],[Italy cumulative]]))</f>
        <v>88828.030194183972</v>
      </c>
      <c r="I123" s="132">
        <f>MAX(Kt*(TANH(psi_t*(Tabella8[[#This Row],[Day]]-pt)-phi_t)+TANH(phi_t))/(1+TANH(phi_t)),0)</f>
        <v>88810.237686916284</v>
      </c>
      <c r="J123" s="109">
        <f>Tabella8[[#This Row],[Italy fit]]/Kt</f>
        <v>0.39471216749740573</v>
      </c>
      <c r="K123" s="10">
        <f>Tabella8[[#This Row],[Italy fit]]*NOT(ISBLANK(Tabella8[[#This Row],[Italy cumulative]]))</f>
        <v>88810.237686916284</v>
      </c>
      <c r="L123" s="10">
        <f>Tabella8[[#This Row],[Italy sum of regions]]+CI</f>
        <v>91288.607948705307</v>
      </c>
      <c r="M123" s="10">
        <f>MAX(Tabella8[[#This Row],[Italy sum of regions]]-CI,0)</f>
        <v>86367.452439662637</v>
      </c>
      <c r="N123" s="57">
        <f t="shared" si="0"/>
        <v>3868</v>
      </c>
      <c r="O123" s="10">
        <f>Tabella8[[#This Row],[region data]]*NOT(ISBLANK(Tabella8[[#This Row],[region data]]))</f>
        <v>3868</v>
      </c>
      <c r="P123" s="107">
        <f>MAX(Kr*(TANH(psi_r*(Tabella8[[#This Row],[Day]]-pr)-phi_r)+TANH(phi_r))/(1+TANH(phi_r)),0)</f>
        <v>3801.4327223383148</v>
      </c>
      <c r="Q123" s="107">
        <f>Tabella8[[#This Row],[region fit]]/Kr</f>
        <v>0.4237940604613506</v>
      </c>
      <c r="R123" s="10">
        <f>Tabella8[[#This Row],[region fit]]*NOT(ISBLANK(Tabella8[[#This Row],[region data]]))</f>
        <v>3801.4327223383148</v>
      </c>
      <c r="S123" s="10">
        <f>Tabella8[[#This Row],[region fit]]+CIr</f>
        <v>3887.4519998031838</v>
      </c>
      <c r="T123" s="10">
        <f>MAX(Tabella8[[#This Row],[region fit]]-CIr,0)</f>
        <v>3715.4134448734458</v>
      </c>
      <c r="U123" s="10">
        <f>Tabella8[[#This Row],[Italy cumulative]]-Tabella8[[#This Row],[region data]]</f>
        <v>85636</v>
      </c>
      <c r="V123" s="10">
        <f>Tabella8[[#This Row],[rest of Italy ]]*NOT(ISBLANK(Tabella8[[#This Row],[rest of Italy ]]))</f>
        <v>85636</v>
      </c>
      <c r="W123" s="108">
        <f>MAX(Ko*(TANH(psi_o*(Tabella8[[#This Row],[Day]]-po)-phi_o)+TANH(phi_o))/(1+TANH(phi_o)),0)</f>
        <v>85026.597471845656</v>
      </c>
      <c r="X123" s="108">
        <f>Tabella8[[#This Row],[rest of Italy fit]]/Ko</f>
        <v>0.39358699010251197</v>
      </c>
      <c r="Y123" s="22">
        <f>Tabella8[[#This Row],[rest of Italy fit]]*NOT(ISBLANK(Tabella8[[#This Row],[rest of Italy ]]))</f>
        <v>85026.597471845656</v>
      </c>
      <c r="Z123" s="10">
        <f>Tabella8[[#This Row],[rest of Italy fit]]+CIo</f>
        <v>87510.93416578036</v>
      </c>
      <c r="AA123" s="10">
        <f>MAX(Tabella8[[#This Row],[rest of Italy fit]]-CIo,0)</f>
        <v>82542.260777910953</v>
      </c>
      <c r="AC123" s="55" t="s">
        <v>4683</v>
      </c>
      <c r="AD123" s="87">
        <v>3519</v>
      </c>
      <c r="AE123" s="87">
        <v>1195</v>
      </c>
      <c r="BA123" s="32"/>
      <c r="BB123" s="32"/>
      <c r="BD123" s="68"/>
      <c r="BE123" s="68"/>
    </row>
    <row r="124" spans="2:57" x14ac:dyDescent="0.3">
      <c r="B124" s="9">
        <v>43947</v>
      </c>
      <c r="C124" s="4">
        <v>117</v>
      </c>
      <c r="D124" s="10">
        <f>'dpc-covid19-ita-andamento-naz'!J64+'dpc-covid19-ita-andamento-naz'!K64</f>
        <v>91572</v>
      </c>
      <c r="E124" s="10">
        <f>Tabella8[[#This Row],[Italy cumulative]]*NOT(ISBLANK(Tabella8[[#This Row],[Italy cumulative]]))</f>
        <v>91572</v>
      </c>
      <c r="F124" s="10">
        <f>Tabella8[[#This Row],[region fit]]+Tabella8[[#This Row],[rest of Italy fit]]</f>
        <v>91792.546501364501</v>
      </c>
      <c r="G124" s="72">
        <f>Tabella8[[#This Row],[Italy sum of regions]]/K_sum</f>
        <v>0.4079668733393978</v>
      </c>
      <c r="H124" s="10">
        <f>Tabella8[[#This Row],[Italy sum of regions]]*NOT(ISBLANK(Tabella8[[#This Row],[Italy cumulative]]))</f>
        <v>91792.546501364501</v>
      </c>
      <c r="I124" s="132">
        <f>MAX(Kt*(TANH(psi_t*(Tabella8[[#This Row],[Day]]-pt)-phi_t)+TANH(phi_t))/(1+TANH(phi_t)),0)</f>
        <v>91776.217372416228</v>
      </c>
      <c r="J124" s="109">
        <f>Tabella8[[#This Row],[Italy fit]]/Kt</f>
        <v>0.40789429943296102</v>
      </c>
      <c r="K124" s="10">
        <f>Tabella8[[#This Row],[Italy fit]]*NOT(ISBLANK(Tabella8[[#This Row],[Italy cumulative]]))</f>
        <v>91776.217372416228</v>
      </c>
      <c r="L124" s="10">
        <f>Tabella8[[#This Row],[Italy sum of regions]]+CI</f>
        <v>94253.124255885836</v>
      </c>
      <c r="M124" s="10">
        <f>MAX(Tabella8[[#This Row],[Italy sum of regions]]-CI,0)</f>
        <v>89331.968746843166</v>
      </c>
      <c r="N124" s="57">
        <f t="shared" si="0"/>
        <v>4008</v>
      </c>
      <c r="O124" s="10">
        <f>Tabella8[[#This Row],[region data]]*NOT(ISBLANK(Tabella8[[#This Row],[region data]]))</f>
        <v>4008</v>
      </c>
      <c r="P124" s="107">
        <f>MAX(Kr*(TANH(psi_r*(Tabella8[[#This Row],[Day]]-pr)-phi_r)+TANH(phi_r))/(1+TANH(phi_r)),0)</f>
        <v>3938.9584177784354</v>
      </c>
      <c r="Q124" s="107">
        <f>Tabella8[[#This Row],[region fit]]/Kr</f>
        <v>0.43912579908343763</v>
      </c>
      <c r="R124" s="10">
        <f>Tabella8[[#This Row],[region fit]]*NOT(ISBLANK(Tabella8[[#This Row],[region data]]))</f>
        <v>3938.9584177784354</v>
      </c>
      <c r="S124" s="10">
        <f>Tabella8[[#This Row],[region fit]]+CIr</f>
        <v>4024.9776952433044</v>
      </c>
      <c r="T124" s="10">
        <f>MAX(Tabella8[[#This Row],[region fit]]-CIr,0)</f>
        <v>3852.9391403135664</v>
      </c>
      <c r="U124" s="10">
        <f>Tabella8[[#This Row],[Italy cumulative]]-Tabella8[[#This Row],[region data]]</f>
        <v>87564</v>
      </c>
      <c r="V124" s="10">
        <f>Tabella8[[#This Row],[rest of Italy ]]*NOT(ISBLANK(Tabella8[[#This Row],[rest of Italy ]]))</f>
        <v>87564</v>
      </c>
      <c r="W124" s="108">
        <f>MAX(Ko*(TANH(psi_o*(Tabella8[[#This Row],[Day]]-po)-phi_o)+TANH(phi_o))/(1+TANH(phi_o)),0)</f>
        <v>87853.588083586059</v>
      </c>
      <c r="X124" s="108">
        <f>Tabella8[[#This Row],[rest of Italy fit]]/Ko</f>
        <v>0.40667309208714558</v>
      </c>
      <c r="Y124" s="22">
        <f>Tabella8[[#This Row],[rest of Italy fit]]*NOT(ISBLANK(Tabella8[[#This Row],[rest of Italy ]]))</f>
        <v>87853.588083586059</v>
      </c>
      <c r="Z124" s="10">
        <f>Tabella8[[#This Row],[rest of Italy fit]]+CIo</f>
        <v>90337.924777520762</v>
      </c>
      <c r="AA124" s="10">
        <f>MAX(Tabella8[[#This Row],[rest of Italy fit]]-CIo,0)</f>
        <v>85369.251389651356</v>
      </c>
      <c r="AC124" s="55" t="s">
        <v>4684</v>
      </c>
      <c r="AD124" s="87">
        <v>3599</v>
      </c>
      <c r="AE124" s="87">
        <v>1209</v>
      </c>
      <c r="BA124" s="32"/>
      <c r="BB124" s="32"/>
      <c r="BD124" s="68"/>
      <c r="BE124" s="68"/>
    </row>
    <row r="125" spans="2:57" x14ac:dyDescent="0.3">
      <c r="B125" s="9">
        <v>43948</v>
      </c>
      <c r="C125" s="4">
        <v>118</v>
      </c>
      <c r="D125" s="10">
        <f>'dpc-covid19-ita-andamento-naz'!J65+'dpc-covid19-ita-andamento-naz'!K65</f>
        <v>93601</v>
      </c>
      <c r="E125" s="10">
        <f>Tabella8[[#This Row],[Italy cumulative]]*NOT(ISBLANK(Tabella8[[#This Row],[Italy cumulative]]))</f>
        <v>93601</v>
      </c>
      <c r="F125" s="10">
        <f>Tabella8[[#This Row],[region fit]]+Tabella8[[#This Row],[rest of Italy fit]]</f>
        <v>94770.897076014429</v>
      </c>
      <c r="G125" s="72">
        <f>Tabella8[[#This Row],[Italy sum of regions]]/K_sum</f>
        <v>0.42120398700450856</v>
      </c>
      <c r="H125" s="10">
        <f>Tabella8[[#This Row],[Italy sum of regions]]*NOT(ISBLANK(Tabella8[[#This Row],[Italy cumulative]]))</f>
        <v>94770.897076014429</v>
      </c>
      <c r="I125" s="132">
        <f>MAX(Kt*(TANH(psi_t*(Tabella8[[#This Row],[Day]]-pt)-phi_t)+TANH(phi_t))/(1+TANH(phi_t)),0)</f>
        <v>94756.320942036313</v>
      </c>
      <c r="J125" s="109">
        <f>Tabella8[[#This Row],[Italy fit]]/Kt</f>
        <v>0.42113920418682804</v>
      </c>
      <c r="K125" s="10">
        <f>Tabella8[[#This Row],[Italy fit]]*NOT(ISBLANK(Tabella8[[#This Row],[Italy cumulative]]))</f>
        <v>94756.320942036313</v>
      </c>
      <c r="L125" s="10">
        <f>Tabella8[[#This Row],[Italy sum of regions]]+CI</f>
        <v>97231.474830535764</v>
      </c>
      <c r="M125" s="10">
        <f>MAX(Tabella8[[#This Row],[Italy sum of regions]]-CI,0)</f>
        <v>92310.319321493094</v>
      </c>
      <c r="N125" s="57">
        <f t="shared" si="0"/>
        <v>4062</v>
      </c>
      <c r="O125" s="10">
        <f>Tabella8[[#This Row],[region data]]*NOT(ISBLANK(Tabella8[[#This Row],[region data]]))</f>
        <v>4062</v>
      </c>
      <c r="P125" s="107">
        <f>MAX(Kr*(TANH(psi_r*(Tabella8[[#This Row],[Day]]-pr)-phi_r)+TANH(phi_r))/(1+TANH(phi_r)),0)</f>
        <v>4076.7148810967178</v>
      </c>
      <c r="Q125" s="107">
        <f>Tabella8[[#This Row],[region fit]]/Kr</f>
        <v>0.45448326433631192</v>
      </c>
      <c r="R125" s="10">
        <f>Tabella8[[#This Row],[region fit]]*NOT(ISBLANK(Tabella8[[#This Row],[region data]]))</f>
        <v>4076.7148810967178</v>
      </c>
      <c r="S125" s="10">
        <f>Tabella8[[#This Row],[region fit]]+CIr</f>
        <v>4162.7341585615868</v>
      </c>
      <c r="T125" s="10">
        <f>MAX(Tabella8[[#This Row],[region fit]]-CIr,0)</f>
        <v>3990.6956036318488</v>
      </c>
      <c r="U125" s="10">
        <f>Tabella8[[#This Row],[Italy cumulative]]-Tabella8[[#This Row],[region data]]</f>
        <v>89539</v>
      </c>
      <c r="V125" s="10">
        <f>Tabella8[[#This Row],[rest of Italy ]]*NOT(ISBLANK(Tabella8[[#This Row],[rest of Italy ]]))</f>
        <v>89539</v>
      </c>
      <c r="W125" s="108">
        <f>MAX(Ko*(TANH(psi_o*(Tabella8[[#This Row],[Day]]-po)-phi_o)+TANH(phi_o))/(1+TANH(phi_o)),0)</f>
        <v>90694.18219491771</v>
      </c>
      <c r="X125" s="108">
        <f>Tabella8[[#This Row],[rest of Italy fit]]/Ko</f>
        <v>0.41982216449066201</v>
      </c>
      <c r="Y125" s="22">
        <f>Tabella8[[#This Row],[rest of Italy fit]]*NOT(ISBLANK(Tabella8[[#This Row],[rest of Italy ]]))</f>
        <v>90694.18219491771</v>
      </c>
      <c r="Z125" s="10">
        <f>Tabella8[[#This Row],[rest of Italy fit]]+CIo</f>
        <v>93178.518888852414</v>
      </c>
      <c r="AA125" s="10">
        <f>MAX(Tabella8[[#This Row],[rest of Italy fit]]-CIo,0)</f>
        <v>88209.845500983007</v>
      </c>
      <c r="AC125" s="55" t="s">
        <v>4685</v>
      </c>
      <c r="AD125" s="87">
        <v>3683</v>
      </c>
      <c r="AE125" s="87">
        <v>1221</v>
      </c>
      <c r="BA125" s="32"/>
      <c r="BB125" s="32"/>
      <c r="BD125" s="68"/>
      <c r="BE125" s="68"/>
    </row>
    <row r="126" spans="2:57" x14ac:dyDescent="0.3">
      <c r="B126" s="9">
        <v>43949</v>
      </c>
      <c r="C126" s="4">
        <v>119</v>
      </c>
      <c r="D126" s="10">
        <f>'dpc-covid19-ita-andamento-naz'!J66+'dpc-covid19-ita-andamento-naz'!K66</f>
        <v>96300</v>
      </c>
      <c r="E126" s="10">
        <f>Tabella8[[#This Row],[Italy cumulative]]*NOT(ISBLANK(Tabella8[[#This Row],[Italy cumulative]]))</f>
        <v>96300</v>
      </c>
      <c r="F126" s="10">
        <f>Tabella8[[#This Row],[region fit]]+Tabella8[[#This Row],[rest of Italy fit]]</f>
        <v>97759.526307815613</v>
      </c>
      <c r="G126" s="72">
        <f>Tabella8[[#This Row],[Italy sum of regions]]/K_sum</f>
        <v>0.43448678359029164</v>
      </c>
      <c r="H126" s="10">
        <f>Tabella8[[#This Row],[Italy sum of regions]]*NOT(ISBLANK(Tabella8[[#This Row],[Italy cumulative]]))</f>
        <v>97759.526307815613</v>
      </c>
      <c r="I126" s="132">
        <f>MAX(Kt*(TANH(psi_t*(Tabella8[[#This Row],[Day]]-pt)-phi_t)+TANH(phi_t))/(1+TANH(phi_t)),0)</f>
        <v>97746.991988753813</v>
      </c>
      <c r="J126" s="109">
        <f>Tabella8[[#This Row],[Italy fit]]/Kt</f>
        <v>0.43443107550557253</v>
      </c>
      <c r="K126" s="10">
        <f>Tabella8[[#This Row],[Italy fit]]*NOT(ISBLANK(Tabella8[[#This Row],[Italy cumulative]]))</f>
        <v>97746.991988753813</v>
      </c>
      <c r="L126" s="10">
        <f>Tabella8[[#This Row],[Italy sum of regions]]+CI</f>
        <v>100220.10406233695</v>
      </c>
      <c r="M126" s="10">
        <f>MAX(Tabella8[[#This Row],[Italy sum of regions]]-CI,0)</f>
        <v>95298.948553294278</v>
      </c>
      <c r="N126" s="57">
        <f t="shared" si="0"/>
        <v>4201</v>
      </c>
      <c r="O126" s="10">
        <f>Tabella8[[#This Row],[region data]]*NOT(ISBLANK(Tabella8[[#This Row],[region data]]))</f>
        <v>4201</v>
      </c>
      <c r="P126" s="107">
        <f>MAX(Kr*(TANH(psi_r*(Tabella8[[#This Row],[Day]]-pr)-phi_r)+TANH(phi_r))/(1+TANH(phi_r)),0)</f>
        <v>4214.483269517802</v>
      </c>
      <c r="Q126" s="107">
        <f>Tabella8[[#This Row],[region fit]]/Kr</f>
        <v>0.46984205903208492</v>
      </c>
      <c r="R126" s="10">
        <f>Tabella8[[#This Row],[region fit]]*NOT(ISBLANK(Tabella8[[#This Row],[region data]]))</f>
        <v>4214.483269517802</v>
      </c>
      <c r="S126" s="10">
        <f>Tabella8[[#This Row],[region fit]]+CIr</f>
        <v>4300.5025469826714</v>
      </c>
      <c r="T126" s="10">
        <f>MAX(Tabella8[[#This Row],[region fit]]-CIr,0)</f>
        <v>4128.4639920529326</v>
      </c>
      <c r="U126" s="10">
        <f>Tabella8[[#This Row],[Italy cumulative]]-Tabella8[[#This Row],[region data]]</f>
        <v>92099</v>
      </c>
      <c r="V126" s="10">
        <f>Tabella8[[#This Row],[rest of Italy ]]*NOT(ISBLANK(Tabella8[[#This Row],[rest of Italy ]]))</f>
        <v>92099</v>
      </c>
      <c r="W126" s="108">
        <f>MAX(Ko*(TANH(psi_o*(Tabella8[[#This Row],[Day]]-po)-phi_o)+TANH(phi_o))/(1+TANH(phi_o)),0)</f>
        <v>93545.043038297808</v>
      </c>
      <c r="X126" s="108">
        <f>Tabella8[[#This Row],[rest of Italy fit]]/Ko</f>
        <v>0.43301876146043516</v>
      </c>
      <c r="Y126" s="22">
        <f>Tabella8[[#This Row],[rest of Italy fit]]*NOT(ISBLANK(Tabella8[[#This Row],[rest of Italy ]]))</f>
        <v>93545.043038297808</v>
      </c>
      <c r="Z126" s="10">
        <f>Tabella8[[#This Row],[rest of Italy fit]]+CIo</f>
        <v>96029.379732232512</v>
      </c>
      <c r="AA126" s="10">
        <f>MAX(Tabella8[[#This Row],[rest of Italy fit]]-CIo,0)</f>
        <v>91060.706344363105</v>
      </c>
      <c r="AC126" s="55" t="s">
        <v>4686</v>
      </c>
      <c r="AD126" s="87">
        <v>3816</v>
      </c>
      <c r="AE126" s="87">
        <v>1232</v>
      </c>
      <c r="BA126" s="32"/>
      <c r="BB126" s="32"/>
      <c r="BD126" s="68"/>
      <c r="BE126" s="68"/>
    </row>
    <row r="127" spans="2:57" x14ac:dyDescent="0.3">
      <c r="B127" s="9">
        <v>43950</v>
      </c>
      <c r="C127" s="4">
        <v>120</v>
      </c>
      <c r="D127" s="10">
        <f>'dpc-covid19-ita-andamento-naz'!J67+'dpc-covid19-ita-andamento-naz'!K67</f>
        <v>98934</v>
      </c>
      <c r="E127" s="10">
        <f>Tabella8[[#This Row],[Italy cumulative]]*NOT(ISBLANK(Tabella8[[#This Row],[Italy cumulative]]))</f>
        <v>98934</v>
      </c>
      <c r="F127" s="10">
        <f>Tabella8[[#This Row],[region fit]]+Tabella8[[#This Row],[rest of Italy fit]]</f>
        <v>100754.82961928663</v>
      </c>
      <c r="G127" s="72">
        <f>Tabella8[[#This Row],[Italy sum of regions]]/K_sum</f>
        <v>0.44779924275238503</v>
      </c>
      <c r="H127" s="10">
        <f>Tabella8[[#This Row],[Italy sum of regions]]*NOT(ISBLANK(Tabella8[[#This Row],[Italy cumulative]]))</f>
        <v>100754.82961928663</v>
      </c>
      <c r="I127" s="132">
        <f>MAX(Kt*(TANH(psi_t*(Tabella8[[#This Row],[Day]]-pt)-phi_t)+TANH(phi_t))/(1+TANH(phi_t)),0)</f>
        <v>100744.62300797222</v>
      </c>
      <c r="J127" s="109">
        <f>Tabella8[[#This Row],[Italy fit]]/Kt</f>
        <v>0.44775388003543209</v>
      </c>
      <c r="K127" s="10">
        <f>Tabella8[[#This Row],[Italy fit]]*NOT(ISBLANK(Tabella8[[#This Row],[Italy cumulative]]))</f>
        <v>100744.62300797222</v>
      </c>
      <c r="L127" s="10">
        <f>Tabella8[[#This Row],[Italy sum of regions]]+CI</f>
        <v>103215.40737380796</v>
      </c>
      <c r="M127" s="10">
        <f>MAX(Tabella8[[#This Row],[Italy sum of regions]]-CI,0)</f>
        <v>98294.251864765291</v>
      </c>
      <c r="N127" s="57">
        <f t="shared" si="0"/>
        <v>4313</v>
      </c>
      <c r="O127" s="10">
        <f>Tabella8[[#This Row],[region data]]*NOT(ISBLANK(Tabella8[[#This Row],[region data]]))</f>
        <v>4313</v>
      </c>
      <c r="P127" s="107">
        <f>MAX(Kr*(TANH(psi_r*(Tabella8[[#This Row],[Day]]-pr)-phi_r)+TANH(phi_r))/(1+TANH(phi_r)),0)</f>
        <v>4352.0446645084685</v>
      </c>
      <c r="Q127" s="107">
        <f>Tabella8[[#This Row],[region fit]]/Kr</f>
        <v>0.48517777753717595</v>
      </c>
      <c r="R127" s="10">
        <f>Tabella8[[#This Row],[region fit]]*NOT(ISBLANK(Tabella8[[#This Row],[region data]]))</f>
        <v>4352.0446645084685</v>
      </c>
      <c r="S127" s="10">
        <f>Tabella8[[#This Row],[region fit]]+CIr</f>
        <v>4438.0639419733379</v>
      </c>
      <c r="T127" s="10">
        <f>MAX(Tabella8[[#This Row],[region fit]]-CIr,0)</f>
        <v>4266.025387043599</v>
      </c>
      <c r="U127" s="10">
        <f>Tabella8[[#This Row],[Italy cumulative]]-Tabella8[[#This Row],[region data]]</f>
        <v>94621</v>
      </c>
      <c r="V127" s="10">
        <f>Tabella8[[#This Row],[rest of Italy ]]*NOT(ISBLANK(Tabella8[[#This Row],[rest of Italy ]]))</f>
        <v>94621</v>
      </c>
      <c r="W127" s="108">
        <f>MAX(Ko*(TANH(psi_o*(Tabella8[[#This Row],[Day]]-po)-phi_o)+TANH(phi_o))/(1+TANH(phi_o)),0)</f>
        <v>96402.784954778152</v>
      </c>
      <c r="X127" s="108">
        <f>Tabella8[[#This Row],[rest of Italy fit]]/Ko</f>
        <v>0.44624721082617297</v>
      </c>
      <c r="Y127" s="22">
        <f>Tabella8[[#This Row],[rest of Italy fit]]*NOT(ISBLANK(Tabella8[[#This Row],[rest of Italy ]]))</f>
        <v>96402.784954778152</v>
      </c>
      <c r="Z127" s="10">
        <f>Tabella8[[#This Row],[rest of Italy fit]]+CIo</f>
        <v>98887.121648712855</v>
      </c>
      <c r="AA127" s="10">
        <f>MAX(Tabella8[[#This Row],[rest of Italy fit]]-CIo,0)</f>
        <v>93918.448260843448</v>
      </c>
      <c r="AC127" s="55" t="s">
        <v>4687</v>
      </c>
      <c r="AD127" s="87">
        <v>4002</v>
      </c>
      <c r="AE127" s="87">
        <v>1243</v>
      </c>
      <c r="BA127" s="32"/>
      <c r="BB127" s="32"/>
      <c r="BD127" s="68"/>
      <c r="BE127" s="68"/>
    </row>
    <row r="128" spans="2:57" x14ac:dyDescent="0.3">
      <c r="B128" s="9">
        <v>43951</v>
      </c>
      <c r="C128" s="4">
        <v>121</v>
      </c>
      <c r="D128" s="10">
        <f>'dpc-covid19-ita-andamento-naz'!J68+'dpc-covid19-ita-andamento-naz'!K68</f>
        <v>103912</v>
      </c>
      <c r="E128" s="10">
        <f>Tabella8[[#This Row],[Italy cumulative]]*NOT(ISBLANK(Tabella8[[#This Row],[Italy cumulative]]))</f>
        <v>103912</v>
      </c>
      <c r="F128" s="10">
        <f>Tabella8[[#This Row],[region fit]]+Tabella8[[#This Row],[rest of Italy fit]]</f>
        <v>103753.17082974405</v>
      </c>
      <c r="G128" s="72">
        <f>Tabella8[[#This Row],[Italy sum of regions]]/K_sum</f>
        <v>0.46112520368775134</v>
      </c>
      <c r="H128" s="10">
        <f>Tabella8[[#This Row],[Italy sum of regions]]*NOT(ISBLANK(Tabella8[[#This Row],[Italy cumulative]]))</f>
        <v>103753.17082974405</v>
      </c>
      <c r="I128" s="132">
        <f>MAX(Kt*(TANH(psi_t*(Tabella8[[#This Row],[Day]]-pt)-phi_t)+TANH(phi_t))/(1+TANH(phi_t)),0)</f>
        <v>103745.57269273401</v>
      </c>
      <c r="J128" s="109">
        <f>Tabella8[[#This Row],[Italy fit]]/Kt</f>
        <v>0.46109143418992893</v>
      </c>
      <c r="K128" s="10">
        <f>Tabella8[[#This Row],[Italy fit]]*NOT(ISBLANK(Tabella8[[#This Row],[Italy cumulative]]))</f>
        <v>103745.57269273401</v>
      </c>
      <c r="L128" s="10">
        <f>Tabella8[[#This Row],[Italy sum of regions]]+CI</f>
        <v>106213.74858426538</v>
      </c>
      <c r="M128" s="10">
        <f>MAX(Tabella8[[#This Row],[Italy sum of regions]]-CI,0)</f>
        <v>101292.59307522271</v>
      </c>
      <c r="N128" s="57">
        <f t="shared" si="0"/>
        <v>4442</v>
      </c>
      <c r="O128" s="10">
        <f>Tabella8[[#This Row],[region data]]*NOT(ISBLANK(Tabella8[[#This Row],[region data]]))</f>
        <v>4442</v>
      </c>
      <c r="P128" s="107">
        <f>MAX(Kr*(TANH(psi_r*(Tabella8[[#This Row],[Day]]-pr)-phi_r)+TANH(phi_r))/(1+TANH(phi_r)),0)</f>
        <v>4489.181461130469</v>
      </c>
      <c r="Q128" s="107">
        <f>Tabella8[[#This Row],[region fit]]/Kr</f>
        <v>0.5004661606611448</v>
      </c>
      <c r="R128" s="10">
        <f>Tabella8[[#This Row],[region fit]]*NOT(ISBLANK(Tabella8[[#This Row],[region data]]))</f>
        <v>4489.181461130469</v>
      </c>
      <c r="S128" s="10">
        <f>Tabella8[[#This Row],[region fit]]+CIr</f>
        <v>4575.2007385953384</v>
      </c>
      <c r="T128" s="10">
        <f>MAX(Tabella8[[#This Row],[region fit]]-CIr,0)</f>
        <v>4403.1621836655995</v>
      </c>
      <c r="U128" s="10">
        <f>Tabella8[[#This Row],[Italy cumulative]]-Tabella8[[#This Row],[region data]]</f>
        <v>99470</v>
      </c>
      <c r="V128" s="10">
        <f>Tabella8[[#This Row],[rest of Italy ]]*NOT(ISBLANK(Tabella8[[#This Row],[rest of Italy ]]))</f>
        <v>99470</v>
      </c>
      <c r="W128" s="108">
        <f>MAX(Ko*(TANH(psi_o*(Tabella8[[#This Row],[Day]]-po)-phi_o)+TANH(phi_o))/(1+TANH(phi_o)),0)</f>
        <v>99263.989368613577</v>
      </c>
      <c r="X128" s="108">
        <f>Tabella8[[#This Row],[rest of Italy fit]]/Ko</f>
        <v>0.45949168804616758</v>
      </c>
      <c r="Y128" s="22">
        <f>Tabella8[[#This Row],[rest of Italy fit]]*NOT(ISBLANK(Tabella8[[#This Row],[rest of Italy ]]))</f>
        <v>99263.989368613577</v>
      </c>
      <c r="Z128" s="10">
        <f>Tabella8[[#This Row],[rest of Italy fit]]+CIo</f>
        <v>101748.32606254828</v>
      </c>
      <c r="AA128" s="10">
        <f>MAX(Tabella8[[#This Row],[rest of Italy fit]]-CIo,0)</f>
        <v>96779.652674678873</v>
      </c>
      <c r="AC128" s="55" t="s">
        <v>4688</v>
      </c>
      <c r="AD128" s="87">
        <v>4143</v>
      </c>
      <c r="AE128" s="87">
        <v>1254</v>
      </c>
      <c r="BA128" s="32"/>
      <c r="BB128" s="32"/>
      <c r="BD128" s="68"/>
      <c r="BE128" s="68"/>
    </row>
    <row r="129" spans="2:57" x14ac:dyDescent="0.3">
      <c r="B129" s="9">
        <v>43952</v>
      </c>
      <c r="C129" s="4">
        <v>122</v>
      </c>
      <c r="D129" s="10">
        <f>'dpc-covid19-ita-andamento-naz'!J69+'dpc-covid19-ita-andamento-naz'!K69</f>
        <v>106485</v>
      </c>
      <c r="E129" s="10">
        <f>Tabella8[[#This Row],[Italy cumulative]]*NOT(ISBLANK(Tabella8[[#This Row],[Italy cumulative]]))</f>
        <v>106485</v>
      </c>
      <c r="F129" s="10">
        <f>Tabella8[[#This Row],[region fit]]+Tabella8[[#This Row],[rest of Italy fit]]</f>
        <v>106750.89983531136</v>
      </c>
      <c r="G129" s="72">
        <f>Tabella8[[#This Row],[Italy sum of regions]]/K_sum</f>
        <v>0.47444844371249489</v>
      </c>
      <c r="H129" s="10">
        <f>Tabella8[[#This Row],[Italy sum of regions]]*NOT(ISBLANK(Tabella8[[#This Row],[Italy cumulative]]))</f>
        <v>106750.89983531136</v>
      </c>
      <c r="I129" s="132">
        <f>MAX(Kt*(TANH(psi_t*(Tabella8[[#This Row],[Day]]-pt)-phi_t)+TANH(phi_t))/(1+TANH(phi_t)),0)</f>
        <v>106746.18357689501</v>
      </c>
      <c r="J129" s="109">
        <f>Tabella8[[#This Row],[Italy fit]]/Kt</f>
        <v>0.47442748256397782</v>
      </c>
      <c r="K129" s="10">
        <f>Tabella8[[#This Row],[Italy fit]]*NOT(ISBLANK(Tabella8[[#This Row],[Italy cumulative]]))</f>
        <v>106746.18357689501</v>
      </c>
      <c r="L129" s="10">
        <f>Tabella8[[#This Row],[Italy sum of regions]]+CI</f>
        <v>109211.47758983269</v>
      </c>
      <c r="M129" s="10">
        <f>MAX(Tabella8[[#This Row],[Italy sum of regions]]-CI,0)</f>
        <v>104290.32208079002</v>
      </c>
      <c r="N129" s="57">
        <f t="shared" ref="N129:N142" si="1">GETPIVOTDATA("dimessi_guariti",AD122,"data",ROW(AD122))+GETPIVOTDATA("deceduti",AD122,"data",ROW(AD122))</f>
        <v>4608</v>
      </c>
      <c r="O129" s="10">
        <f>Tabella8[[#This Row],[region data]]*NOT(ISBLANK(Tabella8[[#This Row],[region data]]))</f>
        <v>4608</v>
      </c>
      <c r="P129" s="107">
        <f>MAX(Kr*(TANH(psi_r*(Tabella8[[#This Row],[Day]]-pr)-phi_r)+TANH(phi_r))/(1+TANH(phi_r)),0)</f>
        <v>4625.6787397178032</v>
      </c>
      <c r="Q129" s="107">
        <f>Tabella8[[#This Row],[region fit]]/Kr</f>
        <v>0.51568324857500591</v>
      </c>
      <c r="R129" s="10">
        <f>Tabella8[[#This Row],[region fit]]*NOT(ISBLANK(Tabella8[[#This Row],[region data]]))</f>
        <v>4625.6787397178032</v>
      </c>
      <c r="S129" s="10">
        <f>Tabella8[[#This Row],[region fit]]+CIr</f>
        <v>4711.6980171826726</v>
      </c>
      <c r="T129" s="10">
        <f>MAX(Tabella8[[#This Row],[region fit]]-CIr,0)</f>
        <v>4539.6594622529337</v>
      </c>
      <c r="U129" s="10">
        <f>Tabella8[[#This Row],[Italy cumulative]]-Tabella8[[#This Row],[region data]]</f>
        <v>101877</v>
      </c>
      <c r="V129" s="10">
        <f>Tabella8[[#This Row],[rest of Italy ]]*NOT(ISBLANK(Tabella8[[#This Row],[rest of Italy ]]))</f>
        <v>101877</v>
      </c>
      <c r="W129" s="108">
        <f>MAX(Ko*(TANH(psi_o*(Tabella8[[#This Row],[Day]]-po)-phi_o)+TANH(phi_o))/(1+TANH(phi_o)),0)</f>
        <v>102125.22109559356</v>
      </c>
      <c r="X129" s="108">
        <f>Tabella8[[#This Row],[rest of Italy fit]]/Ko</f>
        <v>0.47273629169834541</v>
      </c>
      <c r="Y129" s="22">
        <f>Tabella8[[#This Row],[rest of Italy fit]]*NOT(ISBLANK(Tabella8[[#This Row],[rest of Italy ]]))</f>
        <v>102125.22109559356</v>
      </c>
      <c r="Z129" s="10">
        <f>Tabella8[[#This Row],[rest of Italy fit]]+CIo</f>
        <v>104609.55778952826</v>
      </c>
      <c r="AA129" s="10">
        <f>MAX(Tabella8[[#This Row],[rest of Italy fit]]-CIo,0)</f>
        <v>99640.884401658855</v>
      </c>
      <c r="AC129" s="55" t="s">
        <v>4689</v>
      </c>
      <c r="AD129" s="87">
        <v>4282</v>
      </c>
      <c r="AE129" s="87">
        <v>1265</v>
      </c>
      <c r="BA129" s="32"/>
      <c r="BB129" s="32"/>
      <c r="BD129" s="68"/>
      <c r="BE129" s="68"/>
    </row>
    <row r="130" spans="2:57" x14ac:dyDescent="0.3">
      <c r="B130" s="9">
        <v>43953</v>
      </c>
      <c r="C130" s="4">
        <v>123</v>
      </c>
      <c r="D130" s="10">
        <f>'dpc-covid19-ita-andamento-naz'!J70+'dpc-covid19-ita-andamento-naz'!K70</f>
        <v>108624</v>
      </c>
      <c r="E130" s="10">
        <f>Tabella8[[#This Row],[Italy cumulative]]*NOT(ISBLANK(Tabella8[[#This Row],[Italy cumulative]]))</f>
        <v>108624</v>
      </c>
      <c r="F130" s="10">
        <f>Tabella8[[#This Row],[region fit]]+Tabella8[[#This Row],[rest of Italy fit]]</f>
        <v>109744.37042196463</v>
      </c>
      <c r="G130" s="72">
        <f>Tabella8[[#This Row],[Italy sum of regions]]/K_sum</f>
        <v>0.48775275743095392</v>
      </c>
      <c r="H130" s="10">
        <f>Tabella8[[#This Row],[Italy sum of regions]]*NOT(ISBLANK(Tabella8[[#This Row],[Italy cumulative]]))</f>
        <v>109744.37042196463</v>
      </c>
      <c r="I130" s="132">
        <f>MAX(Kt*(TANH(psi_t*(Tabella8[[#This Row],[Day]]-pt)-phi_t)+TANH(phi_t))/(1+TANH(phi_t)),0)</f>
        <v>109742.79984522074</v>
      </c>
      <c r="J130" s="109">
        <f>Tabella8[[#This Row],[Italy fit]]/Kt</f>
        <v>0.48774577708986994</v>
      </c>
      <c r="K130" s="10">
        <f>Tabella8[[#This Row],[Italy fit]]*NOT(ISBLANK(Tabella8[[#This Row],[Italy cumulative]]))</f>
        <v>109742.79984522074</v>
      </c>
      <c r="L130" s="10">
        <f>Tabella8[[#This Row],[Italy sum of regions]]+CI</f>
        <v>112204.94817648597</v>
      </c>
      <c r="M130" s="10">
        <f>MAX(Tabella8[[#This Row],[Italy sum of regions]]-CI,0)</f>
        <v>107283.7926674433</v>
      </c>
      <c r="N130" s="57">
        <f t="shared" si="1"/>
        <v>4714</v>
      </c>
      <c r="O130" s="10">
        <f>Tabella8[[#This Row],[region data]]*NOT(ISBLANK(Tabella8[[#This Row],[region data]]))</f>
        <v>4714</v>
      </c>
      <c r="P130" s="107">
        <f>MAX(Kr*(TANH(psi_r*(Tabella8[[#This Row],[Day]]-pr)-phi_r)+TANH(phi_r))/(1+TANH(phi_r)),0)</f>
        <v>4761.3256015890902</v>
      </c>
      <c r="Q130" s="107">
        <f>Tabella8[[#This Row],[region fit]]/Kr</f>
        <v>0.530805529720077</v>
      </c>
      <c r="R130" s="10">
        <f>Tabella8[[#This Row],[region fit]]*NOT(ISBLANK(Tabella8[[#This Row],[region data]]))</f>
        <v>4761.3256015890902</v>
      </c>
      <c r="S130" s="10">
        <f>Tabella8[[#This Row],[region fit]]+CIr</f>
        <v>4847.3448790539596</v>
      </c>
      <c r="T130" s="10">
        <f>MAX(Tabella8[[#This Row],[region fit]]-CIr,0)</f>
        <v>4675.3063241242207</v>
      </c>
      <c r="U130" s="10">
        <f>Tabella8[[#This Row],[Italy cumulative]]-Tabella8[[#This Row],[region data]]</f>
        <v>103910</v>
      </c>
      <c r="V130" s="10">
        <f>Tabella8[[#This Row],[rest of Italy ]]*NOT(ISBLANK(Tabella8[[#This Row],[rest of Italy ]]))</f>
        <v>103910</v>
      </c>
      <c r="W130" s="108">
        <f>MAX(Ko*(TANH(psi_o*(Tabella8[[#This Row],[Day]]-po)-phi_o)+TANH(phi_o))/(1+TANH(phi_o)),0)</f>
        <v>104983.04482037554</v>
      </c>
      <c r="X130" s="108">
        <f>Tabella8[[#This Row],[rest of Italy fit]]/Ko</f>
        <v>0.48596511975362466</v>
      </c>
      <c r="Y130" s="22">
        <f>Tabella8[[#This Row],[rest of Italy fit]]*NOT(ISBLANK(Tabella8[[#This Row],[rest of Italy ]]))</f>
        <v>104983.04482037554</v>
      </c>
      <c r="Z130" s="10">
        <f>Tabella8[[#This Row],[rest of Italy fit]]+CIo</f>
        <v>107467.38151431024</v>
      </c>
      <c r="AA130" s="10">
        <f>MAX(Tabella8[[#This Row],[rest of Italy fit]]-CIo,0)</f>
        <v>102498.70812644083</v>
      </c>
      <c r="AC130" s="55" t="s">
        <v>4690</v>
      </c>
      <c r="AD130" s="87">
        <v>4480</v>
      </c>
      <c r="AE130" s="87">
        <v>1276</v>
      </c>
      <c r="BD130" s="68"/>
      <c r="BE130" s="68"/>
    </row>
    <row r="131" spans="2:57" x14ac:dyDescent="0.3">
      <c r="B131" s="9">
        <v>43954</v>
      </c>
      <c r="C131" s="4">
        <v>124</v>
      </c>
      <c r="D131" s="10">
        <f>'dpc-covid19-ita-andamento-naz'!J71+'dpc-covid19-ita-andamento-naz'!K71</f>
        <v>110538</v>
      </c>
      <c r="E131" s="10">
        <f>Tabella8[[#This Row],[Italy cumulative]]*NOT(ISBLANK(Tabella8[[#This Row],[Italy cumulative]]))</f>
        <v>110538</v>
      </c>
      <c r="F131" s="10">
        <f>Tabella8[[#This Row],[region fit]]+Tabella8[[#This Row],[rest of Italy fit]]</f>
        <v>112729.95802648344</v>
      </c>
      <c r="G131" s="72">
        <f>Tabella8[[#This Row],[Italy sum of regions]]/K_sum</f>
        <v>0.50102203567325976</v>
      </c>
      <c r="H131" s="10">
        <f>Tabella8[[#This Row],[Italy sum of regions]]*NOT(ISBLANK(Tabella8[[#This Row],[Italy cumulative]]))</f>
        <v>112729.95802648344</v>
      </c>
      <c r="I131" s="132">
        <f>MAX(Kt*(TANH(psi_t*(Tabella8[[#This Row],[Day]]-pt)-phi_t)+TANH(phi_t))/(1+TANH(phi_t)),0)</f>
        <v>112731.78512641216</v>
      </c>
      <c r="J131" s="109">
        <f>Tabella8[[#This Row],[Italy fit]]/Kt</f>
        <v>0.50103015611738733</v>
      </c>
      <c r="K131" s="10">
        <f>Tabella8[[#This Row],[Italy fit]]*NOT(ISBLANK(Tabella8[[#This Row],[Italy cumulative]]))</f>
        <v>112731.78512641216</v>
      </c>
      <c r="L131" s="10">
        <f>Tabella8[[#This Row],[Italy sum of regions]]+CI</f>
        <v>115190.53578100477</v>
      </c>
      <c r="M131" s="10">
        <f>MAX(Tabella8[[#This Row],[Italy sum of regions]]-CI,0)</f>
        <v>110269.3802719621</v>
      </c>
      <c r="N131" s="57">
        <f t="shared" si="1"/>
        <v>4808</v>
      </c>
      <c r="O131" s="10">
        <f>Tabella8[[#This Row],[region data]]*NOT(ISBLANK(Tabella8[[#This Row],[region data]]))</f>
        <v>4808</v>
      </c>
      <c r="P131" s="107">
        <f>MAX(Kr*(TANH(psi_r*(Tabella8[[#This Row],[Day]]-pr)-phi_r)+TANH(phi_r))/(1+TANH(phi_r)),0)</f>
        <v>4895.9164513290225</v>
      </c>
      <c r="Q131" s="107">
        <f>Tabella8[[#This Row],[region fit]]/Kr</f>
        <v>0.54581008376020312</v>
      </c>
      <c r="R131" s="10">
        <f>Tabella8[[#This Row],[region fit]]*NOT(ISBLANK(Tabella8[[#This Row],[region data]]))</f>
        <v>4895.9164513290225</v>
      </c>
      <c r="S131" s="10">
        <f>Tabella8[[#This Row],[region fit]]+CIr</f>
        <v>4981.9357287938919</v>
      </c>
      <c r="T131" s="10">
        <f>MAX(Tabella8[[#This Row],[region fit]]-CIr,0)</f>
        <v>4809.897173864153</v>
      </c>
      <c r="U131" s="10">
        <f>Tabella8[[#This Row],[Italy cumulative]]-Tabella8[[#This Row],[region data]]</f>
        <v>105730</v>
      </c>
      <c r="V131" s="10">
        <f>Tabella8[[#This Row],[rest of Italy ]]*NOT(ISBLANK(Tabella8[[#This Row],[rest of Italy ]]))</f>
        <v>105730</v>
      </c>
      <c r="W131" s="108">
        <f>MAX(Ko*(TANH(psi_o*(Tabella8[[#This Row],[Day]]-po)-phi_o)+TANH(phi_o))/(1+TANH(phi_o)),0)</f>
        <v>107834.04157515442</v>
      </c>
      <c r="X131" s="108">
        <f>Tabella8[[#This Row],[rest of Italy fit]]/Ko</f>
        <v>0.49916234585545721</v>
      </c>
      <c r="Y131" s="22">
        <f>Tabella8[[#This Row],[rest of Italy fit]]*NOT(ISBLANK(Tabella8[[#This Row],[rest of Italy ]]))</f>
        <v>107834.04157515442</v>
      </c>
      <c r="Z131" s="10">
        <f>Tabella8[[#This Row],[rest of Italy fit]]+CIo</f>
        <v>110318.37826908912</v>
      </c>
      <c r="AA131" s="10">
        <f>MAX(Tabella8[[#This Row],[rest of Italy fit]]-CIo,0)</f>
        <v>105349.70488121972</v>
      </c>
      <c r="AC131" s="55" t="s">
        <v>4712</v>
      </c>
      <c r="AD131" s="87">
        <v>4607</v>
      </c>
      <c r="AE131" s="87">
        <v>1281</v>
      </c>
      <c r="BD131" s="68"/>
      <c r="BE131" s="68"/>
    </row>
    <row r="132" spans="2:57" x14ac:dyDescent="0.3">
      <c r="B132" s="9">
        <v>43955</v>
      </c>
      <c r="C132" s="4">
        <v>125</v>
      </c>
      <c r="D132" s="10">
        <f>'dpc-covid19-ita-andamento-naz'!J72+'dpc-covid19-ita-andamento-naz'!K72</f>
        <v>111958</v>
      </c>
      <c r="E132" s="10">
        <f>Tabella8[[#This Row],[Italy cumulative]]*NOT(ISBLANK(Tabella8[[#This Row],[Italy cumulative]]))</f>
        <v>111958</v>
      </c>
      <c r="F132" s="10">
        <f>Tabella8[[#This Row],[region fit]]+Tabella8[[#This Row],[rest of Italy fit]]</f>
        <v>115704.07726136249</v>
      </c>
      <c r="G132" s="72">
        <f>Tabella8[[#This Row],[Italy sum of regions]]/K_sum</f>
        <v>0.51424034338383329</v>
      </c>
      <c r="H132" s="10">
        <f>Tabella8[[#This Row],[Italy sum of regions]]*NOT(ISBLANK(Tabella8[[#This Row],[Italy cumulative]]))</f>
        <v>115704.07726136249</v>
      </c>
      <c r="I132" s="132">
        <f>MAX(Kt*(TANH(psi_t*(Tabella8[[#This Row],[Day]]-pt)-phi_t)+TANH(phi_t))/(1+TANH(phi_t)),0)</f>
        <v>115709.54008536975</v>
      </c>
      <c r="J132" s="109">
        <f>Tabella8[[#This Row],[Italy fit]]/Kt</f>
        <v>0.5142646226016433</v>
      </c>
      <c r="K132" s="10">
        <f>Tabella8[[#This Row],[Italy fit]]*NOT(ISBLANK(Tabella8[[#This Row],[Italy cumulative]]))</f>
        <v>115709.54008536975</v>
      </c>
      <c r="L132" s="10">
        <f>Tabella8[[#This Row],[Italy sum of regions]]+CI</f>
        <v>118164.65501588382</v>
      </c>
      <c r="M132" s="10">
        <f>MAX(Tabella8[[#This Row],[Italy sum of regions]]-CI,0)</f>
        <v>113243.49950684115</v>
      </c>
      <c r="N132" s="57">
        <f t="shared" si="1"/>
        <v>4904</v>
      </c>
      <c r="O132" s="10">
        <f>Tabella8[[#This Row],[region data]]*NOT(ISBLANK(Tabella8[[#This Row],[region data]]))</f>
        <v>4904</v>
      </c>
      <c r="P132" s="107">
        <f>MAX(Kr*(TANH(psi_r*(Tabella8[[#This Row],[Day]]-pr)-phi_r)+TANH(phi_r))/(1+TANH(phi_r)),0)</f>
        <v>5029.2522093839034</v>
      </c>
      <c r="Q132" s="107">
        <f>Tabella8[[#This Row],[region fit]]/Kr</f>
        <v>0.56067471676520664</v>
      </c>
      <c r="R132" s="10">
        <f>Tabella8[[#This Row],[region fit]]*NOT(ISBLANK(Tabella8[[#This Row],[region data]]))</f>
        <v>5029.2522093839034</v>
      </c>
      <c r="S132" s="10">
        <f>Tabella8[[#This Row],[region fit]]+CIr</f>
        <v>5115.2714868487728</v>
      </c>
      <c r="T132" s="10">
        <f>MAX(Tabella8[[#This Row],[region fit]]-CIr,0)</f>
        <v>4943.2329319190339</v>
      </c>
      <c r="U132" s="10">
        <f>Tabella8[[#This Row],[Italy cumulative]]-Tabella8[[#This Row],[region data]]</f>
        <v>107054</v>
      </c>
      <c r="V132" s="10">
        <f>Tabella8[[#This Row],[rest of Italy ]]*NOT(ISBLANK(Tabella8[[#This Row],[rest of Italy ]]))</f>
        <v>107054</v>
      </c>
      <c r="W132" s="108">
        <f>MAX(Ko*(TANH(psi_o*(Tabella8[[#This Row],[Day]]-po)-phi_o)+TANH(phi_o))/(1+TANH(phi_o)),0)</f>
        <v>110674.82505197858</v>
      </c>
      <c r="X132" s="108">
        <f>Tabella8[[#This Row],[rest of Italy fit]]/Ko</f>
        <v>0.51231229482932272</v>
      </c>
      <c r="Y132" s="22">
        <f>Tabella8[[#This Row],[rest of Italy fit]]*NOT(ISBLANK(Tabella8[[#This Row],[rest of Italy ]]))</f>
        <v>110674.82505197858</v>
      </c>
      <c r="Z132" s="10">
        <f>Tabella8[[#This Row],[rest of Italy fit]]+CIo</f>
        <v>113159.16174591328</v>
      </c>
      <c r="AA132" s="10">
        <f>MAX(Tabella8[[#This Row],[rest of Italy fit]]-CIo,0)</f>
        <v>108190.48835804388</v>
      </c>
      <c r="AC132" s="55" t="s">
        <v>4736</v>
      </c>
      <c r="AD132" s="87">
        <v>4695</v>
      </c>
      <c r="AE132" s="87">
        <v>1293</v>
      </c>
      <c r="BD132" s="68"/>
      <c r="BE132" s="68"/>
    </row>
    <row r="133" spans="2:57" x14ac:dyDescent="0.3">
      <c r="B133" s="9">
        <v>43956</v>
      </c>
      <c r="C133" s="4">
        <v>126</v>
      </c>
      <c r="D133" s="10">
        <f>'dpc-covid19-ita-andamento-naz'!J73+'dpc-covid19-ita-andamento-naz'!K73</f>
        <v>114546</v>
      </c>
      <c r="E133" s="10">
        <f>Tabella8[[#This Row],[Italy cumulative]]*NOT(ISBLANK(Tabella8[[#This Row],[Italy cumulative]]))</f>
        <v>114546</v>
      </c>
      <c r="F133" s="10">
        <f>Tabella8[[#This Row],[region fit]]+Tabella8[[#This Row],[rest of Italy fit]]</f>
        <v>118663.199024196</v>
      </c>
      <c r="G133" s="72">
        <f>Tabella8[[#This Row],[Italy sum of regions]]/K_sum</f>
        <v>0.52739199566309336</v>
      </c>
      <c r="H133" s="10">
        <f>Tabella8[[#This Row],[Italy sum of regions]]*NOT(ISBLANK(Tabella8[[#This Row],[Italy cumulative]]))</f>
        <v>118663.199024196</v>
      </c>
      <c r="I133" s="132">
        <f>MAX(Kt*(TANH(psi_t*(Tabella8[[#This Row],[Day]]-pt)-phi_t)+TANH(phi_t))/(1+TANH(phi_t)),0)</f>
        <v>118672.51963455633</v>
      </c>
      <c r="J133" s="109">
        <f>Tabella8[[#This Row],[Italy fit]]/Kt</f>
        <v>0.52743342059802811</v>
      </c>
      <c r="K133" s="22">
        <f>Tabella8[[#This Row],[Italy fit]]*NOT(ISBLANK(Tabella8[[#This Row],[Italy cumulative]]))</f>
        <v>118672.51963455633</v>
      </c>
      <c r="L133" s="10">
        <f>Tabella8[[#This Row],[Italy sum of regions]]+CI</f>
        <v>121123.77677871734</v>
      </c>
      <c r="M133" s="10">
        <f>MAX(Tabella8[[#This Row],[Italy sum of regions]]-CI,0)</f>
        <v>116202.62126967467</v>
      </c>
      <c r="N133" s="57">
        <f t="shared" si="1"/>
        <v>5048</v>
      </c>
      <c r="O133" s="10">
        <f>Tabella8[[#This Row],[region data]]*NOT(ISBLANK(Tabella8[[#This Row],[region data]]))</f>
        <v>5048</v>
      </c>
      <c r="P133" s="107">
        <f>MAX(Kr*(TANH(psi_r*(Tabella8[[#This Row],[Day]]-pr)-phi_r)+TANH(phi_r))/(1+TANH(phi_r)),0)</f>
        <v>5161.1414402733317</v>
      </c>
      <c r="Q133" s="107">
        <f>Tabella8[[#This Row],[region fit]]/Kr</f>
        <v>0.57537808698699355</v>
      </c>
      <c r="R133" s="22">
        <f>Tabella8[[#This Row],[region fit]]*NOT(ISBLANK(Tabella8[[#This Row],[region data]]))</f>
        <v>5161.1414402733317</v>
      </c>
      <c r="S133" s="10">
        <f>Tabella8[[#This Row],[region fit]]+CIr</f>
        <v>5247.1607177382011</v>
      </c>
      <c r="T133" s="10">
        <f>MAX(Tabella8[[#This Row],[region fit]]-CIr,0)</f>
        <v>5075.1221628084622</v>
      </c>
      <c r="U133" s="10">
        <f>Tabella8[[#This Row],[Italy cumulative]]-Tabella8[[#This Row],[region data]]</f>
        <v>109498</v>
      </c>
      <c r="V133" s="10">
        <f>Tabella8[[#This Row],[rest of Italy ]]*NOT(ISBLANK(Tabella8[[#This Row],[rest of Italy ]]))</f>
        <v>109498</v>
      </c>
      <c r="W133" s="108">
        <f>MAX(Ko*(TANH(psi_o*(Tabella8[[#This Row],[Day]]-po)-phi_o)+TANH(phi_o))/(1+TANH(phi_o)),0)</f>
        <v>113502.05758392267</v>
      </c>
      <c r="X133" s="108">
        <f>Tabella8[[#This Row],[rest of Italy fit]]/Ko</f>
        <v>0.52539951665936524</v>
      </c>
      <c r="Y133" s="22">
        <f>Tabella8[[#This Row],[rest of Italy fit]]*NOT(ISBLANK(Tabella8[[#This Row],[rest of Italy ]]))</f>
        <v>113502.05758392267</v>
      </c>
      <c r="Z133" s="10">
        <f>Tabella8[[#This Row],[rest of Italy fit]]+CIo</f>
        <v>115986.39427785737</v>
      </c>
      <c r="AA133" s="10">
        <f>MAX(Tabella8[[#This Row],[rest of Italy fit]]-CIo,0)</f>
        <v>111017.72088998796</v>
      </c>
      <c r="AC133" s="55" t="s">
        <v>4769</v>
      </c>
      <c r="AD133" s="87">
        <v>4783</v>
      </c>
      <c r="AE133" s="87">
        <v>1301</v>
      </c>
      <c r="BD133" s="68"/>
      <c r="BE133" s="68"/>
    </row>
    <row r="134" spans="2:57" x14ac:dyDescent="0.3">
      <c r="B134" s="9">
        <v>43957</v>
      </c>
      <c r="C134" s="4">
        <v>127</v>
      </c>
      <c r="D134" s="10">
        <f>'dpc-covid19-ita-andamento-naz'!J74+'dpc-covid19-ita-andamento-naz'!K74</f>
        <v>122929</v>
      </c>
      <c r="E134" s="10">
        <f>Tabella8[[#This Row],[Italy cumulative]]*NOT(ISBLANK(Tabella8[[#This Row],[Italy cumulative]]))</f>
        <v>122929</v>
      </c>
      <c r="F134" s="10">
        <f>Tabella8[[#This Row],[region fit]]+Tabella8[[#This Row],[rest of Italy fit]]</f>
        <v>121603.86701964114</v>
      </c>
      <c r="G134" s="72">
        <f>Tabella8[[#This Row],[Italy sum of regions]]/K_sum</f>
        <v>0.54046163119840507</v>
      </c>
      <c r="H134" s="10">
        <f>Tabella8[[#This Row],[Italy sum of regions]]*NOT(ISBLANK(Tabella8[[#This Row],[Italy cumulative]]))</f>
        <v>121603.86701964114</v>
      </c>
      <c r="I134" s="132">
        <f>MAX(Kt*(TANH(psi_t*(Tabella8[[#This Row],[Day]]-pt)-phi_t)+TANH(phi_t))/(1+TANH(phi_t)),0)</f>
        <v>121617.24959101743</v>
      </c>
      <c r="J134" s="109">
        <f>Tabella8[[#This Row],[Italy fit]]/Kt</f>
        <v>0.5405211092934108</v>
      </c>
      <c r="K134" s="22">
        <f>Tabella8[[#This Row],[Italy fit]]*NOT(ISBLANK(Tabella8[[#This Row],[Italy cumulative]]))</f>
        <v>121617.24959101743</v>
      </c>
      <c r="L134" s="10">
        <f>Tabella8[[#This Row],[Italy sum of regions]]+CI</f>
        <v>124064.44477416248</v>
      </c>
      <c r="M134" s="10">
        <f>MAX(Tabella8[[#This Row],[Italy sum of regions]]-CI,0)</f>
        <v>119143.28926511981</v>
      </c>
      <c r="N134" s="57">
        <f t="shared" si="1"/>
        <v>5245</v>
      </c>
      <c r="O134" s="10">
        <f>Tabella8[[#This Row],[region data]]*NOT(ISBLANK(Tabella8[[#This Row],[region data]]))</f>
        <v>5245</v>
      </c>
      <c r="P134" s="107">
        <f>MAX(Kr*(TANH(psi_r*(Tabella8[[#This Row],[Day]]-pr)-phi_r)+TANH(phi_r))/(1+TANH(phi_r)),0)</f>
        <v>5291.4013835703663</v>
      </c>
      <c r="Q134" s="107">
        <f>Tabella8[[#This Row],[region fit]]/Kr</f>
        <v>0.58989981979602746</v>
      </c>
      <c r="R134" s="22">
        <f>Tabella8[[#This Row],[region fit]]*NOT(ISBLANK(Tabella8[[#This Row],[region data]]))</f>
        <v>5291.4013835703663</v>
      </c>
      <c r="S134" s="10">
        <f>Tabella8[[#This Row],[region fit]]+CIr</f>
        <v>5377.4206610352358</v>
      </c>
      <c r="T134" s="10">
        <f>MAX(Tabella8[[#This Row],[region fit]]-CIr,0)</f>
        <v>5205.3821061054969</v>
      </c>
      <c r="U134" s="10">
        <f>Tabella8[[#This Row],[Italy cumulative]]-Tabella8[[#This Row],[region data]]</f>
        <v>117684</v>
      </c>
      <c r="V134" s="10">
        <f>Tabella8[[#This Row],[rest of Italy ]]*NOT(ISBLANK(Tabella8[[#This Row],[rest of Italy ]]))</f>
        <v>117684</v>
      </c>
      <c r="W134" s="108">
        <f>MAX(Ko*(TANH(psi_o*(Tabella8[[#This Row],[Day]]-po)-phi_o)+TANH(phi_o))/(1+TANH(phi_o)),0)</f>
        <v>116312.46563607077</v>
      </c>
      <c r="X134" s="108">
        <f>Tabella8[[#This Row],[rest of Italy fit]]/Ko</f>
        <v>0.53840885819594864</v>
      </c>
      <c r="Y134" s="22">
        <f>Tabella8[[#This Row],[rest of Italy fit]]*NOT(ISBLANK(Tabella8[[#This Row],[rest of Italy ]]))</f>
        <v>116312.46563607077</v>
      </c>
      <c r="Z134" s="10">
        <f>Tabella8[[#This Row],[rest of Italy fit]]+CIo</f>
        <v>118796.80233000548</v>
      </c>
      <c r="AA134" s="10">
        <f>MAX(Tabella8[[#This Row],[rest of Italy fit]]-CIo,0)</f>
        <v>113828.12894213607</v>
      </c>
      <c r="AC134" s="55" t="s">
        <v>4798</v>
      </c>
      <c r="AD134" s="87">
        <v>4898</v>
      </c>
      <c r="AE134" s="87">
        <v>1314</v>
      </c>
      <c r="BD134" s="68"/>
      <c r="BE134" s="68"/>
    </row>
    <row r="135" spans="2:57" x14ac:dyDescent="0.3">
      <c r="B135" s="9">
        <v>43958</v>
      </c>
      <c r="C135" s="4">
        <v>128</v>
      </c>
      <c r="D135" s="10">
        <f>'dpc-covid19-ita-andamento-naz'!J75+'dpc-covid19-ita-andamento-naz'!K75</f>
        <v>126234</v>
      </c>
      <c r="E135" s="10">
        <f>Tabella8[[#This Row],[Italy cumulative]]*NOT(ISBLANK(Tabella8[[#This Row],[Italy cumulative]]))</f>
        <v>126234</v>
      </c>
      <c r="F135" s="10">
        <f>Tabella8[[#This Row],[region fit]]+Tabella8[[#This Row],[rest of Italy fit]]</f>
        <v>124522.71353258782</v>
      </c>
      <c r="G135" s="72">
        <f>Tabella8[[#This Row],[Italy sum of regions]]/K_sum</f>
        <v>0.55343428236705694</v>
      </c>
      <c r="H135" s="10">
        <f>Tabella8[[#This Row],[Italy sum of regions]]*NOT(ISBLANK(Tabella8[[#This Row],[Italy cumulative]]))</f>
        <v>124522.71353258782</v>
      </c>
      <c r="I135" s="132">
        <f>MAX(Kt*(TANH(psi_t*(Tabella8[[#This Row],[Day]]-pt)-phi_t)+TANH(phi_t))/(1+TANH(phi_t)),0)</f>
        <v>124540.34261529395</v>
      </c>
      <c r="J135" s="109">
        <f>Tabella8[[#This Row],[Italy fit]]/Kt</f>
        <v>0.55351263384575089</v>
      </c>
      <c r="K135" s="22">
        <f>Tabella8[[#This Row],[Italy fit]]*NOT(ISBLANK(Tabella8[[#This Row],[Italy cumulative]]))</f>
        <v>124540.34261529395</v>
      </c>
      <c r="L135" s="10">
        <f>Tabella8[[#This Row],[Italy sum of regions]]+CI</f>
        <v>126983.29128710915</v>
      </c>
      <c r="M135" s="10">
        <f>MAX(Tabella8[[#This Row],[Italy sum of regions]]-CI,0)</f>
        <v>122062.13577806648</v>
      </c>
      <c r="N135" s="57">
        <f t="shared" si="1"/>
        <v>5397</v>
      </c>
      <c r="O135" s="10">
        <f>Tabella8[[#This Row],[region data]]*NOT(ISBLANK(Tabella8[[#This Row],[region data]]))</f>
        <v>5397</v>
      </c>
      <c r="P135" s="107">
        <f>MAX(Kr*(TANH(psi_r*(Tabella8[[#This Row],[Day]]-pr)-phi_r)+TANH(phi_r))/(1+TANH(phi_r)),0)</f>
        <v>5419.858876885336</v>
      </c>
      <c r="Q135" s="107">
        <f>Tabella8[[#This Row],[region fit]]/Kr</f>
        <v>0.60422061057807541</v>
      </c>
      <c r="R135" s="22">
        <f>Tabella8[[#This Row],[region fit]]*NOT(ISBLANK(Tabella8[[#This Row],[region data]]))</f>
        <v>5419.858876885336</v>
      </c>
      <c r="S135" s="10">
        <f>Tabella8[[#This Row],[region fit]]+CIr</f>
        <v>5505.8781543502055</v>
      </c>
      <c r="T135" s="10">
        <f>MAX(Tabella8[[#This Row],[region fit]]-CIr,0)</f>
        <v>5333.8395994204666</v>
      </c>
      <c r="U135" s="10">
        <f>Tabella8[[#This Row],[Italy cumulative]]-Tabella8[[#This Row],[region data]]</f>
        <v>120837</v>
      </c>
      <c r="V135" s="10">
        <f>Tabella8[[#This Row],[rest of Italy ]]*NOT(ISBLANK(Tabella8[[#This Row],[rest of Italy ]]))</f>
        <v>120837</v>
      </c>
      <c r="W135" s="108">
        <f>MAX(Ko*(TANH(psi_o*(Tabella8[[#This Row],[Day]]-po)-phi_o)+TANH(phi_o))/(1+TANH(phi_o)),0)</f>
        <v>119102.85465570248</v>
      </c>
      <c r="X135" s="108">
        <f>Tabella8[[#This Row],[rest of Italy fit]]/Ko</f>
        <v>0.5513255318969702</v>
      </c>
      <c r="Y135" s="22">
        <f>Tabella8[[#This Row],[rest of Italy fit]]*NOT(ISBLANK(Tabella8[[#This Row],[rest of Italy ]]))</f>
        <v>119102.85465570248</v>
      </c>
      <c r="Z135" s="10">
        <f>Tabella8[[#This Row],[rest of Italy fit]]+CIo</f>
        <v>121587.19134963719</v>
      </c>
      <c r="AA135" s="10">
        <f>MAX(Tabella8[[#This Row],[rest of Italy fit]]-CIo,0)</f>
        <v>116618.51796176778</v>
      </c>
      <c r="AC135" s="55" t="s">
        <v>4860</v>
      </c>
      <c r="AD135" s="288">
        <v>5006</v>
      </c>
      <c r="AE135" s="288">
        <v>1329</v>
      </c>
      <c r="BD135" s="68"/>
      <c r="BE135" s="68"/>
    </row>
    <row r="136" spans="2:57" x14ac:dyDescent="0.3">
      <c r="B136" s="9">
        <v>43959</v>
      </c>
      <c r="C136" s="4">
        <v>129</v>
      </c>
      <c r="D136" s="10">
        <f>'dpc-covid19-ita-andamento-naz'!J76+'dpc-covid19-ita-andamento-naz'!K76</f>
        <v>129224</v>
      </c>
      <c r="E136" s="10">
        <f>Tabella8[[#This Row],[Italy cumulative]]*NOT(ISBLANK(Tabella8[[#This Row],[Italy cumulative]]))</f>
        <v>129224</v>
      </c>
      <c r="F136" s="10">
        <f>Tabella8[[#This Row],[region fit]]+Tabella8[[#This Row],[rest of Italy fit]]</f>
        <v>127416.47430432113</v>
      </c>
      <c r="G136" s="72">
        <f>Tabella8[[#This Row],[Italy sum of regions]]/K_sum</f>
        <v>0.5662954413525384</v>
      </c>
      <c r="H136" s="10">
        <f>Tabella8[[#This Row],[Italy sum of regions]]*NOT(ISBLANK(Tabella8[[#This Row],[Italy cumulative]]))</f>
        <v>127416.47430432113</v>
      </c>
      <c r="I136" s="132">
        <f>MAX(Kt*(TANH(psi_t*(Tabella8[[#This Row],[Day]]-pt)-phi_t)+TANH(phi_t))/(1+TANH(phi_t)),0)</f>
        <v>127438.51328084791</v>
      </c>
      <c r="J136" s="109">
        <f>Tabella8[[#This Row],[Italy fit]]/Kt</f>
        <v>0.56639339235932407</v>
      </c>
      <c r="K136" s="22">
        <f>Tabella8[[#This Row],[Italy fit]]*NOT(ISBLANK(Tabella8[[#This Row],[Italy cumulative]]))</f>
        <v>127438.51328084791</v>
      </c>
      <c r="L136" s="10">
        <f>Tabella8[[#This Row],[Italy sum of regions]]+CI</f>
        <v>129877.05205884247</v>
      </c>
      <c r="M136" s="10">
        <f>MAX(Tabella8[[#This Row],[Italy sum of regions]]-CI,0)</f>
        <v>124955.8965497998</v>
      </c>
      <c r="N136" s="57">
        <f t="shared" si="1"/>
        <v>5547</v>
      </c>
      <c r="O136" s="10">
        <f>Tabella8[[#This Row],[region data]]*NOT(ISBLANK(Tabella8[[#This Row],[region data]]))</f>
        <v>5547</v>
      </c>
      <c r="P136" s="107">
        <f>MAX(Kr*(TANH(psi_r*(Tabella8[[#This Row],[Day]]-pr)-phi_r)+TANH(phi_r))/(1+TANH(phi_r)),0)</f>
        <v>5546.3511623365266</v>
      </c>
      <c r="Q136" s="107">
        <f>Tabella8[[#This Row],[region fit]]/Kr</f>
        <v>0.61832231464175325</v>
      </c>
      <c r="R136" s="22">
        <f>Tabella8[[#This Row],[region fit]]*NOT(ISBLANK(Tabella8[[#This Row],[region data]]))</f>
        <v>5546.3511623365266</v>
      </c>
      <c r="S136" s="10">
        <f>Tabella8[[#This Row],[region fit]]+CIr</f>
        <v>5632.3704398013961</v>
      </c>
      <c r="T136" s="10">
        <f>MAX(Tabella8[[#This Row],[region fit]]-CIr,0)</f>
        <v>5460.3318848716572</v>
      </c>
      <c r="U136" s="10">
        <f>Tabella8[[#This Row],[Italy cumulative]]-Tabella8[[#This Row],[region data]]</f>
        <v>123677</v>
      </c>
      <c r="V136" s="10">
        <f>Tabella8[[#This Row],[rest of Italy ]]*NOT(ISBLANK(Tabella8[[#This Row],[rest of Italy ]]))</f>
        <v>123677</v>
      </c>
      <c r="W136" s="108">
        <f>MAX(Ko*(TANH(psi_o*(Tabella8[[#This Row],[Day]]-po)-phi_o)+TANH(phi_o))/(1+TANH(phi_o)),0)</f>
        <v>121870.12314198462</v>
      </c>
      <c r="X136" s="108">
        <f>Tabella8[[#This Row],[rest of Italy fit]]/Ko</f>
        <v>0.56413518095627746</v>
      </c>
      <c r="Y136" s="22">
        <f>Tabella8[[#This Row],[rest of Italy fit]]*NOT(ISBLANK(Tabella8[[#This Row],[rest of Italy ]]))</f>
        <v>121870.12314198462</v>
      </c>
      <c r="Z136" s="10">
        <f>Tabella8[[#This Row],[rest of Italy fit]]+CIo</f>
        <v>124354.45983591932</v>
      </c>
      <c r="AA136" s="10">
        <f>MAX(Tabella8[[#This Row],[rest of Italy fit]]-CIo,0)</f>
        <v>119385.78644804991</v>
      </c>
      <c r="AC136" s="55" t="s">
        <v>134</v>
      </c>
      <c r="AD136" s="12">
        <v>116478</v>
      </c>
      <c r="AE136" s="12">
        <v>46384</v>
      </c>
      <c r="BD136" s="68"/>
      <c r="BE136" s="68"/>
    </row>
    <row r="137" spans="2:57" x14ac:dyDescent="0.3">
      <c r="B137" s="9">
        <v>43960</v>
      </c>
      <c r="C137" s="4">
        <v>130</v>
      </c>
      <c r="D137" s="10">
        <f>'dpc-covid19-ita-andamento-naz'!J77+'dpc-covid19-ita-andamento-naz'!K77</f>
        <v>133426</v>
      </c>
      <c r="E137" s="10">
        <f>Tabella8[[#This Row],[Italy cumulative]]*NOT(ISBLANK(Tabella8[[#This Row],[Italy cumulative]]))</f>
        <v>133426</v>
      </c>
      <c r="F137" s="10">
        <f>Tabella8[[#This Row],[region fit]]+Tabella8[[#This Row],[rest of Italy fit]]</f>
        <v>130282.00237890871</v>
      </c>
      <c r="G137" s="72">
        <f>Tabella8[[#This Row],[Italy sum of regions]]/K_sum</f>
        <v>0.5790311216840387</v>
      </c>
      <c r="H137" s="10">
        <f>Tabella8[[#This Row],[Italy sum of regions]]*NOT(ISBLANK(Tabella8[[#This Row],[Italy cumulative]]))</f>
        <v>130282.00237890871</v>
      </c>
      <c r="I137" s="132">
        <f>MAX(Kt*(TANH(psi_t*(Tabella8[[#This Row],[Day]]-pt)-phi_t)+TANH(phi_t))/(1+TANH(phi_t)),0)</f>
        <v>130308.59213740559</v>
      </c>
      <c r="J137" s="109">
        <f>Tabella8[[#This Row],[Italy fit]]/Kt</f>
        <v>0.57914929838846929</v>
      </c>
      <c r="K137" s="22">
        <f>Tabella8[[#This Row],[Italy fit]]*NOT(ISBLANK(Tabella8[[#This Row],[Italy cumulative]]))</f>
        <v>130308.59213740559</v>
      </c>
      <c r="L137" s="10">
        <f>Tabella8[[#This Row],[Italy sum of regions]]+CI</f>
        <v>132742.58013343005</v>
      </c>
      <c r="M137" s="10">
        <f>MAX(Tabella8[[#This Row],[Italy sum of regions]]-CI,0)</f>
        <v>127821.42462438738</v>
      </c>
      <c r="N137" s="57">
        <f t="shared" si="1"/>
        <v>5756</v>
      </c>
      <c r="O137" s="10">
        <f>Tabella8[[#This Row],[region data]]*NOT(ISBLANK(Tabella8[[#This Row],[region data]]))</f>
        <v>5756</v>
      </c>
      <c r="P137" s="107">
        <f>MAX(Kr*(TANH(psi_r*(Tabella8[[#This Row],[Day]]-pr)-phi_r)+TANH(phi_r))/(1+TANH(phi_r)),0)</f>
        <v>5670.726570335326</v>
      </c>
      <c r="Q137" s="107">
        <f>Tabella8[[#This Row],[region fit]]/Kr</f>
        <v>0.63218802344875424</v>
      </c>
      <c r="R137" s="22">
        <f>Tabella8[[#This Row],[region fit]]*NOT(ISBLANK(Tabella8[[#This Row],[region data]]))</f>
        <v>5670.726570335326</v>
      </c>
      <c r="S137" s="10">
        <f>Tabella8[[#This Row],[region fit]]+CIr</f>
        <v>5756.7458478001954</v>
      </c>
      <c r="T137" s="10">
        <f>MAX(Tabella8[[#This Row],[region fit]]-CIr,0)</f>
        <v>5584.7072928704565</v>
      </c>
      <c r="U137" s="10">
        <f>Tabella8[[#This Row],[Italy cumulative]]-Tabella8[[#This Row],[region data]]</f>
        <v>127670</v>
      </c>
      <c r="V137" s="10">
        <f>Tabella8[[#This Row],[rest of Italy ]]*NOT(ISBLANK(Tabella8[[#This Row],[rest of Italy ]]))</f>
        <v>127670</v>
      </c>
      <c r="W137" s="108">
        <f>MAX(Ko*(TANH(psi_o*(Tabella8[[#This Row],[Day]]-po)-phi_o)+TANH(phi_o))/(1+TANH(phi_o)),0)</f>
        <v>124611.27580857338</v>
      </c>
      <c r="X137" s="108">
        <f>Tabella8[[#This Row],[rest of Italy fit]]/Ko</f>
        <v>0.57682394023317773</v>
      </c>
      <c r="Y137" s="22">
        <f>Tabella8[[#This Row],[rest of Italy fit]]*NOT(ISBLANK(Tabella8[[#This Row],[rest of Italy ]]))</f>
        <v>124611.27580857338</v>
      </c>
      <c r="Z137" s="10">
        <f>Tabella8[[#This Row],[rest of Italy fit]]+CIo</f>
        <v>127095.61250250808</v>
      </c>
      <c r="AA137" s="10">
        <f>MAX(Tabella8[[#This Row],[rest of Italy fit]]-CIo,0)</f>
        <v>122126.93911463868</v>
      </c>
      <c r="BD137" s="68"/>
      <c r="BE137" s="68"/>
    </row>
    <row r="138" spans="2:57" x14ac:dyDescent="0.3">
      <c r="B138" s="9">
        <v>43961</v>
      </c>
      <c r="C138" s="4">
        <v>131</v>
      </c>
      <c r="D138" s="10">
        <f>'dpc-covid19-ita-andamento-naz'!J78+'dpc-covid19-ita-andamento-naz'!K78</f>
        <v>135746</v>
      </c>
      <c r="E138" s="10">
        <f>Tabella8[[#This Row],[Italy cumulative]]*NOT(ISBLANK(Tabella8[[#This Row],[Italy cumulative]]))</f>
        <v>135746</v>
      </c>
      <c r="F138" s="10">
        <f>Tabella8[[#This Row],[region fit]]+Tabella8[[#This Row],[rest of Italy fit]]</f>
        <v>133116.28080437798</v>
      </c>
      <c r="G138" s="72">
        <f>Tabella8[[#This Row],[Italy sum of regions]]/K_sum</f>
        <v>0.59162791468612441</v>
      </c>
      <c r="H138" s="10">
        <f>Tabella8[[#This Row],[Italy sum of regions]]*NOT(ISBLANK(Tabella8[[#This Row],[Italy cumulative]]))</f>
        <v>133116.28080437798</v>
      </c>
      <c r="I138" s="132">
        <f>MAX(Kt*(TANH(psi_t*(Tabella8[[#This Row],[Day]]-pt)-phi_t)+TANH(phi_t))/(1+TANH(phi_t)),0)</f>
        <v>133147.5386484114</v>
      </c>
      <c r="J138" s="109">
        <f>Tabella8[[#This Row],[Italy fit]]/Kt</f>
        <v>0.59176683843738398</v>
      </c>
      <c r="K138" s="22">
        <f>Tabella8[[#This Row],[Italy fit]]*NOT(ISBLANK(Tabella8[[#This Row],[Italy cumulative]]))</f>
        <v>133147.5386484114</v>
      </c>
      <c r="L138" s="10">
        <f>Tabella8[[#This Row],[Italy sum of regions]]+CI</f>
        <v>135576.85855889932</v>
      </c>
      <c r="M138" s="10">
        <f>MAX(Tabella8[[#This Row],[Italy sum of regions]]-CI,0)</f>
        <v>130655.70304985665</v>
      </c>
      <c r="N138" s="57">
        <f t="shared" si="1"/>
        <v>5888</v>
      </c>
      <c r="O138" s="10">
        <f>Tabella8[[#This Row],[region data]]*NOT(ISBLANK(Tabella8[[#This Row],[region data]]))</f>
        <v>5888</v>
      </c>
      <c r="P138" s="107">
        <f>MAX(Kr*(TANH(psi_r*(Tabella8[[#This Row],[Day]]-pr)-phi_r)+TANH(phi_r))/(1+TANH(phi_r)),0)</f>
        <v>5792.8450768845623</v>
      </c>
      <c r="Q138" s="107">
        <f>Tabella8[[#This Row],[region fit]]/Kr</f>
        <v>0.64580212674298354</v>
      </c>
      <c r="R138" s="22">
        <f>Tabella8[[#This Row],[region fit]]*NOT(ISBLANK(Tabella8[[#This Row],[region data]]))</f>
        <v>5792.8450768845623</v>
      </c>
      <c r="S138" s="10">
        <f>Tabella8[[#This Row],[region fit]]+CIr</f>
        <v>5878.8643543494318</v>
      </c>
      <c r="T138" s="10">
        <f>MAX(Tabella8[[#This Row],[region fit]]-CIr,0)</f>
        <v>5706.8257994196929</v>
      </c>
      <c r="U138" s="10">
        <f>Tabella8[[#This Row],[Italy cumulative]]-Tabella8[[#This Row],[region data]]</f>
        <v>129858</v>
      </c>
      <c r="V138" s="10">
        <f>Tabella8[[#This Row],[rest of Italy ]]*NOT(ISBLANK(Tabella8[[#This Row],[rest of Italy ]]))</f>
        <v>129858</v>
      </c>
      <c r="W138" s="108">
        <f>MAX(Ko*(TANH(psi_o*(Tabella8[[#This Row],[Day]]-po)-phi_o)+TANH(phi_o))/(1+TANH(phi_o)),0)</f>
        <v>127323.43572749342</v>
      </c>
      <c r="X138" s="108">
        <f>Tabella8[[#This Row],[rest of Italy fit]]/Ko</f>
        <v>0.58937849246629359</v>
      </c>
      <c r="Y138" s="22">
        <f>Tabella8[[#This Row],[rest of Italy fit]]*NOT(ISBLANK(Tabella8[[#This Row],[rest of Italy ]]))</f>
        <v>127323.43572749342</v>
      </c>
      <c r="Z138" s="10">
        <f>Tabella8[[#This Row],[rest of Italy fit]]+CIo</f>
        <v>129807.77242142812</v>
      </c>
      <c r="AA138" s="10">
        <f>MAX(Tabella8[[#This Row],[rest of Italy fit]]-CIo,0)</f>
        <v>124839.09903355871</v>
      </c>
      <c r="BD138" s="68"/>
      <c r="BE138" s="68"/>
    </row>
    <row r="139" spans="2:57" x14ac:dyDescent="0.3">
      <c r="B139" s="9">
        <v>43962</v>
      </c>
      <c r="C139" s="4">
        <v>132</v>
      </c>
      <c r="D139" s="10">
        <f>'dpc-covid19-ita-andamento-naz'!J79+'dpc-covid19-ita-andamento-naz'!K79</f>
        <v>137326</v>
      </c>
      <c r="E139" s="10">
        <f>Tabella8[[#This Row],[Italy cumulative]]*NOT(ISBLANK(Tabella8[[#This Row],[Italy cumulative]]))</f>
        <v>137326</v>
      </c>
      <c r="F139" s="10">
        <f>Tabella8[[#This Row],[region fit]]+Tabella8[[#This Row],[rest of Italy fit]]</f>
        <v>135916.43409202769</v>
      </c>
      <c r="G139" s="72">
        <f>Tabella8[[#This Row],[Italy sum of regions]]/K_sum</f>
        <v>0.604073040409012</v>
      </c>
      <c r="H139" s="10">
        <f>Tabella8[[#This Row],[Italy sum of regions]]*NOT(ISBLANK(Tabella8[[#This Row],[Italy cumulative]]))</f>
        <v>135916.43409202769</v>
      </c>
      <c r="I139" s="132">
        <f>MAX(Kt*(TANH(psi_t*(Tabella8[[#This Row],[Day]]-pt)-phi_t)+TANH(phi_t))/(1+TANH(phi_t)),0)</f>
        <v>135952.45290117257</v>
      </c>
      <c r="J139" s="109">
        <f>Tabella8[[#This Row],[Italy fit]]/Kt</f>
        <v>0.60423312400521145</v>
      </c>
      <c r="K139" s="22">
        <f>Tabella8[[#This Row],[Italy fit]]*NOT(ISBLANK(Tabella8[[#This Row],[Italy cumulative]]))</f>
        <v>135952.45290117257</v>
      </c>
      <c r="L139" s="10">
        <f>Tabella8[[#This Row],[Italy sum of regions]]+CI</f>
        <v>138377.01184654902</v>
      </c>
      <c r="M139" s="10">
        <f>MAX(Tabella8[[#This Row],[Italy sum of regions]]-CI,0)</f>
        <v>133455.85633750635</v>
      </c>
      <c r="N139" s="57">
        <f t="shared" si="1"/>
        <v>5988</v>
      </c>
      <c r="O139" s="10">
        <f>Tabella8[[#This Row],[region data]]*NOT(ISBLANK(Tabella8[[#This Row],[region data]]))</f>
        <v>5988</v>
      </c>
      <c r="P139" s="107">
        <f>MAX(Kr*(TANH(psi_r*(Tabella8[[#This Row],[Day]]-pr)-phi_r)+TANH(phi_r))/(1+TANH(phi_r)),0)</f>
        <v>5912.5787329205805</v>
      </c>
      <c r="Q139" s="107">
        <f>Tabella8[[#This Row],[region fit]]/Kr</f>
        <v>0.65915036041478048</v>
      </c>
      <c r="R139" s="22">
        <f>Tabella8[[#This Row],[region fit]]*NOT(ISBLANK(Tabella8[[#This Row],[region data]]))</f>
        <v>5912.5787329205805</v>
      </c>
      <c r="S139" s="10">
        <f>Tabella8[[#This Row],[region fit]]+CIr</f>
        <v>5998.5980103854499</v>
      </c>
      <c r="T139" s="10">
        <f>MAX(Tabella8[[#This Row],[region fit]]-CIr,0)</f>
        <v>5826.559455455711</v>
      </c>
      <c r="U139" s="10">
        <f>Tabella8[[#This Row],[Italy cumulative]]-Tabella8[[#This Row],[region data]]</f>
        <v>131338</v>
      </c>
      <c r="V139" s="10">
        <f>Tabella8[[#This Row],[rest of Italy ]]*NOT(ISBLANK(Tabella8[[#This Row],[rest of Italy ]]))</f>
        <v>131338</v>
      </c>
      <c r="W139" s="108">
        <f>MAX(Ko*(TANH(psi_o*(Tabella8[[#This Row],[Day]]-po)-phi_o)+TANH(phi_o))/(1+TANH(phi_o)),0)</f>
        <v>130003.85535910711</v>
      </c>
      <c r="X139" s="108">
        <f>Tabella8[[#This Row],[rest of Italy fit]]/Ko</f>
        <v>0.60178611933114434</v>
      </c>
      <c r="Y139" s="22">
        <f>Tabella8[[#This Row],[rest of Italy fit]]*NOT(ISBLANK(Tabella8[[#This Row],[rest of Italy ]]))</f>
        <v>130003.85535910711</v>
      </c>
      <c r="Z139" s="10">
        <f>Tabella8[[#This Row],[rest of Italy fit]]+CIo</f>
        <v>132488.1920530418</v>
      </c>
      <c r="AA139" s="10">
        <f>MAX(Tabella8[[#This Row],[rest of Italy fit]]-CIo,0)</f>
        <v>127519.51866517241</v>
      </c>
      <c r="BD139" s="68"/>
      <c r="BE139" s="68"/>
    </row>
    <row r="140" spans="2:57" x14ac:dyDescent="0.3">
      <c r="B140" s="9">
        <v>43963</v>
      </c>
      <c r="C140" s="4">
        <v>133</v>
      </c>
      <c r="D140" s="10">
        <f>'dpc-covid19-ita-andamento-naz'!J80+'dpc-covid19-ita-andamento-naz'!K80</f>
        <v>139950</v>
      </c>
      <c r="E140" s="10">
        <f>Tabella8[[#This Row],[Italy cumulative]]*NOT(ISBLANK(Tabella8[[#This Row],[Italy cumulative]]))</f>
        <v>139950</v>
      </c>
      <c r="F140" s="10">
        <f>Tabella8[[#This Row],[region fit]]+Tabella8[[#This Row],[rest of Italy fit]]</f>
        <v>138679.73835698958</v>
      </c>
      <c r="G140" s="72">
        <f>Tabella8[[#This Row],[Italy sum of regions]]/K_sum</f>
        <v>0.6163543926977314</v>
      </c>
      <c r="H140" s="10">
        <f>Tabella8[[#This Row],[Italy sum of regions]]*NOT(ISBLANK(Tabella8[[#This Row],[Italy cumulative]]))</f>
        <v>138679.73835698958</v>
      </c>
      <c r="I140" s="132">
        <f>MAX(Kt*(TANH(psi_t*(Tabella8[[#This Row],[Day]]-pt)-phi_t)+TANH(phi_t))/(1+TANH(phi_t)),0)</f>
        <v>138720.58600779896</v>
      </c>
      <c r="J140" s="109">
        <f>Tabella8[[#This Row],[Italy fit]]/Kt</f>
        <v>0.61653593781243987</v>
      </c>
      <c r="K140" s="22">
        <f>Tabella8[[#This Row],[Italy fit]]*NOT(ISBLANK(Tabella8[[#This Row],[Italy cumulative]]))</f>
        <v>138720.58600779896</v>
      </c>
      <c r="L140" s="10">
        <f>Tabella8[[#This Row],[Italy sum of regions]]+CI</f>
        <v>141140.31611151091</v>
      </c>
      <c r="M140" s="10">
        <f>MAX(Tabella8[[#This Row],[Italy sum of regions]]-CI,0)</f>
        <v>136219.16060246824</v>
      </c>
      <c r="N140" s="57">
        <f t="shared" si="1"/>
        <v>6084</v>
      </c>
      <c r="O140" s="10">
        <f>Tabella8[[#This Row],[region data]]*NOT(ISBLANK(Tabella8[[#This Row],[region data]]))</f>
        <v>6084</v>
      </c>
      <c r="P140" s="107">
        <f>MAX(Kr*(TANH(psi_r*(Tabella8[[#This Row],[Day]]-pr)-phi_r)+TANH(phi_r))/(1+TANH(phi_r)),0)</f>
        <v>6029.8119664614005</v>
      </c>
      <c r="Q140" s="107">
        <f>Tabella8[[#This Row],[region fit]]/Kr</f>
        <v>0.67221984018521741</v>
      </c>
      <c r="R140" s="22">
        <f>Tabella8[[#This Row],[region fit]]*NOT(ISBLANK(Tabella8[[#This Row],[region data]]))</f>
        <v>6029.8119664614005</v>
      </c>
      <c r="S140" s="10">
        <f>Tabella8[[#This Row],[region fit]]+CIr</f>
        <v>6115.83124392627</v>
      </c>
      <c r="T140" s="10">
        <f>MAX(Tabella8[[#This Row],[region fit]]-CIr,0)</f>
        <v>5943.7926889965311</v>
      </c>
      <c r="U140" s="10">
        <f>Tabella8[[#This Row],[Italy cumulative]]-Tabella8[[#This Row],[region data]]</f>
        <v>133866</v>
      </c>
      <c r="V140" s="10">
        <f>Tabella8[[#This Row],[rest of Italy ]]*NOT(ISBLANK(Tabella8[[#This Row],[rest of Italy ]]))</f>
        <v>133866</v>
      </c>
      <c r="W140" s="108">
        <f>MAX(Ko*(TANH(psi_o*(Tabella8[[#This Row],[Day]]-po)-phi_o)+TANH(phi_o))/(1+TANH(phi_o)),0)</f>
        <v>132649.92639052818</v>
      </c>
      <c r="X140" s="108">
        <f>Tabella8[[#This Row],[rest of Italy fit]]/Ko</f>
        <v>0.61403474698203109</v>
      </c>
      <c r="Y140" s="22">
        <f>Tabella8[[#This Row],[rest of Italy fit]]*NOT(ISBLANK(Tabella8[[#This Row],[rest of Italy ]]))</f>
        <v>132649.92639052818</v>
      </c>
      <c r="Z140" s="10">
        <f>Tabella8[[#This Row],[rest of Italy fit]]+CIo</f>
        <v>135134.26308446287</v>
      </c>
      <c r="AA140" s="10">
        <f>MAX(Tabella8[[#This Row],[rest of Italy fit]]-CIo,0)</f>
        <v>130165.58969659348</v>
      </c>
      <c r="BD140" s="68"/>
      <c r="BE140" s="68"/>
    </row>
    <row r="141" spans="2:57" x14ac:dyDescent="0.3">
      <c r="B141" s="9">
        <v>43964</v>
      </c>
      <c r="C141" s="4">
        <v>134</v>
      </c>
      <c r="D141" s="10">
        <f>'dpc-covid19-ita-andamento-naz'!J81+'dpc-covid19-ita-andamento-naz'!K81</f>
        <v>143647</v>
      </c>
      <c r="E141" s="10">
        <f>Tabella8[[#This Row],[Italy cumulative]]*NOT(ISBLANK(Tabella8[[#This Row],[Italy cumulative]]))</f>
        <v>143647</v>
      </c>
      <c r="F141" s="10">
        <f>Tabella8[[#This Row],[region fit]]+Tabella8[[#This Row],[rest of Italy fit]]</f>
        <v>141403.63008345186</v>
      </c>
      <c r="G141" s="72">
        <f>Tabella8[[#This Row],[Italy sum of regions]]/K_sum</f>
        <v>0.62846057814867495</v>
      </c>
      <c r="H141" s="10">
        <f>Tabella8[[#This Row],[Italy sum of regions]]*NOT(ISBLANK(Tabella8[[#This Row],[Italy cumulative]]))</f>
        <v>141403.63008345186</v>
      </c>
      <c r="I141" s="132">
        <f>MAX(Kt*(TANH(psi_t*(Tabella8[[#This Row],[Day]]-pt)-phi_t)+TANH(phi_t))/(1+TANH(phi_t)),0)</f>
        <v>141449.34913524927</v>
      </c>
      <c r="J141" s="109">
        <f>Tabella8[[#This Row],[Italy fit]]/Kt</f>
        <v>0.62866377393444117</v>
      </c>
      <c r="K141" s="22">
        <f>Tabella8[[#This Row],[Italy fit]]*NOT(ISBLANK(Tabella8[[#This Row],[Italy cumulative]]))</f>
        <v>141449.34913524927</v>
      </c>
      <c r="L141" s="10">
        <f>Tabella8[[#This Row],[Italy sum of regions]]+CI</f>
        <v>143864.2078379732</v>
      </c>
      <c r="M141" s="10">
        <f>MAX(Tabella8[[#This Row],[Italy sum of regions]]-CI,0)</f>
        <v>138943.05232893053</v>
      </c>
      <c r="N141" s="57">
        <f t="shared" si="1"/>
        <v>6212</v>
      </c>
      <c r="O141" s="10">
        <f>Tabella8[[#This Row],[region data]]*NOT(ISBLANK(Tabella8[[#This Row],[region data]]))</f>
        <v>6212</v>
      </c>
      <c r="P141" s="107">
        <f>MAX(Kr*(TANH(psi_r*(Tabella8[[#This Row],[Day]]-pr)-phi_r)+TANH(phi_r))/(1+TANH(phi_r)),0)</f>
        <v>6144.4417604016344</v>
      </c>
      <c r="Q141" s="107">
        <f>Tabella8[[#This Row],[region fit]]/Kr</f>
        <v>0.68499908142716104</v>
      </c>
      <c r="R141" s="22">
        <f>Tabella8[[#This Row],[region fit]]*NOT(ISBLANK(Tabella8[[#This Row],[region data]]))</f>
        <v>6144.4417604016344</v>
      </c>
      <c r="S141" s="10">
        <f>Tabella8[[#This Row],[region fit]]+CIr</f>
        <v>6230.4610378665038</v>
      </c>
      <c r="T141" s="10">
        <f>MAX(Tabella8[[#This Row],[region fit]]-CIr,0)</f>
        <v>6058.4224829367649</v>
      </c>
      <c r="U141" s="10">
        <f>Tabella8[[#This Row],[Italy cumulative]]-Tabella8[[#This Row],[region data]]</f>
        <v>137435</v>
      </c>
      <c r="V141" s="10">
        <f>Tabella8[[#This Row],[rest of Italy ]]*NOT(ISBLANK(Tabella8[[#This Row],[rest of Italy ]]))</f>
        <v>137435</v>
      </c>
      <c r="W141" s="108">
        <f>MAX(Ko*(TANH(psi_o*(Tabella8[[#This Row],[Day]]-po)-phi_o)+TANH(phi_o))/(1+TANH(phi_o)),0)</f>
        <v>135259.18832305024</v>
      </c>
      <c r="X141" s="108">
        <f>Tabella8[[#This Row],[rest of Italy fit]]/Ko</f>
        <v>0.62611298580313035</v>
      </c>
      <c r="Y141" s="22">
        <f>Tabella8[[#This Row],[rest of Italy fit]]*NOT(ISBLANK(Tabella8[[#This Row],[rest of Italy ]]))</f>
        <v>135259.18832305024</v>
      </c>
      <c r="Z141" s="10">
        <f>Tabella8[[#This Row],[rest of Italy fit]]+CIo</f>
        <v>137743.52501698493</v>
      </c>
      <c r="AA141" s="10">
        <f>MAX(Tabella8[[#This Row],[rest of Italy fit]]-CIo,0)</f>
        <v>132774.85162911555</v>
      </c>
      <c r="BD141" s="68"/>
      <c r="BE141" s="68"/>
    </row>
    <row r="142" spans="2:57" x14ac:dyDescent="0.3">
      <c r="B142" s="9">
        <v>43965</v>
      </c>
      <c r="C142" s="4">
        <v>135</v>
      </c>
      <c r="D142" s="10">
        <f>'dpc-covid19-ita-andamento-naz'!J82+'dpc-covid19-ita-andamento-naz'!K82</f>
        <v>146656</v>
      </c>
      <c r="E142" s="10">
        <f>Tabella8[[#This Row],[Italy cumulative]]*NOT(ISBLANK(Tabella8[[#This Row],[Italy cumulative]]))</f>
        <v>146656</v>
      </c>
      <c r="F142" s="10">
        <f>Tabella8[[#This Row],[region fit]]+Tabella8[[#This Row],[rest of Italy fit]]</f>
        <v>144085.7134783286</v>
      </c>
      <c r="G142" s="72">
        <f>Tabella8[[#This Row],[Italy sum of regions]]/K_sum</f>
        <v>0.64038094879257157</v>
      </c>
      <c r="H142" s="10">
        <f>Tabella8[[#This Row],[Italy sum of regions]]*NOT(ISBLANK(Tabella8[[#This Row],[Italy cumulative]]))</f>
        <v>144085.7134783286</v>
      </c>
      <c r="I142" s="132">
        <f>MAX(Kt*(TANH(psi_t*(Tabella8[[#This Row],[Day]]-pt)-phi_t)+TANH(phi_t))/(1+TANH(phi_t)),0)</f>
        <v>144136.32112322818</v>
      </c>
      <c r="J142" s="109">
        <f>Tabella8[[#This Row],[Italy fit]]/Kt</f>
        <v>0.6406058716587919</v>
      </c>
      <c r="K142" s="22">
        <f>Tabella8[[#This Row],[Italy fit]]*NOT(ISBLANK(Tabella8[[#This Row],[Italy cumulative]]))</f>
        <v>144136.32112322818</v>
      </c>
      <c r="L142" s="10">
        <f>Tabella8[[#This Row],[Italy sum of regions]]+CI</f>
        <v>146546.29123284994</v>
      </c>
      <c r="M142" s="10">
        <f>MAX(Tabella8[[#This Row],[Italy sum of regions]]-CI,0)</f>
        <v>141625.13572380727</v>
      </c>
      <c r="N142" s="57">
        <f t="shared" si="1"/>
        <v>6335</v>
      </c>
      <c r="O142" s="10">
        <f>Tabella8[[#This Row],[region data]]*NOT(ISBLANK(Tabella8[[#This Row],[region data]]))</f>
        <v>6335</v>
      </c>
      <c r="P142" s="107">
        <f>MAX(Kr*(TANH(psi_r*(Tabella8[[#This Row],[Day]]-pr)-phi_r)+TANH(phi_r))/(1+TANH(phi_r)),0)</f>
        <v>6256.3777106754269</v>
      </c>
      <c r="Q142" s="107">
        <f>Tabella8[[#This Row],[region fit]]/Kr</f>
        <v>0.69747800564943441</v>
      </c>
      <c r="R142" s="22">
        <f>Tabella8[[#This Row],[region fit]]*NOT(ISBLANK(Tabella8[[#This Row],[region data]]))</f>
        <v>6256.3777106754269</v>
      </c>
      <c r="S142" s="10">
        <f>Tabella8[[#This Row],[region fit]]+CIr</f>
        <v>6342.3969881402963</v>
      </c>
      <c r="T142" s="10">
        <f>MAX(Tabella8[[#This Row],[region fit]]-CIr,0)</f>
        <v>6170.3584332105575</v>
      </c>
      <c r="U142" s="10">
        <f>Tabella8[[#This Row],[Italy cumulative]]-Tabella8[[#This Row],[region data]]</f>
        <v>140321</v>
      </c>
      <c r="V142" s="10">
        <f>Tabella8[[#This Row],[rest of Italy ]]*NOT(ISBLANK(Tabella8[[#This Row],[rest of Italy ]]))</f>
        <v>140321</v>
      </c>
      <c r="W142" s="108">
        <f>MAX(Ko*(TANH(psi_o*(Tabella8[[#This Row],[Day]]-po)-phi_o)+TANH(phi_o))/(1+TANH(phi_o)),0)</f>
        <v>137829.33576765319</v>
      </c>
      <c r="X142" s="108">
        <f>Tabella8[[#This Row],[rest of Italy fit]]/Ko</f>
        <v>0.63801016417929546</v>
      </c>
      <c r="Y142" s="22">
        <f>Tabella8[[#This Row],[rest of Italy fit]]*NOT(ISBLANK(Tabella8[[#This Row],[rest of Italy ]]))</f>
        <v>137829.33576765319</v>
      </c>
      <c r="Z142" s="10">
        <f>Tabella8[[#This Row],[rest of Italy fit]]+CIo</f>
        <v>140313.67246158788</v>
      </c>
      <c r="AA142" s="10">
        <f>MAX(Tabella8[[#This Row],[rest of Italy fit]]-CIo,0)</f>
        <v>135344.9990737185</v>
      </c>
    </row>
    <row r="143" spans="2:57" x14ac:dyDescent="0.3">
      <c r="B143" s="9">
        <v>43966</v>
      </c>
      <c r="C143" s="4">
        <v>136</v>
      </c>
      <c r="D143" s="1"/>
      <c r="E143" s="10">
        <f>Tabella8[[#This Row],[Italy cumulative]]*NOT(ISBLANK(Tabella8[[#This Row],[Italy cumulative]]))</f>
        <v>0</v>
      </c>
      <c r="F143" s="10">
        <f>Tabella8[[#This Row],[region fit]]+Tabella8[[#This Row],[rest of Italy fit]]</f>
        <v>146723.76639716892</v>
      </c>
      <c r="G143" s="72">
        <f>Tabella8[[#This Row],[Italy sum of regions]]/K_sum</f>
        <v>0.65210562843186182</v>
      </c>
      <c r="H143" s="10">
        <f>Tabella8[[#This Row],[Italy sum of regions]]*NOT(ISBLANK(Tabella8[[#This Row],[Italy cumulative]]))</f>
        <v>0</v>
      </c>
      <c r="I143" s="132">
        <f>MAX(Kt*(TANH(psi_t*(Tabella8[[#This Row],[Day]]-pt)-phi_t)+TANH(phi_t))/(1+TANH(phi_t)),0)</f>
        <v>146779.25466889204</v>
      </c>
      <c r="J143" s="109">
        <f>Tabella8[[#This Row],[Italy fit]]/Kt</f>
        <v>0.65235224297285355</v>
      </c>
      <c r="K143" s="22">
        <f>Tabella8[[#This Row],[Italy fit]]*NOT(ISBLANK(Tabella8[[#This Row],[Italy cumulative]]))</f>
        <v>0</v>
      </c>
      <c r="N143" s="58"/>
      <c r="O143" s="10">
        <f>Tabella8[[#This Row],[region data]]*NOT(ISBLANK(Tabella8[[#This Row],[region data]]))</f>
        <v>0</v>
      </c>
      <c r="P143" s="107">
        <f>MAX(Kr*(TANH(psi_r*(Tabella8[[#This Row],[Day]]-pr)-phi_r)+TANH(phi_r))/(1+TANH(phi_r)),0)</f>
        <v>6365.5419711570212</v>
      </c>
      <c r="Q143" s="107">
        <f>Tabella8[[#This Row],[region fit]]/Kr</f>
        <v>0.70964793435418294</v>
      </c>
      <c r="R143" s="22">
        <f>Tabella8[[#This Row],[region fit]]*NOT(ISBLANK(Tabella8[[#This Row],[region data]]))</f>
        <v>0</v>
      </c>
      <c r="V143" s="10">
        <f>Tabella8[[#This Row],[rest of Italy ]]*NOT(ISBLANK(Tabella8[[#This Row],[rest of Italy ]]))</f>
        <v>0</v>
      </c>
      <c r="W143" s="108">
        <f>MAX(Ko*(TANH(psi_o*(Tabella8[[#This Row],[Day]]-po)-phi_o)+TANH(phi_o))/(1+TANH(phi_o)),0)</f>
        <v>140358.2244260119</v>
      </c>
      <c r="X143" s="108">
        <f>Tabella8[[#This Row],[rest of Italy fit]]/Ko</f>
        <v>0.64971635618206691</v>
      </c>
      <c r="Y143" s="22">
        <f>Tabella8[[#This Row],[rest of Italy fit]]*NOT(ISBLANK(Tabella8[[#This Row],[rest of Italy ]]))</f>
        <v>0</v>
      </c>
    </row>
    <row r="144" spans="2:57" x14ac:dyDescent="0.3">
      <c r="B144" s="9">
        <v>43967</v>
      </c>
      <c r="C144" s="4">
        <v>137</v>
      </c>
      <c r="D144" s="1"/>
      <c r="E144" s="10">
        <f>Tabella8[[#This Row],[Italy cumulative]]*NOT(ISBLANK(Tabella8[[#This Row],[Italy cumulative]]))</f>
        <v>0</v>
      </c>
      <c r="F144" s="10">
        <f>Tabella8[[#This Row],[region fit]]+Tabella8[[#This Row],[rest of Italy fit]]</f>
        <v>149315.74484535865</v>
      </c>
      <c r="G144" s="72">
        <f>Tabella8[[#This Row],[Italy sum of regions]]/K_sum</f>
        <v>0.66362553264603852</v>
      </c>
      <c r="H144" s="10">
        <f>Tabella8[[#This Row],[Italy sum of regions]]*NOT(ISBLANK(Tabella8[[#This Row],[Italy cumulative]]))</f>
        <v>0</v>
      </c>
      <c r="I144" s="132">
        <f>MAX(Kt*(TANH(psi_t*(Tabella8[[#This Row],[Day]]-pt)-phi_t)+TANH(phi_t))/(1+TANH(phi_t)),0)</f>
        <v>149376.08107690827</v>
      </c>
      <c r="J144" s="109">
        <f>Tabella8[[#This Row],[Italy fit]]/Kt</f>
        <v>0.66389369367514783</v>
      </c>
      <c r="K144" s="22">
        <f>Tabella8[[#This Row],[Italy fit]]*NOT(ISBLANK(Tabella8[[#This Row],[Italy cumulative]]))</f>
        <v>0</v>
      </c>
      <c r="N144" s="58"/>
      <c r="O144" s="10">
        <f>Tabella8[[#This Row],[region data]]*NOT(ISBLANK(Tabella8[[#This Row],[region data]]))</f>
        <v>0</v>
      </c>
      <c r="P144" s="107">
        <f>MAX(Kr*(TANH(psi_r*(Tabella8[[#This Row],[Day]]-pr)-phi_r)+TANH(phi_r))/(1+TANH(phi_r)),0)</f>
        <v>6471.8690930604926</v>
      </c>
      <c r="Q144" s="107">
        <f>Tabella8[[#This Row],[region fit]]/Kr</f>
        <v>0.7215015711327194</v>
      </c>
      <c r="R144" s="22">
        <f>Tabella8[[#This Row],[region fit]]*NOT(ISBLANK(Tabella8[[#This Row],[region data]]))</f>
        <v>0</v>
      </c>
      <c r="V144" s="10">
        <f>Tabella8[[#This Row],[rest of Italy ]]*NOT(ISBLANK(Tabella8[[#This Row],[rest of Italy ]]))</f>
        <v>0</v>
      </c>
      <c r="W144" s="108">
        <f>MAX(Ko*(TANH(psi_o*(Tabella8[[#This Row],[Day]]-po)-phi_o)+TANH(phi_o))/(1+TANH(phi_o)),0)</f>
        <v>142843.87575229816</v>
      </c>
      <c r="X144" s="108">
        <f>Tabella8[[#This Row],[rest of Italy fit]]/Ko</f>
        <v>0.6612224031490912</v>
      </c>
      <c r="Y144" s="22">
        <f>Tabella8[[#This Row],[rest of Italy fit]]*NOT(ISBLANK(Tabella8[[#This Row],[rest of Italy ]]))</f>
        <v>0</v>
      </c>
    </row>
    <row r="145" spans="2:25" x14ac:dyDescent="0.3">
      <c r="B145" s="9">
        <v>43968</v>
      </c>
      <c r="C145" s="4">
        <v>138</v>
      </c>
      <c r="D145" s="1"/>
      <c r="E145" s="10">
        <f>Tabella8[[#This Row],[Italy cumulative]]*NOT(ISBLANK(Tabella8[[#This Row],[Italy cumulative]]))</f>
        <v>0</v>
      </c>
      <c r="F145" s="10">
        <f>Tabella8[[#This Row],[region fit]]+Tabella8[[#This Row],[rest of Italy fit]]</f>
        <v>151859.78607581562</v>
      </c>
      <c r="G145" s="72">
        <f>Tabella8[[#This Row],[Italy sum of regions]]/K_sum</f>
        <v>0.67493238255918053</v>
      </c>
      <c r="H145" s="10">
        <f>Tabella8[[#This Row],[Italy sum of regions]]*NOT(ISBLANK(Tabella8[[#This Row],[Italy cumulative]]))</f>
        <v>0</v>
      </c>
      <c r="I145" s="132">
        <f>MAX(Kt*(TANH(psi_t*(Tabella8[[#This Row],[Day]]-pt)-phi_t)+TANH(phi_t))/(1+TANH(phi_t)),0)</f>
        <v>151924.91359199889</v>
      </c>
      <c r="J145" s="109">
        <f>Tabella8[[#This Row],[Italy fit]]/Kt</f>
        <v>0.6752218381866617</v>
      </c>
      <c r="K145" s="22">
        <f>Tabella8[[#This Row],[Italy fit]]*NOT(ISBLANK(Tabella8[[#This Row],[Italy cumulative]]))</f>
        <v>0</v>
      </c>
      <c r="N145" s="58"/>
      <c r="O145" s="10">
        <f>Tabella8[[#This Row],[region data]]*NOT(ISBLANK(Tabella8[[#This Row],[region data]]))</f>
        <v>0</v>
      </c>
      <c r="P145" s="107">
        <f>MAX(Kr*(TANH(psi_r*(Tabella8[[#This Row],[Day]]-pr)-phi_r)+TANH(phi_r))/(1+TANH(phi_r)),0)</f>
        <v>6575.3057677217812</v>
      </c>
      <c r="Q145" s="107">
        <f>Tabella8[[#This Row],[region fit]]/Kr</f>
        <v>0.73303297299016512</v>
      </c>
      <c r="R145" s="22">
        <f>Tabella8[[#This Row],[region fit]]*NOT(ISBLANK(Tabella8[[#This Row],[region data]]))</f>
        <v>0</v>
      </c>
      <c r="V145" s="10">
        <f>Tabella8[[#This Row],[rest of Italy ]]*NOT(ISBLANK(Tabella8[[#This Row],[rest of Italy ]]))</f>
        <v>0</v>
      </c>
      <c r="W145" s="108">
        <f>MAX(Ko*(TANH(psi_o*(Tabella8[[#This Row],[Day]]-po)-phi_o)+TANH(phi_o))/(1+TANH(phi_o)),0)</f>
        <v>145284.48030809383</v>
      </c>
      <c r="X145" s="108">
        <f>Tabella8[[#This Row],[rest of Italy fit]]/Ko</f>
        <v>0.67251992921396953</v>
      </c>
      <c r="Y145" s="22">
        <f>Tabella8[[#This Row],[rest of Italy fit]]*NOT(ISBLANK(Tabella8[[#This Row],[rest of Italy ]]))</f>
        <v>0</v>
      </c>
    </row>
    <row r="146" spans="2:25" x14ac:dyDescent="0.3">
      <c r="B146" s="9">
        <v>43969</v>
      </c>
      <c r="C146" s="4">
        <v>139</v>
      </c>
      <c r="D146" s="1"/>
      <c r="E146" s="10">
        <f>Tabella8[[#This Row],[Italy cumulative]]*NOT(ISBLANK(Tabella8[[#This Row],[Italy cumulative]]))</f>
        <v>0</v>
      </c>
      <c r="F146" s="10">
        <f>Tabella8[[#This Row],[region fit]]+Tabella8[[#This Row],[rest of Italy fit]]</f>
        <v>154354.21032112167</v>
      </c>
      <c r="G146" s="72">
        <f>Tabella8[[#This Row],[Italy sum of regions]]/K_sum</f>
        <v>0.68601871253831859</v>
      </c>
      <c r="H146" s="10">
        <f>Tabella8[[#This Row],[Italy sum of regions]]*NOT(ISBLANK(Tabella8[[#This Row],[Italy cumulative]]))</f>
        <v>0</v>
      </c>
      <c r="I146" s="132">
        <f>MAX(Kt*(TANH(psi_t*(Tabella8[[#This Row],[Day]]-pt)-phi_t)+TANH(phi_t))/(1+TANH(phi_t)),0)</f>
        <v>154424.04934836543</v>
      </c>
      <c r="J146" s="109">
        <f>Tabella8[[#This Row],[Italy fit]]/Kt</f>
        <v>0.68632910821495741</v>
      </c>
      <c r="K146" s="22">
        <f>Tabella8[[#This Row],[Italy fit]]*NOT(ISBLANK(Tabella8[[#This Row],[Italy cumulative]]))</f>
        <v>0</v>
      </c>
      <c r="N146" s="58"/>
      <c r="O146" s="10">
        <f>Tabella8[[#This Row],[region data]]*NOT(ISBLANK(Tabella8[[#This Row],[region data]]))</f>
        <v>0</v>
      </c>
      <c r="P146" s="107">
        <f>MAX(Kr*(TANH(psi_r*(Tabella8[[#This Row],[Day]]-pr)-phi_r)+TANH(phi_r))/(1+TANH(phi_r)),0)</f>
        <v>6675.8104824934389</v>
      </c>
      <c r="Q146" s="107">
        <f>Tabella8[[#This Row],[region fit]]/Kr</f>
        <v>0.74423751198366095</v>
      </c>
      <c r="R146" s="22">
        <f>Tabella8[[#This Row],[region fit]]*NOT(ISBLANK(Tabella8[[#This Row],[region data]]))</f>
        <v>0</v>
      </c>
      <c r="V146" s="10">
        <f>Tabella8[[#This Row],[rest of Italy ]]*NOT(ISBLANK(Tabella8[[#This Row],[rest of Italy ]]))</f>
        <v>0</v>
      </c>
      <c r="W146" s="108">
        <f>MAX(Ko*(TANH(psi_o*(Tabella8[[#This Row],[Day]]-po)-phi_o)+TANH(phi_o))/(1+TANH(phi_o)),0)</f>
        <v>147678.39983862825</v>
      </c>
      <c r="X146" s="108">
        <f>Tabella8[[#This Row],[rest of Italy fit]]/Ko</f>
        <v>0.68360135091713303</v>
      </c>
      <c r="Y146" s="22">
        <f>Tabella8[[#This Row],[rest of Italy fit]]*NOT(ISBLANK(Tabella8[[#This Row],[rest of Italy ]]))</f>
        <v>0</v>
      </c>
    </row>
    <row r="147" spans="2:25" x14ac:dyDescent="0.3">
      <c r="B147" s="9">
        <v>43970</v>
      </c>
      <c r="C147" s="4">
        <v>140</v>
      </c>
      <c r="D147" s="1"/>
      <c r="E147" s="10">
        <f>Tabella8[[#This Row],[Italy cumulative]]*NOT(ISBLANK(Tabella8[[#This Row],[Italy cumulative]]))</f>
        <v>0</v>
      </c>
      <c r="F147" s="10">
        <f>Tabella8[[#This Row],[region fit]]+Tabella8[[#This Row],[rest of Italy fit]]</f>
        <v>156797.52121312136</v>
      </c>
      <c r="G147" s="72">
        <f>Tabella8[[#This Row],[Italy sum of regions]]/K_sum</f>
        <v>0.69687787205831719</v>
      </c>
      <c r="H147" s="10">
        <f>Tabella8[[#This Row],[Italy sum of regions]]*NOT(ISBLANK(Tabella8[[#This Row],[Italy cumulative]]))</f>
        <v>0</v>
      </c>
      <c r="I147" s="132">
        <f>MAX(Kt*(TANH(psi_t*(Tabella8[[#This Row],[Day]]-pt)-phi_t)+TANH(phi_t))/(1+TANH(phi_t)),0)</f>
        <v>156871.96998606343</v>
      </c>
      <c r="J147" s="109">
        <f>Tabella8[[#This Row],[Italy fit]]/Kt</f>
        <v>0.69720875549361527</v>
      </c>
      <c r="K147" s="22">
        <f>Tabella8[[#This Row],[Italy fit]]*NOT(ISBLANK(Tabella8[[#This Row],[Italy cumulative]]))</f>
        <v>0</v>
      </c>
      <c r="N147" s="58"/>
      <c r="O147" s="10">
        <f>Tabella8[[#This Row],[region data]]*NOT(ISBLANK(Tabella8[[#This Row],[region data]]))</f>
        <v>0</v>
      </c>
      <c r="P147" s="107">
        <f>MAX(Kr*(TANH(psi_r*(Tabella8[[#This Row],[Day]]-pr)-phi_r)+TANH(phi_r))/(1+TANH(phi_r)),0)</f>
        <v>6773.3531000597977</v>
      </c>
      <c r="Q147" s="107">
        <f>Tabella8[[#This Row],[region fit]]/Kr</f>
        <v>0.75511182832327739</v>
      </c>
      <c r="R147" s="22">
        <f>Tabella8[[#This Row],[region fit]]*NOT(ISBLANK(Tabella8[[#This Row],[region data]]))</f>
        <v>0</v>
      </c>
      <c r="V147" s="10">
        <f>Tabella8[[#This Row],[rest of Italy ]]*NOT(ISBLANK(Tabella8[[#This Row],[rest of Italy ]]))</f>
        <v>0</v>
      </c>
      <c r="W147" s="108">
        <f>MAX(Ko*(TANH(psi_o*(Tabella8[[#This Row],[Day]]-po)-phi_o)+TANH(phi_o))/(1+TANH(phi_o)),0)</f>
        <v>150024.16811306158</v>
      </c>
      <c r="X147" s="108">
        <f>Tabella8[[#This Row],[rest of Italy fit]]/Ko</f>
        <v>0.69445988109550327</v>
      </c>
      <c r="Y147" s="22">
        <f>Tabella8[[#This Row],[rest of Italy fit]]*NOT(ISBLANK(Tabella8[[#This Row],[rest of Italy ]]))</f>
        <v>0</v>
      </c>
    </row>
    <row r="148" spans="2:25" x14ac:dyDescent="0.3">
      <c r="B148" s="9">
        <v>43971</v>
      </c>
      <c r="C148" s="4">
        <v>141</v>
      </c>
      <c r="D148" s="1"/>
      <c r="E148" s="10">
        <f>Tabella8[[#This Row],[Italy cumulative]]*NOT(ISBLANK(Tabella8[[#This Row],[Italy cumulative]]))</f>
        <v>0</v>
      </c>
      <c r="F148" s="10">
        <f>Tabella8[[#This Row],[region fit]]+Tabella8[[#This Row],[rest of Italy fit]]</f>
        <v>159188.40495626823</v>
      </c>
      <c r="G148" s="72">
        <f>Tabella8[[#This Row],[Italy sum of regions]]/K_sum</f>
        <v>0.70750402202785878</v>
      </c>
      <c r="H148" s="10">
        <f>Tabella8[[#This Row],[Italy sum of regions]]*NOT(ISBLANK(Tabella8[[#This Row],[Italy cumulative]]))</f>
        <v>0</v>
      </c>
      <c r="I148" s="132">
        <f>MAX(Kt*(TANH(psi_t*(Tabella8[[#This Row],[Day]]-pt)-phi_t)+TANH(phi_t))/(1+TANH(phi_t)),0)</f>
        <v>159267.3409982727</v>
      </c>
      <c r="J148" s="109">
        <f>Tabella8[[#This Row],[Italy fit]]/Kt</f>
        <v>0.70785484888121197</v>
      </c>
      <c r="K148" s="22">
        <f>Tabella8[[#This Row],[Italy fit]]*NOT(ISBLANK(Tabella8[[#This Row],[Italy cumulative]]))</f>
        <v>0</v>
      </c>
      <c r="N148" s="58"/>
      <c r="O148" s="10">
        <f>Tabella8[[#This Row],[region data]]*NOT(ISBLANK(Tabella8[[#This Row],[region data]]))</f>
        <v>0</v>
      </c>
      <c r="P148" s="107">
        <f>MAX(Kr*(TANH(psi_r*(Tabella8[[#This Row],[Day]]-pr)-phi_r)+TANH(phi_r))/(1+TANH(phi_r)),0)</f>
        <v>6867.9143718003515</v>
      </c>
      <c r="Q148" s="107">
        <f>Tabella8[[#This Row],[region fit]]/Kr</f>
        <v>0.7656537761204405</v>
      </c>
      <c r="R148" s="22">
        <f>Tabella8[[#This Row],[region fit]]*NOT(ISBLANK(Tabella8[[#This Row],[region data]]))</f>
        <v>0</v>
      </c>
      <c r="V148" s="10">
        <f>Tabella8[[#This Row],[rest of Italy ]]*NOT(ISBLANK(Tabella8[[#This Row],[rest of Italy ]]))</f>
        <v>0</v>
      </c>
      <c r="W148" s="108">
        <f>MAX(Ko*(TANH(psi_o*(Tabella8[[#This Row],[Day]]-po)-phi_o)+TANH(phi_o))/(1+TANH(phi_o)),0)</f>
        <v>152320.49058446789</v>
      </c>
      <c r="X148" s="108">
        <f>Tabella8[[#This Row],[rest of Italy fit]]/Ko</f>
        <v>0.70508952730855845</v>
      </c>
      <c r="Y148" s="22">
        <f>Tabella8[[#This Row],[rest of Italy fit]]*NOT(ISBLANK(Tabella8[[#This Row],[rest of Italy ]]))</f>
        <v>0</v>
      </c>
    </row>
    <row r="149" spans="2:25" x14ac:dyDescent="0.3">
      <c r="B149" s="9">
        <v>43972</v>
      </c>
      <c r="C149" s="4">
        <v>142</v>
      </c>
      <c r="D149" s="1"/>
      <c r="E149" s="10">
        <f>Tabella8[[#This Row],[Italy cumulative]]*NOT(ISBLANK(Tabella8[[#This Row],[Italy cumulative]]))</f>
        <v>0</v>
      </c>
      <c r="F149" s="10">
        <f>Tabella8[[#This Row],[region fit]]+Tabella8[[#This Row],[rest of Italy fit]]</f>
        <v>161525.72833228469</v>
      </c>
      <c r="G149" s="72">
        <f>Tabella8[[#This Row],[Italy sum of regions]]/K_sum</f>
        <v>0.71789212592126528</v>
      </c>
      <c r="H149" s="10">
        <f>Tabella8[[#This Row],[Italy sum of regions]]*NOT(ISBLANK(Tabella8[[#This Row],[Italy cumulative]]))</f>
        <v>0</v>
      </c>
      <c r="I149" s="132">
        <f>MAX(Kt*(TANH(psi_t*(Tabella8[[#This Row],[Day]]-pt)-phi_t)+TANH(phi_t))/(1+TANH(phi_t)),0)</f>
        <v>161609.00988533389</v>
      </c>
      <c r="J149" s="109">
        <f>Tabella8[[#This Row],[Italy fit]]/Kt</f>
        <v>0.71826226615703948</v>
      </c>
      <c r="K149" s="22">
        <f>Tabella8[[#This Row],[Italy fit]]*NOT(ISBLANK(Tabella8[[#This Row],[Italy cumulative]]))</f>
        <v>0</v>
      </c>
      <c r="N149" s="58"/>
      <c r="O149" s="10">
        <f>Tabella8[[#This Row],[region data]]*NOT(ISBLANK(Tabella8[[#This Row],[region data]]))</f>
        <v>0</v>
      </c>
      <c r="P149" s="107">
        <f>MAX(Kr*(TANH(psi_r*(Tabella8[[#This Row],[Day]]-pr)-phi_r)+TANH(phi_r))/(1+TANH(phi_r)),0)</f>
        <v>6959.4853959104294</v>
      </c>
      <c r="Q149" s="107">
        <f>Tabella8[[#This Row],[region fit]]/Kr</f>
        <v>0.77586236297775135</v>
      </c>
      <c r="R149" s="22">
        <f>Tabella8[[#This Row],[region fit]]*NOT(ISBLANK(Tabella8[[#This Row],[region data]]))</f>
        <v>0</v>
      </c>
      <c r="V149" s="10">
        <f>Tabella8[[#This Row],[rest of Italy ]]*NOT(ISBLANK(Tabella8[[#This Row],[rest of Italy ]]))</f>
        <v>0</v>
      </c>
      <c r="W149" s="108">
        <f>MAX(Ko*(TANH(psi_o*(Tabella8[[#This Row],[Day]]-po)-phi_o)+TANH(phi_o))/(1+TANH(phi_o)),0)</f>
        <v>154566.24293637427</v>
      </c>
      <c r="X149" s="108">
        <f>Tabella8[[#This Row],[rest of Italy fit]]/Ko</f>
        <v>0.71548508511028219</v>
      </c>
      <c r="Y149" s="22">
        <f>Tabella8[[#This Row],[rest of Italy fit]]*NOT(ISBLANK(Tabella8[[#This Row],[rest of Italy ]]))</f>
        <v>0</v>
      </c>
    </row>
    <row r="150" spans="2:25" x14ac:dyDescent="0.3">
      <c r="B150" s="9">
        <v>43973</v>
      </c>
      <c r="C150" s="4">
        <v>143</v>
      </c>
      <c r="D150" s="1"/>
      <c r="E150" s="10">
        <f>Tabella8[[#This Row],[Italy cumulative]]*NOT(ISBLANK(Tabella8[[#This Row],[Italy cumulative]]))</f>
        <v>0</v>
      </c>
      <c r="F150" s="10">
        <f>Tabella8[[#This Row],[region fit]]+Tabella8[[#This Row],[rest of Italy fit]]</f>
        <v>163808.53562295283</v>
      </c>
      <c r="G150" s="72">
        <f>Tabella8[[#This Row],[Italy sum of regions]]/K_sum</f>
        <v>0.72803793610201251</v>
      </c>
      <c r="H150" s="10">
        <f>Tabella8[[#This Row],[Italy sum of regions]]*NOT(ISBLANK(Tabella8[[#This Row],[Italy cumulative]]))</f>
        <v>0</v>
      </c>
      <c r="I150" s="132">
        <f>MAX(Kt*(TANH(psi_t*(Tabella8[[#This Row],[Day]]-pt)-phi_t)+TANH(phi_t))/(1+TANH(phi_t)),0)</f>
        <v>163896.00320131209</v>
      </c>
      <c r="J150" s="109">
        <f>Tabella8[[#This Row],[Italy fit]]/Kt</f>
        <v>0.7284266808947204</v>
      </c>
      <c r="K150" s="22">
        <f>Tabella8[[#This Row],[Italy fit]]*NOT(ISBLANK(Tabella8[[#This Row],[Italy cumulative]]))</f>
        <v>0</v>
      </c>
      <c r="N150" s="58"/>
      <c r="O150" s="10">
        <f>Tabella8[[#This Row],[region data]]*NOT(ISBLANK(Tabella8[[#This Row],[region data]]))</f>
        <v>0</v>
      </c>
      <c r="P150" s="107">
        <f>MAX(Kr*(TANH(psi_r*(Tabella8[[#This Row],[Day]]-pr)-phi_r)+TANH(phi_r))/(1+TANH(phi_r)),0)</f>
        <v>7048.0670308544068</v>
      </c>
      <c r="Q150" s="107">
        <f>Tabella8[[#This Row],[region fit]]/Kr</f>
        <v>0.7857376845991535</v>
      </c>
      <c r="R150" s="22">
        <f>Tabella8[[#This Row],[region fit]]*NOT(ISBLANK(Tabella8[[#This Row],[region data]]))</f>
        <v>0</v>
      </c>
      <c r="V150" s="10">
        <f>Tabella8[[#This Row],[rest of Italy ]]*NOT(ISBLANK(Tabella8[[#This Row],[rest of Italy ]]))</f>
        <v>0</v>
      </c>
      <c r="W150" s="108">
        <f>MAX(Ko*(TANH(psi_o*(Tabella8[[#This Row],[Day]]-po)-phi_o)+TANH(phi_o))/(1+TANH(phi_o)),0)</f>
        <v>156760.46859209842</v>
      </c>
      <c r="X150" s="108">
        <f>Tabella8[[#This Row],[rest of Italy fit]]/Ko</f>
        <v>0.72564212651992044</v>
      </c>
      <c r="Y150" s="22">
        <f>Tabella8[[#This Row],[rest of Italy fit]]*NOT(ISBLANK(Tabella8[[#This Row],[rest of Italy ]]))</f>
        <v>0</v>
      </c>
    </row>
    <row r="151" spans="2:25" x14ac:dyDescent="0.3">
      <c r="B151" s="9">
        <v>43974</v>
      </c>
      <c r="C151" s="4">
        <v>144</v>
      </c>
      <c r="D151" s="1"/>
      <c r="E151" s="10">
        <f>Tabella8[[#This Row],[Italy cumulative]]*NOT(ISBLANK(Tabella8[[#This Row],[Italy cumulative]]))</f>
        <v>0</v>
      </c>
      <c r="F151" s="10">
        <f>Tabella8[[#This Row],[region fit]]+Tabella8[[#This Row],[rest of Italy fit]]</f>
        <v>166036.04454506072</v>
      </c>
      <c r="G151" s="72">
        <f>Tabella8[[#This Row],[Italy sum of regions]]/K_sum</f>
        <v>0.73793797575582543</v>
      </c>
      <c r="H151" s="10">
        <f>Tabella8[[#This Row],[Italy sum of regions]]*NOT(ISBLANK(Tabella8[[#This Row],[Italy cumulative]]))</f>
        <v>0</v>
      </c>
      <c r="I151" s="132">
        <f>MAX(Kt*(TANH(psi_t*(Tabella8[[#This Row],[Day]]-pt)-phi_t)+TANH(phi_t))/(1+TANH(phi_t)),0)</f>
        <v>166127.52258666258</v>
      </c>
      <c r="J151" s="109">
        <f>Tabella8[[#This Row],[Italy fit]]/Kt</f>
        <v>0.73834454482961154</v>
      </c>
      <c r="K151" s="22">
        <f>Tabella8[[#This Row],[Italy fit]]*NOT(ISBLANK(Tabella8[[#This Row],[Italy cumulative]]))</f>
        <v>0</v>
      </c>
      <c r="N151" s="58"/>
      <c r="O151" s="10">
        <f>Tabella8[[#This Row],[region data]]*NOT(ISBLANK(Tabella8[[#This Row],[region data]]))</f>
        <v>0</v>
      </c>
      <c r="P151" s="107">
        <f>MAX(Kr*(TANH(psi_r*(Tabella8[[#This Row],[Day]]-pr)-phi_r)+TANH(phi_r))/(1+TANH(phi_r)),0)</f>
        <v>7133.6692744049269</v>
      </c>
      <c r="Q151" s="107">
        <f>Tabella8[[#This Row],[region fit]]/Kr</f>
        <v>0.795280855563537</v>
      </c>
      <c r="R151" s="22">
        <f>Tabella8[[#This Row],[region fit]]*NOT(ISBLANK(Tabella8[[#This Row],[region data]]))</f>
        <v>0</v>
      </c>
      <c r="V151" s="10">
        <f>Tabella8[[#This Row],[rest of Italy ]]*NOT(ISBLANK(Tabella8[[#This Row],[rest of Italy ]]))</f>
        <v>0</v>
      </c>
      <c r="W151" s="108">
        <f>MAX(Ko*(TANH(psi_o*(Tabella8[[#This Row],[Day]]-po)-phi_o)+TANH(phi_o))/(1+TANH(phi_o)),0)</f>
        <v>158902.37527065579</v>
      </c>
      <c r="X151" s="108">
        <f>Tabella8[[#This Row],[rest of Italy fit]]/Ko</f>
        <v>0.73555698407932135</v>
      </c>
      <c r="Y151" s="22">
        <f>Tabella8[[#This Row],[rest of Italy fit]]*NOT(ISBLANK(Tabella8[[#This Row],[rest of Italy ]]))</f>
        <v>0</v>
      </c>
    </row>
    <row r="152" spans="2:25" x14ac:dyDescent="0.3">
      <c r="B152" s="9">
        <v>43975</v>
      </c>
      <c r="C152" s="4">
        <v>145</v>
      </c>
      <c r="D152" s="1"/>
      <c r="E152" s="10">
        <f>Tabella8[[#This Row],[Italy cumulative]]*NOT(ISBLANK(Tabella8[[#This Row],[Italy cumulative]]))</f>
        <v>0</v>
      </c>
      <c r="F152" s="10">
        <f>Tabella8[[#This Row],[region fit]]+Tabella8[[#This Row],[rest of Italy fit]]</f>
        <v>168207.64129672316</v>
      </c>
      <c r="G152" s="72">
        <f>Tabella8[[#This Row],[Italy sum of regions]]/K_sum</f>
        <v>0.74758951687432518</v>
      </c>
      <c r="H152" s="10">
        <f>Tabella8[[#This Row],[Italy sum of regions]]*NOT(ISBLANK(Tabella8[[#This Row],[Italy cumulative]]))</f>
        <v>0</v>
      </c>
      <c r="I152" s="132">
        <f>MAX(Kt*(TANH(psi_t*(Tabella8[[#This Row],[Day]]-pt)-phi_t)+TANH(phi_t))/(1+TANH(phi_t)),0)</f>
        <v>168302.93988634052</v>
      </c>
      <c r="J152" s="109">
        <f>Tabella8[[#This Row],[Italy fit]]/Kt</f>
        <v>0.74801306616151342</v>
      </c>
      <c r="K152" s="22">
        <f>Tabella8[[#This Row],[Italy fit]]*NOT(ISBLANK(Tabella8[[#This Row],[Italy cumulative]]))</f>
        <v>0</v>
      </c>
      <c r="N152" s="58"/>
      <c r="O152" s="10">
        <f>Tabella8[[#This Row],[region data]]*NOT(ISBLANK(Tabella8[[#This Row],[region data]]))</f>
        <v>0</v>
      </c>
      <c r="P152" s="107">
        <f>MAX(Kr*(TANH(psi_r*(Tabella8[[#This Row],[Day]]-pr)-phi_r)+TANH(phi_r))/(1+TANH(phi_r)),0)</f>
        <v>7216.3106180408222</v>
      </c>
      <c r="Q152" s="107">
        <f>Tabella8[[#This Row],[region fit]]/Kr</f>
        <v>0.80449393735126218</v>
      </c>
      <c r="R152" s="22">
        <f>Tabella8[[#This Row],[region fit]]*NOT(ISBLANK(Tabella8[[#This Row],[region data]]))</f>
        <v>0</v>
      </c>
      <c r="V152" s="10">
        <f>Tabella8[[#This Row],[rest of Italy ]]*NOT(ISBLANK(Tabella8[[#This Row],[rest of Italy ]]))</f>
        <v>0</v>
      </c>
      <c r="W152" s="108">
        <f>MAX(Ko*(TANH(psi_o*(Tabella8[[#This Row],[Day]]-po)-phi_o)+TANH(phi_o))/(1+TANH(phi_o)),0)</f>
        <v>160991.33067868234</v>
      </c>
      <c r="X152" s="108">
        <f>Tabella8[[#This Row],[rest of Italy fit]]/Ko</f>
        <v>0.74522673091090286</v>
      </c>
      <c r="Y152" s="22">
        <f>Tabella8[[#This Row],[rest of Italy fit]]*NOT(ISBLANK(Tabella8[[#This Row],[rest of Italy ]]))</f>
        <v>0</v>
      </c>
    </row>
    <row r="153" spans="2:25" x14ac:dyDescent="0.3">
      <c r="B153" s="9">
        <v>43976</v>
      </c>
      <c r="C153" s="4">
        <v>146</v>
      </c>
      <c r="D153" s="1"/>
      <c r="E153" s="10">
        <f>Tabella8[[#This Row],[Italy cumulative]]*NOT(ISBLANK(Tabella8[[#This Row],[Italy cumulative]]))</f>
        <v>0</v>
      </c>
      <c r="F153" s="10">
        <f>Tabella8[[#This Row],[region fit]]+Tabella8[[#This Row],[rest of Italy fit]]</f>
        <v>170322.87481755513</v>
      </c>
      <c r="G153" s="72">
        <f>Tabella8[[#This Row],[Italy sum of regions]]/K_sum</f>
        <v>0.75699055474468946</v>
      </c>
      <c r="H153" s="10">
        <f>Tabella8[[#This Row],[Italy sum of regions]]*NOT(ISBLANK(Tabella8[[#This Row],[Italy cumulative]]))</f>
        <v>0</v>
      </c>
      <c r="I153" s="132">
        <f>MAX(Kt*(TANH(psi_t*(Tabella8[[#This Row],[Day]]-pt)-phi_t)+TANH(phi_t))/(1+TANH(phi_t)),0)</f>
        <v>170421.79145647187</v>
      </c>
      <c r="J153" s="109">
        <f>Tabella8[[#This Row],[Italy fit]]/Kt</f>
        <v>0.75743018425098607</v>
      </c>
      <c r="K153" s="22">
        <f>Tabella8[[#This Row],[Italy fit]]*NOT(ISBLANK(Tabella8[[#This Row],[Italy cumulative]]))</f>
        <v>0</v>
      </c>
      <c r="N153" s="58"/>
      <c r="O153" s="10">
        <f>Tabella8[[#This Row],[region data]]*NOT(ISBLANK(Tabella8[[#This Row],[region data]]))</f>
        <v>0</v>
      </c>
      <c r="P153" s="107">
        <f>MAX(Kr*(TANH(psi_r*(Tabella8[[#This Row],[Day]]-pr)-phi_r)+TANH(phi_r))/(1+TANH(phi_r)),0)</f>
        <v>7296.0173858667531</v>
      </c>
      <c r="Q153" s="107">
        <f>Tabella8[[#This Row],[region fit]]/Kr</f>
        <v>0.81337986464512302</v>
      </c>
      <c r="R153" s="22">
        <f>Tabella8[[#This Row],[region fit]]*NOT(ISBLANK(Tabella8[[#This Row],[region data]]))</f>
        <v>0</v>
      </c>
      <c r="V153" s="10">
        <f>Tabella8[[#This Row],[rest of Italy ]]*NOT(ISBLANK(Tabella8[[#This Row],[rest of Italy ]]))</f>
        <v>0</v>
      </c>
      <c r="W153" s="108">
        <f>MAX(Ko*(TANH(psi_o*(Tabella8[[#This Row],[Day]]-po)-phi_o)+TANH(phi_o))/(1+TANH(phi_o)),0)</f>
        <v>163026.85743168838</v>
      </c>
      <c r="X153" s="108">
        <f>Tabella8[[#This Row],[rest of Italy fit]]/Ko</f>
        <v>0.75464915720820425</v>
      </c>
      <c r="Y153" s="22">
        <f>Tabella8[[#This Row],[rest of Italy fit]]*NOT(ISBLANK(Tabella8[[#This Row],[rest of Italy ]]))</f>
        <v>0</v>
      </c>
    </row>
    <row r="154" spans="2:25" x14ac:dyDescent="0.3">
      <c r="B154" s="9">
        <v>43977</v>
      </c>
      <c r="C154" s="4">
        <v>147</v>
      </c>
      <c r="D154" s="1"/>
      <c r="E154" s="10">
        <f>Tabella8[[#This Row],[Italy cumulative]]*NOT(ISBLANK(Tabella8[[#This Row],[Italy cumulative]]))</f>
        <v>0</v>
      </c>
      <c r="F154" s="10">
        <f>Tabella8[[#This Row],[region fit]]+Tabella8[[#This Row],[rest of Italy fit]]</f>
        <v>172381.4503666221</v>
      </c>
      <c r="G154" s="72">
        <f>Tabella8[[#This Row],[Italy sum of regions]]/K_sum</f>
        <v>0.76613977940720934</v>
      </c>
      <c r="H154" s="10">
        <f>Tabella8[[#This Row],[Italy sum of regions]]*NOT(ISBLANK(Tabella8[[#This Row],[Italy cumulative]]))</f>
        <v>0</v>
      </c>
      <c r="I154" s="132">
        <f>MAX(Kt*(TANH(psi_t*(Tabella8[[#This Row],[Day]]-pt)-phi_t)+TANH(phi_t))/(1+TANH(phi_t)),0)</f>
        <v>172483.7717645987</v>
      </c>
      <c r="J154" s="109">
        <f>Tabella8[[#This Row],[Italy fit]]/Kt</f>
        <v>0.76659454117599424</v>
      </c>
      <c r="K154" s="22">
        <f>Tabella8[[#This Row],[Italy fit]]*NOT(ISBLANK(Tabella8[[#This Row],[Italy cumulative]]))</f>
        <v>0</v>
      </c>
      <c r="N154" s="58"/>
      <c r="O154" s="10">
        <f>Tabella8[[#This Row],[region data]]*NOT(ISBLANK(Tabella8[[#This Row],[region data]]))</f>
        <v>0</v>
      </c>
      <c r="P154" s="107">
        <f>MAX(Kr*(TANH(psi_r*(Tabella8[[#This Row],[Day]]-pr)-phi_r)+TANH(phi_r))/(1+TANH(phi_r)),0)</f>
        <v>7372.8230665084684</v>
      </c>
      <c r="Q154" s="107">
        <f>Tabella8[[#This Row],[region fit]]/Kr</f>
        <v>0.82194237084821276</v>
      </c>
      <c r="R154" s="22">
        <f>Tabella8[[#This Row],[region fit]]*NOT(ISBLANK(Tabella8[[#This Row],[region data]]))</f>
        <v>0</v>
      </c>
      <c r="V154" s="10">
        <f>Tabella8[[#This Row],[rest of Italy ]]*NOT(ISBLANK(Tabella8[[#This Row],[rest of Italy ]]))</f>
        <v>0</v>
      </c>
      <c r="W154" s="108">
        <f>MAX(Ko*(TANH(psi_o*(Tabella8[[#This Row],[Day]]-po)-phi_o)+TANH(phi_o))/(1+TANH(phi_o)),0)</f>
        <v>165008.62730011364</v>
      </c>
      <c r="X154" s="108">
        <f>Tabella8[[#This Row],[rest of Italy fit]]/Ko</f>
        <v>0.76382274360095193</v>
      </c>
      <c r="Y154" s="22">
        <f>Tabella8[[#This Row],[rest of Italy fit]]*NOT(ISBLANK(Tabella8[[#This Row],[rest of Italy ]]))</f>
        <v>0</v>
      </c>
    </row>
    <row r="155" spans="2:25" x14ac:dyDescent="0.3">
      <c r="B155" s="9">
        <v>43978</v>
      </c>
      <c r="C155" s="4">
        <v>148</v>
      </c>
      <c r="D155" s="1"/>
      <c r="E155" s="10">
        <f>Tabella8[[#This Row],[Italy cumulative]]*NOT(ISBLANK(Tabella8[[#This Row],[Italy cumulative]]))</f>
        <v>0</v>
      </c>
      <c r="F155" s="10">
        <f>Tabella8[[#This Row],[region fit]]+Tabella8[[#This Row],[rest of Italy fit]]</f>
        <v>174383.22252186041</v>
      </c>
      <c r="G155" s="72">
        <f>Tabella8[[#This Row],[Italy sum of regions]]/K_sum</f>
        <v>0.77503654454160187</v>
      </c>
      <c r="H155" s="10">
        <f>Tabella8[[#This Row],[Italy sum of regions]]*NOT(ISBLANK(Tabella8[[#This Row],[Italy cumulative]]))</f>
        <v>0</v>
      </c>
      <c r="I155" s="132">
        <f>MAX(Kt*(TANH(psi_t*(Tabella8[[#This Row],[Day]]-pt)-phi_t)+TANH(phi_t))/(1+TANH(phi_t)),0)</f>
        <v>174488.72638866471</v>
      </c>
      <c r="J155" s="109">
        <f>Tabella8[[#This Row],[Italy fit]]/Kt</f>
        <v>0.77550545061628762</v>
      </c>
      <c r="K155" s="22">
        <f>Tabella8[[#This Row],[Italy fit]]*NOT(ISBLANK(Tabella8[[#This Row],[Italy cumulative]]))</f>
        <v>0</v>
      </c>
      <c r="N155" s="58"/>
      <c r="O155" s="10">
        <f>Tabella8[[#This Row],[region data]]*NOT(ISBLANK(Tabella8[[#This Row],[region data]]))</f>
        <v>0</v>
      </c>
      <c r="P155" s="107">
        <f>MAX(Kr*(TANH(psi_r*(Tabella8[[#This Row],[Day]]-pr)-phi_r)+TANH(phi_r))/(1+TANH(phi_r)),0)</f>
        <v>7446.7676456575609</v>
      </c>
      <c r="Q155" s="107">
        <f>Tabella8[[#This Row],[region fit]]/Kr</f>
        <v>0.83018591367419858</v>
      </c>
      <c r="R155" s="22">
        <f>Tabella8[[#This Row],[region fit]]*NOT(ISBLANK(Tabella8[[#This Row],[region data]]))</f>
        <v>0</v>
      </c>
      <c r="V155" s="10">
        <f>Tabella8[[#This Row],[rest of Italy ]]*NOT(ISBLANK(Tabella8[[#This Row],[rest of Italy ]]))</f>
        <v>0</v>
      </c>
      <c r="W155" s="108">
        <f>MAX(Ko*(TANH(psi_o*(Tabella8[[#This Row],[Day]]-po)-phi_o)+TANH(phi_o))/(1+TANH(phi_o)),0)</f>
        <v>166936.45487620286</v>
      </c>
      <c r="X155" s="108">
        <f>Tabella8[[#This Row],[rest of Italy fit]]/Ko</f>
        <v>0.77274663183910963</v>
      </c>
      <c r="Y155" s="22">
        <f>Tabella8[[#This Row],[rest of Italy fit]]*NOT(ISBLANK(Tabella8[[#This Row],[rest of Italy ]]))</f>
        <v>0</v>
      </c>
    </row>
    <row r="156" spans="2:25" x14ac:dyDescent="0.3">
      <c r="B156" s="9">
        <v>43979</v>
      </c>
      <c r="C156" s="4">
        <v>149</v>
      </c>
      <c r="D156" s="1"/>
      <c r="E156" s="10">
        <f>Tabella8[[#This Row],[Italy cumulative]]*NOT(ISBLANK(Tabella8[[#This Row],[Italy cumulative]]))</f>
        <v>0</v>
      </c>
      <c r="F156" s="10">
        <f>Tabella8[[#This Row],[region fit]]+Tabella8[[#This Row],[rest of Italy fit]]</f>
        <v>176328.18770292497</v>
      </c>
      <c r="G156" s="72">
        <f>Tabella8[[#This Row],[Italy sum of regions]]/K_sum</f>
        <v>0.78368083423522206</v>
      </c>
      <c r="H156" s="10">
        <f>Tabella8[[#This Row],[Italy sum of regions]]*NOT(ISBLANK(Tabella8[[#This Row],[Italy cumulative]]))</f>
        <v>0</v>
      </c>
      <c r="I156" s="132">
        <f>MAX(Kt*(TANH(psi_t*(Tabella8[[#This Row],[Day]]-pt)-phi_t)+TANH(phi_t))/(1+TANH(phi_t)),0)</f>
        <v>176436.64451847816</v>
      </c>
      <c r="J156" s="109">
        <f>Tabella8[[#This Row],[Italy fit]]/Kt</f>
        <v>0.78416286452656958</v>
      </c>
      <c r="K156" s="22">
        <f>Tabella8[[#This Row],[Italy fit]]*NOT(ISBLANK(Tabella8[[#This Row],[Italy cumulative]]))</f>
        <v>0</v>
      </c>
      <c r="N156" s="58"/>
      <c r="O156" s="10">
        <f>Tabella8[[#This Row],[region data]]*NOT(ISBLANK(Tabella8[[#This Row],[region data]]))</f>
        <v>0</v>
      </c>
      <c r="P156" s="107">
        <f>MAX(Kr*(TANH(psi_r*(Tabella8[[#This Row],[Day]]-pr)-phi_r)+TANH(phi_r))/(1+TANH(phi_r)),0)</f>
        <v>7517.8969461147954</v>
      </c>
      <c r="Q156" s="107">
        <f>Tabella8[[#This Row],[region fit]]/Kr</f>
        <v>0.8381156015735558</v>
      </c>
      <c r="R156" s="22">
        <f>Tabella8[[#This Row],[region fit]]*NOT(ISBLANK(Tabella8[[#This Row],[region data]]))</f>
        <v>0</v>
      </c>
      <c r="V156" s="10">
        <f>Tabella8[[#This Row],[rest of Italy ]]*NOT(ISBLANK(Tabella8[[#This Row],[rest of Italy ]]))</f>
        <v>0</v>
      </c>
      <c r="W156" s="108">
        <f>MAX(Ko*(TANH(psi_o*(Tabella8[[#This Row],[Day]]-po)-phi_o)+TANH(phi_o))/(1+TANH(phi_o)),0)</f>
        <v>168810.29075681017</v>
      </c>
      <c r="X156" s="108">
        <f>Tabella8[[#This Row],[rest of Italy fit]]/Ko</f>
        <v>0.78142059323617163</v>
      </c>
      <c r="Y156" s="22">
        <f>Tabella8[[#This Row],[rest of Italy fit]]*NOT(ISBLANK(Tabella8[[#This Row],[rest of Italy ]]))</f>
        <v>0</v>
      </c>
    </row>
    <row r="157" spans="2:25" x14ac:dyDescent="0.3">
      <c r="B157" s="9">
        <v>43980</v>
      </c>
      <c r="C157" s="4">
        <v>150</v>
      </c>
      <c r="D157" s="1"/>
      <c r="E157" s="10">
        <f>Tabella8[[#This Row],[Italy cumulative]]*NOT(ISBLANK(Tabella8[[#This Row],[Italy cumulative]]))</f>
        <v>0</v>
      </c>
      <c r="F157" s="10">
        <f>Tabella8[[#This Row],[region fit]]+Tabella8[[#This Row],[rest of Italy fit]]</f>
        <v>178216.47631636207</v>
      </c>
      <c r="G157" s="72">
        <f>Tabella8[[#This Row],[Italy sum of regions]]/K_sum</f>
        <v>0.79207322807272029</v>
      </c>
      <c r="H157" s="10">
        <f>Tabella8[[#This Row],[Italy sum of regions]]*NOT(ISBLANK(Tabella8[[#This Row],[Italy cumulative]]))</f>
        <v>0</v>
      </c>
      <c r="I157" s="132">
        <f>MAX(Kt*(TANH(psi_t*(Tabella8[[#This Row],[Day]]-pt)-phi_t)+TANH(phi_t))/(1+TANH(phi_t)),0)</f>
        <v>178327.65106056517</v>
      </c>
      <c r="J157" s="109">
        <f>Tabella8[[#This Row],[Italy fit]]/Kt</f>
        <v>0.79256733804695634</v>
      </c>
      <c r="K157" s="22">
        <f>Tabella8[[#This Row],[Italy fit]]*NOT(ISBLANK(Tabella8[[#This Row],[Italy cumulative]]))</f>
        <v>0</v>
      </c>
      <c r="N157" s="58"/>
      <c r="O157" s="10">
        <f>Tabella8[[#This Row],[region data]]*NOT(ISBLANK(Tabella8[[#This Row],[region data]]))</f>
        <v>0</v>
      </c>
      <c r="P157" s="107">
        <f>MAX(Kr*(TANH(psi_r*(Tabella8[[#This Row],[Day]]-pr)-phi_r)+TANH(phi_r))/(1+TANH(phi_r)),0)</f>
        <v>7586.2619813356705</v>
      </c>
      <c r="Q157" s="107">
        <f>Tabella8[[#This Row],[region fit]]/Kr</f>
        <v>0.8457371216650692</v>
      </c>
      <c r="R157" s="22">
        <f>Tabella8[[#This Row],[region fit]]*NOT(ISBLANK(Tabella8[[#This Row],[region data]]))</f>
        <v>0</v>
      </c>
      <c r="V157" s="10">
        <f>Tabella8[[#This Row],[rest of Italy ]]*NOT(ISBLANK(Tabella8[[#This Row],[rest of Italy ]]))</f>
        <v>0</v>
      </c>
      <c r="W157" s="108">
        <f>MAX(Ko*(TANH(psi_o*(Tabella8[[#This Row],[Day]]-po)-phi_o)+TANH(phi_o))/(1+TANH(phi_o)),0)</f>
        <v>170630.21433502639</v>
      </c>
      <c r="X157" s="108">
        <f>Tabella8[[#This Row],[rest of Italy fit]]/Ko</f>
        <v>0.78984499530170071</v>
      </c>
      <c r="Y157" s="22">
        <f>Tabella8[[#This Row],[rest of Italy fit]]*NOT(ISBLANK(Tabella8[[#This Row],[rest of Italy ]]))</f>
        <v>0</v>
      </c>
    </row>
    <row r="158" spans="2:25" x14ac:dyDescent="0.3">
      <c r="B158" s="9">
        <v>43981</v>
      </c>
      <c r="C158" s="4">
        <v>151</v>
      </c>
      <c r="D158" s="1"/>
      <c r="E158" s="10">
        <f>Tabella8[[#This Row],[Italy cumulative]]*NOT(ISBLANK(Tabella8[[#This Row],[Italy cumulative]]))</f>
        <v>0</v>
      </c>
      <c r="F158" s="10">
        <f>Tabella8[[#This Row],[region fit]]+Tabella8[[#This Row],[rest of Italy fit]]</f>
        <v>180048.34461781185</v>
      </c>
      <c r="G158" s="72">
        <f>Tabella8[[#This Row],[Italy sum of regions]]/K_sum</f>
        <v>0.80021486496805261</v>
      </c>
      <c r="H158" s="10">
        <f>Tabella8[[#This Row],[Italy sum of regions]]*NOT(ISBLANK(Tabella8[[#This Row],[Italy cumulative]]))</f>
        <v>0</v>
      </c>
      <c r="I158" s="132">
        <f>MAX(Kt*(TANH(psi_t*(Tabella8[[#This Row],[Day]]-pt)-phi_t)+TANH(phi_t))/(1+TANH(phi_t)),0)</f>
        <v>180161.99844329598</v>
      </c>
      <c r="J158" s="109">
        <f>Tabella8[[#This Row],[Italy fit]]/Kt</f>
        <v>0.80071999308131547</v>
      </c>
      <c r="K158" s="22">
        <f>Tabella8[[#This Row],[Italy fit]]*NOT(ISBLANK(Tabella8[[#This Row],[Italy cumulative]]))</f>
        <v>0</v>
      </c>
      <c r="N158" s="58"/>
      <c r="O158" s="10">
        <f>Tabella8[[#This Row],[region data]]*NOT(ISBLANK(Tabella8[[#This Row],[region data]]))</f>
        <v>0</v>
      </c>
      <c r="P158" s="107">
        <f>MAX(Kr*(TANH(psi_r*(Tabella8[[#This Row],[Day]]-pr)-phi_r)+TANH(phi_r))/(1+TANH(phi_r)),0)</f>
        <v>7651.9183276364647</v>
      </c>
      <c r="Q158" s="107">
        <f>Tabella8[[#This Row],[region fit]]/Kr</f>
        <v>0.85305666974765493</v>
      </c>
      <c r="R158" s="22">
        <f>Tabella8[[#This Row],[region fit]]*NOT(ISBLANK(Tabella8[[#This Row],[region data]]))</f>
        <v>0</v>
      </c>
      <c r="V158" s="10">
        <f>Tabella8[[#This Row],[rest of Italy ]]*NOT(ISBLANK(Tabella8[[#This Row],[rest of Italy ]]))</f>
        <v>0</v>
      </c>
      <c r="W158" s="108">
        <f>MAX(Ko*(TANH(psi_o*(Tabella8[[#This Row],[Day]]-po)-phi_o)+TANH(phi_o))/(1+TANH(phi_o)),0)</f>
        <v>172396.42629017538</v>
      </c>
      <c r="X158" s="108">
        <f>Tabella8[[#This Row],[rest of Italy fit]]/Ko</f>
        <v>0.79802076697762059</v>
      </c>
      <c r="Y158" s="22">
        <f>Tabella8[[#This Row],[rest of Italy fit]]*NOT(ISBLANK(Tabella8[[#This Row],[rest of Italy ]]))</f>
        <v>0</v>
      </c>
    </row>
    <row r="159" spans="2:25" x14ac:dyDescent="0.3">
      <c r="B159" s="9">
        <v>43982</v>
      </c>
      <c r="C159" s="4">
        <v>152</v>
      </c>
      <c r="D159" s="1"/>
      <c r="E159" s="10">
        <f>Tabella8[[#This Row],[Italy cumulative]]*NOT(ISBLANK(Tabella8[[#This Row],[Italy cumulative]]))</f>
        <v>0</v>
      </c>
      <c r="F159" s="10">
        <f>Tabella8[[#This Row],[region fit]]+Tabella8[[#This Row],[rest of Italy fit]]</f>
        <v>181824.16638081215</v>
      </c>
      <c r="G159" s="72">
        <f>Tabella8[[#This Row],[Italy sum of regions]]/K_sum</f>
        <v>0.80810740613694287</v>
      </c>
      <c r="H159" s="10">
        <f>Tabella8[[#This Row],[Italy sum of regions]]*NOT(ISBLANK(Tabella8[[#This Row],[Italy cumulative]]))</f>
        <v>0</v>
      </c>
      <c r="I159" s="132">
        <f>MAX(Kt*(TANH(psi_t*(Tabella8[[#This Row],[Day]]-pt)-phi_t)+TANH(phi_t))/(1+TANH(phi_t)),0)</f>
        <v>181940.05821412909</v>
      </c>
      <c r="J159" s="109">
        <f>Tabella8[[#This Row],[Italy fit]]/Kt</f>
        <v>0.80862248095168487</v>
      </c>
      <c r="K159" s="22">
        <f>Tabella8[[#This Row],[Italy fit]]*NOT(ISBLANK(Tabella8[[#This Row],[Italy cumulative]]))</f>
        <v>0</v>
      </c>
      <c r="N159" s="58"/>
      <c r="O159" s="10">
        <f>Tabella8[[#This Row],[region data]]*NOT(ISBLANK(Tabella8[[#This Row],[region data]]))</f>
        <v>0</v>
      </c>
      <c r="P159" s="107">
        <f>MAX(Kr*(TANH(psi_r*(Tabella8[[#This Row],[Day]]-pr)-phi_r)+TANH(phi_r))/(1+TANH(phi_r)),0)</f>
        <v>7714.9255193917006</v>
      </c>
      <c r="Q159" s="107">
        <f>Tabella8[[#This Row],[region fit]]/Kr</f>
        <v>0.86008088287532891</v>
      </c>
      <c r="R159" s="22">
        <f>Tabella8[[#This Row],[region fit]]*NOT(ISBLANK(Tabella8[[#This Row],[region data]]))</f>
        <v>0</v>
      </c>
      <c r="V159" s="10">
        <f>Tabella8[[#This Row],[rest of Italy ]]*NOT(ISBLANK(Tabella8[[#This Row],[rest of Italy ]]))</f>
        <v>0</v>
      </c>
      <c r="W159" s="108">
        <f>MAX(Ko*(TANH(psi_o*(Tabella8[[#This Row],[Day]]-po)-phi_o)+TANH(phi_o))/(1+TANH(phi_o)),0)</f>
        <v>174109.24086142046</v>
      </c>
      <c r="X159" s="108">
        <f>Tabella8[[#This Row],[rest of Italy fit]]/Ko</f>
        <v>0.80594936287284391</v>
      </c>
      <c r="Y159" s="22">
        <f>Tabella8[[#This Row],[rest of Italy fit]]*NOT(ISBLANK(Tabella8[[#This Row],[rest of Italy ]]))</f>
        <v>0</v>
      </c>
    </row>
    <row r="160" spans="2:25" x14ac:dyDescent="0.3">
      <c r="B160" s="9">
        <v>43983</v>
      </c>
      <c r="C160" s="4">
        <v>153</v>
      </c>
      <c r="D160" s="1"/>
      <c r="E160" s="10">
        <f>Tabella8[[#This Row],[Italy cumulative]]*NOT(ISBLANK(Tabella8[[#This Row],[Italy cumulative]]))</f>
        <v>0</v>
      </c>
      <c r="F160" s="10">
        <f>Tabella8[[#This Row],[region fit]]+Tabella8[[#This Row],[rest of Italy fit]]</f>
        <v>183544.42445589529</v>
      </c>
      <c r="G160" s="72">
        <f>Tabella8[[#This Row],[Italy sum of regions]]/K_sum</f>
        <v>0.8157529975817569</v>
      </c>
      <c r="H160" s="10">
        <f>Tabella8[[#This Row],[Italy sum of regions]]*NOT(ISBLANK(Tabella8[[#This Row],[Italy cumulative]]))</f>
        <v>0</v>
      </c>
      <c r="I160" s="132">
        <f>MAX(Kt*(TANH(psi_t*(Tabella8[[#This Row],[Day]]-pt)-phi_t)+TANH(phi_t))/(1+TANH(phi_t)),0)</f>
        <v>183662.31251497279</v>
      </c>
      <c r="J160" s="109">
        <f>Tabella8[[#This Row],[Italy fit]]/Kt</f>
        <v>0.8162769445109902</v>
      </c>
      <c r="K160" s="22">
        <f>Tabella8[[#This Row],[Italy fit]]*NOT(ISBLANK(Tabella8[[#This Row],[Italy cumulative]]))</f>
        <v>0</v>
      </c>
      <c r="N160" s="58"/>
      <c r="O160" s="10">
        <f>Tabella8[[#This Row],[region data]]*NOT(ISBLANK(Tabella8[[#This Row],[region data]]))</f>
        <v>0</v>
      </c>
      <c r="P160" s="107">
        <f>MAX(Kr*(TANH(psi_r*(Tabella8[[#This Row],[Day]]-pr)-phi_r)+TANH(phi_r))/(1+TANH(phi_r)),0)</f>
        <v>7775.3464707594485</v>
      </c>
      <c r="Q160" s="107">
        <f>Tabella8[[#This Row],[region fit]]/Kr</f>
        <v>0.86681677488957065</v>
      </c>
      <c r="R160" s="22">
        <f>Tabella8[[#This Row],[region fit]]*NOT(ISBLANK(Tabella8[[#This Row],[region data]]))</f>
        <v>0</v>
      </c>
      <c r="V160" s="10">
        <f>Tabella8[[#This Row],[rest of Italy ]]*NOT(ISBLANK(Tabella8[[#This Row],[rest of Italy ]]))</f>
        <v>0</v>
      </c>
      <c r="W160" s="108">
        <f>MAX(Ko*(TANH(psi_o*(Tabella8[[#This Row],[Day]]-po)-phi_o)+TANH(phi_o))/(1+TANH(phi_o)),0)</f>
        <v>175769.07798513584</v>
      </c>
      <c r="X160" s="108">
        <f>Tabella8[[#This Row],[rest of Italy fit]]/Ko</f>
        <v>0.81363272686726773</v>
      </c>
      <c r="Y160" s="22">
        <f>Tabella8[[#This Row],[rest of Italy fit]]*NOT(ISBLANK(Tabella8[[#This Row],[rest of Italy ]]))</f>
        <v>0</v>
      </c>
    </row>
    <row r="161" spans="2:25" x14ac:dyDescent="0.3">
      <c r="B161" s="9">
        <v>43984</v>
      </c>
      <c r="C161" s="4">
        <v>154</v>
      </c>
      <c r="D161" s="1"/>
      <c r="E161" s="10">
        <f>Tabella8[[#This Row],[Italy cumulative]]*NOT(ISBLANK(Tabella8[[#This Row],[Italy cumulative]]))</f>
        <v>0</v>
      </c>
      <c r="F161" s="10">
        <f>Tabella8[[#This Row],[region fit]]+Tabella8[[#This Row],[rest of Italy fit]]</f>
        <v>185209.70229722315</v>
      </c>
      <c r="G161" s="72">
        <f>Tabella8[[#This Row],[Italy sum of regions]]/K_sum</f>
        <v>0.82315423243210284</v>
      </c>
      <c r="H161" s="10">
        <f>Tabella8[[#This Row],[Italy sum of regions]]*NOT(ISBLANK(Tabella8[[#This Row],[Italy cumulative]]))</f>
        <v>0</v>
      </c>
      <c r="I161" s="132">
        <f>MAX(Kt*(TANH(psi_t*(Tabella8[[#This Row],[Day]]-pt)-phi_t)+TANH(phi_t))/(1+TANH(phi_t)),0)</f>
        <v>185329.34551519627</v>
      </c>
      <c r="J161" s="109">
        <f>Tabella8[[#This Row],[Italy fit]]/Kt</f>
        <v>0.82368598006753901</v>
      </c>
      <c r="K161" s="22">
        <f>Tabella8[[#This Row],[Italy fit]]*NOT(ISBLANK(Tabella8[[#This Row],[Italy cumulative]]))</f>
        <v>0</v>
      </c>
      <c r="N161" s="58"/>
      <c r="O161" s="10">
        <f>Tabella8[[#This Row],[region data]]*NOT(ISBLANK(Tabella8[[#This Row],[region data]]))</f>
        <v>0</v>
      </c>
      <c r="P161" s="107">
        <f>MAX(Kr*(TANH(psi_r*(Tabella8[[#This Row],[Day]]-pr)-phi_r)+TANH(phi_r))/(1+TANH(phi_r)),0)</f>
        <v>7833.2469267206725</v>
      </c>
      <c r="Q161" s="107">
        <f>Tabella8[[#This Row],[region fit]]/Kr</f>
        <v>0.87327167521969595</v>
      </c>
      <c r="R161" s="22">
        <f>Tabella8[[#This Row],[region fit]]*NOT(ISBLANK(Tabella8[[#This Row],[region data]]))</f>
        <v>0</v>
      </c>
      <c r="V161" s="10">
        <f>Tabella8[[#This Row],[rest of Italy ]]*NOT(ISBLANK(Tabella8[[#This Row],[rest of Italy ]]))</f>
        <v>0</v>
      </c>
      <c r="W161" s="108">
        <f>MAX(Ko*(TANH(psi_o*(Tabella8[[#This Row],[Day]]-po)-phi_o)+TANH(phi_o))/(1+TANH(phi_o)),0)</f>
        <v>177376.45537050249</v>
      </c>
      <c r="X161" s="108">
        <f>Tabella8[[#This Row],[rest of Italy fit]]/Ko</f>
        <v>0.82107325542981291</v>
      </c>
      <c r="Y161" s="22">
        <f>Tabella8[[#This Row],[rest of Italy fit]]*NOT(ISBLANK(Tabella8[[#This Row],[rest of Italy ]]))</f>
        <v>0</v>
      </c>
    </row>
    <row r="162" spans="2:25" x14ac:dyDescent="0.3">
      <c r="B162" s="9">
        <v>43985</v>
      </c>
      <c r="C162" s="4">
        <v>155</v>
      </c>
      <c r="D162" s="1"/>
      <c r="E162" s="10">
        <f>Tabella8[[#This Row],[Italy cumulative]]*NOT(ISBLANK(Tabella8[[#This Row],[Italy cumulative]]))</f>
        <v>0</v>
      </c>
      <c r="F162" s="10">
        <f>Tabella8[[#This Row],[region fit]]+Tabella8[[#This Row],[rest of Italy fit]]</f>
        <v>186820.6755271696</v>
      </c>
      <c r="G162" s="72">
        <f>Tabella8[[#This Row],[Italy sum of regions]]/K_sum</f>
        <v>0.83031411345408712</v>
      </c>
      <c r="H162" s="10">
        <f>Tabella8[[#This Row],[Italy sum of regions]]*NOT(ISBLANK(Tabella8[[#This Row],[Italy cumulative]]))</f>
        <v>0</v>
      </c>
      <c r="I162" s="132">
        <f>MAX(Kt*(TANH(psi_t*(Tabella8[[#This Row],[Day]]-pt)-phi_t)+TANH(phi_t))/(1+TANH(phi_t)),0)</f>
        <v>186941.83487491793</v>
      </c>
      <c r="J162" s="109">
        <f>Tabella8[[#This Row],[Italy fit]]/Kt</f>
        <v>0.83085259944407963</v>
      </c>
      <c r="K162" s="22">
        <f>Tabella8[[#This Row],[Italy fit]]*NOT(ISBLANK(Tabella8[[#This Row],[Italy cumulative]]))</f>
        <v>0</v>
      </c>
      <c r="N162" s="58"/>
      <c r="O162" s="10">
        <f>Tabella8[[#This Row],[region data]]*NOT(ISBLANK(Tabella8[[#This Row],[region data]]))</f>
        <v>0</v>
      </c>
      <c r="P162" s="107">
        <f>MAX(Kr*(TANH(psi_r*(Tabella8[[#This Row],[Day]]-pr)-phi_r)+TANH(phi_r))/(1+TANH(phi_r)),0)</f>
        <v>7888.694945521891</v>
      </c>
      <c r="Q162" s="107">
        <f>Tabella8[[#This Row],[region fit]]/Kr</f>
        <v>0.87945317118415733</v>
      </c>
      <c r="R162" s="22">
        <f>Tabella8[[#This Row],[region fit]]*NOT(ISBLANK(Tabella8[[#This Row],[region data]]))</f>
        <v>0</v>
      </c>
      <c r="V162" s="10">
        <f>Tabella8[[#This Row],[rest of Italy ]]*NOT(ISBLANK(Tabella8[[#This Row],[rest of Italy ]]))</f>
        <v>0</v>
      </c>
      <c r="W162" s="108">
        <f>MAX(Ko*(TANH(psi_o*(Tabella8[[#This Row],[Day]]-po)-phi_o)+TANH(phi_o))/(1+TANH(phi_o)),0)</f>
        <v>178931.98058164772</v>
      </c>
      <c r="X162" s="108">
        <f>Tabella8[[#This Row],[rest of Italy fit]]/Ko</f>
        <v>0.82827376096675331</v>
      </c>
      <c r="Y162" s="22">
        <f>Tabella8[[#This Row],[rest of Italy fit]]*NOT(ISBLANK(Tabella8[[#This Row],[rest of Italy ]]))</f>
        <v>0</v>
      </c>
    </row>
    <row r="163" spans="2:25" x14ac:dyDescent="0.3">
      <c r="B163" s="9">
        <v>43986</v>
      </c>
      <c r="C163" s="4">
        <v>156</v>
      </c>
      <c r="D163" s="1"/>
      <c r="E163" s="10">
        <f>Tabella8[[#This Row],[Italy cumulative]]*NOT(ISBLANK(Tabella8[[#This Row],[Italy cumulative]]))</f>
        <v>0</v>
      </c>
      <c r="F163" s="10">
        <f>Tabella8[[#This Row],[region fit]]+Tabella8[[#This Row],[rest of Italy fit]]</f>
        <v>188378.10360219207</v>
      </c>
      <c r="G163" s="72">
        <f>Tabella8[[#This Row],[Italy sum of regions]]/K_sum</f>
        <v>0.83723601600974251</v>
      </c>
      <c r="H163" s="10">
        <f>Tabella8[[#This Row],[Italy sum of regions]]*NOT(ISBLANK(Tabella8[[#This Row],[Italy cumulative]]))</f>
        <v>0</v>
      </c>
      <c r="I163" s="132">
        <f>MAX(Kt*(TANH(psi_t*(Tabella8[[#This Row],[Day]]-pt)-phi_t)+TANH(phi_t))/(1+TANH(phi_t)),0)</f>
        <v>188500.54330402554</v>
      </c>
      <c r="J163" s="109">
        <f>Tabella8[[#This Row],[Italy fit]]/Kt</f>
        <v>0.8377801924623357</v>
      </c>
      <c r="K163" s="22">
        <f>Tabella8[[#This Row],[Italy fit]]*NOT(ISBLANK(Tabella8[[#This Row],[Italy cumulative]]))</f>
        <v>0</v>
      </c>
      <c r="N163" s="58"/>
      <c r="O163" s="10">
        <f>Tabella8[[#This Row],[region data]]*NOT(ISBLANK(Tabella8[[#This Row],[region data]]))</f>
        <v>0</v>
      </c>
      <c r="P163" s="107">
        <f>MAX(Kr*(TANH(psi_r*(Tabella8[[#This Row],[Day]]-pr)-phi_r)+TANH(phi_r))/(1+TANH(phi_r)),0)</f>
        <v>7941.7604139727264</v>
      </c>
      <c r="Q163" s="107">
        <f>Tabella8[[#This Row],[region fit]]/Kr</f>
        <v>0.88536905395459597</v>
      </c>
      <c r="R163" s="22">
        <f>Tabella8[[#This Row],[region fit]]*NOT(ISBLANK(Tabella8[[#This Row],[region data]]))</f>
        <v>0</v>
      </c>
      <c r="V163" s="10">
        <f>Tabella8[[#This Row],[rest of Italy ]]*NOT(ISBLANK(Tabella8[[#This Row],[rest of Italy ]]))</f>
        <v>0</v>
      </c>
      <c r="W163" s="108">
        <f>MAX(Ko*(TANH(psi_o*(Tabella8[[#This Row],[Day]]-po)-phi_o)+TANH(phi_o))/(1+TANH(phi_o)),0)</f>
        <v>180436.34318821935</v>
      </c>
      <c r="X163" s="108">
        <f>Tabella8[[#This Row],[rest of Italy fit]]/Ko</f>
        <v>0.8352374354868275</v>
      </c>
      <c r="Y163" s="22">
        <f>Tabella8[[#This Row],[rest of Italy fit]]*NOT(ISBLANK(Tabella8[[#This Row],[rest of Italy ]]))</f>
        <v>0</v>
      </c>
    </row>
    <row r="164" spans="2:25" x14ac:dyDescent="0.3">
      <c r="B164" s="9">
        <v>43987</v>
      </c>
      <c r="C164" s="4">
        <v>157</v>
      </c>
      <c r="D164" s="1"/>
      <c r="E164" s="10">
        <f>Tabella8[[#This Row],[Italy cumulative]]*NOT(ISBLANK(Tabella8[[#This Row],[Italy cumulative]]))</f>
        <v>0</v>
      </c>
      <c r="F164" s="10">
        <f>Tabella8[[#This Row],[region fit]]+Tabella8[[#This Row],[rest of Italy fit]]</f>
        <v>189882.82163617769</v>
      </c>
      <c r="G164" s="72">
        <f>Tabella8[[#This Row],[Italy sum of regions]]/K_sum</f>
        <v>0.84392365171634531</v>
      </c>
      <c r="H164" s="10">
        <f>Tabella8[[#This Row],[Italy sum of regions]]*NOT(ISBLANK(Tabella8[[#This Row],[Italy cumulative]]))</f>
        <v>0</v>
      </c>
      <c r="I164" s="132">
        <f>MAX(Kt*(TANH(psi_t*(Tabella8[[#This Row],[Day]]-pt)-phi_t)+TANH(phi_t))/(1+TANH(phi_t)),0)</f>
        <v>190006.31027508716</v>
      </c>
      <c r="J164" s="109">
        <f>Tabella8[[#This Row],[Italy fit]]/Kt</f>
        <v>0.8444724901114985</v>
      </c>
      <c r="K164" s="22">
        <f>Tabella8[[#This Row],[Italy fit]]*NOT(ISBLANK(Tabella8[[#This Row],[Italy cumulative]]))</f>
        <v>0</v>
      </c>
      <c r="N164" s="58"/>
      <c r="O164" s="10">
        <f>Tabella8[[#This Row],[region data]]*NOT(ISBLANK(Tabella8[[#This Row],[region data]]))</f>
        <v>0</v>
      </c>
      <c r="P164" s="107">
        <f>MAX(Kr*(TANH(psi_r*(Tabella8[[#This Row],[Day]]-pr)-phi_r)+TANH(phi_r))/(1+TANH(phi_r)),0)</f>
        <v>7992.5145964752137</v>
      </c>
      <c r="Q164" s="107">
        <f>Tabella8[[#This Row],[region fit]]/Kr</f>
        <v>0.89102726828040291</v>
      </c>
      <c r="R164" s="22">
        <f>Tabella8[[#This Row],[region fit]]*NOT(ISBLANK(Tabella8[[#This Row],[region data]]))</f>
        <v>0</v>
      </c>
      <c r="V164" s="10">
        <f>Tabella8[[#This Row],[rest of Italy ]]*NOT(ISBLANK(Tabella8[[#This Row],[rest of Italy ]]))</f>
        <v>0</v>
      </c>
      <c r="W164" s="108">
        <f>MAX(Ko*(TANH(psi_o*(Tabella8[[#This Row],[Day]]-po)-phi_o)+TANH(phi_o))/(1+TANH(phi_o)),0)</f>
        <v>181890.30703970249</v>
      </c>
      <c r="X164" s="108">
        <f>Tabella8[[#This Row],[rest of Italy fit]]/Ko</f>
        <v>0.84196781483915417</v>
      </c>
      <c r="Y164" s="22">
        <f>Tabella8[[#This Row],[rest of Italy fit]]*NOT(ISBLANK(Tabella8[[#This Row],[rest of Italy ]]))</f>
        <v>0</v>
      </c>
    </row>
    <row r="165" spans="2:25" x14ac:dyDescent="0.3">
      <c r="B165" s="9">
        <v>43988</v>
      </c>
      <c r="C165" s="4">
        <v>158</v>
      </c>
      <c r="D165" s="1"/>
      <c r="E165" s="10">
        <f>Tabella8[[#This Row],[Italy cumulative]]*NOT(ISBLANK(Tabella8[[#This Row],[Italy cumulative]]))</f>
        <v>0</v>
      </c>
      <c r="F165" s="10">
        <f>Tabella8[[#This Row],[region fit]]+Tabella8[[#This Row],[rest of Italy fit]]</f>
        <v>191335.73243033627</v>
      </c>
      <c r="G165" s="72">
        <f>Tabella8[[#This Row],[Italy sum of regions]]/K_sum</f>
        <v>0.8503810330237167</v>
      </c>
      <c r="H165" s="10">
        <f>Tabella8[[#This Row],[Italy sum of regions]]*NOT(ISBLANK(Tabella8[[#This Row],[Italy cumulative]]))</f>
        <v>0</v>
      </c>
      <c r="I165" s="132">
        <f>MAX(Kt*(TANH(psi_t*(Tabella8[[#This Row],[Day]]-pt)-phi_t)+TANH(phi_t))/(1+TANH(phi_t)),0)</f>
        <v>191460.04394103767</v>
      </c>
      <c r="J165" s="109">
        <f>Tabella8[[#This Row],[Italy fit]]/Kt</f>
        <v>0.85093352862683413</v>
      </c>
      <c r="K165" s="22">
        <f>Tabella8[[#This Row],[Italy fit]]*NOT(ISBLANK(Tabella8[[#This Row],[Italy cumulative]]))</f>
        <v>0</v>
      </c>
      <c r="N165" s="58"/>
      <c r="O165" s="10">
        <f>Tabella8[[#This Row],[region data]]*NOT(ISBLANK(Tabella8[[#This Row],[region data]]))</f>
        <v>0</v>
      </c>
      <c r="P165" s="107">
        <f>MAX(Kr*(TANH(psi_r*(Tabella8[[#This Row],[Day]]-pr)-phi_r)+TANH(phi_r))/(1+TANH(phi_r)),0)</f>
        <v>8041.0297181516726</v>
      </c>
      <c r="Q165" s="107">
        <f>Tabella8[[#This Row],[region fit]]/Kr</f>
        <v>0.89643586601467917</v>
      </c>
      <c r="R165" s="22">
        <f>Tabella8[[#This Row],[region fit]]*NOT(ISBLANK(Tabella8[[#This Row],[region data]]))</f>
        <v>0</v>
      </c>
      <c r="V165" s="10">
        <f>Tabella8[[#This Row],[rest of Italy ]]*NOT(ISBLANK(Tabella8[[#This Row],[rest of Italy ]]))</f>
        <v>0</v>
      </c>
      <c r="W165" s="108">
        <f>MAX(Ko*(TANH(psi_o*(Tabella8[[#This Row],[Day]]-po)-phi_o)+TANH(phi_o))/(1+TANH(phi_o)),0)</f>
        <v>183294.7027121846</v>
      </c>
      <c r="X165" s="108">
        <f>Tabella8[[#This Row],[rest of Italy fit]]/Ko</f>
        <v>0.84846874374940795</v>
      </c>
      <c r="Y165" s="22">
        <f>Tabella8[[#This Row],[rest of Italy fit]]*NOT(ISBLANK(Tabella8[[#This Row],[rest of Italy ]]))</f>
        <v>0</v>
      </c>
    </row>
    <row r="166" spans="2:25" x14ac:dyDescent="0.3">
      <c r="B166" s="9">
        <v>43989</v>
      </c>
      <c r="C166" s="4">
        <v>159</v>
      </c>
      <c r="D166" s="1"/>
      <c r="E166" s="10">
        <f>Tabella8[[#This Row],[Italy cumulative]]*NOT(ISBLANK(Tabella8[[#This Row],[Italy cumulative]]))</f>
        <v>0</v>
      </c>
      <c r="F166" s="10">
        <f>Tabella8[[#This Row],[region fit]]+Tabella8[[#This Row],[rest of Italy fit]]</f>
        <v>192737.79875174657</v>
      </c>
      <c r="G166" s="72">
        <f>Tabella8[[#This Row],[Italy sum of regions]]/K_sum</f>
        <v>0.8566124388966514</v>
      </c>
      <c r="H166" s="10">
        <f>Tabella8[[#This Row],[Italy sum of regions]]*NOT(ISBLANK(Tabella8[[#This Row],[Italy cumulative]]))</f>
        <v>0</v>
      </c>
      <c r="I166" s="132">
        <f>MAX(Kt*(TANH(psi_t*(Tabella8[[#This Row],[Day]]-pt)-phi_t)+TANH(phi_t))/(1+TANH(phi_t)),0)</f>
        <v>192862.71330138325</v>
      </c>
      <c r="J166" s="109">
        <f>Tabella8[[#This Row],[Italy fit]]/Kt</f>
        <v>0.85716761467281444</v>
      </c>
      <c r="K166" s="22">
        <f>Tabella8[[#This Row],[Italy fit]]*NOT(ISBLANK(Tabella8[[#This Row],[Italy cumulative]]))</f>
        <v>0</v>
      </c>
      <c r="N166" s="58"/>
      <c r="O166" s="10">
        <f>Tabella8[[#This Row],[region data]]*NOT(ISBLANK(Tabella8[[#This Row],[region data]]))</f>
        <v>0</v>
      </c>
      <c r="P166" s="107">
        <f>MAX(Kr*(TANH(psi_r*(Tabella8[[#This Row],[Day]]-pr)-phi_r)+TANH(phi_r))/(1+TANH(phi_r)),0)</f>
        <v>8087.3785819923987</v>
      </c>
      <c r="Q166" s="107">
        <f>Tabella8[[#This Row],[region fit]]/Kr</f>
        <v>0.90160296343282043</v>
      </c>
      <c r="R166" s="22">
        <f>Tabella8[[#This Row],[region fit]]*NOT(ISBLANK(Tabella8[[#This Row],[region data]]))</f>
        <v>0</v>
      </c>
      <c r="V166" s="10">
        <f>Tabella8[[#This Row],[rest of Italy ]]*NOT(ISBLANK(Tabella8[[#This Row],[rest of Italy ]]))</f>
        <v>0</v>
      </c>
      <c r="W166" s="108">
        <f>MAX(Ko*(TANH(psi_o*(Tabella8[[#This Row],[Day]]-po)-phi_o)+TANH(phi_o))/(1+TANH(phi_o)),0)</f>
        <v>184650.42016975416</v>
      </c>
      <c r="X166" s="108">
        <f>Tabella8[[#This Row],[rest of Italy fit]]/Ko</f>
        <v>0.85474434184953085</v>
      </c>
      <c r="Y166" s="22">
        <f>Tabella8[[#This Row],[rest of Italy fit]]*NOT(ISBLANK(Tabella8[[#This Row],[rest of Italy ]]))</f>
        <v>0</v>
      </c>
    </row>
    <row r="167" spans="2:25" x14ac:dyDescent="0.3">
      <c r="B167" s="9">
        <v>43990</v>
      </c>
      <c r="C167" s="4">
        <v>160</v>
      </c>
      <c r="D167" s="1"/>
      <c r="E167" s="10">
        <f>Tabella8[[#This Row],[Italy cumulative]]*NOT(ISBLANK(Tabella8[[#This Row],[Italy cumulative]]))</f>
        <v>0</v>
      </c>
      <c r="F167" s="10">
        <f>Tabella8[[#This Row],[region fit]]+Tabella8[[#This Row],[rest of Italy fit]]</f>
        <v>194090.03589593948</v>
      </c>
      <c r="G167" s="72">
        <f>Tabella8[[#This Row],[Italy sum of regions]]/K_sum</f>
        <v>0.86262238175973105</v>
      </c>
      <c r="H167" s="10">
        <f>Tabella8[[#This Row],[Italy sum of regions]]*NOT(ISBLANK(Tabella8[[#This Row],[Italy cumulative]]))</f>
        <v>0</v>
      </c>
      <c r="I167" s="132">
        <f>MAX(Kt*(TANH(psi_t*(Tabella8[[#This Row],[Day]]-pt)-phi_t)+TANH(phi_t))/(1+TANH(phi_t)),0)</f>
        <v>194215.34065375486</v>
      </c>
      <c r="J167" s="109">
        <f>Tabella8[[#This Row],[Italy fit]]/Kt</f>
        <v>0.86317929179446606</v>
      </c>
      <c r="K167" s="22">
        <f>Tabella8[[#This Row],[Italy fit]]*NOT(ISBLANK(Tabella8[[#This Row],[Italy cumulative]]))</f>
        <v>0</v>
      </c>
      <c r="N167" s="58"/>
      <c r="O167" s="10">
        <f>Tabella8[[#This Row],[region data]]*NOT(ISBLANK(Tabella8[[#This Row],[region data]]))</f>
        <v>0</v>
      </c>
      <c r="P167" s="107">
        <f>MAX(Kr*(TANH(psi_r*(Tabella8[[#This Row],[Day]]-pr)-phi_r)+TANH(phi_r))/(1+TANH(phi_r)),0)</f>
        <v>8131.6342195618317</v>
      </c>
      <c r="Q167" s="107">
        <f>Tabella8[[#This Row],[region fit]]/Kr</f>
        <v>0.90653670229228889</v>
      </c>
      <c r="R167" s="22">
        <f>Tabella8[[#This Row],[region fit]]*NOT(ISBLANK(Tabella8[[#This Row],[region data]]))</f>
        <v>0</v>
      </c>
      <c r="V167" s="10">
        <f>Tabella8[[#This Row],[rest of Italy ]]*NOT(ISBLANK(Tabella8[[#This Row],[rest of Italy ]]))</f>
        <v>0</v>
      </c>
      <c r="W167" s="108">
        <f>MAX(Ko*(TANH(psi_o*(Tabella8[[#This Row],[Day]]-po)-phi_o)+TANH(phi_o))/(1+TANH(phi_o)),0)</f>
        <v>185958.40167637766</v>
      </c>
      <c r="X167" s="108">
        <f>Tabella8[[#This Row],[rest of Italy fit]]/Ko</f>
        <v>0.86079897086690582</v>
      </c>
      <c r="Y167" s="22">
        <f>Tabella8[[#This Row],[rest of Italy fit]]*NOT(ISBLANK(Tabella8[[#This Row],[rest of Italy ]]))</f>
        <v>0</v>
      </c>
    </row>
    <row r="168" spans="2:25" x14ac:dyDescent="0.3">
      <c r="B168" s="9">
        <v>43991</v>
      </c>
      <c r="C168" s="4">
        <v>161</v>
      </c>
      <c r="D168" s="1"/>
      <c r="E168" s="10">
        <f>Tabella8[[#This Row],[Italy cumulative]]*NOT(ISBLANK(Tabella8[[#This Row],[Italy cumulative]]))</f>
        <v>0</v>
      </c>
      <c r="F168" s="10">
        <f>Tabella8[[#This Row],[region fit]]+Tabella8[[#This Row],[rest of Italy fit]]</f>
        <v>195393.50456250063</v>
      </c>
      <c r="G168" s="72">
        <f>Tabella8[[#This Row],[Italy sum of regions]]/K_sum</f>
        <v>0.86841557583333617</v>
      </c>
      <c r="H168" s="10">
        <f>Tabella8[[#This Row],[Italy sum of regions]]*NOT(ISBLANK(Tabella8[[#This Row],[Italy cumulative]]))</f>
        <v>0</v>
      </c>
      <c r="I168" s="132">
        <f>MAX(Kt*(TANH(psi_t*(Tabella8[[#This Row],[Day]]-pt)-phi_t)+TANH(phi_t))/(1+TANH(phi_t)),0)</f>
        <v>195518.99436104883</v>
      </c>
      <c r="J168" s="109">
        <f>Tabella8[[#This Row],[Italy fit]]/Kt</f>
        <v>0.86897330827132813</v>
      </c>
      <c r="K168" s="22">
        <f>Tabella8[[#This Row],[Italy fit]]*NOT(ISBLANK(Tabella8[[#This Row],[Italy cumulative]]))</f>
        <v>0</v>
      </c>
      <c r="N168" s="58"/>
      <c r="O168" s="10">
        <f>Tabella8[[#This Row],[region data]]*NOT(ISBLANK(Tabella8[[#This Row],[region data]]))</f>
        <v>0</v>
      </c>
      <c r="P168" s="107">
        <f>MAX(Kr*(TANH(psi_r*(Tabella8[[#This Row],[Day]]-pr)-phi_r)+TANH(phi_r))/(1+TANH(phi_r)),0)</f>
        <v>8173.8695744795514</v>
      </c>
      <c r="Q168" s="107">
        <f>Tabella8[[#This Row],[region fit]]/Kr</f>
        <v>0.91124521454621532</v>
      </c>
      <c r="R168" s="22">
        <f>Tabella8[[#This Row],[region fit]]*NOT(ISBLANK(Tabella8[[#This Row],[region data]]))</f>
        <v>0</v>
      </c>
      <c r="V168" s="10">
        <f>Tabella8[[#This Row],[rest of Italy ]]*NOT(ISBLANK(Tabella8[[#This Row],[rest of Italy ]]))</f>
        <v>0</v>
      </c>
      <c r="W168" s="108">
        <f>MAX(Ko*(TANH(psi_o*(Tabella8[[#This Row],[Day]]-po)-phi_o)+TANH(phi_o))/(1+TANH(phi_o)),0)</f>
        <v>187219.63498802108</v>
      </c>
      <c r="X168" s="108">
        <f>Tabella8[[#This Row],[rest of Italy fit]]/Ko</f>
        <v>0.86663720311077663</v>
      </c>
      <c r="Y168" s="22">
        <f>Tabella8[[#This Row],[rest of Italy fit]]*NOT(ISBLANK(Tabella8[[#This Row],[rest of Italy ]]))</f>
        <v>0</v>
      </c>
    </row>
    <row r="169" spans="2:25" x14ac:dyDescent="0.3">
      <c r="B169" s="9">
        <v>43992</v>
      </c>
      <c r="C169" s="4">
        <v>162</v>
      </c>
      <c r="D169" s="1"/>
      <c r="E169" s="10">
        <f>Tabella8[[#This Row],[Italy cumulative]]*NOT(ISBLANK(Tabella8[[#This Row],[Italy cumulative]]))</f>
        <v>0</v>
      </c>
      <c r="F169" s="10">
        <f>Tabella8[[#This Row],[region fit]]+Tabella8[[#This Row],[rest of Italy fit]]</f>
        <v>196649.30406664274</v>
      </c>
      <c r="G169" s="72">
        <f>Tabella8[[#This Row],[Italy sum of regions]]/K_sum</f>
        <v>0.87399690696285659</v>
      </c>
      <c r="H169" s="10">
        <f>Tabella8[[#This Row],[Italy sum of regions]]*NOT(ISBLANK(Tabella8[[#This Row],[Italy cumulative]]))</f>
        <v>0</v>
      </c>
      <c r="I169" s="132">
        <f>MAX(Kt*(TANH(psi_t*(Tabella8[[#This Row],[Day]]-pt)-phi_t)+TANH(phi_t))/(1+TANH(phi_t)),0)</f>
        <v>196774.78195817431</v>
      </c>
      <c r="J169" s="109">
        <f>Tabella8[[#This Row],[Italy fit]]/Kt</f>
        <v>0.87455458648077466</v>
      </c>
      <c r="K169" s="22">
        <f>Tabella8[[#This Row],[Italy fit]]*NOT(ISBLANK(Tabella8[[#This Row],[Italy cumulative]]))</f>
        <v>0</v>
      </c>
      <c r="N169" s="58"/>
      <c r="O169" s="10">
        <f>Tabella8[[#This Row],[region data]]*NOT(ISBLANK(Tabella8[[#This Row],[region data]]))</f>
        <v>0</v>
      </c>
      <c r="P169" s="107">
        <f>MAX(Kr*(TANH(psi_r*(Tabella8[[#This Row],[Day]]-pr)-phi_r)+TANH(phi_r))/(1+TANH(phi_r)),0)</f>
        <v>8214.157217626791</v>
      </c>
      <c r="Q169" s="107">
        <f>Tabella8[[#This Row],[region fit]]/Kr</f>
        <v>0.91573659059384516</v>
      </c>
      <c r="R169" s="22">
        <f>Tabella8[[#This Row],[region fit]]*NOT(ISBLANK(Tabella8[[#This Row],[region data]]))</f>
        <v>0</v>
      </c>
      <c r="V169" s="10">
        <f>Tabella8[[#This Row],[rest of Italy ]]*NOT(ISBLANK(Tabella8[[#This Row],[rest of Italy ]]))</f>
        <v>0</v>
      </c>
      <c r="W169" s="108">
        <f>MAX(Ko*(TANH(psi_o*(Tabella8[[#This Row],[Day]]-po)-phi_o)+TANH(phi_o))/(1+TANH(phi_o)),0)</f>
        <v>188435.14684901596</v>
      </c>
      <c r="X169" s="108">
        <f>Tabella8[[#This Row],[rest of Italy fit]]/Ko</f>
        <v>0.87226379136701371</v>
      </c>
      <c r="Y169" s="22">
        <f>Tabella8[[#This Row],[rest of Italy fit]]*NOT(ISBLANK(Tabella8[[#This Row],[rest of Italy ]]))</f>
        <v>0</v>
      </c>
    </row>
    <row r="170" spans="2:25" x14ac:dyDescent="0.3">
      <c r="B170" s="9">
        <v>43993</v>
      </c>
      <c r="C170" s="4">
        <v>163</v>
      </c>
      <c r="D170" s="1"/>
      <c r="E170" s="10">
        <f>Tabella8[[#This Row],[Italy cumulative]]*NOT(ISBLANK(Tabella8[[#This Row],[Italy cumulative]]))</f>
        <v>0</v>
      </c>
      <c r="F170" s="10">
        <f>Tabella8[[#This Row],[region fit]]+Tabella8[[#This Row],[rest of Italy fit]]</f>
        <v>197858.56590409525</v>
      </c>
      <c r="G170" s="72">
        <f>Tabella8[[#This Row],[Italy sum of regions]]/K_sum</f>
        <v>0.87937140401820113</v>
      </c>
      <c r="H170" s="10">
        <f>Tabella8[[#This Row],[Italy sum of regions]]*NOT(ISBLANK(Tabella8[[#This Row],[Italy cumulative]]))</f>
        <v>0</v>
      </c>
      <c r="I170" s="132">
        <f>MAX(Kt*(TANH(psi_t*(Tabella8[[#This Row],[Day]]-pt)-phi_t)+TANH(phi_t))/(1+TANH(phi_t)),0)</f>
        <v>197983.84361663528</v>
      </c>
      <c r="J170" s="109">
        <f>Tabella8[[#This Row],[Italy fit]]/Kt</f>
        <v>0.87992819385171239</v>
      </c>
      <c r="K170" s="22">
        <f>Tabella8[[#This Row],[Italy fit]]*NOT(ISBLANK(Tabella8[[#This Row],[Italy cumulative]]))</f>
        <v>0</v>
      </c>
      <c r="N170" s="58"/>
      <c r="O170" s="10">
        <f>Tabella8[[#This Row],[region data]]*NOT(ISBLANK(Tabella8[[#This Row],[region data]]))</f>
        <v>0</v>
      </c>
      <c r="P170" s="107">
        <f>MAX(Kr*(TANH(psi_r*(Tabella8[[#This Row],[Day]]-pr)-phi_r)+TANH(phi_r))/(1+TANH(phi_r)),0)</f>
        <v>8252.569092816093</v>
      </c>
      <c r="Q170" s="107">
        <f>Tabella8[[#This Row],[region fit]]/Kr</f>
        <v>0.92001885092710067</v>
      </c>
      <c r="R170" s="22">
        <f>Tabella8[[#This Row],[region fit]]*NOT(ISBLANK(Tabella8[[#This Row],[region data]]))</f>
        <v>0</v>
      </c>
      <c r="V170" s="10">
        <f>Tabella8[[#This Row],[rest of Italy ]]*NOT(ISBLANK(Tabella8[[#This Row],[rest of Italy ]]))</f>
        <v>0</v>
      </c>
      <c r="W170" s="108">
        <f>MAX(Ko*(TANH(psi_o*(Tabella8[[#This Row],[Day]]-po)-phi_o)+TANH(phi_o))/(1+TANH(phi_o)),0)</f>
        <v>189605.99681127915</v>
      </c>
      <c r="X170" s="108">
        <f>Tabella8[[#This Row],[rest of Italy fit]]/Ko</f>
        <v>0.87768364028736356</v>
      </c>
      <c r="Y170" s="22">
        <f>Tabella8[[#This Row],[rest of Italy fit]]*NOT(ISBLANK(Tabella8[[#This Row],[rest of Italy ]]))</f>
        <v>0</v>
      </c>
    </row>
    <row r="171" spans="2:25" x14ac:dyDescent="0.3">
      <c r="B171" s="9">
        <v>43994</v>
      </c>
      <c r="C171" s="4">
        <v>164</v>
      </c>
      <c r="D171" s="1"/>
      <c r="E171" s="10">
        <f>Tabella8[[#This Row],[Italy cumulative]]*NOT(ISBLANK(Tabella8[[#This Row],[Italy cumulative]]))</f>
        <v>0</v>
      </c>
      <c r="F171" s="10">
        <f>Tabella8[[#This Row],[region fit]]+Tabella8[[#This Row],[rest of Italy fit]]</f>
        <v>199022.4476815009</v>
      </c>
      <c r="G171" s="72">
        <f>Tabella8[[#This Row],[Italy sum of regions]]/K_sum</f>
        <v>0.88454421191778176</v>
      </c>
      <c r="H171" s="10">
        <f>Tabella8[[#This Row],[Italy sum of regions]]*NOT(ISBLANK(Tabella8[[#This Row],[Italy cumulative]]))</f>
        <v>0</v>
      </c>
      <c r="I171" s="132">
        <f>MAX(Kt*(TANH(psi_t*(Tabella8[[#This Row],[Day]]-pt)-phi_t)+TANH(phi_t))/(1+TANH(phi_t)),0)</f>
        <v>199147.34597984416</v>
      </c>
      <c r="J171" s="109">
        <f>Tabella8[[#This Row],[Italy fit]]/Kt</f>
        <v>0.88509931546597409</v>
      </c>
      <c r="K171" s="22">
        <f>Tabella8[[#This Row],[Italy fit]]*NOT(ISBLANK(Tabella8[[#This Row],[Italy cumulative]]))</f>
        <v>0</v>
      </c>
      <c r="N171" s="58"/>
      <c r="O171" s="10">
        <f>Tabella8[[#This Row],[region data]]*NOT(ISBLANK(Tabella8[[#This Row],[region data]]))</f>
        <v>0</v>
      </c>
      <c r="P171" s="107">
        <f>MAX(Kr*(TANH(psi_r*(Tabella8[[#This Row],[Day]]-pr)-phi_r)+TANH(phi_r))/(1+TANH(phi_r)),0)</f>
        <v>8289.1762914965584</v>
      </c>
      <c r="Q171" s="107">
        <f>Tabella8[[#This Row],[region fit]]/Kr</f>
        <v>0.92409992101410909</v>
      </c>
      <c r="R171" s="22">
        <f>Tabella8[[#This Row],[region fit]]*NOT(ISBLANK(Tabella8[[#This Row],[region data]]))</f>
        <v>0</v>
      </c>
      <c r="V171" s="10">
        <f>Tabella8[[#This Row],[rest of Italy ]]*NOT(ISBLANK(Tabella8[[#This Row],[rest of Italy ]]))</f>
        <v>0</v>
      </c>
      <c r="W171" s="108">
        <f>MAX(Ko*(TANH(psi_o*(Tabella8[[#This Row],[Day]]-po)-phi_o)+TANH(phi_o))/(1+TANH(phi_o)),0)</f>
        <v>190733.27139000435</v>
      </c>
      <c r="X171" s="108">
        <f>Tabella8[[#This Row],[rest of Italy fit]]/Ko</f>
        <v>0.88290177933622338</v>
      </c>
      <c r="Y171" s="22">
        <f>Tabella8[[#This Row],[rest of Italy fit]]*NOT(ISBLANK(Tabella8[[#This Row],[rest of Italy ]]))</f>
        <v>0</v>
      </c>
    </row>
    <row r="172" spans="2:25" x14ac:dyDescent="0.3">
      <c r="B172" s="9">
        <v>43995</v>
      </c>
      <c r="C172" s="4">
        <v>165</v>
      </c>
      <c r="D172" s="1"/>
      <c r="E172" s="10">
        <f>Tabella8[[#This Row],[Italy cumulative]]*NOT(ISBLANK(Tabella8[[#This Row],[Italy cumulative]]))</f>
        <v>0</v>
      </c>
      <c r="F172" s="10">
        <f>Tabella8[[#This Row],[region fit]]+Tabella8[[#This Row],[rest of Italy fit]]</f>
        <v>200142.12741982043</v>
      </c>
      <c r="G172" s="72">
        <f>Tabella8[[#This Row],[Italy sum of regions]]/K_sum</f>
        <v>0.88952056631031307</v>
      </c>
      <c r="H172" s="10">
        <f>Tabella8[[#This Row],[Italy sum of regions]]*NOT(ISBLANK(Tabella8[[#This Row],[Italy cumulative]]))</f>
        <v>0</v>
      </c>
      <c r="I172" s="132">
        <f>MAX(Kt*(TANH(psi_t*(Tabella8[[#This Row],[Day]]-pt)-phi_t)+TANH(phi_t))/(1+TANH(phi_t)),0)</f>
        <v>200266.47637721029</v>
      </c>
      <c r="J172" s="109">
        <f>Tabella8[[#This Row],[Italy fit]]/Kt</f>
        <v>0.89007322834315683</v>
      </c>
      <c r="K172" s="22">
        <f>Tabella8[[#This Row],[Italy fit]]*NOT(ISBLANK(Tabella8[[#This Row],[Italy cumulative]]))</f>
        <v>0</v>
      </c>
      <c r="N172" s="58"/>
      <c r="O172" s="10">
        <f>Tabella8[[#This Row],[region data]]*NOT(ISBLANK(Tabella8[[#This Row],[region data]]))</f>
        <v>0</v>
      </c>
      <c r="P172" s="107">
        <f>MAX(Kr*(TANH(psi_r*(Tabella8[[#This Row],[Day]]-pr)-phi_r)+TANH(phi_r))/(1+TANH(phi_r)),0)</f>
        <v>8324.0488549451693</v>
      </c>
      <c r="Q172" s="107">
        <f>Tabella8[[#This Row],[region fit]]/Kr</f>
        <v>0.92798760924695312</v>
      </c>
      <c r="R172" s="22">
        <f>Tabella8[[#This Row],[region fit]]*NOT(ISBLANK(Tabella8[[#This Row],[region data]]))</f>
        <v>0</v>
      </c>
      <c r="V172" s="10">
        <f>Tabella8[[#This Row],[rest of Italy ]]*NOT(ISBLANK(Tabella8[[#This Row],[rest of Italy ]]))</f>
        <v>0</v>
      </c>
      <c r="W172" s="108">
        <f>MAX(Ko*(TANH(psi_o*(Tabella8[[#This Row],[Day]]-po)-phi_o)+TANH(phi_o))/(1+TANH(phi_o)),0)</f>
        <v>191818.07856487526</v>
      </c>
      <c r="X172" s="108">
        <f>Tabella8[[#This Row],[rest of Italy fit]]/Ko</f>
        <v>0.88792333733682949</v>
      </c>
      <c r="Y172" s="22">
        <f>Tabella8[[#This Row],[rest of Italy fit]]*NOT(ISBLANK(Tabella8[[#This Row],[rest of Italy ]]))</f>
        <v>0</v>
      </c>
    </row>
    <row r="173" spans="2:25" x14ac:dyDescent="0.3">
      <c r="B173" s="9">
        <v>43996</v>
      </c>
      <c r="C173" s="4">
        <v>166</v>
      </c>
      <c r="D173" s="1"/>
      <c r="E173" s="10">
        <f>Tabella8[[#This Row],[Italy cumulative]]*NOT(ISBLANK(Tabella8[[#This Row],[Italy cumulative]]))</f>
        <v>0</v>
      </c>
      <c r="F173" s="10">
        <f>Tabella8[[#This Row],[region fit]]+Tabella8[[#This Row],[rest of Italy fit]]</f>
        <v>201218.79823403471</v>
      </c>
      <c r="G173" s="72">
        <f>Tabella8[[#This Row],[Italy sum of regions]]/K_sum</f>
        <v>0.89430576992904309</v>
      </c>
      <c r="H173" s="10">
        <f>Tabella8[[#This Row],[Italy sum of regions]]*NOT(ISBLANK(Tabella8[[#This Row],[Italy cumulative]]))</f>
        <v>0</v>
      </c>
      <c r="I173" s="132">
        <f>MAX(Kt*(TANH(psi_t*(Tabella8[[#This Row],[Day]]-pt)-phi_t)+TANH(phi_t))/(1+TANH(phi_t)),0)</f>
        <v>201342.43742068313</v>
      </c>
      <c r="J173" s="109">
        <f>Tabella8[[#This Row],[Italy fit]]/Kt</f>
        <v>0.89485527742525839</v>
      </c>
      <c r="K173" s="22">
        <f>Tabella8[[#This Row],[Italy fit]]*NOT(ISBLANK(Tabella8[[#This Row],[Italy cumulative]]))</f>
        <v>0</v>
      </c>
      <c r="N173" s="58"/>
      <c r="O173" s="10">
        <f>Tabella8[[#This Row],[region data]]*NOT(ISBLANK(Tabella8[[#This Row],[region data]]))</f>
        <v>0</v>
      </c>
      <c r="P173" s="107">
        <f>MAX(Kr*(TANH(psi_r*(Tabella8[[#This Row],[Day]]-pr)-phi_r)+TANH(phi_r))/(1+TANH(phi_r)),0)</f>
        <v>8357.2556023110574</v>
      </c>
      <c r="Q173" s="107">
        <f>Tabella8[[#This Row],[region fit]]/Kr</f>
        <v>0.93168958777157829</v>
      </c>
      <c r="R173" s="22">
        <f>Tabella8[[#This Row],[region fit]]*NOT(ISBLANK(Tabella8[[#This Row],[region data]]))</f>
        <v>0</v>
      </c>
      <c r="V173" s="10">
        <f>Tabella8[[#This Row],[rest of Italy ]]*NOT(ISBLANK(Tabella8[[#This Row],[rest of Italy ]]))</f>
        <v>0</v>
      </c>
      <c r="W173" s="108">
        <f>MAX(Ko*(TANH(psi_o*(Tabella8[[#This Row],[Day]]-po)-phi_o)+TANH(phi_o))/(1+TANH(phi_o)),0)</f>
        <v>192861.54263172366</v>
      </c>
      <c r="X173" s="108">
        <f>Tabella8[[#This Row],[rest of Italy fit]]/Ko</f>
        <v>0.89275351863965036</v>
      </c>
      <c r="Y173" s="22">
        <f>Tabella8[[#This Row],[rest of Italy fit]]*NOT(ISBLANK(Tabella8[[#This Row],[rest of Italy ]]))</f>
        <v>0</v>
      </c>
    </row>
    <row r="174" spans="2:25" x14ac:dyDescent="0.3">
      <c r="B174" s="9">
        <v>43997</v>
      </c>
      <c r="C174" s="4">
        <v>167</v>
      </c>
      <c r="D174" s="1"/>
      <c r="E174" s="10">
        <f>Tabella8[[#This Row],[Italy cumulative]]*NOT(ISBLANK(Tabella8[[#This Row],[Italy cumulative]]))</f>
        <v>0</v>
      </c>
      <c r="F174" s="10">
        <f>Tabella8[[#This Row],[region fit]]+Tabella8[[#This Row],[rest of Italy fit]]</f>
        <v>202253.66338869333</v>
      </c>
      <c r="G174" s="72">
        <f>Tabella8[[#This Row],[Italy sum of regions]]/K_sum</f>
        <v>0.89890517061641484</v>
      </c>
      <c r="H174" s="10">
        <f>Tabella8[[#This Row],[Italy sum of regions]]*NOT(ISBLANK(Tabella8[[#This Row],[Italy cumulative]]))</f>
        <v>0</v>
      </c>
      <c r="I174" s="132">
        <f>MAX(Kt*(TANH(psi_t*(Tabella8[[#This Row],[Day]]-pt)-phi_t)+TANH(phi_t))/(1+TANH(phi_t)),0)</f>
        <v>202376.44198355189</v>
      </c>
      <c r="J174" s="109">
        <f>Tabella8[[#This Row],[Italy fit]]/Kt</f>
        <v>0.89945085326023066</v>
      </c>
      <c r="K174" s="22">
        <f>Tabella8[[#This Row],[Italy fit]]*NOT(ISBLANK(Tabella8[[#This Row],[Italy cumulative]]))</f>
        <v>0</v>
      </c>
      <c r="N174" s="58"/>
      <c r="O174" s="10">
        <f>Tabella8[[#This Row],[region data]]*NOT(ISBLANK(Tabella8[[#This Row],[region data]]))</f>
        <v>0</v>
      </c>
      <c r="P174" s="107">
        <f>MAX(Kr*(TANH(psi_r*(Tabella8[[#This Row],[Day]]-pr)-phi_r)+TANH(phi_r))/(1+TANH(phi_r)),0)</f>
        <v>8388.8639828294927</v>
      </c>
      <c r="Q174" s="107">
        <f>Tabella8[[#This Row],[region fit]]/Kr</f>
        <v>0.93521337601220655</v>
      </c>
      <c r="R174" s="22">
        <f>Tabella8[[#This Row],[region fit]]*NOT(ISBLANK(Tabella8[[#This Row],[region data]]))</f>
        <v>0</v>
      </c>
      <c r="V174" s="10">
        <f>Tabella8[[#This Row],[rest of Italy ]]*NOT(ISBLANK(Tabella8[[#This Row],[rest of Italy ]]))</f>
        <v>0</v>
      </c>
      <c r="W174" s="108">
        <f>MAX(Ko*(TANH(psi_o*(Tabella8[[#This Row],[Day]]-po)-phi_o)+TANH(phi_o))/(1+TANH(phi_o)),0)</f>
        <v>193864.79940586383</v>
      </c>
      <c r="X174" s="108">
        <f>Tabella8[[#This Row],[rest of Italy fit]]/Ko</f>
        <v>0.89739758091868638</v>
      </c>
      <c r="Y174" s="22">
        <f>Tabella8[[#This Row],[rest of Italy fit]]*NOT(ISBLANK(Tabella8[[#This Row],[rest of Italy ]]))</f>
        <v>0</v>
      </c>
    </row>
    <row r="175" spans="2:25" x14ac:dyDescent="0.3">
      <c r="B175" s="9">
        <v>43998</v>
      </c>
      <c r="C175" s="4">
        <v>168</v>
      </c>
      <c r="D175" s="1"/>
      <c r="E175" s="10">
        <f>Tabella8[[#This Row],[Italy cumulative]]*NOT(ISBLANK(Tabella8[[#This Row],[Italy cumulative]]))</f>
        <v>0</v>
      </c>
      <c r="F175" s="10">
        <f>Tabella8[[#This Row],[region fit]]+Tabella8[[#This Row],[rest of Italy fit]]</f>
        <v>203247.93172557827</v>
      </c>
      <c r="G175" s="72">
        <f>Tabella8[[#This Row],[Italy sum of regions]]/K_sum</f>
        <v>0.90332414100257008</v>
      </c>
      <c r="H175" s="10">
        <f>Tabella8[[#This Row],[Italy sum of regions]]*NOT(ISBLANK(Tabella8[[#This Row],[Italy cumulative]]))</f>
        <v>0</v>
      </c>
      <c r="I175" s="132">
        <f>MAX(Kt*(TANH(psi_t*(Tabella8[[#This Row],[Day]]-pt)-phi_t)+TANH(phi_t))/(1+TANH(phi_t)),0)</f>
        <v>203369.70855790231</v>
      </c>
      <c r="J175" s="109">
        <f>Tabella8[[#This Row],[Italy fit]]/Kt</f>
        <v>0.90386537136845468</v>
      </c>
      <c r="K175" s="22">
        <f>Tabella8[[#This Row],[Italy fit]]*NOT(ISBLANK(Tabella8[[#This Row],[Italy cumulative]]))</f>
        <v>0</v>
      </c>
      <c r="N175" s="58"/>
      <c r="O175" s="10">
        <f>Tabella8[[#This Row],[region data]]*NOT(ISBLANK(Tabella8[[#This Row],[region data]]))</f>
        <v>0</v>
      </c>
      <c r="P175" s="107">
        <f>MAX(Kr*(TANH(psi_r*(Tabella8[[#This Row],[Day]]-pr)-phi_r)+TANH(phi_r))/(1+TANH(phi_r)),0)</f>
        <v>8418.9399505013425</v>
      </c>
      <c r="Q175" s="107">
        <f>Tabella8[[#This Row],[region fit]]/Kr</f>
        <v>0.93856632670026119</v>
      </c>
      <c r="R175" s="22">
        <f>Tabella8[[#This Row],[region fit]]*NOT(ISBLANK(Tabella8[[#This Row],[region data]]))</f>
        <v>0</v>
      </c>
      <c r="V175" s="10">
        <f>Tabella8[[#This Row],[rest of Italy ]]*NOT(ISBLANK(Tabella8[[#This Row],[rest of Italy ]]))</f>
        <v>0</v>
      </c>
      <c r="W175" s="108">
        <f>MAX(Ko*(TANH(psi_o*(Tabella8[[#This Row],[Day]]-po)-phi_o)+TANH(phi_o))/(1+TANH(phi_o)),0)</f>
        <v>194828.99177507692</v>
      </c>
      <c r="X175" s="108">
        <f>Tabella8[[#This Row],[rest of Italy fit]]/Ko</f>
        <v>0.90186081458629319</v>
      </c>
      <c r="Y175" s="22">
        <f>Tabella8[[#This Row],[rest of Italy fit]]*NOT(ISBLANK(Tabella8[[#This Row],[rest of Italy ]]))</f>
        <v>0</v>
      </c>
    </row>
    <row r="176" spans="2:25" x14ac:dyDescent="0.3">
      <c r="B176" s="9">
        <v>43999</v>
      </c>
      <c r="C176" s="4">
        <v>169</v>
      </c>
      <c r="D176" s="1"/>
      <c r="E176" s="10">
        <f>Tabella8[[#This Row],[Italy cumulative]]*NOT(ISBLANK(Tabella8[[#This Row],[Italy cumulative]]))</f>
        <v>0</v>
      </c>
      <c r="F176" s="10">
        <f>Tabella8[[#This Row],[region fit]]+Tabella8[[#This Row],[rest of Italy fit]]</f>
        <v>204202.81345692146</v>
      </c>
      <c r="G176" s="72">
        <f>Tabella8[[#This Row],[Italy sum of regions]]/K_sum</f>
        <v>0.90756805980853983</v>
      </c>
      <c r="H176" s="10">
        <f>Tabella8[[#This Row],[Italy sum of regions]]*NOT(ISBLANK(Tabella8[[#This Row],[Italy cumulative]]))</f>
        <v>0</v>
      </c>
      <c r="I176" s="132">
        <f>MAX(Kt*(TANH(psi_t*(Tabella8[[#This Row],[Day]]-pt)-phi_t)+TANH(phi_t))/(1+TANH(phi_t)),0)</f>
        <v>204323.4569841928</v>
      </c>
      <c r="J176" s="109">
        <f>Tabella8[[#This Row],[Italy fit]]/Kt</f>
        <v>0.90810425326307909</v>
      </c>
      <c r="K176" s="22">
        <f>Tabella8[[#This Row],[Italy fit]]*NOT(ISBLANK(Tabella8[[#This Row],[Italy cumulative]]))</f>
        <v>0</v>
      </c>
      <c r="N176" s="58"/>
      <c r="O176" s="10">
        <f>Tabella8[[#This Row],[region data]]*NOT(ISBLANK(Tabella8[[#This Row],[region data]]))</f>
        <v>0</v>
      </c>
      <c r="P176" s="107">
        <f>MAX(Kr*(TANH(psi_r*(Tabella8[[#This Row],[Day]]-pr)-phi_r)+TANH(phi_r))/(1+TANH(phi_r)),0)</f>
        <v>8447.5478595373115</v>
      </c>
      <c r="Q176" s="107">
        <f>Tabella8[[#This Row],[region fit]]/Kr</f>
        <v>0.94175561421820642</v>
      </c>
      <c r="R176" s="22">
        <f>Tabella8[[#This Row],[region fit]]*NOT(ISBLANK(Tabella8[[#This Row],[region data]]))</f>
        <v>0</v>
      </c>
      <c r="V176" s="10">
        <f>Tabella8[[#This Row],[rest of Italy ]]*NOT(ISBLANK(Tabella8[[#This Row],[rest of Italy ]]))</f>
        <v>0</v>
      </c>
      <c r="W176" s="108">
        <f>MAX(Ko*(TANH(psi_o*(Tabella8[[#This Row],[Day]]-po)-phi_o)+TANH(phi_o))/(1+TANH(phi_o)),0)</f>
        <v>195755.26559738416</v>
      </c>
      <c r="X176" s="108">
        <f>Tabella8[[#This Row],[rest of Italy fit]]/Ko</f>
        <v>0.90614852380402799</v>
      </c>
      <c r="Y176" s="22">
        <f>Tabella8[[#This Row],[rest of Italy fit]]*NOT(ISBLANK(Tabella8[[#This Row],[rest of Italy ]]))</f>
        <v>0</v>
      </c>
    </row>
    <row r="177" spans="2:25" x14ac:dyDescent="0.3">
      <c r="B177" s="9">
        <v>44000</v>
      </c>
      <c r="C177" s="4">
        <v>170</v>
      </c>
      <c r="D177" s="1"/>
      <c r="E177" s="10">
        <f>Tabella8[[#This Row],[Italy cumulative]]*NOT(ISBLANK(Tabella8[[#This Row],[Italy cumulative]]))</f>
        <v>0</v>
      </c>
      <c r="F177" s="10">
        <f>Tabella8[[#This Row],[region fit]]+Tabella8[[#This Row],[rest of Italy fit]]</f>
        <v>205119.51631520217</v>
      </c>
      <c r="G177" s="72">
        <f>Tabella8[[#This Row],[Italy sum of regions]]/K_sum</f>
        <v>0.91164229473423186</v>
      </c>
      <c r="H177" s="10">
        <f>Tabella8[[#This Row],[Italy sum of regions]]*NOT(ISBLANK(Tabella8[[#This Row],[Italy cumulative]]))</f>
        <v>0</v>
      </c>
      <c r="I177" s="132">
        <f>MAX(Kt*(TANH(psi_t*(Tabella8[[#This Row],[Day]]-pt)-phi_t)+TANH(phi_t))/(1+TANH(phi_t)),0)</f>
        <v>205238.90454390828</v>
      </c>
      <c r="J177" s="109">
        <f>Tabella8[[#This Row],[Italy fit]]/Kt</f>
        <v>0.91217290908403681</v>
      </c>
      <c r="K177" s="22">
        <f>Tabella8[[#This Row],[Italy fit]]*NOT(ISBLANK(Tabella8[[#This Row],[Italy cumulative]]))</f>
        <v>0</v>
      </c>
      <c r="N177" s="58"/>
      <c r="O177" s="10">
        <f>Tabella8[[#This Row],[region data]]*NOT(ISBLANK(Tabella8[[#This Row],[region data]]))</f>
        <v>0</v>
      </c>
      <c r="P177" s="107">
        <f>MAX(Kr*(TANH(psi_r*(Tabella8[[#This Row],[Day]]-pr)-phi_r)+TANH(phi_r))/(1+TANH(phi_r)),0)</f>
        <v>8474.7503788905124</v>
      </c>
      <c r="Q177" s="107">
        <f>Tabella8[[#This Row],[region fit]]/Kr</f>
        <v>0.94478822507140603</v>
      </c>
      <c r="R177" s="22">
        <f>Tabella8[[#This Row],[region fit]]*NOT(ISBLANK(Tabella8[[#This Row],[region data]]))</f>
        <v>0</v>
      </c>
      <c r="V177" s="10">
        <f>Tabella8[[#This Row],[rest of Italy ]]*NOT(ISBLANK(Tabella8[[#This Row],[rest of Italy ]]))</f>
        <v>0</v>
      </c>
      <c r="W177" s="108">
        <f>MAX(Ko*(TANH(psi_o*(Tabella8[[#This Row],[Day]]-po)-phi_o)+TANH(phi_o))/(1+TANH(phi_o)),0)</f>
        <v>196644.76593631165</v>
      </c>
      <c r="X177" s="108">
        <f>Tabella8[[#This Row],[rest of Italy fit]]/Ko</f>
        <v>0.91026600905574062</v>
      </c>
      <c r="Y177" s="22">
        <f>Tabella8[[#This Row],[rest of Italy fit]]*NOT(ISBLANK(Tabella8[[#This Row],[rest of Italy ]]))</f>
        <v>0</v>
      </c>
    </row>
    <row r="178" spans="2:25" x14ac:dyDescent="0.3">
      <c r="B178" s="9">
        <v>44001</v>
      </c>
      <c r="C178" s="4">
        <v>171</v>
      </c>
      <c r="D178" s="1"/>
      <c r="E178" s="10">
        <f>Tabella8[[#This Row],[Italy cumulative]]*NOT(ISBLANK(Tabella8[[#This Row],[Italy cumulative]]))</f>
        <v>0</v>
      </c>
      <c r="F178" s="10">
        <f>Tabella8[[#This Row],[region fit]]+Tabella8[[#This Row],[rest of Italy fit]]</f>
        <v>205999.24204854199</v>
      </c>
      <c r="G178" s="72">
        <f>Tabella8[[#This Row],[Italy sum of regions]]/K_sum</f>
        <v>0.9155521868824088</v>
      </c>
      <c r="H178" s="10">
        <f>Tabella8[[#This Row],[Italy sum of regions]]*NOT(ISBLANK(Tabella8[[#This Row],[Italy cumulative]]))</f>
        <v>0</v>
      </c>
      <c r="I178" s="132">
        <f>MAX(Kt*(TANH(psi_t*(Tabella8[[#This Row],[Day]]-pt)-phi_t)+TANH(phi_t))/(1+TANH(phi_t)),0)</f>
        <v>206117.26240416378</v>
      </c>
      <c r="J178" s="109">
        <f>Tabella8[[#This Row],[Italy fit]]/Kt</f>
        <v>0.91607672179628341</v>
      </c>
      <c r="K178" s="22">
        <f>Tabella8[[#This Row],[Italy fit]]*NOT(ISBLANK(Tabella8[[#This Row],[Italy cumulative]]))</f>
        <v>0</v>
      </c>
      <c r="N178" s="58"/>
      <c r="O178" s="10">
        <f>Tabella8[[#This Row],[region data]]*NOT(ISBLANK(Tabella8[[#This Row],[region data]]))</f>
        <v>0</v>
      </c>
      <c r="P178" s="107">
        <f>MAX(Kr*(TANH(psi_r*(Tabella8[[#This Row],[Day]]-pr)-phi_r)+TANH(phi_r))/(1+TANH(phi_r)),0)</f>
        <v>8500.6084242419001</v>
      </c>
      <c r="Q178" s="107">
        <f>Tabella8[[#This Row],[region fit]]/Kr</f>
        <v>0.9476709503056745</v>
      </c>
      <c r="R178" s="22">
        <f>Tabella8[[#This Row],[region fit]]*NOT(ISBLANK(Tabella8[[#This Row],[region data]]))</f>
        <v>0</v>
      </c>
      <c r="V178" s="10">
        <f>Tabella8[[#This Row],[rest of Italy ]]*NOT(ISBLANK(Tabella8[[#This Row],[rest of Italy ]]))</f>
        <v>0</v>
      </c>
      <c r="W178" s="108">
        <f>MAX(Ko*(TANH(psi_o*(Tabella8[[#This Row],[Day]]-po)-phi_o)+TANH(phi_o))/(1+TANH(phi_o)),0)</f>
        <v>197498.6336243001</v>
      </c>
      <c r="X178" s="108">
        <f>Tabella8[[#This Row],[rest of Italy fit]]/Ko</f>
        <v>0.91421855123964313</v>
      </c>
      <c r="Y178" s="22">
        <f>Tabella8[[#This Row],[rest of Italy fit]]*NOT(ISBLANK(Tabella8[[#This Row],[rest of Italy ]]))</f>
        <v>0</v>
      </c>
    </row>
    <row r="179" spans="2:25" x14ac:dyDescent="0.3">
      <c r="B179" s="9">
        <v>44002</v>
      </c>
      <c r="C179" s="4">
        <v>172</v>
      </c>
      <c r="D179" s="1"/>
      <c r="E179" s="10">
        <f>Tabella8[[#This Row],[Italy cumulative]]*NOT(ISBLANK(Tabella8[[#This Row],[Italy cumulative]]))</f>
        <v>0</v>
      </c>
      <c r="F179" s="10">
        <f>Tabella8[[#This Row],[region fit]]+Tabella8[[#This Row],[rest of Italy fit]]</f>
        <v>206843.1832490727</v>
      </c>
      <c r="G179" s="72">
        <f>Tabella8[[#This Row],[Italy sum of regions]]/K_sum</f>
        <v>0.91930303666254531</v>
      </c>
      <c r="H179" s="10">
        <f>Tabella8[[#This Row],[Italy sum of regions]]*NOT(ISBLANK(Tabella8[[#This Row],[Italy cumulative]]))</f>
        <v>0</v>
      </c>
      <c r="I179" s="132">
        <f>MAX(Kt*(TANH(psi_t*(Tabella8[[#This Row],[Day]]-pt)-phi_t)+TANH(phi_t))/(1+TANH(phi_t)),0)</f>
        <v>206959.73240142319</v>
      </c>
      <c r="J179" s="109">
        <f>Tabella8[[#This Row],[Italy fit]]/Kt</f>
        <v>0.91982103289521411</v>
      </c>
      <c r="K179" s="22">
        <f>Tabella8[[#This Row],[Italy fit]]*NOT(ISBLANK(Tabella8[[#This Row],[Italy cumulative]]))</f>
        <v>0</v>
      </c>
      <c r="N179" s="58"/>
      <c r="O179" s="10">
        <f>Tabella8[[#This Row],[region data]]*NOT(ISBLANK(Tabella8[[#This Row],[region data]]))</f>
        <v>0</v>
      </c>
      <c r="P179" s="107">
        <f>MAX(Kr*(TANH(psi_r*(Tabella8[[#This Row],[Day]]-pr)-phi_r)+TANH(phi_r))/(1+TANH(phi_r)),0)</f>
        <v>8525.1811058578242</v>
      </c>
      <c r="Q179" s="107">
        <f>Tabella8[[#This Row],[region fit]]/Kr</f>
        <v>0.95041037969429476</v>
      </c>
      <c r="R179" s="22">
        <f>Tabella8[[#This Row],[region fit]]*NOT(ISBLANK(Tabella8[[#This Row],[region data]]))</f>
        <v>0</v>
      </c>
      <c r="V179" s="10">
        <f>Tabella8[[#This Row],[rest of Italy ]]*NOT(ISBLANK(Tabella8[[#This Row],[rest of Italy ]]))</f>
        <v>0</v>
      </c>
      <c r="W179" s="108">
        <f>MAX(Ko*(TANH(psi_o*(Tabella8[[#This Row],[Day]]-po)-phi_o)+TANH(phi_o))/(1+TANH(phi_o)),0)</f>
        <v>198318.00214321486</v>
      </c>
      <c r="X179" s="108">
        <f>Tabella8[[#This Row],[rest of Italy fit]]/Ko</f>
        <v>0.91801139722823155</v>
      </c>
      <c r="Y179" s="22">
        <f>Tabella8[[#This Row],[rest of Italy fit]]*NOT(ISBLANK(Tabella8[[#This Row],[rest of Italy ]]))</f>
        <v>0</v>
      </c>
    </row>
    <row r="180" spans="2:25" x14ac:dyDescent="0.3">
      <c r="B180" s="9">
        <v>44003</v>
      </c>
      <c r="C180" s="4">
        <v>173</v>
      </c>
      <c r="D180" s="1"/>
      <c r="E180" s="10">
        <f>Tabella8[[#This Row],[Italy cumulative]]*NOT(ISBLANK(Tabella8[[#This Row],[Italy cumulative]]))</f>
        <v>0</v>
      </c>
      <c r="F180" s="10">
        <f>Tabella8[[#This Row],[region fit]]+Tabella8[[#This Row],[rest of Italy fit]]</f>
        <v>207652.52050035133</v>
      </c>
      <c r="G180" s="72">
        <f>Tabella8[[#This Row],[Italy sum of regions]]/K_sum</f>
        <v>0.92290009111267257</v>
      </c>
      <c r="H180" s="10">
        <f>Tabella8[[#This Row],[Italy sum of regions]]*NOT(ISBLANK(Tabella8[[#This Row],[Italy cumulative]]))</f>
        <v>0</v>
      </c>
      <c r="I180" s="132">
        <f>MAX(Kt*(TANH(psi_t*(Tabella8[[#This Row],[Day]]-pt)-phi_t)+TANH(phi_t))/(1+TANH(phi_t)),0)</f>
        <v>207767.50415014703</v>
      </c>
      <c r="J180" s="109">
        <f>Tabella8[[#This Row],[Italy fit]]/Kt</f>
        <v>0.92341112955620896</v>
      </c>
      <c r="K180" s="22">
        <f>Tabella8[[#This Row],[Italy fit]]*NOT(ISBLANK(Tabella8[[#This Row],[Italy cumulative]]))</f>
        <v>0</v>
      </c>
      <c r="N180" s="58"/>
      <c r="O180" s="10">
        <f>Tabella8[[#This Row],[region data]]*NOT(ISBLANK(Tabella8[[#This Row],[region data]]))</f>
        <v>0</v>
      </c>
      <c r="P180" s="107">
        <f>MAX(Kr*(TANH(psi_r*(Tabella8[[#This Row],[Day]]-pr)-phi_r)+TANH(phi_r))/(1+TANH(phi_r)),0)</f>
        <v>8548.5256908039828</v>
      </c>
      <c r="Q180" s="107">
        <f>Tabella8[[#This Row],[region fit]]/Kr</f>
        <v>0.95301289752552765</v>
      </c>
      <c r="R180" s="22">
        <f>Tabella8[[#This Row],[region fit]]*NOT(ISBLANK(Tabella8[[#This Row],[region data]]))</f>
        <v>0</v>
      </c>
      <c r="V180" s="10">
        <f>Tabella8[[#This Row],[rest of Italy ]]*NOT(ISBLANK(Tabella8[[#This Row],[rest of Italy ]]))</f>
        <v>0</v>
      </c>
      <c r="W180" s="108">
        <f>MAX(Ko*(TANH(psi_o*(Tabella8[[#This Row],[Day]]-po)-phi_o)+TANH(phi_o))/(1+TANH(phi_o)),0)</f>
        <v>199103.99480954735</v>
      </c>
      <c r="X180" s="108">
        <f>Tabella8[[#This Row],[rest of Italy fit]]/Ko</f>
        <v>0.92164974683862122</v>
      </c>
      <c r="Y180" s="22">
        <f>Tabella8[[#This Row],[rest of Italy fit]]*NOT(ISBLANK(Tabella8[[#This Row],[rest of Italy ]]))</f>
        <v>0</v>
      </c>
    </row>
    <row r="181" spans="2:25" x14ac:dyDescent="0.3">
      <c r="B181" s="9">
        <v>44004</v>
      </c>
      <c r="C181" s="4">
        <v>174</v>
      </c>
      <c r="D181" s="1"/>
      <c r="E181" s="10">
        <f>Tabella8[[#This Row],[Italy cumulative]]*NOT(ISBLANK(Tabella8[[#This Row],[Italy cumulative]]))</f>
        <v>0</v>
      </c>
      <c r="F181" s="10">
        <f>Tabella8[[#This Row],[region fit]]+Tabella8[[#This Row],[rest of Italy fit]]</f>
        <v>208428.41982890738</v>
      </c>
      <c r="G181" s="72">
        <f>Tabella8[[#This Row],[Italy sum of regions]]/K_sum</f>
        <v>0.92634853257292171</v>
      </c>
      <c r="H181" s="10">
        <f>Tabella8[[#This Row],[Italy sum of regions]]*NOT(ISBLANK(Tabella8[[#This Row],[Italy cumulative]]))</f>
        <v>0</v>
      </c>
      <c r="I181" s="132">
        <f>MAX(Kt*(TANH(psi_t*(Tabella8[[#This Row],[Day]]-pt)-phi_t)+TANH(phi_t))/(1+TANH(phi_t)),0)</f>
        <v>208541.7524611523</v>
      </c>
      <c r="J181" s="109">
        <f>Tabella8[[#This Row],[Italy fit]]/Kt</f>
        <v>0.92685223316067689</v>
      </c>
      <c r="K181" s="22">
        <f>Tabella8[[#This Row],[Italy fit]]*NOT(ISBLANK(Tabella8[[#This Row],[Italy cumulative]]))</f>
        <v>0</v>
      </c>
      <c r="N181" s="58"/>
      <c r="O181" s="10">
        <f>Tabella8[[#This Row],[region data]]*NOT(ISBLANK(Tabella8[[#This Row],[region data]]))</f>
        <v>0</v>
      </c>
      <c r="P181" s="107">
        <f>MAX(Kr*(TANH(psi_r*(Tabella8[[#This Row],[Day]]-pr)-phi_r)+TANH(phi_r))/(1+TANH(phi_r)),0)</f>
        <v>8570.6975780730554</v>
      </c>
      <c r="Q181" s="107">
        <f>Tabella8[[#This Row],[region fit]]/Kr</f>
        <v>0.95548467982977203</v>
      </c>
      <c r="R181" s="22">
        <f>Tabella8[[#This Row],[region fit]]*NOT(ISBLANK(Tabella8[[#This Row],[region data]]))</f>
        <v>0</v>
      </c>
      <c r="V181" s="10">
        <f>Tabella8[[#This Row],[rest of Italy ]]*NOT(ISBLANK(Tabella8[[#This Row],[rest of Italy ]]))</f>
        <v>0</v>
      </c>
      <c r="W181" s="108">
        <f>MAX(Ko*(TANH(psi_o*(Tabella8[[#This Row],[Day]]-po)-phi_o)+TANH(phi_o))/(1+TANH(phi_o)),0)</f>
        <v>199857.72225083434</v>
      </c>
      <c r="X181" s="108">
        <f>Tabella8[[#This Row],[rest of Italy fit]]/Ko</f>
        <v>0.92513874115092509</v>
      </c>
      <c r="Y181" s="22">
        <f>Tabella8[[#This Row],[rest of Italy fit]]*NOT(ISBLANK(Tabella8[[#This Row],[rest of Italy ]]))</f>
        <v>0</v>
      </c>
    </row>
    <row r="182" spans="2:25" x14ac:dyDescent="0.3">
      <c r="B182" s="9">
        <v>44005</v>
      </c>
      <c r="C182" s="4">
        <v>175</v>
      </c>
      <c r="D182" s="1"/>
      <c r="E182" s="10">
        <f>Tabella8[[#This Row],[Italy cumulative]]*NOT(ISBLANK(Tabella8[[#This Row],[Italy cumulative]]))</f>
        <v>0</v>
      </c>
      <c r="F182" s="10">
        <f>Tabella8[[#This Row],[region fit]]+Tabella8[[#This Row],[rest of Italy fit]]</f>
        <v>209172.03044429256</v>
      </c>
      <c r="G182" s="72">
        <f>Tabella8[[#This Row],[Italy sum of regions]]/K_sum</f>
        <v>0.92965346864130027</v>
      </c>
      <c r="H182" s="10">
        <f>Tabella8[[#This Row],[Italy sum of regions]]*NOT(ISBLANK(Tabella8[[#This Row],[Italy cumulative]]))</f>
        <v>0</v>
      </c>
      <c r="I182" s="132">
        <f>MAX(Kt*(TANH(psi_t*(Tabella8[[#This Row],[Day]]-pt)-phi_t)+TANH(phi_t))/(1+TANH(phi_t)),0)</f>
        <v>209283.63505372521</v>
      </c>
      <c r="J182" s="109">
        <f>Tabella8[[#This Row],[Italy fit]]/Kt</f>
        <v>0.93014948912766759</v>
      </c>
      <c r="K182" s="22">
        <f>Tabella8[[#This Row],[Italy fit]]*NOT(ISBLANK(Tabella8[[#This Row],[Italy cumulative]]))</f>
        <v>0</v>
      </c>
      <c r="N182" s="58"/>
      <c r="O182" s="10">
        <f>Tabella8[[#This Row],[region data]]*NOT(ISBLANK(Tabella8[[#This Row],[region data]]))</f>
        <v>0</v>
      </c>
      <c r="P182" s="107">
        <f>MAX(Kr*(TANH(psi_r*(Tabella8[[#This Row],[Day]]-pr)-phi_r)+TANH(phi_r))/(1+TANH(phi_r)),0)</f>
        <v>8591.7502852618236</v>
      </c>
      <c r="Q182" s="107">
        <f>Tabella8[[#This Row],[region fit]]/Kr</f>
        <v>0.95783169289429471</v>
      </c>
      <c r="R182" s="22">
        <f>Tabella8[[#This Row],[region fit]]*NOT(ISBLANK(Tabella8[[#This Row],[region data]]))</f>
        <v>0</v>
      </c>
      <c r="V182" s="10">
        <f>Tabella8[[#This Row],[rest of Italy ]]*NOT(ISBLANK(Tabella8[[#This Row],[rest of Italy ]]))</f>
        <v>0</v>
      </c>
      <c r="W182" s="108">
        <f>MAX(Ko*(TANH(psi_o*(Tabella8[[#This Row],[Day]]-po)-phi_o)+TANH(phi_o))/(1+TANH(phi_o)),0)</f>
        <v>200580.28015903072</v>
      </c>
      <c r="X182" s="108">
        <f>Tabella8[[#This Row],[rest of Italy fit]]/Ko</f>
        <v>0.92848345210864569</v>
      </c>
      <c r="Y182" s="22">
        <f>Tabella8[[#This Row],[rest of Italy fit]]*NOT(ISBLANK(Tabella8[[#This Row],[rest of Italy ]]))</f>
        <v>0</v>
      </c>
    </row>
    <row r="183" spans="2:25" x14ac:dyDescent="0.3">
      <c r="B183" s="9">
        <v>44006</v>
      </c>
      <c r="C183" s="4">
        <v>176</v>
      </c>
      <c r="D183" s="1"/>
      <c r="E183" s="10">
        <f>Tabella8[[#This Row],[Italy cumulative]]*NOT(ISBLANK(Tabella8[[#This Row],[Italy cumulative]]))</f>
        <v>0</v>
      </c>
      <c r="F183" s="10">
        <f>Tabella8[[#This Row],[region fit]]+Tabella8[[#This Row],[rest of Italy fit]]</f>
        <v>209884.48275154183</v>
      </c>
      <c r="G183" s="72">
        <f>Tabella8[[#This Row],[Italy sum of regions]]/K_sum</f>
        <v>0.93281992334018593</v>
      </c>
      <c r="H183" s="10">
        <f>Tabella8[[#This Row],[Italy sum of regions]]*NOT(ISBLANK(Tabella8[[#This Row],[Italy cumulative]]))</f>
        <v>0</v>
      </c>
      <c r="I183" s="132">
        <f>MAX(Kt*(TANH(psi_t*(Tabella8[[#This Row],[Day]]-pt)-phi_t)+TANH(phi_t))/(1+TANH(phi_t)),0)</f>
        <v>209994.29054504537</v>
      </c>
      <c r="J183" s="109">
        <f>Tabella8[[#This Row],[Italy fit]]/Kt</f>
        <v>0.93330795797797939</v>
      </c>
      <c r="K183" s="22">
        <f>Tabella8[[#This Row],[Italy fit]]*NOT(ISBLANK(Tabella8[[#This Row],[Italy cumulative]]))</f>
        <v>0</v>
      </c>
      <c r="N183" s="58"/>
      <c r="O183" s="10">
        <f>Tabella8[[#This Row],[region data]]*NOT(ISBLANK(Tabella8[[#This Row],[region data]]))</f>
        <v>0</v>
      </c>
      <c r="P183" s="107">
        <f>MAX(Kr*(TANH(psi_r*(Tabella8[[#This Row],[Day]]-pr)-phi_r)+TANH(phi_r))/(1+TANH(phi_r)),0)</f>
        <v>8611.735445515611</v>
      </c>
      <c r="Q183" s="107">
        <f>Tabella8[[#This Row],[region fit]]/Kr</f>
        <v>0.96005969292258764</v>
      </c>
      <c r="R183" s="22">
        <f>Tabella8[[#This Row],[region fit]]*NOT(ISBLANK(Tabella8[[#This Row],[region data]]))</f>
        <v>0</v>
      </c>
      <c r="V183" s="10">
        <f>Tabella8[[#This Row],[rest of Italy ]]*NOT(ISBLANK(Tabella8[[#This Row],[rest of Italy ]]))</f>
        <v>0</v>
      </c>
      <c r="W183" s="108">
        <f>MAX(Ko*(TANH(psi_o*(Tabella8[[#This Row],[Day]]-po)-phi_o)+TANH(phi_o))/(1+TANH(phi_o)),0)</f>
        <v>201272.74730602623</v>
      </c>
      <c r="X183" s="108">
        <f>Tabella8[[#This Row],[rest of Italy fit]]/Ko</f>
        <v>0.93168887333252892</v>
      </c>
      <c r="Y183" s="22">
        <f>Tabella8[[#This Row],[rest of Italy fit]]*NOT(ISBLANK(Tabella8[[#This Row],[rest of Italy ]]))</f>
        <v>0</v>
      </c>
    </row>
    <row r="184" spans="2:25" x14ac:dyDescent="0.3">
      <c r="B184" s="9">
        <v>44007</v>
      </c>
      <c r="C184" s="4">
        <v>177</v>
      </c>
      <c r="D184" s="1"/>
      <c r="E184" s="10">
        <f>Tabella8[[#This Row],[Italy cumulative]]*NOT(ISBLANK(Tabella8[[#This Row],[Italy cumulative]]))</f>
        <v>0</v>
      </c>
      <c r="F184" s="10">
        <f>Tabella8[[#This Row],[region fit]]+Tabella8[[#This Row],[rest of Italy fit]]</f>
        <v>210566.88661970836</v>
      </c>
      <c r="G184" s="72">
        <f>Tabella8[[#This Row],[Italy sum of regions]]/K_sum</f>
        <v>0.93585282942092607</v>
      </c>
      <c r="H184" s="10">
        <f>Tabella8[[#This Row],[Italy sum of regions]]*NOT(ISBLANK(Tabella8[[#This Row],[Italy cumulative]]))</f>
        <v>0</v>
      </c>
      <c r="I184" s="132">
        <f>MAX(Kt*(TANH(psi_t*(Tabella8[[#This Row],[Day]]-pt)-phi_t)+TANH(phi_t))/(1+TANH(phi_t)),0)</f>
        <v>210674.83670022123</v>
      </c>
      <c r="J184" s="109">
        <f>Tabella8[[#This Row],[Italy fit]]/Kt</f>
        <v>0.9363326075565388</v>
      </c>
      <c r="K184" s="22">
        <f>Tabella8[[#This Row],[Italy fit]]*NOT(ISBLANK(Tabella8[[#This Row],[Italy cumulative]]))</f>
        <v>0</v>
      </c>
      <c r="N184" s="58"/>
      <c r="O184" s="10">
        <f>Tabella8[[#This Row],[region data]]*NOT(ISBLANK(Tabella8[[#This Row],[region data]]))</f>
        <v>0</v>
      </c>
      <c r="P184" s="107">
        <f>MAX(Kr*(TANH(psi_r*(Tabella8[[#This Row],[Day]]-pr)-phi_r)+TANH(phi_r))/(1+TANH(phi_r)),0)</f>
        <v>8630.702813541684</v>
      </c>
      <c r="Q184" s="107">
        <f>Tabella8[[#This Row],[region fit]]/Kr</f>
        <v>0.9621742267047585</v>
      </c>
      <c r="R184" s="22">
        <f>Tabella8[[#This Row],[region fit]]*NOT(ISBLANK(Tabella8[[#This Row],[region data]]))</f>
        <v>0</v>
      </c>
      <c r="V184" s="10">
        <f>Tabella8[[#This Row],[rest of Italy ]]*NOT(ISBLANK(Tabella8[[#This Row],[rest of Italy ]]))</f>
        <v>0</v>
      </c>
      <c r="W184" s="108">
        <f>MAX(Ko*(TANH(psi_o*(Tabella8[[#This Row],[Day]]-po)-phi_o)+TANH(phi_o))/(1+TANH(phi_o)),0)</f>
        <v>201936.18380616666</v>
      </c>
      <c r="X184" s="108">
        <f>Tabella8[[#This Row],[rest of Italy fit]]/Ko</f>
        <v>0.93475991207779785</v>
      </c>
      <c r="Y184" s="22">
        <f>Tabella8[[#This Row],[rest of Italy fit]]*NOT(ISBLANK(Tabella8[[#This Row],[rest of Italy ]]))</f>
        <v>0</v>
      </c>
    </row>
    <row r="185" spans="2:25" x14ac:dyDescent="0.3">
      <c r="P185" s="131"/>
    </row>
    <row r="186" spans="2:25" x14ac:dyDescent="0.3">
      <c r="P186" s="131"/>
    </row>
  </sheetData>
  <scenarios current="0" show="0">
    <scenario name="Lombardy deaths LN" count="4" user="ampfn" comment="Creato da: ampfn il 4/25/2020">
      <inputCells r="AD41" val="26000.0002579026" numFmtId="1"/>
      <inputCells r="AD42" val="3.62338426554564" numFmtId="2"/>
      <inputCells r="AD43" val="0.341212438551302" numFmtId="2"/>
      <inputCells r="AD50" val="0" numFmtId="2"/>
    </scenario>
  </scenarios>
  <mergeCells count="34">
    <mergeCell ref="AX6:AY6"/>
    <mergeCell ref="BD1:BE1"/>
    <mergeCell ref="BD2:BE2"/>
    <mergeCell ref="S6:X6"/>
    <mergeCell ref="AA4:AD4"/>
    <mergeCell ref="AR8:AR17"/>
    <mergeCell ref="BD4:BE4"/>
    <mergeCell ref="BD5:BE5"/>
    <mergeCell ref="AX1:AY1"/>
    <mergeCell ref="BA1:BB1"/>
    <mergeCell ref="BA2:BB2"/>
    <mergeCell ref="BA3:BB3"/>
    <mergeCell ref="BA4:BB4"/>
    <mergeCell ref="AX4:AY4"/>
    <mergeCell ref="AX3:AY3"/>
    <mergeCell ref="AX2:AY2"/>
    <mergeCell ref="BD3:BE3"/>
    <mergeCell ref="BA6:BB6"/>
    <mergeCell ref="BD6:BE6"/>
    <mergeCell ref="AX5:AY5"/>
    <mergeCell ref="BA5:BB5"/>
    <mergeCell ref="B2:K2"/>
    <mergeCell ref="AF3:AJ3"/>
    <mergeCell ref="B4:H4"/>
    <mergeCell ref="AF4:AJ4"/>
    <mergeCell ref="AF5:AJ5"/>
    <mergeCell ref="AF2:AJ2"/>
    <mergeCell ref="I3:L6"/>
    <mergeCell ref="D6:E6"/>
    <mergeCell ref="B5:G5"/>
    <mergeCell ref="AF6:AJ6"/>
    <mergeCell ref="M5:Q5"/>
    <mergeCell ref="S5:X5"/>
    <mergeCell ref="M6:Q6"/>
  </mergeCells>
  <phoneticPr fontId="25" type="noConversion"/>
  <conditionalFormatting sqref="I8:I184">
    <cfRule type="cellIs" dxfId="182" priority="9" operator="lessThan">
      <formula>0.5</formula>
    </cfRule>
  </conditionalFormatting>
  <conditionalFormatting sqref="P9:P184 W9:W184">
    <cfRule type="cellIs" dxfId="181" priority="5" operator="lessThan">
      <formula>0.5</formula>
    </cfRule>
  </conditionalFormatting>
  <conditionalFormatting sqref="P8">
    <cfRule type="cellIs" dxfId="180" priority="2" operator="lessThan">
      <formula>0.5</formula>
    </cfRule>
  </conditionalFormatting>
  <conditionalFormatting sqref="W8">
    <cfRule type="cellIs" dxfId="179" priority="1" operator="lessThan">
      <formula>0.5</formula>
    </cfRule>
  </conditionalFormatting>
  <pageMargins left="0.7" right="0.7" top="0.75" bottom="0.75" header="0.3" footer="0.3"/>
  <pageSetup paperSize="9" orientation="portrait" r:id="rId2"/>
  <drawing r:id="rId3"/>
  <legacyDrawing r:id="rId4"/>
  <tableParts count="5">
    <tablePart r:id="rId5"/>
    <tablePart r:id="rId6"/>
    <tablePart r:id="rId7"/>
    <tablePart r:id="rId8"/>
    <tablePart r:id="rId9"/>
  </tablePar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45406D-92FD-4EA3-85D8-E2226734837A}">
  <dimension ref="B2:BU281"/>
  <sheetViews>
    <sheetView zoomScale="10" zoomScaleNormal="10" workbookViewId="0"/>
  </sheetViews>
  <sheetFormatPr defaultRowHeight="14.4" x14ac:dyDescent="0.3"/>
  <cols>
    <col min="1" max="1" width="2.77734375" style="2" customWidth="1"/>
    <col min="2" max="2" width="15.109375" style="2" bestFit="1" customWidth="1"/>
    <col min="3" max="3" width="14" style="2" bestFit="1" customWidth="1"/>
    <col min="4" max="4" width="13.44140625" style="2" customWidth="1"/>
    <col min="5" max="5" width="16.33203125" style="2" customWidth="1"/>
    <col min="6" max="6" width="20.109375" style="2" bestFit="1" customWidth="1"/>
    <col min="7" max="7" width="21.109375" style="131" bestFit="1" customWidth="1"/>
    <col min="8" max="8" width="19.88671875" style="86" customWidth="1"/>
    <col min="9" max="9" width="19.6640625" style="2" bestFit="1" customWidth="1"/>
    <col min="10" max="10" width="19.6640625" style="86" customWidth="1"/>
    <col min="11" max="11" width="19.6640625" style="2" customWidth="1"/>
    <col min="12" max="13" width="10.33203125" style="264" customWidth="1"/>
    <col min="14" max="14" width="19.6640625" style="86" customWidth="1"/>
    <col min="15" max="15" width="14" style="2" bestFit="1" customWidth="1"/>
    <col min="16" max="16" width="14" style="2" customWidth="1"/>
    <col min="17" max="17" width="21.88671875" style="2" bestFit="1" customWidth="1"/>
    <col min="18" max="18" width="20.33203125" style="2" bestFit="1" customWidth="1"/>
    <col min="19" max="19" width="16.109375" style="2" bestFit="1" customWidth="1"/>
    <col min="20" max="20" width="20.6640625" style="2" bestFit="1" customWidth="1"/>
    <col min="21" max="21" width="20.5546875" style="2" bestFit="1" customWidth="1"/>
    <col min="22" max="23" width="20.5546875" style="284" customWidth="1"/>
    <col min="24" max="24" width="21.109375" style="2" bestFit="1" customWidth="1"/>
    <col min="25" max="25" width="13.44140625" style="86" customWidth="1"/>
    <col min="26" max="26" width="19.5546875" style="2" bestFit="1" customWidth="1"/>
    <col min="27" max="27" width="19.5546875" style="86" customWidth="1"/>
    <col min="28" max="28" width="18.21875" style="2" customWidth="1"/>
    <col min="29" max="30" width="18.21875" style="284" customWidth="1"/>
    <col min="31" max="32" width="18.6640625" style="2" bestFit="1" customWidth="1"/>
    <col min="33" max="33" width="17.44140625" style="2" bestFit="1" customWidth="1"/>
    <col min="34" max="34" width="18.109375" style="2" bestFit="1" customWidth="1"/>
    <col min="35" max="35" width="21.88671875" style="2" bestFit="1" customWidth="1"/>
    <col min="36" max="36" width="21.109375" style="2" bestFit="1" customWidth="1"/>
    <col min="37" max="37" width="21.109375" style="86" customWidth="1"/>
    <col min="38" max="38" width="24" style="2" bestFit="1" customWidth="1"/>
    <col min="39" max="39" width="17.77734375" style="86" customWidth="1"/>
    <col min="40" max="40" width="23.33203125" style="2" bestFit="1" customWidth="1"/>
    <col min="41" max="41" width="21.5546875" style="2" bestFit="1" customWidth="1"/>
    <col min="42" max="42" width="19.33203125" style="2" bestFit="1" customWidth="1"/>
    <col min="43" max="43" width="1.77734375" style="2" customWidth="1"/>
    <col min="44" max="44" width="24.33203125" style="2" bestFit="1" customWidth="1"/>
    <col min="45" max="45" width="23.33203125" style="2" bestFit="1" customWidth="1"/>
    <col min="46" max="47" width="8.88671875" style="2"/>
    <col min="48" max="48" width="17.88671875" style="2" bestFit="1" customWidth="1"/>
    <col min="49" max="49" width="8.88671875" style="2"/>
    <col min="50" max="50" width="11" style="2" bestFit="1" customWidth="1"/>
    <col min="51" max="57" width="8.88671875" style="2"/>
    <col min="58" max="58" width="9.5546875" style="2" bestFit="1" customWidth="1"/>
    <col min="59" max="16384" width="8.88671875" style="2"/>
  </cols>
  <sheetData>
    <row r="2" spans="2:58" ht="24" thickBot="1" x14ac:dyDescent="0.5">
      <c r="B2" s="302" t="s">
        <v>11</v>
      </c>
      <c r="C2" s="302"/>
      <c r="D2" s="302"/>
      <c r="E2" s="302"/>
      <c r="F2" s="302"/>
    </row>
    <row r="3" spans="2:58" ht="17.399999999999999" customHeight="1" thickBot="1" x14ac:dyDescent="0.65">
      <c r="B3" s="11"/>
      <c r="F3" s="305"/>
      <c r="J3" s="264"/>
      <c r="K3" s="306"/>
      <c r="L3" s="306"/>
      <c r="M3" s="306"/>
      <c r="N3" s="306"/>
      <c r="O3" s="306"/>
      <c r="P3" s="306"/>
      <c r="AP3" s="71"/>
      <c r="AS3" s="75"/>
      <c r="AT3" s="289" t="s">
        <v>0</v>
      </c>
      <c r="AU3" s="303" t="s">
        <v>115</v>
      </c>
      <c r="AV3" s="303"/>
      <c r="AW3" s="303"/>
      <c r="AX3" s="303"/>
      <c r="AY3" s="303"/>
      <c r="AZ3" s="268"/>
    </row>
    <row r="4" spans="2:58" ht="20.399999999999999" thickBot="1" x14ac:dyDescent="0.45">
      <c r="B4" s="304" t="s">
        <v>4774</v>
      </c>
      <c r="C4" s="304"/>
      <c r="D4" s="304"/>
      <c r="E4" s="304"/>
      <c r="F4" s="305"/>
      <c r="H4" s="332" t="s">
        <v>4426</v>
      </c>
      <c r="I4" s="332"/>
      <c r="J4" s="291">
        <f>CORREL(Tabella3[Day],Tabella3[Colonna4])</f>
        <v>-7.5857957159058853E-2</v>
      </c>
      <c r="K4" s="306"/>
      <c r="L4" s="306"/>
      <c r="M4" s="306"/>
      <c r="N4" s="306"/>
      <c r="O4" s="306"/>
      <c r="P4" s="306"/>
      <c r="AP4" s="71"/>
      <c r="AS4" s="73"/>
      <c r="AT4" s="289" t="s">
        <v>4737</v>
      </c>
      <c r="AU4" s="303" t="s">
        <v>115</v>
      </c>
      <c r="AV4" s="303"/>
      <c r="AW4" s="303"/>
      <c r="AX4" s="303"/>
      <c r="AY4" s="303"/>
      <c r="AZ4" s="268"/>
    </row>
    <row r="5" spans="2:58" ht="18.600000000000001" thickTop="1" thickBot="1" x14ac:dyDescent="0.4">
      <c r="B5" s="330" t="s">
        <v>132</v>
      </c>
      <c r="C5" s="330"/>
      <c r="D5" s="330"/>
      <c r="E5" s="330"/>
      <c r="F5" s="305"/>
      <c r="J5" s="266">
        <f>Cumul_removed_bSIR!H5</f>
        <v>43900.844294912233</v>
      </c>
      <c r="K5" s="306"/>
      <c r="L5" s="306"/>
      <c r="M5" s="306"/>
      <c r="N5" s="306"/>
      <c r="O5" s="306"/>
      <c r="P5" s="306"/>
      <c r="Q5" s="331" t="s">
        <v>4772</v>
      </c>
      <c r="R5" s="331"/>
      <c r="S5" s="331"/>
      <c r="T5" s="331"/>
      <c r="U5" s="331"/>
      <c r="V5" s="285"/>
      <c r="W5" s="285"/>
      <c r="AA5" s="120">
        <f>Cumul_removed_bSIR!R5</f>
        <v>43906.240334693241</v>
      </c>
      <c r="AB5" s="331" t="s">
        <v>4772</v>
      </c>
      <c r="AC5" s="331"/>
      <c r="AD5" s="331"/>
      <c r="AE5" s="331"/>
      <c r="AF5" s="331"/>
      <c r="AG5" s="331"/>
      <c r="AH5" s="331"/>
      <c r="AM5" s="118">
        <f>Cumul_removed_bSIR!Y5</f>
        <v>43900.695444456083</v>
      </c>
      <c r="AS5" s="74"/>
      <c r="AT5" s="289" t="s">
        <v>4738</v>
      </c>
      <c r="AU5" s="303" t="s">
        <v>4739</v>
      </c>
      <c r="AV5" s="303"/>
      <c r="AW5" s="303"/>
      <c r="AX5" s="303"/>
      <c r="AY5" s="303"/>
      <c r="AZ5" s="268"/>
    </row>
    <row r="6" spans="2:58" ht="19.2" thickTop="1" thickBot="1" x14ac:dyDescent="0.4">
      <c r="B6" s="110">
        <f ca="1">TODAY()</f>
        <v>43966</v>
      </c>
      <c r="C6" s="111">
        <f ca="1">Oggi-Start_data+1</f>
        <v>136</v>
      </c>
      <c r="D6" s="111">
        <v>0</v>
      </c>
      <c r="E6" s="111">
        <v>1</v>
      </c>
      <c r="F6" s="305"/>
      <c r="H6" s="112" cm="1">
        <f t="array" aca="1" ref="H6" ca="1">INDEX(Tabella3[[Day]:[Lower CI__]],C6,6)</f>
        <v>0.65235224297285355</v>
      </c>
      <c r="I6" s="113" cm="1">
        <f t="array" aca="1" ref="I6" ca="1">INDEX(Tabella3[[Day]:[Lower CI__]],C6,12)</f>
        <v>0.87299408284945956</v>
      </c>
      <c r="J6" s="119">
        <f>pf</f>
        <v>69.844294912230211</v>
      </c>
      <c r="K6" s="306"/>
      <c r="L6" s="306"/>
      <c r="M6" s="306"/>
      <c r="N6" s="306"/>
      <c r="O6" s="306"/>
      <c r="P6" s="306"/>
      <c r="Q6" s="309" t="s">
        <v>4771</v>
      </c>
      <c r="R6" s="309"/>
      <c r="S6" s="309"/>
      <c r="T6" s="309"/>
      <c r="U6" s="309"/>
      <c r="V6" s="286"/>
      <c r="W6" s="286"/>
      <c r="Y6" s="114" cm="1">
        <f t="array" aca="1" ref="Y6" ca="1">INDEX(Tabella3[[Day]:[Lower CI__]],C6,23)</f>
        <v>0.70964793435418294</v>
      </c>
      <c r="Z6" s="115" cm="1">
        <f t="array" aca="1" ref="Z6" ca="1">INDEX(Tabella3[[Day]:[Lower CI__]],C6,25)</f>
        <v>0.78197491184621215</v>
      </c>
      <c r="AA6" s="119">
        <f>pl</f>
        <v>75.240334693239092</v>
      </c>
      <c r="AB6" s="309" t="s">
        <v>4771</v>
      </c>
      <c r="AC6" s="309"/>
      <c r="AD6" s="309"/>
      <c r="AE6" s="309"/>
      <c r="AF6" s="309"/>
      <c r="AG6" s="309"/>
      <c r="AH6" s="309"/>
      <c r="AK6" s="116" cm="1">
        <f t="array" aca="1" ref="AK6" ca="1">INDEX(Tabella3[[Day]:[Lower CI__]],C6,35)</f>
        <v>0.64971635618206691</v>
      </c>
      <c r="AL6" s="117" cm="1">
        <f t="array" aca="1" ref="AL6" ca="1">INDEX(Tabella3[[Day]:[Lower CI__]],C6,37)</f>
        <v>0.87622943479904769</v>
      </c>
      <c r="AM6" s="119">
        <f>pa</f>
        <v>69.695444456084331</v>
      </c>
      <c r="AT6" s="269" t="s">
        <v>356</v>
      </c>
      <c r="AU6" s="303" t="s">
        <v>115</v>
      </c>
      <c r="AV6" s="303"/>
      <c r="AW6" s="303"/>
      <c r="AX6" s="303"/>
      <c r="AY6" s="303"/>
      <c r="AZ6" s="268"/>
    </row>
    <row r="7" spans="2:58" ht="43.2" x14ac:dyDescent="0.3">
      <c r="B7" s="4" t="s">
        <v>9</v>
      </c>
      <c r="C7" s="4" t="s">
        <v>10</v>
      </c>
      <c r="D7" s="4" t="s">
        <v>4812</v>
      </c>
      <c r="E7" s="4" t="s">
        <v>4806</v>
      </c>
      <c r="F7" s="4" t="s">
        <v>100</v>
      </c>
      <c r="G7" s="78" t="s">
        <v>4808</v>
      </c>
      <c r="H7" s="78" t="s">
        <v>4809</v>
      </c>
      <c r="I7" s="78" t="s">
        <v>4807</v>
      </c>
      <c r="J7" s="78" t="s">
        <v>305</v>
      </c>
      <c r="K7" s="8" t="s">
        <v>4803</v>
      </c>
      <c r="L7" s="283" t="s">
        <v>4804</v>
      </c>
      <c r="M7" s="283" t="s">
        <v>103</v>
      </c>
      <c r="N7" s="8" t="s">
        <v>4805</v>
      </c>
      <c r="O7" s="8" t="s">
        <v>101</v>
      </c>
      <c r="P7" s="8" t="s">
        <v>124</v>
      </c>
      <c r="Q7" s="8" t="s">
        <v>7</v>
      </c>
      <c r="R7" s="8" t="s">
        <v>8</v>
      </c>
      <c r="S7" s="4" t="s">
        <v>4799</v>
      </c>
      <c r="T7" s="4" t="s">
        <v>4740</v>
      </c>
      <c r="U7" s="4" t="s">
        <v>102</v>
      </c>
      <c r="V7" s="4" t="s">
        <v>4775</v>
      </c>
      <c r="W7" s="4" t="s">
        <v>104</v>
      </c>
      <c r="X7" s="78" t="s">
        <v>4811</v>
      </c>
      <c r="Y7" s="8" t="s">
        <v>4810</v>
      </c>
      <c r="Z7" s="8" t="s">
        <v>4741</v>
      </c>
      <c r="AA7" s="8" t="s">
        <v>4742</v>
      </c>
      <c r="AB7" s="4" t="s">
        <v>125</v>
      </c>
      <c r="AC7" s="4" t="s">
        <v>4776</v>
      </c>
      <c r="AD7" s="4" t="s">
        <v>105</v>
      </c>
      <c r="AE7" s="8" t="s">
        <v>293</v>
      </c>
      <c r="AF7" s="8" t="s">
        <v>292</v>
      </c>
      <c r="AG7" s="4" t="s">
        <v>4800</v>
      </c>
      <c r="AH7" s="4" t="s">
        <v>294</v>
      </c>
      <c r="AI7" s="4" t="s">
        <v>126</v>
      </c>
      <c r="AJ7" s="78" t="s">
        <v>4801</v>
      </c>
      <c r="AK7" s="8" t="s">
        <v>4802</v>
      </c>
      <c r="AL7" s="8" t="s">
        <v>119</v>
      </c>
      <c r="AM7" s="8" t="s">
        <v>303</v>
      </c>
      <c r="AN7" s="4" t="s">
        <v>127</v>
      </c>
      <c r="AO7" s="8" t="s">
        <v>295</v>
      </c>
      <c r="AP7" s="8" t="s">
        <v>296</v>
      </c>
      <c r="AQ7" s="8"/>
      <c r="AR7" s="91" t="s">
        <v>120</v>
      </c>
      <c r="AS7" s="92" t="s">
        <v>116</v>
      </c>
      <c r="AT7" s="3"/>
      <c r="BF7" s="40" t="s">
        <v>99</v>
      </c>
    </row>
    <row r="8" spans="2:58" x14ac:dyDescent="0.3">
      <c r="B8" s="135">
        <v>43831</v>
      </c>
      <c r="C8" s="4">
        <v>1</v>
      </c>
      <c r="D8" s="141"/>
      <c r="E8" s="144"/>
      <c r="F8" s="10">
        <f>Tabella3[[#This Row],[Italy remov. rate data]]*NOT(ISBLANK(Tabella3[[#This Row],[Italy remov. rate data]]))</f>
        <v>0</v>
      </c>
      <c r="G8" s="158">
        <f>Tabella3[[#This Row],[region cumul. fit]]+Tabella3[[#This Row],[rest of Italy cumul. fit]]</f>
        <v>0</v>
      </c>
      <c r="H8" s="158">
        <f>Tabella3[[#This Row],[Italy cumul. fit]]/Kf</f>
        <v>0</v>
      </c>
      <c r="I8" s="143">
        <f>Tabella3[[#This Row],[region fit]]+Tabella3[[#This Row],[rest of Italy fit]]</f>
        <v>32.445032207461921</v>
      </c>
      <c r="J8" s="143">
        <f>Tabella3[[#This Row],[Italy (fit of selected region + fitted sum of the other regions)]]/(y_l_peak+y_a_peak)</f>
        <v>1.0816487012761182E-2</v>
      </c>
      <c r="K8" s="72">
        <f>IFERROR(Kf*psi_f*_xlfn.SECH(psi_f*(Tabella3[[#This Row],[Day]]-pf)-phi_f)^2/(1+TANH(phi_f)),0)</f>
        <v>31.983669796297377</v>
      </c>
      <c r="L8" s="292">
        <f>Tabella3[[#This Row],[Italy remov. rate fit]]-Tabella3[[#This Row],[Italy remov. rate data]]</f>
        <v>31.983669796297377</v>
      </c>
      <c r="M8" s="293">
        <f>Tabella3[[#This Row],[rem. rate residuals]]*NOT(ISBLANK(Tabella3[[#This Row],[Italy remov. rate data]]))</f>
        <v>0</v>
      </c>
      <c r="N8" s="72">
        <f>Tabella3[[#This Row],[Italy remov. rate fit]]/y_f_peak</f>
        <v>1.0656229016707396E-2</v>
      </c>
      <c r="O8" s="10">
        <f>Tabella3[[#This Row],[Italy (fit of selected region + fitted sum of the other regions)]]*NOT(ISBLANK(Tabella3[[#This Row],[Italy remov. rate data]]))</f>
        <v>0</v>
      </c>
      <c r="P8" s="72">
        <f>Tabella3[[#This Row],[Italy remov. rate fit]]*NOT(ISBLANK(Tabella3[[#This Row],[Italy remov. rate data]]))</f>
        <v>0</v>
      </c>
      <c r="Q8" s="72">
        <f>Tabella3[[#This Row],[Italy remov. rate fit]]+CIf</f>
        <v>1747.5985291308486</v>
      </c>
      <c r="R8" s="72">
        <f>MAX(Tabella3[[#This Row],[Italy remov. rate fit]]-CIf,0)</f>
        <v>0</v>
      </c>
      <c r="S8" s="139"/>
      <c r="T8" s="144"/>
      <c r="U8" s="10">
        <f>Tabella3[[#This Row],[region data]]*NOT(ISBLANK(Tabella3[[#This Row],[region data]]))</f>
        <v>0</v>
      </c>
      <c r="V8"/>
      <c r="W8" s="72">
        <f>Tabella3[[#This Row],[6-days moving avg]]*NOT(ISBLANK(Tabella3[[#This Row],[6-days moving avg]]))</f>
        <v>0</v>
      </c>
      <c r="X8" s="145">
        <f>Tabella8[[#This Row],[region fit]]</f>
        <v>0</v>
      </c>
      <c r="Y8" s="10">
        <f>Tabella3[[#This Row],[region cumul. fit]]/Kl</f>
        <v>0</v>
      </c>
      <c r="Z8" s="72">
        <f>IFERROR(Kl*psi_l*_xlfn.SECH(psi_l*(Tabella3[[#This Row],[Day]]-pl)-phi_l)^2/(1+TANH(phi_l)),0)</f>
        <v>0.74568457434327728</v>
      </c>
      <c r="AA8" s="72">
        <f>Tabella3[[#This Row],[region fit]]/y_l_peak</f>
        <v>5.4113823389068498E-3</v>
      </c>
      <c r="AB8" s="10">
        <f>Tabella3[[#This Row],[region fit]]*NOT(ISBLANK(Tabella3[[#This Row],[region data]]))</f>
        <v>0</v>
      </c>
      <c r="AC8" s="166">
        <f>IFERROR(kl_m*psi_l_m*_xlfn.SECH(psi_l_m*(Tabella3[[#This Row],[Day]]-pl_m)-phi_l_m)^2/(1+TANH(phi_l_m)),0)</f>
        <v>0.74568457434327728</v>
      </c>
      <c r="AD8" s="72">
        <f>Tabella3[[#This Row],[6-days moving avg fit]]*NOT(ISBLANK(Tabella3[[#This Row],[6-days moving avg]]))</f>
        <v>0</v>
      </c>
      <c r="AE8" s="72">
        <f>Tabella3[[#This Row],[region fit]]+CIl</f>
        <v>54.510524983891735</v>
      </c>
      <c r="AF8" s="72">
        <f>MAX(Tabella3[[#This Row],[region fit]]-CIl,0)</f>
        <v>0</v>
      </c>
      <c r="AG8" s="141"/>
      <c r="AH8" s="144"/>
      <c r="AI8" s="10">
        <f>Tabella3[[#This Row],[rest of Italy data]]*NOT(ISBLANK(Tabella3[[#This Row],[rest of Italy data]]))</f>
        <v>0</v>
      </c>
      <c r="AJ8" s="145">
        <f>Tabella8[[#This Row],[rest of Italy fit]]</f>
        <v>0</v>
      </c>
      <c r="AK8" s="72">
        <f>Tabella3[[#This Row],[rest of Italy cumul. fit]]/Ka</f>
        <v>0</v>
      </c>
      <c r="AL8" s="72">
        <f>IFERROR(Ka*psi_a*_xlfn.SECH(psi_a*(Tabella3[[#This Row],[Day]]-pa)-phi_a)^2/(1+TANH(phi_a)),0)</f>
        <v>31.699347633118645</v>
      </c>
      <c r="AM8" s="72">
        <f>Tabella3[[#This Row],[rest of Italy fit]]/y_a_peak</f>
        <v>1.1076750409387421E-2</v>
      </c>
      <c r="AN8" s="10">
        <f>Tabella3[[#This Row],[rest of Italy fit]]*NOT(ISBLANK(Tabella3[[#This Row],[rest of Italy data]]))</f>
        <v>0</v>
      </c>
      <c r="AO8" s="72">
        <f>Tabella3[[#This Row],[rest of Italy fit]]+CIa</f>
        <v>1726.2735425427013</v>
      </c>
      <c r="AP8" s="72">
        <f>MAX(Tabella3[[#This Row],[rest of Italy fit]]-CIa,0)</f>
        <v>0</v>
      </c>
      <c r="AQ8" s="8"/>
      <c r="AR8" s="93"/>
      <c r="AS8" s="94"/>
      <c r="AT8" s="3"/>
      <c r="BF8" s="327"/>
    </row>
    <row r="9" spans="2:58" x14ac:dyDescent="0.3">
      <c r="B9" s="135">
        <v>43832</v>
      </c>
      <c r="C9" s="4">
        <v>2</v>
      </c>
      <c r="D9" s="141"/>
      <c r="E9" s="144"/>
      <c r="F9" s="10">
        <f>Tabella3[[#This Row],[Italy remov. rate data]]*NOT(ISBLANK(Tabella3[[#This Row],[Italy remov. rate data]]))</f>
        <v>0</v>
      </c>
      <c r="G9" s="158">
        <f>Tabella3[[#This Row],[region cumul. fit]]+Tabella3[[#This Row],[rest of Italy cumul. fit]]</f>
        <v>0</v>
      </c>
      <c r="H9" s="158">
        <f>Tabella3[[#This Row],[Italy cumul. fit]]/Kf</f>
        <v>0</v>
      </c>
      <c r="I9" s="143">
        <f>Tabella3[[#This Row],[region fit]]+Tabella3[[#This Row],[rest of Italy fit]]</f>
        <v>34.071745018032715</v>
      </c>
      <c r="J9" s="143">
        <f>Tabella3[[#This Row],[Italy (fit of selected region + fitted sum of the other regions)]]/(y_l_peak+y_a_peak)</f>
        <v>1.1358798633120263E-2</v>
      </c>
      <c r="K9" s="72">
        <f>IFERROR(Kf*psi_f*_xlfn.SECH(psi_f*(Tabella3[[#This Row],[Day]]-pf)-phi_f)^2/(1+TANH(phi_f)),0)</f>
        <v>33.594007605737119</v>
      </c>
      <c r="L9" s="292">
        <f>Tabella3[[#This Row],[Italy remov. rate fit]]-Tabella3[[#This Row],[Italy remov. rate data]]</f>
        <v>33.594007605737119</v>
      </c>
      <c r="M9" s="293">
        <f>Tabella3[[#This Row],[rem. rate residuals]]*NOT(ISBLANK(Tabella3[[#This Row],[Italy remov. rate data]]))</f>
        <v>0</v>
      </c>
      <c r="N9" s="72">
        <f>Tabella3[[#This Row],[Italy remov. rate fit]]/y_f_peak</f>
        <v>1.1192756832337837E-2</v>
      </c>
      <c r="O9" s="10">
        <f>Tabella3[[#This Row],[Italy (fit of selected region + fitted sum of the other regions)]]*NOT(ISBLANK(Tabella3[[#This Row],[Italy remov. rate data]]))</f>
        <v>0</v>
      </c>
      <c r="P9" s="72">
        <f>Tabella3[[#This Row],[Italy remov. rate fit]]*NOT(ISBLANK(Tabella3[[#This Row],[Italy remov. rate data]]))</f>
        <v>0</v>
      </c>
      <c r="Q9" s="72">
        <f>Tabella3[[#This Row],[Italy remov. rate fit]]+CIf</f>
        <v>1749.2088669402883</v>
      </c>
      <c r="R9" s="72">
        <f>MAX(Tabella3[[#This Row],[Italy remov. rate fit]]-CIf,0)</f>
        <v>0</v>
      </c>
      <c r="S9" s="139"/>
      <c r="T9" s="144"/>
      <c r="U9" s="10">
        <f>Tabella3[[#This Row],[region data]]*NOT(ISBLANK(Tabella3[[#This Row],[region data]]))</f>
        <v>0</v>
      </c>
      <c r="V9"/>
      <c r="W9" s="72">
        <f>Tabella3[[#This Row],[6-days moving avg]]*NOT(ISBLANK(Tabella3[[#This Row],[6-days moving avg]]))</f>
        <v>0</v>
      </c>
      <c r="X9" s="145">
        <f>Tabella8[[#This Row],[region fit]]</f>
        <v>0</v>
      </c>
      <c r="Y9" s="10">
        <f>Tabella3[[#This Row],[region cumul. fit]]/Kl</f>
        <v>0</v>
      </c>
      <c r="Z9" s="72">
        <f>IFERROR(Kl*psi_l*_xlfn.SECH(psi_l*(Tabella3[[#This Row],[Day]]-pl)-phi_l)^2/(1+TANH(phi_l)),0)</f>
        <v>0.78883226774295934</v>
      </c>
      <c r="AA9" s="72">
        <f>Tabella3[[#This Row],[region fit]]/y_l_peak</f>
        <v>5.7245022210409809E-3</v>
      </c>
      <c r="AB9" s="10">
        <f>Tabella3[[#This Row],[region fit]]*NOT(ISBLANK(Tabella3[[#This Row],[region data]]))</f>
        <v>0</v>
      </c>
      <c r="AC9" s="166">
        <f>IFERROR(kl_m*psi_l_m*_xlfn.SECH(psi_l_m*(Tabella3[[#This Row],[Day]]-pl_m)-phi_l_m)^2/(1+TANH(phi_l_m)),0)</f>
        <v>0.78883226774295934</v>
      </c>
      <c r="AD9" s="72">
        <f>Tabella3[[#This Row],[6-days moving avg fit]]*NOT(ISBLANK(Tabella3[[#This Row],[6-days moving avg]]))</f>
        <v>0</v>
      </c>
      <c r="AE9" s="72">
        <f>Tabella3[[#This Row],[region fit]]+CIl</f>
        <v>54.553672677291416</v>
      </c>
      <c r="AF9" s="72">
        <f>MAX(Tabella3[[#This Row],[region fit]]-CIl,0)</f>
        <v>0</v>
      </c>
      <c r="AG9" s="141"/>
      <c r="AH9" s="144"/>
      <c r="AI9" s="10">
        <f>Tabella3[[#This Row],[rest of Italy data]]*NOT(ISBLANK(Tabella3[[#This Row],[rest of Italy data]]))</f>
        <v>0</v>
      </c>
      <c r="AJ9" s="145">
        <f>Tabella8[[#This Row],[rest of Italy fit]]</f>
        <v>0</v>
      </c>
      <c r="AK9" s="72">
        <f>Tabella3[[#This Row],[rest of Italy cumul. fit]]/Ka</f>
        <v>0</v>
      </c>
      <c r="AL9" s="72">
        <f>IFERROR(Ka*psi_a*_xlfn.SECH(psi_a*(Tabella3[[#This Row],[Day]]-pa)-phi_a)^2/(1+TANH(phi_a)),0)</f>
        <v>33.282912750289753</v>
      </c>
      <c r="AM9" s="72">
        <f>Tabella3[[#This Row],[rest of Italy fit]]/y_a_peak</f>
        <v>1.1630097934482561E-2</v>
      </c>
      <c r="AN9" s="10">
        <f>Tabella3[[#This Row],[rest of Italy fit]]*NOT(ISBLANK(Tabella3[[#This Row],[rest of Italy data]]))</f>
        <v>0</v>
      </c>
      <c r="AO9" s="72">
        <f>Tabella3[[#This Row],[rest of Italy fit]]+CIa</f>
        <v>1727.8571076598726</v>
      </c>
      <c r="AP9" s="72">
        <f>MAX(Tabella3[[#This Row],[rest of Italy fit]]-CIa,0)</f>
        <v>0</v>
      </c>
      <c r="AQ9" s="8"/>
      <c r="AR9" s="95"/>
      <c r="AS9" s="96"/>
      <c r="AT9" s="3"/>
      <c r="BF9" s="328"/>
    </row>
    <row r="10" spans="2:58" x14ac:dyDescent="0.3">
      <c r="B10" s="135">
        <v>43833</v>
      </c>
      <c r="C10" s="4">
        <v>3</v>
      </c>
      <c r="D10" s="141"/>
      <c r="E10" s="144"/>
      <c r="F10" s="10">
        <f>Tabella3[[#This Row],[Italy remov. rate data]]*NOT(ISBLANK(Tabella3[[#This Row],[Italy remov. rate data]]))</f>
        <v>0</v>
      </c>
      <c r="G10" s="158">
        <f>Tabella3[[#This Row],[region cumul. fit]]+Tabella3[[#This Row],[rest of Italy cumul. fit]]</f>
        <v>0</v>
      </c>
      <c r="H10" s="158">
        <f>Tabella3[[#This Row],[Italy cumul. fit]]/Kf</f>
        <v>0</v>
      </c>
      <c r="I10" s="143">
        <f>Tabella3[[#This Row],[region fit]]+Tabella3[[#This Row],[rest of Italy fit]]</f>
        <v>35.779566554715295</v>
      </c>
      <c r="J10" s="143">
        <f>Tabella3[[#This Row],[Italy (fit of selected region + fitted sum of the other regions)]]/(y_l_peak+y_a_peak)</f>
        <v>1.1928150186033579E-2</v>
      </c>
      <c r="K10" s="72">
        <f>IFERROR(Kf*psi_f*_xlfn.SECH(psi_f*(Tabella3[[#This Row],[Day]]-pf)-phi_f)^2/(1+TANH(phi_f)),0)</f>
        <v>35.284942061113838</v>
      </c>
      <c r="L10" s="292">
        <f>Tabella3[[#This Row],[Italy remov. rate fit]]-Tabella3[[#This Row],[Italy remov. rate data]]</f>
        <v>35.284942061113838</v>
      </c>
      <c r="M10" s="293">
        <f>Tabella3[[#This Row],[rem. rate residuals]]*NOT(ISBLANK(Tabella3[[#This Row],[Italy remov. rate data]]))</f>
        <v>0</v>
      </c>
      <c r="N10" s="72">
        <f>Tabella3[[#This Row],[Italy remov. rate fit]]/y_f_peak</f>
        <v>1.1756137611450987E-2</v>
      </c>
      <c r="O10" s="10">
        <f>Tabella3[[#This Row],[Italy (fit of selected region + fitted sum of the other regions)]]*NOT(ISBLANK(Tabella3[[#This Row],[Italy remov. rate data]]))</f>
        <v>0</v>
      </c>
      <c r="P10" s="72">
        <f>Tabella3[[#This Row],[Italy remov. rate fit]]*NOT(ISBLANK(Tabella3[[#This Row],[Italy remov. rate data]]))</f>
        <v>0</v>
      </c>
      <c r="Q10" s="72">
        <f>Tabella3[[#This Row],[Italy remov. rate fit]]+CIf</f>
        <v>1750.8998013956652</v>
      </c>
      <c r="R10" s="72">
        <f>MAX(Tabella3[[#This Row],[Italy remov. rate fit]]-CIf,0)</f>
        <v>0</v>
      </c>
      <c r="S10" s="139"/>
      <c r="T10" s="144"/>
      <c r="U10" s="10">
        <f>Tabella3[[#This Row],[region data]]*NOT(ISBLANK(Tabella3[[#This Row],[region data]]))</f>
        <v>0</v>
      </c>
      <c r="V10"/>
      <c r="W10" s="72">
        <f>Tabella3[[#This Row],[6-days moving avg]]*NOT(ISBLANK(Tabella3[[#This Row],[6-days moving avg]]))</f>
        <v>0</v>
      </c>
      <c r="X10" s="145">
        <f>Tabella8[[#This Row],[region fit]]</f>
        <v>0</v>
      </c>
      <c r="Y10" s="10">
        <f>Tabella3[[#This Row],[region cumul. fit]]/Kl</f>
        <v>0</v>
      </c>
      <c r="Z10" s="72">
        <f>IFERROR(Kl*psi_l*_xlfn.SECH(psi_l*(Tabella3[[#This Row],[Day]]-pl)-phi_l)^2/(1+TANH(phi_l)),0)</f>
        <v>0.83446902277667212</v>
      </c>
      <c r="AA10" s="72">
        <f>Tabella3[[#This Row],[region fit]]/y_l_peak</f>
        <v>6.0556850544956587E-3</v>
      </c>
      <c r="AB10" s="10">
        <f>Tabella3[[#This Row],[region fit]]*NOT(ISBLANK(Tabella3[[#This Row],[region data]]))</f>
        <v>0</v>
      </c>
      <c r="AC10" s="166">
        <f>IFERROR(kl_m*psi_l_m*_xlfn.SECH(psi_l_m*(Tabella3[[#This Row],[Day]]-pl_m)-phi_l_m)^2/(1+TANH(phi_l_m)),0)</f>
        <v>0.83446902277667212</v>
      </c>
      <c r="AD10" s="72">
        <f>Tabella3[[#This Row],[6-days moving avg fit]]*NOT(ISBLANK(Tabella3[[#This Row],[6-days moving avg]]))</f>
        <v>0</v>
      </c>
      <c r="AE10" s="72">
        <f>Tabella3[[#This Row],[region fit]]+CIl</f>
        <v>54.599309432325128</v>
      </c>
      <c r="AF10" s="72">
        <f>MAX(Tabella3[[#This Row],[region fit]]-CIl,0)</f>
        <v>0</v>
      </c>
      <c r="AG10" s="141"/>
      <c r="AH10" s="144"/>
      <c r="AI10" s="10">
        <f>Tabella3[[#This Row],[rest of Italy data]]*NOT(ISBLANK(Tabella3[[#This Row],[rest of Italy data]]))</f>
        <v>0</v>
      </c>
      <c r="AJ10" s="145">
        <f>Tabella8[[#This Row],[rest of Italy fit]]</f>
        <v>0</v>
      </c>
      <c r="AK10" s="72">
        <f>Tabella3[[#This Row],[rest of Italy cumul. fit]]/Ka</f>
        <v>0</v>
      </c>
      <c r="AL10" s="72">
        <f>IFERROR(Ka*psi_a*_xlfn.SECH(psi_a*(Tabella3[[#This Row],[Day]]-pa)-phi_a)^2/(1+TANH(phi_a)),0)</f>
        <v>34.945097531938622</v>
      </c>
      <c r="AM10" s="72">
        <f>Tabella3[[#This Row],[rest of Italy fit]]/y_a_peak</f>
        <v>1.2210917646411606E-2</v>
      </c>
      <c r="AN10" s="10">
        <f>Tabella3[[#This Row],[rest of Italy fit]]*NOT(ISBLANK(Tabella3[[#This Row],[rest of Italy data]]))</f>
        <v>0</v>
      </c>
      <c r="AO10" s="72">
        <f>Tabella3[[#This Row],[rest of Italy fit]]+CIa</f>
        <v>1729.5192924415214</v>
      </c>
      <c r="AP10" s="72">
        <f>MAX(Tabella3[[#This Row],[rest of Italy fit]]-CIa,0)</f>
        <v>0</v>
      </c>
      <c r="AQ10" s="8"/>
      <c r="AR10" s="93"/>
      <c r="AS10" s="96"/>
      <c r="AT10" s="3"/>
      <c r="BF10" s="328"/>
    </row>
    <row r="11" spans="2:58" x14ac:dyDescent="0.3">
      <c r="B11" s="135">
        <v>43834</v>
      </c>
      <c r="C11" s="4">
        <v>4</v>
      </c>
      <c r="D11" s="141"/>
      <c r="E11" s="144"/>
      <c r="F11" s="10">
        <f>Tabella3[[#This Row],[Italy remov. rate data]]*NOT(ISBLANK(Tabella3[[#This Row],[Italy remov. rate data]]))</f>
        <v>0</v>
      </c>
      <c r="G11" s="158">
        <f>Tabella3[[#This Row],[region cumul. fit]]+Tabella3[[#This Row],[rest of Italy cumul. fit]]</f>
        <v>0</v>
      </c>
      <c r="H11" s="158">
        <f>Tabella3[[#This Row],[Italy cumul. fit]]/Kf</f>
        <v>0</v>
      </c>
      <c r="I11" s="143">
        <f>Tabella3[[#This Row],[region fit]]+Tabella3[[#This Row],[rest of Italy fit]]</f>
        <v>37.572492597858478</v>
      </c>
      <c r="J11" s="143">
        <f>Tabella3[[#This Row],[Italy (fit of selected region + fitted sum of the other regions)]]/(y_l_peak+y_a_peak)</f>
        <v>1.2525873780095519E-2</v>
      </c>
      <c r="K11" s="72">
        <f>IFERROR(Kf*psi_f*_xlfn.SECH(psi_f*(Tabella3[[#This Row],[Day]]-pf)-phi_f)^2/(1+TANH(phi_f)),0)</f>
        <v>37.06045712858981</v>
      </c>
      <c r="L11" s="292">
        <f>Tabella3[[#This Row],[Italy remov. rate fit]]-Tabella3[[#This Row],[Italy remov. rate data]]</f>
        <v>37.06045712858981</v>
      </c>
      <c r="M11" s="293">
        <f>Tabella3[[#This Row],[rem. rate residuals]]*NOT(ISBLANK(Tabella3[[#This Row],[Italy remov. rate data]]))</f>
        <v>0</v>
      </c>
      <c r="N11" s="72">
        <f>Tabella3[[#This Row],[Italy remov. rate fit]]/y_f_peak</f>
        <v>1.2347698720671449E-2</v>
      </c>
      <c r="O11" s="10">
        <f>Tabella3[[#This Row],[Italy (fit of selected region + fitted sum of the other regions)]]*NOT(ISBLANK(Tabella3[[#This Row],[Italy remov. rate data]]))</f>
        <v>0</v>
      </c>
      <c r="P11" s="72">
        <f>Tabella3[[#This Row],[Italy remov. rate fit]]*NOT(ISBLANK(Tabella3[[#This Row],[Italy remov. rate data]]))</f>
        <v>0</v>
      </c>
      <c r="Q11" s="72">
        <f>Tabella3[[#This Row],[Italy remov. rate fit]]+CIf</f>
        <v>1752.6753164631411</v>
      </c>
      <c r="R11" s="72">
        <f>MAX(Tabella3[[#This Row],[Italy remov. rate fit]]-CIf,0)</f>
        <v>0</v>
      </c>
      <c r="S11" s="139"/>
      <c r="T11" s="144"/>
      <c r="U11" s="10">
        <f>Tabella3[[#This Row],[region data]]*NOT(ISBLANK(Tabella3[[#This Row],[region data]]))</f>
        <v>0</v>
      </c>
      <c r="V11"/>
      <c r="W11" s="72">
        <f>Tabella3[[#This Row],[6-days moving avg]]*NOT(ISBLANK(Tabella3[[#This Row],[6-days moving avg]]))</f>
        <v>0</v>
      </c>
      <c r="X11" s="145">
        <f>Tabella8[[#This Row],[region fit]]</f>
        <v>0</v>
      </c>
      <c r="Y11" s="10">
        <f>Tabella3[[#This Row],[region cumul. fit]]/Kl</f>
        <v>0</v>
      </c>
      <c r="Z11" s="72">
        <f>IFERROR(Kl*psi_l*_xlfn.SECH(psi_l*(Tabella3[[#This Row],[Day]]-pl)-phi_l)^2/(1+TANH(phi_l)),0)</f>
        <v>0.88273751976334747</v>
      </c>
      <c r="AA11" s="72">
        <f>Tabella3[[#This Row],[region fit]]/y_l_peak</f>
        <v>6.4059662606602234E-3</v>
      </c>
      <c r="AB11" s="10">
        <f>Tabella3[[#This Row],[region fit]]*NOT(ISBLANK(Tabella3[[#This Row],[region data]]))</f>
        <v>0</v>
      </c>
      <c r="AC11" s="166">
        <f>IFERROR(kl_m*psi_l_m*_xlfn.SECH(psi_l_m*(Tabella3[[#This Row],[Day]]-pl_m)-phi_l_m)^2/(1+TANH(phi_l_m)),0)</f>
        <v>0.88273751976334747</v>
      </c>
      <c r="AD11" s="72">
        <f>Tabella3[[#This Row],[6-days moving avg fit]]*NOT(ISBLANK(Tabella3[[#This Row],[6-days moving avg]]))</f>
        <v>0</v>
      </c>
      <c r="AE11" s="72">
        <f>Tabella3[[#This Row],[region fit]]+CIl</f>
        <v>54.647577929311801</v>
      </c>
      <c r="AF11" s="72">
        <f>MAX(Tabella3[[#This Row],[region fit]]-CIl,0)</f>
        <v>0</v>
      </c>
      <c r="AG11" s="141"/>
      <c r="AH11" s="144"/>
      <c r="AI11" s="10">
        <f>Tabella3[[#This Row],[rest of Italy data]]*NOT(ISBLANK(Tabella3[[#This Row],[rest of Italy data]]))</f>
        <v>0</v>
      </c>
      <c r="AJ11" s="145">
        <f>Tabella8[[#This Row],[rest of Italy fit]]</f>
        <v>0</v>
      </c>
      <c r="AK11" s="72">
        <f>Tabella3[[#This Row],[rest of Italy cumul. fit]]/Ka</f>
        <v>0</v>
      </c>
      <c r="AL11" s="72">
        <f>IFERROR(Ka*psi_a*_xlfn.SECH(psi_a*(Tabella3[[#This Row],[Day]]-pa)-phi_a)^2/(1+TANH(phi_a)),0)</f>
        <v>36.689755078095132</v>
      </c>
      <c r="AM11" s="72">
        <f>Tabella3[[#This Row],[rest of Italy fit]]/y_a_peak</f>
        <v>1.2820555939675396E-2</v>
      </c>
      <c r="AN11" s="10">
        <f>Tabella3[[#This Row],[rest of Italy fit]]*NOT(ISBLANK(Tabella3[[#This Row],[rest of Italy data]]))</f>
        <v>0</v>
      </c>
      <c r="AO11" s="72">
        <f>Tabella3[[#This Row],[rest of Italy fit]]+CIa</f>
        <v>1731.263949987678</v>
      </c>
      <c r="AP11" s="72">
        <f>MAX(Tabella3[[#This Row],[rest of Italy fit]]-CIa,0)</f>
        <v>0</v>
      </c>
      <c r="AQ11" s="8"/>
      <c r="AR11" s="97" t="s">
        <v>1</v>
      </c>
      <c r="AS11" s="98">
        <f>AVERAGE(Tabella3[Italy remov. rate data])</f>
        <v>1810.5679012345679</v>
      </c>
      <c r="AT11" s="3"/>
      <c r="BF11" s="328"/>
    </row>
    <row r="12" spans="2:58" x14ac:dyDescent="0.3">
      <c r="B12" s="135">
        <v>43835</v>
      </c>
      <c r="C12" s="4">
        <v>5</v>
      </c>
      <c r="D12" s="141"/>
      <c r="E12" s="144"/>
      <c r="F12" s="10">
        <f>Tabella3[[#This Row],[Italy remov. rate data]]*NOT(ISBLANK(Tabella3[[#This Row],[Italy remov. rate data]]))</f>
        <v>0</v>
      </c>
      <c r="G12" s="158">
        <f>Tabella3[[#This Row],[region cumul. fit]]+Tabella3[[#This Row],[rest of Italy cumul. fit]]</f>
        <v>0</v>
      </c>
      <c r="H12" s="158">
        <f>Tabella3[[#This Row],[Italy cumul. fit]]/Kf</f>
        <v>0</v>
      </c>
      <c r="I12" s="143">
        <f>Tabella3[[#This Row],[region fit]]+Tabella3[[#This Row],[rest of Italy fit]]</f>
        <v>39.454710682571289</v>
      </c>
      <c r="J12" s="143">
        <f>Tabella3[[#This Row],[Italy (fit of selected region + fitted sum of the other regions)]]/(y_l_peak+y_a_peak)</f>
        <v>1.3153365450878883E-2</v>
      </c>
      <c r="K12" s="72">
        <f>IFERROR(Kf*psi_f*_xlfn.SECH(psi_f*(Tabella3[[#This Row],[Day]]-pf)-phi_f)^2/(1+TANH(phi_f)),0)</f>
        <v>38.924728540963514</v>
      </c>
      <c r="L12" s="292">
        <f>Tabella3[[#This Row],[Italy remov. rate fit]]-Tabella3[[#This Row],[Italy remov. rate data]]</f>
        <v>38.924728540963514</v>
      </c>
      <c r="M12" s="293">
        <f>Tabella3[[#This Row],[rem. rate residuals]]*NOT(ISBLANK(Tabella3[[#This Row],[Italy remov. rate data]]))</f>
        <v>0</v>
      </c>
      <c r="N12" s="72">
        <f>Tabella3[[#This Row],[Italy remov. rate fit]]/y_f_peak</f>
        <v>1.2968831418891543E-2</v>
      </c>
      <c r="O12" s="10">
        <f>Tabella3[[#This Row],[Italy (fit of selected region + fitted sum of the other regions)]]*NOT(ISBLANK(Tabella3[[#This Row],[Italy remov. rate data]]))</f>
        <v>0</v>
      </c>
      <c r="P12" s="72">
        <f>Tabella3[[#This Row],[Italy remov. rate fit]]*NOT(ISBLANK(Tabella3[[#This Row],[Italy remov. rate data]]))</f>
        <v>0</v>
      </c>
      <c r="Q12" s="72">
        <f>Tabella3[[#This Row],[Italy remov. rate fit]]+CIf</f>
        <v>1754.5395878755148</v>
      </c>
      <c r="R12" s="72">
        <f>MAX(Tabella3[[#This Row],[Italy remov. rate fit]]-CIf,0)</f>
        <v>0</v>
      </c>
      <c r="S12" s="139"/>
      <c r="T12" s="144"/>
      <c r="U12" s="10">
        <f>Tabella3[[#This Row],[region data]]*NOT(ISBLANK(Tabella3[[#This Row],[region data]]))</f>
        <v>0</v>
      </c>
      <c r="V12"/>
      <c r="W12" s="72">
        <f>Tabella3[[#This Row],[6-days moving avg]]*NOT(ISBLANK(Tabella3[[#This Row],[6-days moving avg]]))</f>
        <v>0</v>
      </c>
      <c r="X12" s="145">
        <f>Tabella8[[#This Row],[region fit]]</f>
        <v>0</v>
      </c>
      <c r="Y12" s="10">
        <f>Tabella3[[#This Row],[region cumul. fit]]/Kl</f>
        <v>0</v>
      </c>
      <c r="Z12" s="72">
        <f>IFERROR(Kl*psi_l*_xlfn.SECH(psi_l*(Tabella3[[#This Row],[Day]]-pl)-phi_l)^2/(1+TANH(phi_l)),0)</f>
        <v>0.93378850979193417</v>
      </c>
      <c r="AA12" s="72">
        <f>Tabella3[[#This Row],[region fit]]/y_l_peak</f>
        <v>6.7764398299541874E-3</v>
      </c>
      <c r="AB12" s="10">
        <f>Tabella3[[#This Row],[region fit]]*NOT(ISBLANK(Tabella3[[#This Row],[region data]]))</f>
        <v>0</v>
      </c>
      <c r="AC12" s="166">
        <f>IFERROR(kl_m*psi_l_m*_xlfn.SECH(psi_l_m*(Tabella3[[#This Row],[Day]]-pl_m)-phi_l_m)^2/(1+TANH(phi_l_m)),0)</f>
        <v>0.93378850979193417</v>
      </c>
      <c r="AD12" s="72">
        <f>Tabella3[[#This Row],[6-days moving avg fit]]*NOT(ISBLANK(Tabella3[[#This Row],[6-days moving avg]]))</f>
        <v>0</v>
      </c>
      <c r="AE12" s="72">
        <f>Tabella3[[#This Row],[region fit]]+CIl</f>
        <v>54.698628919340386</v>
      </c>
      <c r="AF12" s="72">
        <f>MAX(Tabella3[[#This Row],[region fit]]-CIl,0)</f>
        <v>0</v>
      </c>
      <c r="AG12" s="141"/>
      <c r="AH12" s="144"/>
      <c r="AI12" s="10">
        <f>Tabella3[[#This Row],[rest of Italy data]]*NOT(ISBLANK(Tabella3[[#This Row],[rest of Italy data]]))</f>
        <v>0</v>
      </c>
      <c r="AJ12" s="145">
        <f>Tabella8[[#This Row],[rest of Italy fit]]</f>
        <v>0</v>
      </c>
      <c r="AK12" s="72">
        <f>Tabella3[[#This Row],[rest of Italy cumul. fit]]/Ka</f>
        <v>0</v>
      </c>
      <c r="AL12" s="72">
        <f>IFERROR(Ka*psi_a*_xlfn.SECH(psi_a*(Tabella3[[#This Row],[Day]]-pa)-phi_a)^2/(1+TANH(phi_a)),0)</f>
        <v>38.520922172779358</v>
      </c>
      <c r="AM12" s="72">
        <f>Tabella3[[#This Row],[rest of Italy fit]]/y_a_peak</f>
        <v>1.3460423393745926E-2</v>
      </c>
      <c r="AN12" s="10">
        <f>Tabella3[[#This Row],[rest of Italy fit]]*NOT(ISBLANK(Tabella3[[#This Row],[rest of Italy data]]))</f>
        <v>0</v>
      </c>
      <c r="AO12" s="72">
        <f>Tabella3[[#This Row],[rest of Italy fit]]+CIa</f>
        <v>1733.0951170823621</v>
      </c>
      <c r="AP12" s="72">
        <f>MAX(Tabella3[[#This Row],[rest of Italy fit]]-CIa,0)</f>
        <v>0</v>
      </c>
      <c r="AQ12" s="1"/>
      <c r="AR12" s="97" t="s">
        <v>2</v>
      </c>
      <c r="AS12" s="99">
        <f>COUNT(Tabella3[Italy remov. rate data])-COUNT(AS8:AS10)</f>
        <v>81</v>
      </c>
      <c r="BF12" s="328"/>
    </row>
    <row r="13" spans="2:58" x14ac:dyDescent="0.3">
      <c r="B13" s="135">
        <v>43836</v>
      </c>
      <c r="C13" s="4">
        <v>6</v>
      </c>
      <c r="D13" s="141"/>
      <c r="E13" s="144"/>
      <c r="F13" s="10">
        <f>Tabella3[[#This Row],[Italy remov. rate data]]*NOT(ISBLANK(Tabella3[[#This Row],[Italy remov. rate data]]))</f>
        <v>0</v>
      </c>
      <c r="G13" s="158">
        <f>Tabella3[[#This Row],[region cumul. fit]]+Tabella3[[#This Row],[rest of Italy cumul. fit]]</f>
        <v>0</v>
      </c>
      <c r="H13" s="158">
        <f>Tabella3[[#This Row],[Italy cumul. fit]]/Kf</f>
        <v>0</v>
      </c>
      <c r="I13" s="143">
        <f>Tabella3[[#This Row],[region fit]]+Tabella3[[#This Row],[rest of Italy fit]]</f>
        <v>41.430608766416356</v>
      </c>
      <c r="J13" s="143">
        <f>Tabella3[[#This Row],[Italy (fit of selected region + fitted sum of the other regions)]]/(y_l_peak+y_a_peak)</f>
        <v>1.38120880505604E-2</v>
      </c>
      <c r="K13" s="72">
        <f>IFERROR(Kf*psi_f*_xlfn.SECH(psi_f*(Tabella3[[#This Row],[Day]]-pf)-phi_f)^2/(1+TANH(phi_f)),0)</f>
        <v>40.8821324906474</v>
      </c>
      <c r="L13" s="292">
        <f>Tabella3[[#This Row],[Italy remov. rate fit]]-Tabella3[[#This Row],[Italy remov. rate data]]</f>
        <v>40.8821324906474</v>
      </c>
      <c r="M13" s="293">
        <f>Tabella3[[#This Row],[rem. rate residuals]]*NOT(ISBLANK(Tabella3[[#This Row],[Italy remov. rate data]]))</f>
        <v>0</v>
      </c>
      <c r="N13" s="72">
        <f>Tabella3[[#This Row],[Italy remov. rate fit]]/y_f_peak</f>
        <v>1.3620993753573157E-2</v>
      </c>
      <c r="O13" s="10">
        <f>Tabella3[[#This Row],[Italy (fit of selected region + fitted sum of the other regions)]]*NOT(ISBLANK(Tabella3[[#This Row],[Italy remov. rate data]]))</f>
        <v>0</v>
      </c>
      <c r="P13" s="72">
        <f>Tabella3[[#This Row],[Italy remov. rate fit]]*NOT(ISBLANK(Tabella3[[#This Row],[Italy remov. rate data]]))</f>
        <v>0</v>
      </c>
      <c r="Q13" s="72">
        <f>Tabella3[[#This Row],[Italy remov. rate fit]]+CIf</f>
        <v>1756.4969918251986</v>
      </c>
      <c r="R13" s="72">
        <f>MAX(Tabella3[[#This Row],[Italy remov. rate fit]]-CIf,0)</f>
        <v>0</v>
      </c>
      <c r="S13" s="139"/>
      <c r="T13" s="144"/>
      <c r="U13" s="10">
        <f>Tabella3[[#This Row],[region data]]*NOT(ISBLANK(Tabella3[[#This Row],[region data]]))</f>
        <v>0</v>
      </c>
      <c r="V13"/>
      <c r="W13" s="72">
        <f>Tabella3[[#This Row],[6-days moving avg]]*NOT(ISBLANK(Tabella3[[#This Row],[6-days moving avg]]))</f>
        <v>0</v>
      </c>
      <c r="X13" s="145">
        <f>Tabella8[[#This Row],[region fit]]</f>
        <v>0</v>
      </c>
      <c r="Y13" s="10">
        <f>Tabella3[[#This Row],[region cumul. fit]]/Kl</f>
        <v>0</v>
      </c>
      <c r="Z13" s="72">
        <f>IFERROR(Kl*psi_l*_xlfn.SECH(psi_l*(Tabella3[[#This Row],[Day]]-pl)-phi_l)^2/(1+TANH(phi_l)),0)</f>
        <v>0.98778125832529939</v>
      </c>
      <c r="AA13" s="72">
        <f>Tabella3[[#This Row],[region fit]]/y_l_peak</f>
        <v>7.1682615410306296E-3</v>
      </c>
      <c r="AB13" s="10">
        <f>Tabella3[[#This Row],[region fit]]*NOT(ISBLANK(Tabella3[[#This Row],[region data]]))</f>
        <v>0</v>
      </c>
      <c r="AC13" s="166">
        <f>IFERROR(kl_m*psi_l_m*_xlfn.SECH(psi_l_m*(Tabella3[[#This Row],[Day]]-pl_m)-phi_l_m)^2/(1+TANH(phi_l_m)),0)</f>
        <v>0.98778125832529939</v>
      </c>
      <c r="AD13" s="72">
        <f>Tabella3[[#This Row],[6-days moving avg fit]]*NOT(ISBLANK(Tabella3[[#This Row],[6-days moving avg]]))</f>
        <v>0</v>
      </c>
      <c r="AE13" s="72">
        <f>Tabella3[[#This Row],[region fit]]+CIl</f>
        <v>54.752621667873754</v>
      </c>
      <c r="AF13" s="72">
        <f>MAX(Tabella3[[#This Row],[region fit]]-CIl,0)</f>
        <v>0</v>
      </c>
      <c r="AG13" s="141"/>
      <c r="AH13" s="144"/>
      <c r="AI13" s="10">
        <f>Tabella3[[#This Row],[rest of Italy data]]*NOT(ISBLANK(Tabella3[[#This Row],[rest of Italy data]]))</f>
        <v>0</v>
      </c>
      <c r="AJ13" s="145">
        <f>Tabella8[[#This Row],[rest of Italy fit]]</f>
        <v>0</v>
      </c>
      <c r="AK13" s="72">
        <f>Tabella3[[#This Row],[rest of Italy cumul. fit]]/Ka</f>
        <v>0</v>
      </c>
      <c r="AL13" s="72">
        <f>IFERROR(Ka*psi_a*_xlfn.SECH(psi_a*(Tabella3[[#This Row],[Day]]-pa)-phi_a)^2/(1+TANH(phi_a)),0)</f>
        <v>40.442827508091057</v>
      </c>
      <c r="AM13" s="72">
        <f>Tabella3[[#This Row],[rest of Italy fit]]/y_a_peak</f>
        <v>1.4131997646822228E-2</v>
      </c>
      <c r="AN13" s="10">
        <f>Tabella3[[#This Row],[rest of Italy fit]]*NOT(ISBLANK(Tabella3[[#This Row],[rest of Italy data]]))</f>
        <v>0</v>
      </c>
      <c r="AO13" s="72">
        <f>Tabella3[[#This Row],[rest of Italy fit]]+CIa</f>
        <v>1735.0170224176738</v>
      </c>
      <c r="AP13" s="72">
        <f>MAX(Tabella3[[#This Row],[rest of Italy fit]]-CIa,0)</f>
        <v>0</v>
      </c>
      <c r="AQ13" s="1"/>
      <c r="AR13" s="97" t="s">
        <v>3</v>
      </c>
      <c r="AS13" s="98" cm="1">
        <f t="array" ref="AS13">SQRT(SUM((Tabella3[Colonna1]-Tabella3[Colonna2])^2)/dfw)</f>
        <v>840.66009797506797</v>
      </c>
      <c r="BF13" s="328"/>
    </row>
    <row r="14" spans="2:58" ht="16.2" x14ac:dyDescent="0.3">
      <c r="B14" s="135">
        <v>43837</v>
      </c>
      <c r="C14" s="4">
        <v>7</v>
      </c>
      <c r="D14" s="141"/>
      <c r="E14" s="144"/>
      <c r="F14" s="10">
        <f>Tabella3[[#This Row],[Italy remov. rate data]]*NOT(ISBLANK(Tabella3[[#This Row],[Italy remov. rate data]]))</f>
        <v>0</v>
      </c>
      <c r="G14" s="158">
        <f>Tabella3[[#This Row],[region cumul. fit]]+Tabella3[[#This Row],[rest of Italy cumul. fit]]</f>
        <v>0</v>
      </c>
      <c r="H14" s="158">
        <f>Tabella3[[#This Row],[Italy cumul. fit]]/Kf</f>
        <v>0</v>
      </c>
      <c r="I14" s="143">
        <f>Tabella3[[#This Row],[region fit]]+Tabella3[[#This Row],[rest of Italy fit]]</f>
        <v>43.504784232249932</v>
      </c>
      <c r="J14" s="143">
        <f>Tabella3[[#This Row],[Italy (fit of selected region + fitted sum of the other regions)]]/(y_l_peak+y_a_peak)</f>
        <v>1.4503574249277038E-2</v>
      </c>
      <c r="K14" s="72">
        <f>IFERROR(Kf*psi_f*_xlfn.SECH(psi_f*(Tabella3[[#This Row],[Day]]-pf)-phi_f)^2/(1+TANH(phi_f)),0)</f>
        <v>42.937254659870341</v>
      </c>
      <c r="L14" s="292">
        <f>Tabella3[[#This Row],[Italy remov. rate fit]]-Tabella3[[#This Row],[Italy remov. rate data]]</f>
        <v>42.937254659870341</v>
      </c>
      <c r="M14" s="293">
        <f>Tabella3[[#This Row],[rem. rate residuals]]*NOT(ISBLANK(Tabella3[[#This Row],[Italy remov. rate data]]))</f>
        <v>0</v>
      </c>
      <c r="N14" s="72">
        <f>Tabella3[[#This Row],[Italy remov. rate fit]]/y_f_peak</f>
        <v>1.4305713569405154E-2</v>
      </c>
      <c r="O14" s="10">
        <f>Tabella3[[#This Row],[Italy (fit of selected region + fitted sum of the other regions)]]*NOT(ISBLANK(Tabella3[[#This Row],[Italy remov. rate data]]))</f>
        <v>0</v>
      </c>
      <c r="P14" s="72">
        <f>Tabella3[[#This Row],[Italy remov. rate fit]]*NOT(ISBLANK(Tabella3[[#This Row],[Italy remov. rate data]]))</f>
        <v>0</v>
      </c>
      <c r="Q14" s="72">
        <f>Tabella3[[#This Row],[Italy remov. rate fit]]+CIf</f>
        <v>1758.5521139944217</v>
      </c>
      <c r="R14" s="72">
        <f>MAX(Tabella3[[#This Row],[Italy remov. rate fit]]-CIf,0)</f>
        <v>0</v>
      </c>
      <c r="S14" s="139"/>
      <c r="T14" s="144"/>
      <c r="U14" s="10">
        <f>Tabella3[[#This Row],[region data]]*NOT(ISBLANK(Tabella3[[#This Row],[region data]]))</f>
        <v>0</v>
      </c>
      <c r="V14"/>
      <c r="W14" s="72">
        <f>Tabella3[[#This Row],[6-days moving avg]]*NOT(ISBLANK(Tabella3[[#This Row],[6-days moving avg]]))</f>
        <v>0</v>
      </c>
      <c r="X14" s="145">
        <f>Tabella8[[#This Row],[region fit]]</f>
        <v>0</v>
      </c>
      <c r="Y14" s="10">
        <f>Tabella3[[#This Row],[region cumul. fit]]/Kl</f>
        <v>0</v>
      </c>
      <c r="Z14" s="72">
        <f>IFERROR(Kl*psi_l*_xlfn.SECH(psi_l*(Tabella3[[#This Row],[Day]]-pl)-phi_l)^2/(1+TANH(phi_l)),0)</f>
        <v>1.0448840116301159</v>
      </c>
      <c r="AA14" s="72">
        <f>Tabella3[[#This Row],[region fit]]/y_l_peak</f>
        <v>7.5826523456262304E-3</v>
      </c>
      <c r="AB14" s="10">
        <f>Tabella3[[#This Row],[region fit]]*NOT(ISBLANK(Tabella3[[#This Row],[region data]]))</f>
        <v>0</v>
      </c>
      <c r="AC14" s="166">
        <f>IFERROR(kl_m*psi_l_m*_xlfn.SECH(psi_l_m*(Tabella3[[#This Row],[Day]]-pl_m)-phi_l_m)^2/(1+TANH(phi_l_m)),0)</f>
        <v>1.0448840116301159</v>
      </c>
      <c r="AD14" s="72">
        <f>Tabella3[[#This Row],[6-days moving avg fit]]*NOT(ISBLANK(Tabella3[[#This Row],[6-days moving avg]]))</f>
        <v>0</v>
      </c>
      <c r="AE14" s="72">
        <f>Tabella3[[#This Row],[region fit]]+CIl</f>
        <v>54.809724421178572</v>
      </c>
      <c r="AF14" s="72">
        <f>MAX(Tabella3[[#This Row],[region fit]]-CIl,0)</f>
        <v>0</v>
      </c>
      <c r="AG14" s="141"/>
      <c r="AH14" s="144"/>
      <c r="AI14" s="10">
        <f>Tabella3[[#This Row],[rest of Italy data]]*NOT(ISBLANK(Tabella3[[#This Row],[rest of Italy data]]))</f>
        <v>0</v>
      </c>
      <c r="AJ14" s="145">
        <f>Tabella8[[#This Row],[rest of Italy fit]]</f>
        <v>0</v>
      </c>
      <c r="AK14" s="72">
        <f>Tabella3[[#This Row],[rest of Italy cumul. fit]]/Ka</f>
        <v>0</v>
      </c>
      <c r="AL14" s="72">
        <f>IFERROR(Ka*psi_a*_xlfn.SECH(psi_a*(Tabella3[[#This Row],[Day]]-pa)-phi_a)^2/(1+TANH(phi_a)),0)</f>
        <v>42.459900220619815</v>
      </c>
      <c r="AM14" s="72">
        <f>Tabella3[[#This Row],[rest of Italy fit]]/y_a_peak</f>
        <v>1.483682637872093E-2</v>
      </c>
      <c r="AN14" s="10">
        <f>Tabella3[[#This Row],[rest of Italy fit]]*NOT(ISBLANK(Tabella3[[#This Row],[rest of Italy data]]))</f>
        <v>0</v>
      </c>
      <c r="AO14" s="72">
        <f>Tabella3[[#This Row],[rest of Italy fit]]+CIa</f>
        <v>1737.0340951302026</v>
      </c>
      <c r="AP14" s="72">
        <f>MAX(Tabella3[[#This Row],[rest of Italy fit]]-CIa,0)</f>
        <v>0</v>
      </c>
      <c r="AQ14" s="1"/>
      <c r="AR14" s="97" t="s">
        <v>290</v>
      </c>
      <c r="AS14" s="100" cm="1">
        <f t="array" ref="AS14">1-SUM((Tabella3[Colonna1]-Tabella3[Colonna2])^2)/SUM((Tabella3[Colonna1]-Mean_of_yw)^2)</f>
        <v>0.92702266219993223</v>
      </c>
      <c r="BF14" s="328"/>
    </row>
    <row r="15" spans="2:58" x14ac:dyDescent="0.3">
      <c r="B15" s="135">
        <v>43838</v>
      </c>
      <c r="C15" s="4">
        <v>8</v>
      </c>
      <c r="D15" s="141"/>
      <c r="E15" s="144"/>
      <c r="F15" s="10">
        <f>Tabella3[[#This Row],[Italy remov. rate data]]*NOT(ISBLANK(Tabella3[[#This Row],[Italy remov. rate data]]))</f>
        <v>0</v>
      </c>
      <c r="G15" s="158">
        <f>Tabella3[[#This Row],[region cumul. fit]]+Tabella3[[#This Row],[rest of Italy cumul. fit]]</f>
        <v>0</v>
      </c>
      <c r="H15" s="158">
        <f>Tabella3[[#This Row],[Italy cumul. fit]]/Kf</f>
        <v>0</v>
      </c>
      <c r="I15" s="143">
        <f>Tabella3[[#This Row],[region fit]]+Tabella3[[#This Row],[rest of Italy fit]]</f>
        <v>45.682053232906384</v>
      </c>
      <c r="J15" s="143">
        <f>Tabella3[[#This Row],[Italy (fit of selected region + fitted sum of the other regions)]]/(y_l_peak+y_a_peak)</f>
        <v>1.5229429650446028E-2</v>
      </c>
      <c r="K15" s="72">
        <f>IFERROR(Kf*psi_f*_xlfn.SECH(psi_f*(Tabella3[[#This Row],[Day]]-pf)-phi_f)^2/(1+TANH(phi_f)),0)</f>
        <v>45.0948995949081</v>
      </c>
      <c r="L15" s="292">
        <f>Tabella3[[#This Row],[Italy remov. rate fit]]-Tabella3[[#This Row],[Italy remov. rate data]]</f>
        <v>45.0948995949081</v>
      </c>
      <c r="M15" s="293">
        <f>Tabella3[[#This Row],[rem. rate residuals]]*NOT(ISBLANK(Tabella3[[#This Row],[Italy remov. rate data]]))</f>
        <v>0</v>
      </c>
      <c r="N15" s="72">
        <f>Tabella3[[#This Row],[Italy remov. rate fit]]/y_f_peak</f>
        <v>1.5024591631583087E-2</v>
      </c>
      <c r="O15" s="10">
        <f>Tabella3[[#This Row],[Italy (fit of selected region + fitted sum of the other regions)]]*NOT(ISBLANK(Tabella3[[#This Row],[Italy remov. rate data]]))</f>
        <v>0</v>
      </c>
      <c r="P15" s="72">
        <f>Tabella3[[#This Row],[Italy remov. rate fit]]*NOT(ISBLANK(Tabella3[[#This Row],[Italy remov. rate data]]))</f>
        <v>0</v>
      </c>
      <c r="Q15" s="72">
        <f>Tabella3[[#This Row],[Italy remov. rate fit]]+CIf</f>
        <v>1760.7097589294594</v>
      </c>
      <c r="R15" s="72">
        <f>MAX(Tabella3[[#This Row],[Italy remov. rate fit]]-CIf,0)</f>
        <v>0</v>
      </c>
      <c r="S15" s="139"/>
      <c r="T15" s="144"/>
      <c r="U15" s="10">
        <f>Tabella3[[#This Row],[region data]]*NOT(ISBLANK(Tabella3[[#This Row],[region data]]))</f>
        <v>0</v>
      </c>
      <c r="V15"/>
      <c r="W15" s="72">
        <f>Tabella3[[#This Row],[6-days moving avg]]*NOT(ISBLANK(Tabella3[[#This Row],[6-days moving avg]]))</f>
        <v>0</v>
      </c>
      <c r="X15" s="145">
        <f>Tabella8[[#This Row],[region fit]]</f>
        <v>0</v>
      </c>
      <c r="Y15" s="10">
        <f>Tabella3[[#This Row],[region cumul. fit]]/Kl</f>
        <v>0</v>
      </c>
      <c r="Z15" s="72">
        <f>IFERROR(Kl*psi_l*_xlfn.SECH(psi_l*(Tabella3[[#This Row],[Day]]-pl)-phi_l)^2/(1+TANH(phi_l)),0)</f>
        <v>1.1052744870160855</v>
      </c>
      <c r="AA15" s="72">
        <f>Tabella3[[#This Row],[region fit]]/y_l_peak</f>
        <v>8.0209019261940368E-3</v>
      </c>
      <c r="AB15" s="10">
        <f>Tabella3[[#This Row],[region fit]]*NOT(ISBLANK(Tabella3[[#This Row],[region data]]))</f>
        <v>0</v>
      </c>
      <c r="AC15" s="166">
        <f>IFERROR(kl_m*psi_l_m*_xlfn.SECH(psi_l_m*(Tabella3[[#This Row],[Day]]-pl_m)-phi_l_m)^2/(1+TANH(phi_l_m)),0)</f>
        <v>1.1052744870160855</v>
      </c>
      <c r="AD15" s="72">
        <f>Tabella3[[#This Row],[6-days moving avg fit]]*NOT(ISBLANK(Tabella3[[#This Row],[6-days moving avg]]))</f>
        <v>0</v>
      </c>
      <c r="AE15" s="72">
        <f>Tabella3[[#This Row],[region fit]]+CIl</f>
        <v>54.870114896564537</v>
      </c>
      <c r="AF15" s="72">
        <f>MAX(Tabella3[[#This Row],[region fit]]-CIl,0)</f>
        <v>0</v>
      </c>
      <c r="AG15" s="141"/>
      <c r="AH15" s="144"/>
      <c r="AI15" s="10">
        <f>Tabella3[[#This Row],[rest of Italy data]]*NOT(ISBLANK(Tabella3[[#This Row],[rest of Italy data]]))</f>
        <v>0</v>
      </c>
      <c r="AJ15" s="145">
        <f>Tabella8[[#This Row],[rest of Italy fit]]</f>
        <v>0</v>
      </c>
      <c r="AK15" s="72">
        <f>Tabella3[[#This Row],[rest of Italy cumul. fit]]/Ka</f>
        <v>0</v>
      </c>
      <c r="AL15" s="72">
        <f>IFERROR(Ka*psi_a*_xlfn.SECH(psi_a*(Tabella3[[#This Row],[Day]]-pa)-phi_a)^2/(1+TANH(phi_a)),0)</f>
        <v>44.576778745890302</v>
      </c>
      <c r="AM15" s="72">
        <f>Tabella3[[#This Row],[rest of Italy fit]]/y_a_peak</f>
        <v>1.557653040489828E-2</v>
      </c>
      <c r="AN15" s="10">
        <f>Tabella3[[#This Row],[rest of Italy fit]]*NOT(ISBLANK(Tabella3[[#This Row],[rest of Italy data]]))</f>
        <v>0</v>
      </c>
      <c r="AO15" s="72">
        <f>Tabella3[[#This Row],[rest of Italy fit]]+CIa</f>
        <v>1739.1509736554731</v>
      </c>
      <c r="AP15" s="72">
        <f>MAX(Tabella3[[#This Row],[rest of Italy fit]]-CIa,0)</f>
        <v>0</v>
      </c>
      <c r="AQ15" s="1"/>
      <c r="AR15" s="97" t="s">
        <v>5</v>
      </c>
      <c r="AS15" s="100">
        <f>TINV(0.05,dfw)</f>
        <v>1.9896863234569038</v>
      </c>
      <c r="BF15" s="328"/>
    </row>
    <row r="16" spans="2:58" x14ac:dyDescent="0.3">
      <c r="B16" s="135">
        <v>43839</v>
      </c>
      <c r="C16" s="4">
        <v>9</v>
      </c>
      <c r="D16" s="141"/>
      <c r="E16" s="144"/>
      <c r="F16" s="10">
        <f>Tabella3[[#This Row],[Italy remov. rate data]]*NOT(ISBLANK(Tabella3[[#This Row],[Italy remov. rate data]]))</f>
        <v>0</v>
      </c>
      <c r="G16" s="158">
        <f>Tabella3[[#This Row],[region cumul. fit]]+Tabella3[[#This Row],[rest of Italy cumul. fit]]</f>
        <v>0</v>
      </c>
      <c r="H16" s="158">
        <f>Tabella3[[#This Row],[Italy cumul. fit]]/Kf</f>
        <v>0</v>
      </c>
      <c r="I16" s="143">
        <f>Tabella3[[#This Row],[region fit]]+Tabella3[[#This Row],[rest of Italy fit]]</f>
        <v>47.967460383768042</v>
      </c>
      <c r="J16" s="143">
        <f>Tabella3[[#This Row],[Italy (fit of selected region + fitted sum of the other regions)]]/(y_l_peak+y_a_peak)</f>
        <v>1.5991336022062493E-2</v>
      </c>
      <c r="K16" s="72">
        <f>IFERROR(Kf*psi_f*_xlfn.SECH(psi_f*(Tabella3[[#This Row],[Day]]-pf)-phi_f)^2/(1+TANH(phi_f)),0)</f>
        <v>47.360100430487634</v>
      </c>
      <c r="L16" s="292">
        <f>Tabella3[[#This Row],[Italy remov. rate fit]]-Tabella3[[#This Row],[Italy remov. rate data]]</f>
        <v>47.360100430487634</v>
      </c>
      <c r="M16" s="293">
        <f>Tabella3[[#This Row],[rem. rate residuals]]*NOT(ISBLANK(Tabella3[[#This Row],[Italy remov. rate data]]))</f>
        <v>0</v>
      </c>
      <c r="N16" s="72">
        <f>Tabella3[[#This Row],[Italy remov. rate fit]]/y_f_peak</f>
        <v>1.5779304865758823E-2</v>
      </c>
      <c r="O16" s="10">
        <f>Tabella3[[#This Row],[Italy (fit of selected region + fitted sum of the other regions)]]*NOT(ISBLANK(Tabella3[[#This Row],[Italy remov. rate data]]))</f>
        <v>0</v>
      </c>
      <c r="P16" s="72">
        <f>Tabella3[[#This Row],[Italy remov. rate fit]]*NOT(ISBLANK(Tabella3[[#This Row],[Italy remov. rate data]]))</f>
        <v>0</v>
      </c>
      <c r="Q16" s="72">
        <f>Tabella3[[#This Row],[Italy remov. rate fit]]+CIf</f>
        <v>1762.9749597650389</v>
      </c>
      <c r="R16" s="72">
        <f>MAX(Tabella3[[#This Row],[Italy remov. rate fit]]-CIf,0)</f>
        <v>0</v>
      </c>
      <c r="S16" s="139"/>
      <c r="T16" s="144"/>
      <c r="U16" s="10">
        <f>Tabella3[[#This Row],[region data]]*NOT(ISBLANK(Tabella3[[#This Row],[region data]]))</f>
        <v>0</v>
      </c>
      <c r="V16"/>
      <c r="W16" s="72">
        <f>Tabella3[[#This Row],[6-days moving avg]]*NOT(ISBLANK(Tabella3[[#This Row],[6-days moving avg]]))</f>
        <v>0</v>
      </c>
      <c r="X16" s="145">
        <f>Tabella8[[#This Row],[region fit]]</f>
        <v>0</v>
      </c>
      <c r="Y16" s="10">
        <f>Tabella3[[#This Row],[region cumul. fit]]/Kl</f>
        <v>0</v>
      </c>
      <c r="Z16" s="72">
        <f>IFERROR(Kl*psi_l*_xlfn.SECH(psi_l*(Tabella3[[#This Row],[Day]]-pl)-phi_l)^2/(1+TANH(phi_l)),0)</f>
        <v>1.1691403878854365</v>
      </c>
      <c r="AA16" s="72">
        <f>Tabella3[[#This Row],[region fit]]/y_l_peak</f>
        <v>8.4843724335827049E-3</v>
      </c>
      <c r="AB16" s="10">
        <f>Tabella3[[#This Row],[region fit]]*NOT(ISBLANK(Tabella3[[#This Row],[region data]]))</f>
        <v>0</v>
      </c>
      <c r="AC16" s="166">
        <f>IFERROR(kl_m*psi_l_m*_xlfn.SECH(psi_l_m*(Tabella3[[#This Row],[Day]]-pl_m)-phi_l_m)^2/(1+TANH(phi_l_m)),0)</f>
        <v>1.1691403878854365</v>
      </c>
      <c r="AD16" s="72">
        <f>Tabella3[[#This Row],[6-days moving avg fit]]*NOT(ISBLANK(Tabella3[[#This Row],[6-days moving avg]]))</f>
        <v>0</v>
      </c>
      <c r="AE16" s="72">
        <f>Tabella3[[#This Row],[region fit]]+CIl</f>
        <v>54.93398079743389</v>
      </c>
      <c r="AF16" s="72">
        <f>MAX(Tabella3[[#This Row],[region fit]]-CIl,0)</f>
        <v>0</v>
      </c>
      <c r="AG16" s="141"/>
      <c r="AH16" s="144"/>
      <c r="AI16" s="10">
        <f>Tabella3[[#This Row],[rest of Italy data]]*NOT(ISBLANK(Tabella3[[#This Row],[rest of Italy data]]))</f>
        <v>0</v>
      </c>
      <c r="AJ16" s="145">
        <f>Tabella8[[#This Row],[rest of Italy fit]]</f>
        <v>0</v>
      </c>
      <c r="AK16" s="72">
        <f>Tabella3[[#This Row],[rest of Italy cumul. fit]]/Ka</f>
        <v>0</v>
      </c>
      <c r="AL16" s="72">
        <f>IFERROR(Ka*psi_a*_xlfn.SECH(psi_a*(Tabella3[[#This Row],[Day]]-pa)-phi_a)^2/(1+TANH(phi_a)),0)</f>
        <v>46.798319995882608</v>
      </c>
      <c r="AM16" s="72">
        <f>Tabella3[[#This Row],[rest of Italy fit]]/y_a_peak</f>
        <v>1.6352806883364799E-2</v>
      </c>
      <c r="AN16" s="10">
        <f>Tabella3[[#This Row],[rest of Italy fit]]*NOT(ISBLANK(Tabella3[[#This Row],[rest of Italy data]]))</f>
        <v>0</v>
      </c>
      <c r="AO16" s="72">
        <f>Tabella3[[#This Row],[rest of Italy fit]]+CIa</f>
        <v>1741.3725149054653</v>
      </c>
      <c r="AP16" s="72">
        <f>MAX(Tabella3[[#This Row],[rest of Italy fit]]-CIa,0)</f>
        <v>0</v>
      </c>
      <c r="AQ16" s="1"/>
      <c r="AR16" s="97" t="s">
        <v>6</v>
      </c>
      <c r="AS16" s="98">
        <f>Critical_tw*SE_of_yw</f>
        <v>1672.6498996169335</v>
      </c>
      <c r="BF16" s="328"/>
    </row>
    <row r="17" spans="2:58" ht="15" thickBot="1" x14ac:dyDescent="0.35">
      <c r="B17" s="135">
        <v>43840</v>
      </c>
      <c r="C17" s="4">
        <v>10</v>
      </c>
      <c r="D17" s="141"/>
      <c r="E17" s="144"/>
      <c r="F17" s="10">
        <f>Tabella3[[#This Row],[Italy remov. rate data]]*NOT(ISBLANK(Tabella3[[#This Row],[Italy remov. rate data]]))</f>
        <v>0</v>
      </c>
      <c r="G17" s="158">
        <f>Tabella3[[#This Row],[region cumul. fit]]+Tabella3[[#This Row],[rest of Italy cumul. fit]]</f>
        <v>0</v>
      </c>
      <c r="H17" s="158">
        <f>Tabella3[[#This Row],[Italy cumul. fit]]/Kf</f>
        <v>0</v>
      </c>
      <c r="I17" s="143">
        <f>Tabella3[[#This Row],[region fit]]+Tabella3[[#This Row],[rest of Italy fit]]</f>
        <v>50.36628880847681</v>
      </c>
      <c r="J17" s="143">
        <f>Tabella3[[#This Row],[Italy (fit of selected region + fitted sum of the other regions)]]/(y_l_peak+y_a_peak)</f>
        <v>1.6791054645727083E-2</v>
      </c>
      <c r="K17" s="72">
        <f>IFERROR(Kf*psi_f*_xlfn.SECH(psi_f*(Tabella3[[#This Row],[Day]]-pf)-phi_f)^2/(1+TANH(phi_f)),0)</f>
        <v>49.738128969728379</v>
      </c>
      <c r="L17" s="292">
        <f>Tabella3[[#This Row],[Italy remov. rate fit]]-Tabella3[[#This Row],[Italy remov. rate data]]</f>
        <v>49.738128969728379</v>
      </c>
      <c r="M17" s="293">
        <f>Tabella3[[#This Row],[rem. rate residuals]]*NOT(ISBLANK(Tabella3[[#This Row],[Italy remov. rate data]]))</f>
        <v>0</v>
      </c>
      <c r="N17" s="72">
        <f>Tabella3[[#This Row],[Italy remov. rate fit]]/y_f_peak</f>
        <v>1.6571609716447007E-2</v>
      </c>
      <c r="O17" s="10">
        <f>Tabella3[[#This Row],[Italy (fit of selected region + fitted sum of the other regions)]]*NOT(ISBLANK(Tabella3[[#This Row],[Italy remov. rate data]]))</f>
        <v>0</v>
      </c>
      <c r="P17" s="72">
        <f>Tabella3[[#This Row],[Italy remov. rate fit]]*NOT(ISBLANK(Tabella3[[#This Row],[Italy remov. rate data]]))</f>
        <v>0</v>
      </c>
      <c r="Q17" s="72">
        <f>Tabella3[[#This Row],[Italy remov. rate fit]]+CIf</f>
        <v>1765.3529883042797</v>
      </c>
      <c r="R17" s="72">
        <f>MAX(Tabella3[[#This Row],[Italy remov. rate fit]]-CIf,0)</f>
        <v>0</v>
      </c>
      <c r="S17" s="139"/>
      <c r="T17" s="144"/>
      <c r="U17" s="10">
        <f>Tabella3[[#This Row],[region data]]*NOT(ISBLANK(Tabella3[[#This Row],[region data]]))</f>
        <v>0</v>
      </c>
      <c r="V17"/>
      <c r="W17" s="72">
        <f>Tabella3[[#This Row],[6-days moving avg]]*NOT(ISBLANK(Tabella3[[#This Row],[6-days moving avg]]))</f>
        <v>0</v>
      </c>
      <c r="X17" s="145">
        <f>Tabella8[[#This Row],[region fit]]</f>
        <v>0</v>
      </c>
      <c r="Y17" s="10">
        <f>Tabella3[[#This Row],[region cumul. fit]]/Kl</f>
        <v>0</v>
      </c>
      <c r="Z17" s="72">
        <f>IFERROR(Kl*psi_l*_xlfn.SECH(psi_l*(Tabella3[[#This Row],[Day]]-pl)-phi_l)^2/(1+TANH(phi_l)),0)</f>
        <v>1.2366799446077421</v>
      </c>
      <c r="AA17" s="72">
        <f>Tabella3[[#This Row],[region fit]]/y_l_peak</f>
        <v>8.9745024121283407E-3</v>
      </c>
      <c r="AB17" s="10">
        <f>Tabella3[[#This Row],[region fit]]*NOT(ISBLANK(Tabella3[[#This Row],[region data]]))</f>
        <v>0</v>
      </c>
      <c r="AC17" s="166">
        <f>IFERROR(kl_m*psi_l_m*_xlfn.SECH(psi_l_m*(Tabella3[[#This Row],[Day]]-pl_m)-phi_l_m)^2/(1+TANH(phi_l_m)),0)</f>
        <v>1.2366799446077421</v>
      </c>
      <c r="AD17" s="72">
        <f>Tabella3[[#This Row],[6-days moving avg fit]]*NOT(ISBLANK(Tabella3[[#This Row],[6-days moving avg]]))</f>
        <v>0</v>
      </c>
      <c r="AE17" s="72">
        <f>Tabella3[[#This Row],[region fit]]+CIl</f>
        <v>55.001520354156199</v>
      </c>
      <c r="AF17" s="72">
        <f>MAX(Tabella3[[#This Row],[region fit]]-CIl,0)</f>
        <v>0</v>
      </c>
      <c r="AG17" s="141"/>
      <c r="AH17" s="144"/>
      <c r="AI17" s="10">
        <f>Tabella3[[#This Row],[rest of Italy data]]*NOT(ISBLANK(Tabella3[[#This Row],[rest of Italy data]]))</f>
        <v>0</v>
      </c>
      <c r="AJ17" s="145">
        <f>Tabella8[[#This Row],[rest of Italy fit]]</f>
        <v>0</v>
      </c>
      <c r="AK17" s="72">
        <f>Tabella3[[#This Row],[rest of Italy cumul. fit]]/Ka</f>
        <v>0</v>
      </c>
      <c r="AL17" s="72">
        <f>IFERROR(Ka*psi_a*_xlfn.SECH(psi_a*(Tabella3[[#This Row],[Day]]-pa)-phi_a)^2/(1+TANH(phi_a)),0)</f>
        <v>49.129608863869066</v>
      </c>
      <c r="AM17" s="72">
        <f>Tabella3[[#This Row],[rest of Italy fit]]/y_a_peak</f>
        <v>1.716743263597461E-2</v>
      </c>
      <c r="AN17" s="10">
        <f>Tabella3[[#This Row],[rest of Italy fit]]*NOT(ISBLANK(Tabella3[[#This Row],[rest of Italy data]]))</f>
        <v>0</v>
      </c>
      <c r="AO17" s="72">
        <f>Tabella3[[#This Row],[rest of Italy fit]]+CIa</f>
        <v>1743.7038037734519</v>
      </c>
      <c r="AP17" s="72">
        <f>MAX(Tabella3[[#This Row],[rest of Italy fit]]-CIa,0)</f>
        <v>0</v>
      </c>
      <c r="AQ17" s="1"/>
      <c r="AR17" s="101" t="s">
        <v>98</v>
      </c>
      <c r="AS17" s="102">
        <f>MAX(Tabella3[Italy (fit of selected region + fitted sum of the other regions)])</f>
        <v>2998.6437287274002</v>
      </c>
      <c r="BF17" s="329"/>
    </row>
    <row r="18" spans="2:58" ht="15" thickTop="1" x14ac:dyDescent="0.3">
      <c r="B18" s="135">
        <v>43841</v>
      </c>
      <c r="C18" s="4">
        <v>11</v>
      </c>
      <c r="D18" s="141"/>
      <c r="E18" s="144"/>
      <c r="F18" s="10">
        <f>Tabella3[[#This Row],[Italy remov. rate data]]*NOT(ISBLANK(Tabella3[[#This Row],[Italy remov. rate data]]))</f>
        <v>0</v>
      </c>
      <c r="G18" s="158">
        <f>Tabella3[[#This Row],[region cumul. fit]]+Tabella3[[#This Row],[rest of Italy cumul. fit]]</f>
        <v>0</v>
      </c>
      <c r="H18" s="158">
        <f>Tabella3[[#This Row],[Italy cumul. fit]]/Kf</f>
        <v>0</v>
      </c>
      <c r="I18" s="143">
        <f>Tabella3[[#This Row],[region fit]]+Tabella3[[#This Row],[rest of Italy fit]]</f>
        <v>52.884070542118025</v>
      </c>
      <c r="J18" s="143">
        <f>Tabella3[[#This Row],[Italy (fit of selected region + fitted sum of the other regions)]]/(y_l_peak+y_a_peak)</f>
        <v>1.7630429784847277E-2</v>
      </c>
      <c r="K18" s="72">
        <f>IFERROR(Kf*psi_f*_xlfn.SECH(psi_f*(Tabella3[[#This Row],[Day]]-pf)-phi_f)^2/(1+TANH(phi_f)),0)</f>
        <v>52.234506124056296</v>
      </c>
      <c r="L18" s="292">
        <f>Tabella3[[#This Row],[Italy remov. rate fit]]-Tabella3[[#This Row],[Italy remov. rate data]]</f>
        <v>52.234506124056296</v>
      </c>
      <c r="M18" s="293">
        <f>Tabella3[[#This Row],[rem. rate residuals]]*NOT(ISBLANK(Tabella3[[#This Row],[Italy remov. rate data]]))</f>
        <v>0</v>
      </c>
      <c r="N18" s="72">
        <f>Tabella3[[#This Row],[Italy remov. rate fit]]/y_f_peak</f>
        <v>1.7403345625366193E-2</v>
      </c>
      <c r="O18" s="10">
        <f>Tabella3[[#This Row],[Italy (fit of selected region + fitted sum of the other regions)]]*NOT(ISBLANK(Tabella3[[#This Row],[Italy remov. rate data]]))</f>
        <v>0</v>
      </c>
      <c r="P18" s="72">
        <f>Tabella3[[#This Row],[Italy remov. rate fit]]*NOT(ISBLANK(Tabella3[[#This Row],[Italy remov. rate data]]))</f>
        <v>0</v>
      </c>
      <c r="Q18" s="72">
        <f>Tabella3[[#This Row],[Italy remov. rate fit]]+CIf</f>
        <v>1767.8493654586075</v>
      </c>
      <c r="R18" s="72">
        <f>MAX(Tabella3[[#This Row],[Italy remov. rate fit]]-CIf,0)</f>
        <v>0</v>
      </c>
      <c r="S18" s="139"/>
      <c r="T18" s="144"/>
      <c r="U18" s="10">
        <f>Tabella3[[#This Row],[region data]]*NOT(ISBLANK(Tabella3[[#This Row],[region data]]))</f>
        <v>0</v>
      </c>
      <c r="V18"/>
      <c r="W18" s="72">
        <f>Tabella3[[#This Row],[6-days moving avg]]*NOT(ISBLANK(Tabella3[[#This Row],[6-days moving avg]]))</f>
        <v>0</v>
      </c>
      <c r="X18" s="145">
        <f>Tabella8[[#This Row],[region fit]]</f>
        <v>0</v>
      </c>
      <c r="Y18" s="10">
        <f>Tabella3[[#This Row],[region cumul. fit]]/Kl</f>
        <v>0</v>
      </c>
      <c r="Z18" s="72">
        <f>IFERROR(Kl*psi_l*_xlfn.SECH(psi_l*(Tabella3[[#This Row],[Day]]-pl)-phi_l)^2/(1+TANH(phi_l)),0)</f>
        <v>1.3081024822450997</v>
      </c>
      <c r="AA18" s="72">
        <f>Tabella3[[#This Row],[region fit]]/y_l_peak</f>
        <v>9.4928109195975899E-3</v>
      </c>
      <c r="AB18" s="10">
        <f>Tabella3[[#This Row],[region fit]]*NOT(ISBLANK(Tabella3[[#This Row],[region data]]))</f>
        <v>0</v>
      </c>
      <c r="AC18" s="166">
        <f>IFERROR(kl_m*psi_l_m*_xlfn.SECH(psi_l_m*(Tabella3[[#This Row],[Day]]-pl_m)-phi_l_m)^2/(1+TANH(phi_l_m)),0)</f>
        <v>1.3081024822450997</v>
      </c>
      <c r="AD18" s="72">
        <f>Tabella3[[#This Row],[6-days moving avg fit]]*NOT(ISBLANK(Tabella3[[#This Row],[6-days moving avg]]))</f>
        <v>0</v>
      </c>
      <c r="AE18" s="72">
        <f>Tabella3[[#This Row],[region fit]]+CIl</f>
        <v>55.072942891793552</v>
      </c>
      <c r="AF18" s="72">
        <f>MAX(Tabella3[[#This Row],[region fit]]-CIl,0)</f>
        <v>0</v>
      </c>
      <c r="AG18" s="141"/>
      <c r="AH18" s="144"/>
      <c r="AI18" s="10">
        <f>Tabella3[[#This Row],[rest of Italy data]]*NOT(ISBLANK(Tabella3[[#This Row],[rest of Italy data]]))</f>
        <v>0</v>
      </c>
      <c r="AJ18" s="145">
        <f>Tabella8[[#This Row],[rest of Italy fit]]</f>
        <v>0</v>
      </c>
      <c r="AK18" s="72">
        <f>Tabella3[[#This Row],[rest of Italy cumul. fit]]/Ka</f>
        <v>0</v>
      </c>
      <c r="AL18" s="72">
        <f>IFERROR(Ka*psi_a*_xlfn.SECH(psi_a*(Tabella3[[#This Row],[Day]]-pa)-phi_a)^2/(1+TANH(phi_a)),0)</f>
        <v>51.575968059872928</v>
      </c>
      <c r="AM18" s="72">
        <f>Tabella3[[#This Row],[rest of Italy fit]]/y_a_peak</f>
        <v>1.8022267585244466E-2</v>
      </c>
      <c r="AN18" s="10">
        <f>Tabella3[[#This Row],[rest of Italy fit]]*NOT(ISBLANK(Tabella3[[#This Row],[rest of Italy data]]))</f>
        <v>0</v>
      </c>
      <c r="AO18" s="72">
        <f>Tabella3[[#This Row],[rest of Italy fit]]+CIa</f>
        <v>1746.1501629694556</v>
      </c>
      <c r="AP18" s="72">
        <f>MAX(Tabella3[[#This Row],[rest of Italy fit]]-CIa,0)</f>
        <v>0</v>
      </c>
      <c r="AQ18" s="1"/>
      <c r="AR18" s="101" t="s">
        <v>128</v>
      </c>
      <c r="AS18" s="103">
        <f>_xlfn.XLOOKUP(Peak_w,Tabella3[Italy (fit of selected region + fitted sum of the other regions)],Tabella3[Date])</f>
        <v>43951</v>
      </c>
      <c r="BF18" s="41">
        <f>MAX($AS$26)</f>
        <v>0.96264098178121149</v>
      </c>
    </row>
    <row r="19" spans="2:58" x14ac:dyDescent="0.3">
      <c r="B19" s="135">
        <v>43842</v>
      </c>
      <c r="C19" s="4">
        <v>12</v>
      </c>
      <c r="D19" s="141"/>
      <c r="E19" s="144"/>
      <c r="F19" s="10">
        <f>Tabella3[[#This Row],[Italy remov. rate data]]*NOT(ISBLANK(Tabella3[[#This Row],[Italy remov. rate data]]))</f>
        <v>0</v>
      </c>
      <c r="G19" s="158">
        <f>Tabella3[[#This Row],[region cumul. fit]]+Tabella3[[#This Row],[rest of Italy cumul. fit]]</f>
        <v>0</v>
      </c>
      <c r="H19" s="158">
        <f>Tabella3[[#This Row],[Italy cumul. fit]]/Kf</f>
        <v>0</v>
      </c>
      <c r="I19" s="143">
        <f>Tabella3[[#This Row],[region fit]]+Tabella3[[#This Row],[rest of Italy fit]]</f>
        <v>55.526597295123544</v>
      </c>
      <c r="J19" s="143">
        <f>Tabella3[[#This Row],[Italy (fit of selected region + fitted sum of the other regions)]]/(y_l_peak+y_a_peak)</f>
        <v>1.8511392273094847E-2</v>
      </c>
      <c r="K19" s="72">
        <f>IFERROR(Kf*psi_f*_xlfn.SECH(psi_f*(Tabella3[[#This Row],[Day]]-pf)-phi_f)^2/(1+TANH(phi_f)),0)</f>
        <v>54.855012716443319</v>
      </c>
      <c r="L19" s="292">
        <f>Tabella3[[#This Row],[Italy remov. rate fit]]-Tabella3[[#This Row],[Italy remov. rate data]]</f>
        <v>54.855012716443319</v>
      </c>
      <c r="M19" s="293">
        <f>Tabella3[[#This Row],[rem. rate residuals]]*NOT(ISBLANK(Tabella3[[#This Row],[Italy remov. rate data]]))</f>
        <v>0</v>
      </c>
      <c r="N19" s="72">
        <f>Tabella3[[#This Row],[Italy remov. rate fit]]/y_f_peak</f>
        <v>1.8276438630831764E-2</v>
      </c>
      <c r="O19" s="10">
        <f>Tabella3[[#This Row],[Italy (fit of selected region + fitted sum of the other regions)]]*NOT(ISBLANK(Tabella3[[#This Row],[Italy remov. rate data]]))</f>
        <v>0</v>
      </c>
      <c r="P19" s="72">
        <f>Tabella3[[#This Row],[Italy remov. rate fit]]*NOT(ISBLANK(Tabella3[[#This Row],[Italy remov. rate data]]))</f>
        <v>0</v>
      </c>
      <c r="Q19" s="72">
        <f>Tabella3[[#This Row],[Italy remov. rate fit]]+CIf</f>
        <v>1770.4698720509946</v>
      </c>
      <c r="R19" s="72">
        <f>MAX(Tabella3[[#This Row],[Italy remov. rate fit]]-CIf,0)</f>
        <v>0</v>
      </c>
      <c r="S19" s="139"/>
      <c r="T19" s="144"/>
      <c r="U19" s="10">
        <f>Tabella3[[#This Row],[region data]]*NOT(ISBLANK(Tabella3[[#This Row],[region data]]))</f>
        <v>0</v>
      </c>
      <c r="V19"/>
      <c r="W19" s="72">
        <f>Tabella3[[#This Row],[6-days moving avg]]*NOT(ISBLANK(Tabella3[[#This Row],[6-days moving avg]]))</f>
        <v>0</v>
      </c>
      <c r="X19" s="145">
        <f>Tabella8[[#This Row],[region fit]]</f>
        <v>0</v>
      </c>
      <c r="Y19" s="10">
        <f>Tabella3[[#This Row],[region cumul. fit]]/Kl</f>
        <v>0</v>
      </c>
      <c r="Z19" s="72">
        <f>IFERROR(Kl*psi_l*_xlfn.SECH(psi_l*(Tabella3[[#This Row],[Day]]-pl)-phi_l)^2/(1+TANH(phi_l)),0)</f>
        <v>1.3836290161577558</v>
      </c>
      <c r="AA19" s="72">
        <f>Tabella3[[#This Row],[region fit]]/y_l_peak</f>
        <v>1.004090184945723E-2</v>
      </c>
      <c r="AB19" s="10">
        <f>Tabella3[[#This Row],[region fit]]*NOT(ISBLANK(Tabella3[[#This Row],[region data]]))</f>
        <v>0</v>
      </c>
      <c r="AC19" s="166">
        <f>IFERROR(kl_m*psi_l_m*_xlfn.SECH(psi_l_m*(Tabella3[[#This Row],[Day]]-pl_m)-phi_l_m)^2/(1+TANH(phi_l_m)),0)</f>
        <v>1.3836290161577558</v>
      </c>
      <c r="AD19" s="72">
        <f>Tabella3[[#This Row],[6-days moving avg fit]]*NOT(ISBLANK(Tabella3[[#This Row],[6-days moving avg]]))</f>
        <v>0</v>
      </c>
      <c r="AE19" s="72">
        <f>Tabella3[[#This Row],[region fit]]+CIl</f>
        <v>55.14846942570621</v>
      </c>
      <c r="AF19" s="72">
        <f>MAX(Tabella3[[#This Row],[region fit]]-CIl,0)</f>
        <v>0</v>
      </c>
      <c r="AG19" s="141"/>
      <c r="AH19" s="144"/>
      <c r="AI19" s="10">
        <f>Tabella3[[#This Row],[rest of Italy data]]*NOT(ISBLANK(Tabella3[[#This Row],[rest of Italy data]]))</f>
        <v>0</v>
      </c>
      <c r="AJ19" s="145">
        <f>Tabella8[[#This Row],[rest of Italy fit]]</f>
        <v>0</v>
      </c>
      <c r="AK19" s="72">
        <f>Tabella3[[#This Row],[rest of Italy cumul. fit]]/Ka</f>
        <v>0</v>
      </c>
      <c r="AL19" s="72">
        <f>IFERROR(Ka*psi_a*_xlfn.SECH(psi_a*(Tabella3[[#This Row],[Day]]-pa)-phi_a)^2/(1+TANH(phi_a)),0)</f>
        <v>54.142968278965789</v>
      </c>
      <c r="AM19" s="72">
        <f>Tabella3[[#This Row],[rest of Italy fit]]/y_a_peak</f>
        <v>1.8919258307477101E-2</v>
      </c>
      <c r="AN19" s="10">
        <f>Tabella3[[#This Row],[rest of Italy fit]]*NOT(ISBLANK(Tabella3[[#This Row],[rest of Italy data]]))</f>
        <v>0</v>
      </c>
      <c r="AO19" s="72">
        <f>Tabella3[[#This Row],[rest of Italy fit]]+CIa</f>
        <v>1748.7171631885485</v>
      </c>
      <c r="AP19" s="72">
        <f>MAX(Tabella3[[#This Row],[rest of Italy fit]]-CIa,0)</f>
        <v>0</v>
      </c>
      <c r="AQ19" s="1"/>
      <c r="AR19" s="18" t="s">
        <v>78</v>
      </c>
      <c r="AS19" s="3" t="s">
        <v>4741</v>
      </c>
      <c r="AU19" s="18" t="s">
        <v>78</v>
      </c>
      <c r="AV19" s="3" t="s">
        <v>4743</v>
      </c>
      <c r="BF19" s="42">
        <f>COUNT($AS$20,$AS$21,$AS$22,$AS$31)</f>
        <v>4</v>
      </c>
    </row>
    <row r="20" spans="2:58" x14ac:dyDescent="0.3">
      <c r="B20" s="135">
        <v>43843</v>
      </c>
      <c r="C20" s="4">
        <v>13</v>
      </c>
      <c r="D20" s="141"/>
      <c r="E20" s="144"/>
      <c r="F20" s="10">
        <f>Tabella3[[#This Row],[Italy remov. rate data]]*NOT(ISBLANK(Tabella3[[#This Row],[Italy remov. rate data]]))</f>
        <v>0</v>
      </c>
      <c r="G20" s="158">
        <f>Tabella3[[#This Row],[region cumul. fit]]+Tabella3[[#This Row],[rest of Italy cumul. fit]]</f>
        <v>0</v>
      </c>
      <c r="H20" s="158">
        <f>Tabella3[[#This Row],[Italy cumul. fit]]/Kf</f>
        <v>0</v>
      </c>
      <c r="I20" s="143">
        <f>Tabella3[[#This Row],[region fit]]+Tabella3[[#This Row],[rest of Italy fit]]</f>
        <v>58.299931579885339</v>
      </c>
      <c r="J20" s="143">
        <f>Tabella3[[#This Row],[Italy (fit of selected region + fitted sum of the other regions)]]/(y_l_peak+y_a_peak)</f>
        <v>1.9435963223783322E-2</v>
      </c>
      <c r="K20" s="72">
        <f>IFERROR(Kf*psi_f*_xlfn.SECH(psi_f*(Tabella3[[#This Row],[Day]]-pf)-phi_f)^2/(1+TANH(phi_f)),0)</f>
        <v>57.60570065006776</v>
      </c>
      <c r="L20" s="292">
        <f>Tabella3[[#This Row],[Italy remov. rate fit]]-Tabella3[[#This Row],[Italy remov. rate data]]</f>
        <v>57.60570065006776</v>
      </c>
      <c r="M20" s="293">
        <f>Tabella3[[#This Row],[rem. rate residuals]]*NOT(ISBLANK(Tabella3[[#This Row],[Italy remov. rate data]]))</f>
        <v>0</v>
      </c>
      <c r="N20" s="72">
        <f>Tabella3[[#This Row],[Italy remov. rate fit]]/y_f_peak</f>
        <v>1.9192905088898718E-2</v>
      </c>
      <c r="O20" s="10">
        <f>Tabella3[[#This Row],[Italy (fit of selected region + fitted sum of the other regions)]]*NOT(ISBLANK(Tabella3[[#This Row],[Italy remov. rate data]]))</f>
        <v>0</v>
      </c>
      <c r="P20" s="72">
        <f>Tabella3[[#This Row],[Italy remov. rate fit]]*NOT(ISBLANK(Tabella3[[#This Row],[Italy remov. rate data]]))</f>
        <v>0</v>
      </c>
      <c r="Q20" s="72">
        <f>Tabella3[[#This Row],[Italy remov. rate fit]]+CIf</f>
        <v>1773.2205599846191</v>
      </c>
      <c r="R20" s="72">
        <f>MAX(Tabella3[[#This Row],[Italy remov. rate fit]]-CIf,0)</f>
        <v>0</v>
      </c>
      <c r="S20" s="139"/>
      <c r="T20" s="144"/>
      <c r="U20" s="10">
        <f>Tabella3[[#This Row],[region data]]*NOT(ISBLANK(Tabella3[[#This Row],[region data]]))</f>
        <v>0</v>
      </c>
      <c r="V20"/>
      <c r="W20" s="72">
        <f>Tabella3[[#This Row],[6-days moving avg]]*NOT(ISBLANK(Tabella3[[#This Row],[6-days moving avg]]))</f>
        <v>0</v>
      </c>
      <c r="X20" s="145">
        <f>Tabella8[[#This Row],[region fit]]</f>
        <v>0</v>
      </c>
      <c r="Y20" s="10">
        <f>Tabella3[[#This Row],[region cumul. fit]]/Kl</f>
        <v>0</v>
      </c>
      <c r="Z20" s="72">
        <f>IFERROR(Kl*psi_l*_xlfn.SECH(psi_l*(Tabella3[[#This Row],[Day]]-pl)-phi_l)^2/(1+TANH(phi_l)),0)</f>
        <v>1.4634928765194433</v>
      </c>
      <c r="AA20" s="72">
        <f>Tabella3[[#This Row],[region fit]]/y_l_peak</f>
        <v>1.0620468462939577E-2</v>
      </c>
      <c r="AB20" s="10">
        <f>Tabella3[[#This Row],[region fit]]*NOT(ISBLANK(Tabella3[[#This Row],[region data]]))</f>
        <v>0</v>
      </c>
      <c r="AC20" s="166">
        <f>IFERROR(kl_m*psi_l_m*_xlfn.SECH(psi_l_m*(Tabella3[[#This Row],[Day]]-pl_m)-phi_l_m)^2/(1+TANH(phi_l_m)),0)</f>
        <v>1.4634928765194433</v>
      </c>
      <c r="AD20" s="72">
        <f>Tabella3[[#This Row],[6-days moving avg fit]]*NOT(ISBLANK(Tabella3[[#This Row],[6-days moving avg]]))</f>
        <v>0</v>
      </c>
      <c r="AE20" s="72">
        <f>Tabella3[[#This Row],[region fit]]+CIl</f>
        <v>55.228333286067901</v>
      </c>
      <c r="AF20" s="72">
        <f>MAX(Tabella3[[#This Row],[region fit]]-CIl,0)</f>
        <v>0</v>
      </c>
      <c r="AG20" s="141"/>
      <c r="AH20" s="144"/>
      <c r="AI20" s="10">
        <f>Tabella3[[#This Row],[rest of Italy data]]*NOT(ISBLANK(Tabella3[[#This Row],[rest of Italy data]]))</f>
        <v>0</v>
      </c>
      <c r="AJ20" s="145">
        <f>Tabella8[[#This Row],[rest of Italy fit]]</f>
        <v>0</v>
      </c>
      <c r="AK20" s="72">
        <f>Tabella3[[#This Row],[rest of Italy cumul. fit]]/Ka</f>
        <v>0</v>
      </c>
      <c r="AL20" s="72">
        <f>IFERROR(Ka*psi_a*_xlfn.SECH(psi_a*(Tabella3[[#This Row],[Day]]-pa)-phi_a)^2/(1+TANH(phi_a)),0)</f>
        <v>56.836438703365893</v>
      </c>
      <c r="AM20" s="72">
        <f>Tabella3[[#This Row],[rest of Italy fit]]/y_a_peak</f>
        <v>1.9860441702525142E-2</v>
      </c>
      <c r="AN20" s="10">
        <f>Tabella3[[#This Row],[rest of Italy fit]]*NOT(ISBLANK(Tabella3[[#This Row],[rest of Italy data]]))</f>
        <v>0</v>
      </c>
      <c r="AO20" s="72">
        <f>Tabella3[[#This Row],[rest of Italy fit]]+CIa</f>
        <v>1751.4106336129487</v>
      </c>
      <c r="AP20" s="72">
        <f>MAX(Tabella3[[#This Row],[rest of Italy fit]]-CIa,0)</f>
        <v>0</v>
      </c>
      <c r="AQ20" s="1"/>
      <c r="AR20" s="14" t="s">
        <v>0</v>
      </c>
      <c r="AS20" s="5">
        <f>Kr</f>
        <v>8970</v>
      </c>
      <c r="AU20" s="14" t="s">
        <v>0</v>
      </c>
      <c r="AV20" s="5">
        <v>8970</v>
      </c>
      <c r="BF20" s="42" t="b">
        <f>psi_l&gt;=0.000001</f>
        <v>1</v>
      </c>
    </row>
    <row r="21" spans="2:58" x14ac:dyDescent="0.3">
      <c r="B21" s="135">
        <v>43844</v>
      </c>
      <c r="C21" s="4">
        <v>14</v>
      </c>
      <c r="D21" s="141"/>
      <c r="E21" s="144"/>
      <c r="F21" s="10">
        <f>Tabella3[[#This Row],[Italy remov. rate data]]*NOT(ISBLANK(Tabella3[[#This Row],[Italy remov. rate data]]))</f>
        <v>0</v>
      </c>
      <c r="G21" s="158">
        <f>Tabella3[[#This Row],[region cumul. fit]]+Tabella3[[#This Row],[rest of Italy cumul. fit]]</f>
        <v>0</v>
      </c>
      <c r="H21" s="158">
        <f>Tabella3[[#This Row],[Italy cumul. fit]]/Kf</f>
        <v>0</v>
      </c>
      <c r="I21" s="143">
        <f>Tabella3[[#This Row],[region fit]]+Tabella3[[#This Row],[rest of Italy fit]]</f>
        <v>61.210418200619841</v>
      </c>
      <c r="J21" s="143">
        <f>Tabella3[[#This Row],[Italy (fit of selected region + fitted sum of the other regions)]]/(y_l_peak+y_a_peak)</f>
        <v>2.0406257860345577E-2</v>
      </c>
      <c r="K21" s="72">
        <f>IFERROR(Kf*psi_f*_xlfn.SECH(psi_f*(Tabella3[[#This Row],[Day]]-pf)-phi_f)^2/(1+TANH(phi_f)),0)</f>
        <v>60.492904443034277</v>
      </c>
      <c r="L21" s="292">
        <f>Tabella3[[#This Row],[Italy remov. rate fit]]-Tabella3[[#This Row],[Italy remov. rate data]]</f>
        <v>60.492904443034277</v>
      </c>
      <c r="M21" s="293">
        <f>Tabella3[[#This Row],[rem. rate residuals]]*NOT(ISBLANK(Tabella3[[#This Row],[Italy remov. rate data]]))</f>
        <v>0</v>
      </c>
      <c r="N21" s="72">
        <f>Tabella3[[#This Row],[Italy remov. rate fit]]/y_f_peak</f>
        <v>2.0154855516467202E-2</v>
      </c>
      <c r="O21" s="10">
        <f>Tabella3[[#This Row],[Italy (fit of selected region + fitted sum of the other regions)]]*NOT(ISBLANK(Tabella3[[#This Row],[Italy remov. rate data]]))</f>
        <v>0</v>
      </c>
      <c r="P21" s="72">
        <f>Tabella3[[#This Row],[Italy remov. rate fit]]*NOT(ISBLANK(Tabella3[[#This Row],[Italy remov. rate data]]))</f>
        <v>0</v>
      </c>
      <c r="Q21" s="72">
        <f>Tabella3[[#This Row],[Italy remov. rate fit]]+CIf</f>
        <v>1776.1077637775857</v>
      </c>
      <c r="R21" s="72">
        <f>MAX(Tabella3[[#This Row],[Italy remov. rate fit]]-CIf,0)</f>
        <v>0</v>
      </c>
      <c r="S21" s="139"/>
      <c r="T21" s="144"/>
      <c r="U21" s="10">
        <f>Tabella3[[#This Row],[region data]]*NOT(ISBLANK(Tabella3[[#This Row],[region data]]))</f>
        <v>0</v>
      </c>
      <c r="V21"/>
      <c r="W21" s="72">
        <f>Tabella3[[#This Row],[6-days moving avg]]*NOT(ISBLANK(Tabella3[[#This Row],[6-days moving avg]]))</f>
        <v>0</v>
      </c>
      <c r="X21" s="145">
        <f>Tabella8[[#This Row],[region fit]]</f>
        <v>0</v>
      </c>
      <c r="Y21" s="10">
        <f>Tabella3[[#This Row],[region cumul. fit]]/Kl</f>
        <v>0</v>
      </c>
      <c r="Z21" s="72">
        <f>IFERROR(Kl*psi_l*_xlfn.SECH(psi_l*(Tabella3[[#This Row],[Day]]-pl)-phi_l)^2/(1+TANH(phi_l)),0)</f>
        <v>1.5479403627640891</v>
      </c>
      <c r="AA21" s="72">
        <f>Tabella3[[#This Row],[region fit]]/y_l_peak</f>
        <v>1.1233298138317822E-2</v>
      </c>
      <c r="AB21" s="10">
        <f>Tabella3[[#This Row],[region fit]]*NOT(ISBLANK(Tabella3[[#This Row],[region data]]))</f>
        <v>0</v>
      </c>
      <c r="AC21" s="166">
        <f>IFERROR(kl_m*psi_l_m*_xlfn.SECH(psi_l_m*(Tabella3[[#This Row],[Day]]-pl_m)-phi_l_m)^2/(1+TANH(phi_l_m)),0)</f>
        <v>1.5479403627640891</v>
      </c>
      <c r="AD21" s="72">
        <f>Tabella3[[#This Row],[6-days moving avg fit]]*NOT(ISBLANK(Tabella3[[#This Row],[6-days moving avg]]))</f>
        <v>0</v>
      </c>
      <c r="AE21" s="72">
        <f>Tabella3[[#This Row],[region fit]]+CIl</f>
        <v>55.312780772312543</v>
      </c>
      <c r="AF21" s="72">
        <f>MAX(Tabella3[[#This Row],[region fit]]-CIl,0)</f>
        <v>0</v>
      </c>
      <c r="AG21" s="141"/>
      <c r="AH21" s="144"/>
      <c r="AI21" s="10">
        <f>Tabella3[[#This Row],[rest of Italy data]]*NOT(ISBLANK(Tabella3[[#This Row],[rest of Italy data]]))</f>
        <v>0</v>
      </c>
      <c r="AJ21" s="145">
        <f>Tabella8[[#This Row],[rest of Italy fit]]</f>
        <v>0</v>
      </c>
      <c r="AK21" s="72">
        <f>Tabella3[[#This Row],[rest of Italy cumul. fit]]/Ka</f>
        <v>0</v>
      </c>
      <c r="AL21" s="72">
        <f>IFERROR(Ka*psi_a*_xlfn.SECH(psi_a*(Tabella3[[#This Row],[Day]]-pa)-phi_a)^2/(1+TANH(phi_a)),0)</f>
        <v>59.662477837855754</v>
      </c>
      <c r="AM21" s="72">
        <f>Tabella3[[#This Row],[rest of Italy fit]]/y_a_peak</f>
        <v>2.0847948780027284E-2</v>
      </c>
      <c r="AN21" s="10">
        <f>Tabella3[[#This Row],[rest of Italy fit]]*NOT(ISBLANK(Tabella3[[#This Row],[rest of Italy data]]))</f>
        <v>0</v>
      </c>
      <c r="AO21" s="72">
        <f>Tabella3[[#This Row],[rest of Italy fit]]+CIa</f>
        <v>1754.2366727474384</v>
      </c>
      <c r="AP21" s="72">
        <f>MAX(Tabella3[[#This Row],[rest of Italy fit]]-CIa,0)</f>
        <v>0</v>
      </c>
      <c r="AQ21" s="1"/>
      <c r="AR21" s="85" t="s">
        <v>4713</v>
      </c>
      <c r="AS21" s="30">
        <f>phi_r</f>
        <v>1.2075336832034338</v>
      </c>
      <c r="AU21" s="85" t="s">
        <v>4713</v>
      </c>
      <c r="AV21" s="30">
        <v>1.2075336832034338</v>
      </c>
      <c r="BF21" s="42">
        <f>{32767;32767;0.000001;0.01;FALSE;TRUE;FALSE;1;2;1;0.0001;TRUE}</f>
        <v>32767</v>
      </c>
    </row>
    <row r="22" spans="2:58" x14ac:dyDescent="0.3">
      <c r="B22" s="135">
        <v>43845</v>
      </c>
      <c r="C22" s="4">
        <v>15</v>
      </c>
      <c r="D22" s="141"/>
      <c r="E22" s="144"/>
      <c r="F22" s="10">
        <f>Tabella3[[#This Row],[Italy remov. rate data]]*NOT(ISBLANK(Tabella3[[#This Row],[Italy remov. rate data]]))</f>
        <v>0</v>
      </c>
      <c r="G22" s="158">
        <f>Tabella3[[#This Row],[region cumul. fit]]+Tabella3[[#This Row],[rest of Italy cumul. fit]]</f>
        <v>0</v>
      </c>
      <c r="H22" s="158">
        <f>Tabella3[[#This Row],[Italy cumul. fit]]/Kf</f>
        <v>0</v>
      </c>
      <c r="I22" s="143">
        <f>Tabella3[[#This Row],[region fit]]+Tabella3[[#This Row],[rest of Italy fit]]</f>
        <v>64.264696105359278</v>
      </c>
      <c r="J22" s="143">
        <f>Tabella3[[#This Row],[Italy (fit of selected region + fitted sum of the other regions)]]/(y_l_peak+y_a_peak)</f>
        <v>2.1424489467536879E-2</v>
      </c>
      <c r="K22" s="72">
        <f>IFERROR(Kf*psi_f*_xlfn.SECH(psi_f*(Tabella3[[#This Row],[Day]]-pf)-phi_f)^2/(1+TANH(phi_f)),0)</f>
        <v>63.523253128128616</v>
      </c>
      <c r="L22" s="292">
        <f>Tabella3[[#This Row],[Italy remov. rate fit]]-Tabella3[[#This Row],[Italy remov. rate data]]</f>
        <v>63.523253128128616</v>
      </c>
      <c r="M22" s="293">
        <f>Tabella3[[#This Row],[rem. rate residuals]]*NOT(ISBLANK(Tabella3[[#This Row],[Italy remov. rate data]]))</f>
        <v>0</v>
      </c>
      <c r="N22" s="72">
        <f>Tabella3[[#This Row],[Italy remov. rate fit]]/y_f_peak</f>
        <v>2.1164498556009267E-2</v>
      </c>
      <c r="O22" s="10">
        <f>Tabella3[[#This Row],[Italy (fit of selected region + fitted sum of the other regions)]]*NOT(ISBLANK(Tabella3[[#This Row],[Italy remov. rate data]]))</f>
        <v>0</v>
      </c>
      <c r="P22" s="72">
        <f>Tabella3[[#This Row],[Italy remov. rate fit]]*NOT(ISBLANK(Tabella3[[#This Row],[Italy remov. rate data]]))</f>
        <v>0</v>
      </c>
      <c r="Q22" s="72">
        <f>Tabella3[[#This Row],[Italy remov. rate fit]]+CIf</f>
        <v>1779.1381124626798</v>
      </c>
      <c r="R22" s="72">
        <f>MAX(Tabella3[[#This Row],[Italy remov. rate fit]]-CIf,0)</f>
        <v>0</v>
      </c>
      <c r="S22" s="139"/>
      <c r="T22" s="144"/>
      <c r="U22" s="10">
        <f>Tabella3[[#This Row],[region data]]*NOT(ISBLANK(Tabella3[[#This Row],[region data]]))</f>
        <v>0</v>
      </c>
      <c r="V22"/>
      <c r="W22" s="72">
        <f>Tabella3[[#This Row],[6-days moving avg]]*NOT(ISBLANK(Tabella3[[#This Row],[6-days moving avg]]))</f>
        <v>0</v>
      </c>
      <c r="X22" s="145">
        <f>Tabella8[[#This Row],[region fit]]</f>
        <v>0</v>
      </c>
      <c r="Y22" s="10">
        <f>Tabella3[[#This Row],[region cumul. fit]]/Kl</f>
        <v>0</v>
      </c>
      <c r="Z22" s="72">
        <f>IFERROR(Kl*psi_l*_xlfn.SECH(psi_l*(Tabella3[[#This Row],[Day]]-pl)-phi_l)^2/(1+TANH(phi_l)),0)</f>
        <v>1.6372314289700138</v>
      </c>
      <c r="AA22" s="72">
        <f>Tabella3[[#This Row],[region fit]]/y_l_peak</f>
        <v>1.1881277344692643E-2</v>
      </c>
      <c r="AB22" s="10">
        <f>Tabella3[[#This Row],[region fit]]*NOT(ISBLANK(Tabella3[[#This Row],[region data]]))</f>
        <v>0</v>
      </c>
      <c r="AC22" s="166">
        <f>IFERROR(kl_m*psi_l_m*_xlfn.SECH(psi_l_m*(Tabella3[[#This Row],[Day]]-pl_m)-phi_l_m)^2/(1+TANH(phi_l_m)),0)</f>
        <v>1.6372314289700138</v>
      </c>
      <c r="AD22" s="72">
        <f>Tabella3[[#This Row],[6-days moving avg fit]]*NOT(ISBLANK(Tabella3[[#This Row],[6-days moving avg]]))</f>
        <v>0</v>
      </c>
      <c r="AE22" s="72">
        <f>Tabella3[[#This Row],[region fit]]+CIl</f>
        <v>55.402071838518467</v>
      </c>
      <c r="AF22" s="72">
        <f>MAX(Tabella3[[#This Row],[region fit]]-CIl,0)</f>
        <v>0</v>
      </c>
      <c r="AG22" s="141"/>
      <c r="AH22" s="144"/>
      <c r="AI22" s="10">
        <f>Tabella3[[#This Row],[rest of Italy data]]*NOT(ISBLANK(Tabella3[[#This Row],[rest of Italy data]]))</f>
        <v>0</v>
      </c>
      <c r="AJ22" s="145">
        <f>Tabella8[[#This Row],[rest of Italy fit]]</f>
        <v>0</v>
      </c>
      <c r="AK22" s="72">
        <f>Tabella3[[#This Row],[rest of Italy cumul. fit]]/Ka</f>
        <v>0</v>
      </c>
      <c r="AL22" s="72">
        <f>IFERROR(Ka*psi_a*_xlfn.SECH(psi_a*(Tabella3[[#This Row],[Day]]-pa)-phi_a)^2/(1+TANH(phi_a)),0)</f>
        <v>62.627464676389259</v>
      </c>
      <c r="AM22" s="72">
        <f>Tabella3[[#This Row],[rest of Italy fit]]/y_a_peak</f>
        <v>2.1884008561372483E-2</v>
      </c>
      <c r="AN22" s="10">
        <f>Tabella3[[#This Row],[rest of Italy fit]]*NOT(ISBLANK(Tabella3[[#This Row],[rest of Italy data]]))</f>
        <v>0</v>
      </c>
      <c r="AO22" s="72">
        <f>Tabella3[[#This Row],[rest of Italy fit]]+CIa</f>
        <v>1757.201659585972</v>
      </c>
      <c r="AP22" s="72">
        <f>MAX(Tabella3[[#This Row],[rest of Italy fit]]-CIa,0)</f>
        <v>0</v>
      </c>
      <c r="AQ22" s="1"/>
      <c r="AR22" s="14" t="s">
        <v>4714</v>
      </c>
      <c r="AS22" s="30">
        <f>psi_r</f>
        <v>2.8204119209330664E-2</v>
      </c>
      <c r="AU22" s="14" t="s">
        <v>4714</v>
      </c>
      <c r="AV22" s="30">
        <v>2.8204119209330664E-2</v>
      </c>
      <c r="BF22" s="42">
        <f>{0;0;1;200;0;FALSE;FALSE;0.075;0;0;FALSE;30}</f>
        <v>0</v>
      </c>
    </row>
    <row r="23" spans="2:58" x14ac:dyDescent="0.3">
      <c r="B23" s="135">
        <v>43846</v>
      </c>
      <c r="C23" s="4">
        <v>16</v>
      </c>
      <c r="D23" s="141"/>
      <c r="E23" s="144"/>
      <c r="F23" s="10">
        <f>Tabella3[[#This Row],[Italy remov. rate data]]*NOT(ISBLANK(Tabella3[[#This Row],[Italy remov. rate data]]))</f>
        <v>0</v>
      </c>
      <c r="G23" s="158">
        <f>Tabella3[[#This Row],[region cumul. fit]]+Tabella3[[#This Row],[rest of Italy cumul. fit]]</f>
        <v>0</v>
      </c>
      <c r="H23" s="158">
        <f>Tabella3[[#This Row],[Italy cumul. fit]]/Kf</f>
        <v>0</v>
      </c>
      <c r="I23" s="143">
        <f>Tabella3[[#This Row],[region fit]]+Tabella3[[#This Row],[rest of Italy fit]]</f>
        <v>67.469710597045747</v>
      </c>
      <c r="J23" s="143">
        <f>Tabella3[[#This Row],[Italy (fit of selected region + fitted sum of the other regions)]]/(y_l_peak+y_a_peak)</f>
        <v>2.2492973462355202E-2</v>
      </c>
      <c r="K23" s="72">
        <f>IFERROR(Kf*psi_f*_xlfn.SECH(psi_f*(Tabella3[[#This Row],[Day]]-pf)-phi_f)^2/(1+TANH(phi_f)),0)</f>
        <v>66.703682514674426</v>
      </c>
      <c r="L23" s="292">
        <f>Tabella3[[#This Row],[Italy remov. rate fit]]-Tabella3[[#This Row],[Italy remov. rate data]]</f>
        <v>66.703682514674426</v>
      </c>
      <c r="M23" s="293">
        <f>Tabella3[[#This Row],[rem. rate residuals]]*NOT(ISBLANK(Tabella3[[#This Row],[Italy remov. rate data]]))</f>
        <v>0</v>
      </c>
      <c r="N23" s="72">
        <f>Tabella3[[#This Row],[Italy remov. rate fit]]/y_f_peak</f>
        <v>2.2224145060939785E-2</v>
      </c>
      <c r="O23" s="10">
        <f>Tabella3[[#This Row],[Italy (fit of selected region + fitted sum of the other regions)]]*NOT(ISBLANK(Tabella3[[#This Row],[Italy remov. rate data]]))</f>
        <v>0</v>
      </c>
      <c r="P23" s="72">
        <f>Tabella3[[#This Row],[Italy remov. rate fit]]*NOT(ISBLANK(Tabella3[[#This Row],[Italy remov. rate data]]))</f>
        <v>0</v>
      </c>
      <c r="Q23" s="72">
        <f>Tabella3[[#This Row],[Italy remov. rate fit]]+CIf</f>
        <v>1782.3185418492258</v>
      </c>
      <c r="R23" s="72">
        <f>MAX(Tabella3[[#This Row],[Italy remov. rate fit]]-CIf,0)</f>
        <v>0</v>
      </c>
      <c r="S23" s="139"/>
      <c r="T23" s="144"/>
      <c r="U23" s="10">
        <f>Tabella3[[#This Row],[region data]]*NOT(ISBLANK(Tabella3[[#This Row],[region data]]))</f>
        <v>0</v>
      </c>
      <c r="V23"/>
      <c r="W23" s="72">
        <f>Tabella3[[#This Row],[6-days moving avg]]*NOT(ISBLANK(Tabella3[[#This Row],[6-days moving avg]]))</f>
        <v>0</v>
      </c>
      <c r="X23" s="145">
        <f>Tabella8[[#This Row],[region fit]]</f>
        <v>0</v>
      </c>
      <c r="Y23" s="10">
        <f>Tabella3[[#This Row],[region cumul. fit]]/Kl</f>
        <v>0</v>
      </c>
      <c r="Z23" s="72">
        <f>IFERROR(Kl*psi_l*_xlfn.SECH(psi_l*(Tabella3[[#This Row],[Day]]-pl)-phi_l)^2/(1+TANH(phi_l)),0)</f>
        <v>1.7316404011628901</v>
      </c>
      <c r="AA23" s="72">
        <f>Tabella3[[#This Row],[region fit]]/y_l_peak</f>
        <v>1.2566396847411083E-2</v>
      </c>
      <c r="AB23" s="10">
        <f>Tabella3[[#This Row],[region fit]]*NOT(ISBLANK(Tabella3[[#This Row],[region data]]))</f>
        <v>0</v>
      </c>
      <c r="AC23" s="166">
        <f>IFERROR(kl_m*psi_l_m*_xlfn.SECH(psi_l_m*(Tabella3[[#This Row],[Day]]-pl_m)-phi_l_m)^2/(1+TANH(phi_l_m)),0)</f>
        <v>1.7316404011628901</v>
      </c>
      <c r="AD23" s="72">
        <f>Tabella3[[#This Row],[6-days moving avg fit]]*NOT(ISBLANK(Tabella3[[#This Row],[6-days moving avg]]))</f>
        <v>0</v>
      </c>
      <c r="AE23" s="72">
        <f>Tabella3[[#This Row],[region fit]]+CIl</f>
        <v>55.496480810711347</v>
      </c>
      <c r="AF23" s="72">
        <f>MAX(Tabella3[[#This Row],[region fit]]-CIl,0)</f>
        <v>0</v>
      </c>
      <c r="AG23" s="141"/>
      <c r="AH23" s="144"/>
      <c r="AI23" s="10">
        <f>Tabella3[[#This Row],[rest of Italy data]]*NOT(ISBLANK(Tabella3[[#This Row],[rest of Italy data]]))</f>
        <v>0</v>
      </c>
      <c r="AJ23" s="145">
        <f>Tabella8[[#This Row],[rest of Italy fit]]</f>
        <v>0</v>
      </c>
      <c r="AK23" s="72">
        <f>Tabella3[[#This Row],[rest of Italy cumul. fit]]/Ka</f>
        <v>0</v>
      </c>
      <c r="AL23" s="72">
        <f>IFERROR(Ka*psi_a*_xlfn.SECH(psi_a*(Tabella3[[#This Row],[Day]]-pa)-phi_a)^2/(1+TANH(phi_a)),0)</f>
        <v>65.738070195882855</v>
      </c>
      <c r="AM23" s="72">
        <f>Tabella3[[#This Row],[rest of Italy fit]]/y_a_peak</f>
        <v>2.2970952095992588E-2</v>
      </c>
      <c r="AN23" s="10">
        <f>Tabella3[[#This Row],[rest of Italy fit]]*NOT(ISBLANK(Tabella3[[#This Row],[rest of Italy data]]))</f>
        <v>0</v>
      </c>
      <c r="AO23" s="72">
        <f>Tabella3[[#This Row],[rest of Italy fit]]+CIa</f>
        <v>1760.3122651054655</v>
      </c>
      <c r="AP23" s="72">
        <f>MAX(Tabella3[[#This Row],[rest of Italy fit]]-CIa,0)</f>
        <v>0</v>
      </c>
      <c r="AQ23" s="1"/>
      <c r="AR23" s="2" t="s">
        <v>1</v>
      </c>
      <c r="AS23" s="6">
        <f>AVERAGE(Tabella3[region data])</f>
        <v>79.1875</v>
      </c>
      <c r="AU23" s="284" t="s">
        <v>1</v>
      </c>
      <c r="AV23" s="6">
        <f>AVERAGE(Tabella3[6-days moving avg])</f>
        <v>76.997083333333322</v>
      </c>
      <c r="BF23" s="43">
        <f>{0;0;1;200;0;FALSE;FALSE;0.075;0;0;FALSE;30}</f>
        <v>0</v>
      </c>
    </row>
    <row r="24" spans="2:58" x14ac:dyDescent="0.3">
      <c r="B24" s="135">
        <v>43847</v>
      </c>
      <c r="C24" s="4">
        <v>17</v>
      </c>
      <c r="D24" s="141"/>
      <c r="E24" s="144"/>
      <c r="F24" s="10">
        <f>Tabella3[[#This Row],[Italy remov. rate data]]*NOT(ISBLANK(Tabella3[[#This Row],[Italy remov. rate data]]))</f>
        <v>0</v>
      </c>
      <c r="G24" s="158">
        <f>Tabella3[[#This Row],[region cumul. fit]]+Tabella3[[#This Row],[rest of Italy cumul. fit]]</f>
        <v>0</v>
      </c>
      <c r="H24" s="158">
        <f>Tabella3[[#This Row],[Italy cumul. fit]]/Kf</f>
        <v>0</v>
      </c>
      <c r="I24" s="143">
        <f>Tabella3[[#This Row],[region fit]]+Tabella3[[#This Row],[rest of Italy fit]]</f>
        <v>70.832725898545689</v>
      </c>
      <c r="J24" s="143">
        <f>Tabella3[[#This Row],[Italy (fit of selected region + fitted sum of the other regions)]]/(y_l_peak+y_a_peak)</f>
        <v>2.3614131582951097E-2</v>
      </c>
      <c r="K24" s="72">
        <f>IFERROR(Kf*psi_f*_xlfn.SECH(psi_f*(Tabella3[[#This Row],[Day]]-pf)-phi_f)^2/(1+TANH(phi_f)),0)</f>
        <v>70.041447807392288</v>
      </c>
      <c r="L24" s="292">
        <f>Tabella3[[#This Row],[Italy remov. rate fit]]-Tabella3[[#This Row],[Italy remov. rate data]]</f>
        <v>70.041447807392288</v>
      </c>
      <c r="M24" s="293">
        <f>Tabella3[[#This Row],[rem. rate residuals]]*NOT(ISBLANK(Tabella3[[#This Row],[Italy remov. rate data]]))</f>
        <v>0</v>
      </c>
      <c r="N24" s="72">
        <f>Tabella3[[#This Row],[Italy remov. rate fit]]/y_f_peak</f>
        <v>2.3336212299932369E-2</v>
      </c>
      <c r="O24" s="10">
        <f>Tabella3[[#This Row],[Italy (fit of selected region + fitted sum of the other regions)]]*NOT(ISBLANK(Tabella3[[#This Row],[Italy remov. rate data]]))</f>
        <v>0</v>
      </c>
      <c r="P24" s="72">
        <f>Tabella3[[#This Row],[Italy remov. rate fit]]*NOT(ISBLANK(Tabella3[[#This Row],[Italy remov. rate data]]))</f>
        <v>0</v>
      </c>
      <c r="Q24" s="72">
        <f>Tabella3[[#This Row],[Italy remov. rate fit]]+CIf</f>
        <v>1785.6563071419437</v>
      </c>
      <c r="R24" s="72">
        <f>MAX(Tabella3[[#This Row],[Italy remov. rate fit]]-CIf,0)</f>
        <v>0</v>
      </c>
      <c r="S24" s="139"/>
      <c r="T24" s="144"/>
      <c r="U24" s="10">
        <f>Tabella3[[#This Row],[region data]]*NOT(ISBLANK(Tabella3[[#This Row],[region data]]))</f>
        <v>0</v>
      </c>
      <c r="V24"/>
      <c r="W24" s="72">
        <f>Tabella3[[#This Row],[6-days moving avg]]*NOT(ISBLANK(Tabella3[[#This Row],[6-days moving avg]]))</f>
        <v>0</v>
      </c>
      <c r="X24" s="145">
        <f>Tabella8[[#This Row],[region fit]]</f>
        <v>0</v>
      </c>
      <c r="Y24" s="10">
        <f>Tabella3[[#This Row],[region cumul. fit]]/Kl</f>
        <v>0</v>
      </c>
      <c r="Z24" s="72">
        <f>IFERROR(Kl*psi_l*_xlfn.SECH(psi_l*(Tabella3[[#This Row],[Day]]-pl)-phi_l)^2/(1+TANH(phi_l)),0)</f>
        <v>1.8314567274833826</v>
      </c>
      <c r="AA24" s="72">
        <f>Tabella3[[#This Row],[region fit]]/y_l_peak</f>
        <v>1.3290757151982194E-2</v>
      </c>
      <c r="AB24" s="10">
        <f>Tabella3[[#This Row],[region fit]]*NOT(ISBLANK(Tabella3[[#This Row],[region data]]))</f>
        <v>0</v>
      </c>
      <c r="AC24" s="166">
        <f>IFERROR(kl_m*psi_l_m*_xlfn.SECH(psi_l_m*(Tabella3[[#This Row],[Day]]-pl_m)-phi_l_m)^2/(1+TANH(phi_l_m)),0)</f>
        <v>1.8314567274833826</v>
      </c>
      <c r="AD24" s="72">
        <f>Tabella3[[#This Row],[6-days moving avg fit]]*NOT(ISBLANK(Tabella3[[#This Row],[6-days moving avg]]))</f>
        <v>0</v>
      </c>
      <c r="AE24" s="72">
        <f>Tabella3[[#This Row],[region fit]]+CIl</f>
        <v>55.59629713703184</v>
      </c>
      <c r="AF24" s="72">
        <f>MAX(Tabella3[[#This Row],[region fit]]-CIl,0)</f>
        <v>0</v>
      </c>
      <c r="AG24" s="141"/>
      <c r="AH24" s="144"/>
      <c r="AI24" s="10">
        <f>Tabella3[[#This Row],[rest of Italy data]]*NOT(ISBLANK(Tabella3[[#This Row],[rest of Italy data]]))</f>
        <v>0</v>
      </c>
      <c r="AJ24" s="145">
        <f>Tabella8[[#This Row],[rest of Italy fit]]</f>
        <v>0</v>
      </c>
      <c r="AK24" s="72">
        <f>Tabella3[[#This Row],[rest of Italy cumul. fit]]/Ka</f>
        <v>0</v>
      </c>
      <c r="AL24" s="72">
        <f>IFERROR(Ka*psi_a*_xlfn.SECH(psi_a*(Tabella3[[#This Row],[Day]]-pa)-phi_a)^2/(1+TANH(phi_a)),0)</f>
        <v>69.001269171062305</v>
      </c>
      <c r="AM24" s="72">
        <f>Tabella3[[#This Row],[rest of Italy fit]]/y_a_peak</f>
        <v>2.4111216589841906E-2</v>
      </c>
      <c r="AN24" s="10">
        <f>Tabella3[[#This Row],[rest of Italy fit]]*NOT(ISBLANK(Tabella3[[#This Row],[rest of Italy data]]))</f>
        <v>0</v>
      </c>
      <c r="AO24" s="72">
        <f>Tabella3[[#This Row],[rest of Italy fit]]+CIa</f>
        <v>1763.5754640806451</v>
      </c>
      <c r="AP24" s="72">
        <f>MAX(Tabella3[[#This Row],[rest of Italy fit]]-CIa,0)</f>
        <v>0</v>
      </c>
      <c r="AQ24" s="1"/>
      <c r="AR24" s="2" t="s">
        <v>2</v>
      </c>
      <c r="AS24" s="1">
        <f>COUNT(Tabella3[region data])-COUNT(AS20:AS22,pl)</f>
        <v>76</v>
      </c>
      <c r="AU24" s="284" t="s">
        <v>2</v>
      </c>
      <c r="AV24" s="1">
        <f>COUNT(Tabella3[6-days moving avg])-COUNT(AV20:AV22,pl_m)</f>
        <v>76</v>
      </c>
      <c r="BF24" s="44"/>
    </row>
    <row r="25" spans="2:58" x14ac:dyDescent="0.3">
      <c r="B25" s="135">
        <v>43848</v>
      </c>
      <c r="C25" s="4">
        <v>18</v>
      </c>
      <c r="D25" s="141"/>
      <c r="E25" s="144"/>
      <c r="F25" s="10">
        <f>Tabella3[[#This Row],[Italy remov. rate data]]*NOT(ISBLANK(Tabella3[[#This Row],[Italy remov. rate data]]))</f>
        <v>0</v>
      </c>
      <c r="G25" s="158">
        <f>Tabella3[[#This Row],[region cumul. fit]]+Tabella3[[#This Row],[rest of Italy cumul. fit]]</f>
        <v>0</v>
      </c>
      <c r="H25" s="158">
        <f>Tabella3[[#This Row],[Italy cumul. fit]]/Kf</f>
        <v>0</v>
      </c>
      <c r="I25" s="143">
        <f>Tabella3[[#This Row],[region fit]]+Tabella3[[#This Row],[rest of Italy fit]]</f>
        <v>74.361338063953184</v>
      </c>
      <c r="J25" s="143">
        <f>Tabella3[[#This Row],[Italy (fit of selected region + fitted sum of the other regions)]]/(y_l_peak+y_a_peak)</f>
        <v>2.4790496192982934E-2</v>
      </c>
      <c r="K25" s="72">
        <f>IFERROR(Kf*psi_f*_xlfn.SECH(psi_f*(Tabella3[[#This Row],[Day]]-pf)-phi_f)^2/(1+TANH(phi_f)),0)</f>
        <v>73.544136574710549</v>
      </c>
      <c r="L25" s="292">
        <f>Tabella3[[#This Row],[Italy remov. rate fit]]-Tabella3[[#This Row],[Italy remov. rate data]]</f>
        <v>73.544136574710549</v>
      </c>
      <c r="M25" s="293">
        <f>Tabella3[[#This Row],[rem. rate residuals]]*NOT(ISBLANK(Tabella3[[#This Row],[Italy remov. rate data]]))</f>
        <v>0</v>
      </c>
      <c r="N25" s="72">
        <f>Tabella3[[#This Row],[Italy remov. rate fit]]/y_f_peak</f>
        <v>2.4503228277664636E-2</v>
      </c>
      <c r="O25" s="10">
        <f>Tabella3[[#This Row],[Italy (fit of selected region + fitted sum of the other regions)]]*NOT(ISBLANK(Tabella3[[#This Row],[Italy remov. rate data]]))</f>
        <v>0</v>
      </c>
      <c r="P25" s="72">
        <f>Tabella3[[#This Row],[Italy remov. rate fit]]*NOT(ISBLANK(Tabella3[[#This Row],[Italy remov. rate data]]))</f>
        <v>0</v>
      </c>
      <c r="Q25" s="72">
        <f>Tabella3[[#This Row],[Italy remov. rate fit]]+CIf</f>
        <v>1789.1589959092619</v>
      </c>
      <c r="R25" s="72">
        <f>MAX(Tabella3[[#This Row],[Italy remov. rate fit]]-CIf,0)</f>
        <v>0</v>
      </c>
      <c r="S25" s="139"/>
      <c r="T25" s="144"/>
      <c r="U25" s="10">
        <f>Tabella3[[#This Row],[region data]]*NOT(ISBLANK(Tabella3[[#This Row],[region data]]))</f>
        <v>0</v>
      </c>
      <c r="V25"/>
      <c r="W25" s="72">
        <f>Tabella3[[#This Row],[6-days moving avg]]*NOT(ISBLANK(Tabella3[[#This Row],[6-days moving avg]]))</f>
        <v>0</v>
      </c>
      <c r="X25" s="145">
        <f>Tabella8[[#This Row],[region fit]]</f>
        <v>0</v>
      </c>
      <c r="Y25" s="10">
        <f>Tabella3[[#This Row],[region cumul. fit]]/Kl</f>
        <v>0</v>
      </c>
      <c r="Z25" s="72">
        <f>IFERROR(Kl*psi_l*_xlfn.SECH(psi_l*(Tabella3[[#This Row],[Day]]-pl)-phi_l)^2/(1+TANH(phi_l)),0)</f>
        <v>1.93698576211773</v>
      </c>
      <c r="AA25" s="72">
        <f>Tabella3[[#This Row],[region fit]]/y_l_peak</f>
        <v>1.4056574193008056E-2</v>
      </c>
      <c r="AB25" s="10">
        <f>Tabella3[[#This Row],[region fit]]*NOT(ISBLANK(Tabella3[[#This Row],[region data]]))</f>
        <v>0</v>
      </c>
      <c r="AC25" s="166">
        <f>IFERROR(kl_m*psi_l_m*_xlfn.SECH(psi_l_m*(Tabella3[[#This Row],[Day]]-pl_m)-phi_l_m)^2/(1+TANH(phi_l_m)),0)</f>
        <v>1.93698576211773</v>
      </c>
      <c r="AD25" s="72">
        <f>Tabella3[[#This Row],[6-days moving avg fit]]*NOT(ISBLANK(Tabella3[[#This Row],[6-days moving avg]]))</f>
        <v>0</v>
      </c>
      <c r="AE25" s="72">
        <f>Tabella3[[#This Row],[region fit]]+CIl</f>
        <v>55.701826171666184</v>
      </c>
      <c r="AF25" s="72">
        <f>MAX(Tabella3[[#This Row],[region fit]]-CIl,0)</f>
        <v>0</v>
      </c>
      <c r="AG25" s="141"/>
      <c r="AH25" s="144"/>
      <c r="AI25" s="10">
        <f>Tabella3[[#This Row],[rest of Italy data]]*NOT(ISBLANK(Tabella3[[#This Row],[rest of Italy data]]))</f>
        <v>0</v>
      </c>
      <c r="AJ25" s="145">
        <f>Tabella8[[#This Row],[rest of Italy fit]]</f>
        <v>0</v>
      </c>
      <c r="AK25" s="72">
        <f>Tabella3[[#This Row],[rest of Italy cumul. fit]]/Ka</f>
        <v>0</v>
      </c>
      <c r="AL25" s="72">
        <f>IFERROR(Ka*psi_a*_xlfn.SECH(psi_a*(Tabella3[[#This Row],[Day]]-pa)-phi_a)^2/(1+TANH(phi_a)),0)</f>
        <v>72.424352301835455</v>
      </c>
      <c r="AM25" s="72">
        <f>Tabella3[[#This Row],[rest of Italy fit]]/y_a_peak</f>
        <v>2.5307349643083177E-2</v>
      </c>
      <c r="AN25" s="10">
        <f>Tabella3[[#This Row],[rest of Italy fit]]*NOT(ISBLANK(Tabella3[[#This Row],[rest of Italy data]]))</f>
        <v>0</v>
      </c>
      <c r="AO25" s="72">
        <f>Tabella3[[#This Row],[rest of Italy fit]]+CIa</f>
        <v>1766.9985472114181</v>
      </c>
      <c r="AP25" s="72">
        <f>MAX(Tabella3[[#This Row],[rest of Italy fit]]-CIa,0)</f>
        <v>0</v>
      </c>
      <c r="AQ25" s="1"/>
      <c r="AR25" s="2" t="s">
        <v>3</v>
      </c>
      <c r="AS25" s="6" cm="1">
        <f t="array" ref="AS25">SQRT(SUM((Tabella3[Colonna3]-Tabella3[Colonna32])^2)/dfl)</f>
        <v>26.994818399968224</v>
      </c>
      <c r="AU25" s="284" t="s">
        <v>3</v>
      </c>
      <c r="AV25" s="6" cm="1">
        <f t="array" ref="AV25">SQRT(SUM((Tabella3[Colonna5]-Tabella3[Colonna6])^2)/dfl_m)</f>
        <v>17.932518646743478</v>
      </c>
      <c r="BF25" s="45"/>
    </row>
    <row r="26" spans="2:58" ht="16.2" x14ac:dyDescent="0.3">
      <c r="B26" s="135">
        <v>43849</v>
      </c>
      <c r="C26" s="4">
        <v>19</v>
      </c>
      <c r="D26" s="141"/>
      <c r="E26" s="144"/>
      <c r="F26" s="10">
        <f>Tabella3[[#This Row],[Italy remov. rate data]]*NOT(ISBLANK(Tabella3[[#This Row],[Italy remov. rate data]]))</f>
        <v>0</v>
      </c>
      <c r="G26" s="158">
        <f>Tabella3[[#This Row],[region cumul. fit]]+Tabella3[[#This Row],[rest of Italy cumul. fit]]</f>
        <v>0</v>
      </c>
      <c r="H26" s="158">
        <f>Tabella3[[#This Row],[Italy cumul. fit]]/Kf</f>
        <v>0</v>
      </c>
      <c r="I26" s="143">
        <f>Tabella3[[#This Row],[region fit]]+Tabella3[[#This Row],[rest of Italy fit]]</f>
        <v>78.063488225791446</v>
      </c>
      <c r="J26" s="143">
        <f>Tabella3[[#This Row],[Italy (fit of selected region + fitted sum of the other regions)]]/(y_l_peak+y_a_peak)</f>
        <v>2.6024714697953491E-2</v>
      </c>
      <c r="K26" s="72">
        <f>IFERROR(Kf*psi_f*_xlfn.SECH(psi_f*(Tabella3[[#This Row],[Day]]-pf)-phi_f)^2/(1+TANH(phi_f)),0)</f>
        <v>77.219682056200654</v>
      </c>
      <c r="L26" s="292">
        <f>Tabella3[[#This Row],[Italy remov. rate fit]]-Tabella3[[#This Row],[Italy remov. rate data]]</f>
        <v>77.219682056200654</v>
      </c>
      <c r="M26" s="293">
        <f>Tabella3[[#This Row],[rem. rate residuals]]*NOT(ISBLANK(Tabella3[[#This Row],[Italy remov. rate data]]))</f>
        <v>0</v>
      </c>
      <c r="N26" s="72">
        <f>Tabella3[[#This Row],[Italy remov. rate fit]]/y_f_peak</f>
        <v>2.572783616855203E-2</v>
      </c>
      <c r="O26" s="10">
        <f>Tabella3[[#This Row],[Italy (fit of selected region + fitted sum of the other regions)]]*NOT(ISBLANK(Tabella3[[#This Row],[Italy remov. rate data]]))</f>
        <v>0</v>
      </c>
      <c r="P26" s="72">
        <f>Tabella3[[#This Row],[Italy remov. rate fit]]*NOT(ISBLANK(Tabella3[[#This Row],[Italy remov. rate data]]))</f>
        <v>0</v>
      </c>
      <c r="Q26" s="72">
        <f>Tabella3[[#This Row],[Italy remov. rate fit]]+CIf</f>
        <v>1792.8345413907518</v>
      </c>
      <c r="R26" s="72">
        <f>MAX(Tabella3[[#This Row],[Italy remov. rate fit]]-CIf,0)</f>
        <v>0</v>
      </c>
      <c r="S26" s="139"/>
      <c r="T26" s="144"/>
      <c r="U26" s="10">
        <f>Tabella3[[#This Row],[region data]]*NOT(ISBLANK(Tabella3[[#This Row],[region data]]))</f>
        <v>0</v>
      </c>
      <c r="V26"/>
      <c r="W26" s="72">
        <f>Tabella3[[#This Row],[6-days moving avg]]*NOT(ISBLANK(Tabella3[[#This Row],[6-days moving avg]]))</f>
        <v>0</v>
      </c>
      <c r="X26" s="145">
        <f>Tabella8[[#This Row],[region fit]]</f>
        <v>0</v>
      </c>
      <c r="Y26" s="10">
        <f>Tabella3[[#This Row],[region cumul. fit]]/Kl</f>
        <v>0</v>
      </c>
      <c r="Z26" s="72">
        <f>IFERROR(Kl*psi_l*_xlfn.SECH(psi_l*(Tabella3[[#This Row],[Day]]-pl)-phi_l)^2/(1+TANH(phi_l)),0)</f>
        <v>2.0485495838279371</v>
      </c>
      <c r="AA26" s="72">
        <f>Tabella3[[#This Row],[region fit]]/y_l_peak</f>
        <v>1.4866185274201813E-2</v>
      </c>
      <c r="AB26" s="10">
        <f>Tabella3[[#This Row],[region fit]]*NOT(ISBLANK(Tabella3[[#This Row],[region data]]))</f>
        <v>0</v>
      </c>
      <c r="AC26" s="166">
        <f>IFERROR(kl_m*psi_l_m*_xlfn.SECH(psi_l_m*(Tabella3[[#This Row],[Day]]-pl_m)-phi_l_m)^2/(1+TANH(phi_l_m)),0)</f>
        <v>2.0485495838279371</v>
      </c>
      <c r="AD26" s="72">
        <f>Tabella3[[#This Row],[6-days moving avg fit]]*NOT(ISBLANK(Tabella3[[#This Row],[6-days moving avg]]))</f>
        <v>0</v>
      </c>
      <c r="AE26" s="72">
        <f>Tabella3[[#This Row],[region fit]]+CIl</f>
        <v>55.81338999337639</v>
      </c>
      <c r="AF26" s="72">
        <f>MAX(Tabella3[[#This Row],[region fit]]-CIl,0)</f>
        <v>0</v>
      </c>
      <c r="AG26" s="141"/>
      <c r="AH26" s="144"/>
      <c r="AI26" s="10">
        <f>Tabella3[[#This Row],[rest of Italy data]]*NOT(ISBLANK(Tabella3[[#This Row],[rest of Italy data]]))</f>
        <v>0</v>
      </c>
      <c r="AJ26" s="145">
        <f>Tabella8[[#This Row],[rest of Italy fit]]</f>
        <v>0</v>
      </c>
      <c r="AK26" s="72">
        <f>Tabella3[[#This Row],[rest of Italy cumul. fit]]/Ka</f>
        <v>0</v>
      </c>
      <c r="AL26" s="72">
        <f>IFERROR(Ka*psi_a*_xlfn.SECH(psi_a*(Tabella3[[#This Row],[Day]]-pa)-phi_a)^2/(1+TANH(phi_a)),0)</f>
        <v>76.014938641963511</v>
      </c>
      <c r="AM26" s="72">
        <f>Tabella3[[#This Row],[rest of Italy fit]]/y_a_peak</f>
        <v>2.6562013593056759E-2</v>
      </c>
      <c r="AN26" s="10">
        <f>Tabella3[[#This Row],[rest of Italy fit]]*NOT(ISBLANK(Tabella3[[#This Row],[rest of Italy data]]))</f>
        <v>0</v>
      </c>
      <c r="AO26" s="72">
        <f>Tabella3[[#This Row],[rest of Italy fit]]+CIa</f>
        <v>1770.5891335515462</v>
      </c>
      <c r="AP26" s="72">
        <f>MAX(Tabella3[[#This Row],[rest of Italy fit]]-CIa,0)</f>
        <v>0</v>
      </c>
      <c r="AQ26" s="1"/>
      <c r="AR26" s="2" t="s">
        <v>4</v>
      </c>
      <c r="AS26" s="7" cm="1">
        <f t="array" ref="AS26">1-SUM((Tabella3[Colonna3]-Tabella3[Colonna32])^2)/SUM((Tabella3[Colonna3]-Mean_of_yl)^2)</f>
        <v>0.96264098178121149</v>
      </c>
      <c r="AU26" s="284" t="s">
        <v>4</v>
      </c>
      <c r="AV26" s="7" cm="1">
        <f t="array" ref="AV26">1-SUM((Tabella3[Colonna5]-Tabella3[Colonna6])^2)/SUM((Tabella3[Colonna5]-Mean_of_yl_m)^2)</f>
        <v>0.98237188311042756</v>
      </c>
      <c r="BF26" s="45"/>
    </row>
    <row r="27" spans="2:58" ht="15" thickBot="1" x14ac:dyDescent="0.35">
      <c r="B27" s="135">
        <v>43850</v>
      </c>
      <c r="C27" s="4">
        <v>20</v>
      </c>
      <c r="D27" s="141"/>
      <c r="E27" s="144"/>
      <c r="F27" s="10">
        <f>Tabella3[[#This Row],[Italy remov. rate data]]*NOT(ISBLANK(Tabella3[[#This Row],[Italy remov. rate data]]))</f>
        <v>0</v>
      </c>
      <c r="G27" s="158">
        <f>Tabella3[[#This Row],[region cumul. fit]]+Tabella3[[#This Row],[rest of Italy cumul. fit]]</f>
        <v>0</v>
      </c>
      <c r="H27" s="158">
        <f>Tabella3[[#This Row],[Italy cumul. fit]]/Kf</f>
        <v>0</v>
      </c>
      <c r="I27" s="143">
        <f>Tabella3[[#This Row],[region fit]]+Tabella3[[#This Row],[rest of Italy fit]]</f>
        <v>81.947476164615779</v>
      </c>
      <c r="J27" s="143">
        <f>Tabella3[[#This Row],[Italy (fit of selected region + fitted sum of the other regions)]]/(y_l_peak+y_a_peak)</f>
        <v>2.731955406902838E-2</v>
      </c>
      <c r="K27" s="72">
        <f>IFERROR(Kf*psi_f*_xlfn.SECH(psi_f*(Tabella3[[#This Row],[Day]]-pf)-phi_f)^2/(1+TANH(phi_f)),0)</f>
        <v>81.076376795698479</v>
      </c>
      <c r="L27" s="292">
        <f>Tabella3[[#This Row],[Italy remov. rate fit]]-Tabella3[[#This Row],[Italy remov. rate data]]</f>
        <v>81.076376795698479</v>
      </c>
      <c r="M27" s="293">
        <f>Tabella3[[#This Row],[rem. rate residuals]]*NOT(ISBLANK(Tabella3[[#This Row],[Italy remov. rate data]]))</f>
        <v>0</v>
      </c>
      <c r="N27" s="72">
        <f>Tabella3[[#This Row],[Italy remov. rate fit]]/y_f_peak</f>
        <v>2.7012798858992802E-2</v>
      </c>
      <c r="O27" s="10">
        <f>Tabella3[[#This Row],[Italy (fit of selected region + fitted sum of the other regions)]]*NOT(ISBLANK(Tabella3[[#This Row],[Italy remov. rate data]]))</f>
        <v>0</v>
      </c>
      <c r="P27" s="72">
        <f>Tabella3[[#This Row],[Italy remov. rate fit]]*NOT(ISBLANK(Tabella3[[#This Row],[Italy remov. rate data]]))</f>
        <v>0</v>
      </c>
      <c r="Q27" s="72">
        <f>Tabella3[[#This Row],[Italy remov. rate fit]]+CIf</f>
        <v>1796.6912361302498</v>
      </c>
      <c r="R27" s="72">
        <f>MAX(Tabella3[[#This Row],[Italy remov. rate fit]]-CIf,0)</f>
        <v>0</v>
      </c>
      <c r="S27" s="139"/>
      <c r="T27" s="144"/>
      <c r="U27" s="10">
        <f>Tabella3[[#This Row],[region data]]*NOT(ISBLANK(Tabella3[[#This Row],[region data]]))</f>
        <v>0</v>
      </c>
      <c r="V27"/>
      <c r="W27" s="72">
        <f>Tabella3[[#This Row],[6-days moving avg]]*NOT(ISBLANK(Tabella3[[#This Row],[6-days moving avg]]))</f>
        <v>0</v>
      </c>
      <c r="X27" s="145">
        <f>Tabella8[[#This Row],[region fit]]</f>
        <v>0</v>
      </c>
      <c r="Y27" s="10">
        <f>Tabella3[[#This Row],[region cumul. fit]]/Kl</f>
        <v>0</v>
      </c>
      <c r="Z27" s="72">
        <f>IFERROR(Kl*psi_l*_xlfn.SECH(psi_l*(Tabella3[[#This Row],[Day]]-pl)-phi_l)^2/(1+TANH(phi_l)),0)</f>
        <v>2.166487849840685</v>
      </c>
      <c r="AA27" s="72">
        <f>Tabella3[[#This Row],[region fit]]/y_l_peak</f>
        <v>1.5722055265001544E-2</v>
      </c>
      <c r="AB27" s="10">
        <f>Tabella3[[#This Row],[region fit]]*NOT(ISBLANK(Tabella3[[#This Row],[region data]]))</f>
        <v>0</v>
      </c>
      <c r="AC27" s="166">
        <f>IFERROR(kl_m*psi_l_m*_xlfn.SECH(psi_l_m*(Tabella3[[#This Row],[Day]]-pl_m)-phi_l_m)^2/(1+TANH(phi_l_m)),0)</f>
        <v>2.166487849840685</v>
      </c>
      <c r="AD27" s="72">
        <f>Tabella3[[#This Row],[6-days moving avg fit]]*NOT(ISBLANK(Tabella3[[#This Row],[6-days moving avg]]))</f>
        <v>0</v>
      </c>
      <c r="AE27" s="72">
        <f>Tabella3[[#This Row],[region fit]]+CIl</f>
        <v>55.93132825938914</v>
      </c>
      <c r="AF27" s="72">
        <f>MAX(Tabella3[[#This Row],[region fit]]-CIl,0)</f>
        <v>0</v>
      </c>
      <c r="AG27" s="141"/>
      <c r="AH27" s="144"/>
      <c r="AI27" s="10">
        <f>Tabella3[[#This Row],[rest of Italy data]]*NOT(ISBLANK(Tabella3[[#This Row],[rest of Italy data]]))</f>
        <v>0</v>
      </c>
      <c r="AJ27" s="145">
        <f>Tabella8[[#This Row],[rest of Italy fit]]</f>
        <v>0</v>
      </c>
      <c r="AK27" s="72">
        <f>Tabella3[[#This Row],[rest of Italy cumul. fit]]/Ka</f>
        <v>0</v>
      </c>
      <c r="AL27" s="72">
        <f>IFERROR(Ka*psi_a*_xlfn.SECH(psi_a*(Tabella3[[#This Row],[Day]]-pa)-phi_a)^2/(1+TANH(phi_a)),0)</f>
        <v>79.780988314775087</v>
      </c>
      <c r="AM27" s="72">
        <f>Tabella3[[#This Row],[rest of Italy fit]]/y_a_peak</f>
        <v>2.7877989957551579E-2</v>
      </c>
      <c r="AN27" s="10">
        <f>Tabella3[[#This Row],[rest of Italy fit]]*NOT(ISBLANK(Tabella3[[#This Row],[rest of Italy data]]))</f>
        <v>0</v>
      </c>
      <c r="AO27" s="72">
        <f>Tabella3[[#This Row],[rest of Italy fit]]+CIa</f>
        <v>1774.3551832243579</v>
      </c>
      <c r="AP27" s="72">
        <f>MAX(Tabella3[[#This Row],[rest of Italy fit]]-CIa,0)</f>
        <v>0</v>
      </c>
      <c r="AQ27" s="1"/>
      <c r="AR27" s="2" t="s">
        <v>5</v>
      </c>
      <c r="AS27" s="7">
        <f>TINV(0.05,dfl)</f>
        <v>1.991672609644662</v>
      </c>
      <c r="AU27" s="284" t="s">
        <v>5</v>
      </c>
      <c r="AV27" s="7">
        <f>TINV(0.05,dfl_m)</f>
        <v>1.991672609644662</v>
      </c>
      <c r="BF27" s="46"/>
    </row>
    <row r="28" spans="2:58" ht="15" thickTop="1" x14ac:dyDescent="0.3">
      <c r="B28" s="135">
        <v>43851</v>
      </c>
      <c r="C28" s="4">
        <v>21</v>
      </c>
      <c r="D28" s="141"/>
      <c r="E28" s="144"/>
      <c r="F28" s="10">
        <f>Tabella3[[#This Row],[Italy remov. rate data]]*NOT(ISBLANK(Tabella3[[#This Row],[Italy remov. rate data]]))</f>
        <v>0</v>
      </c>
      <c r="G28" s="158">
        <f>Tabella3[[#This Row],[region cumul. fit]]+Tabella3[[#This Row],[rest of Italy cumul. fit]]</f>
        <v>0</v>
      </c>
      <c r="H28" s="158">
        <f>Tabella3[[#This Row],[Italy cumul. fit]]/Kf</f>
        <v>0</v>
      </c>
      <c r="I28" s="143">
        <f>Tabella3[[#This Row],[region fit]]+Tabella3[[#This Row],[rest of Italy fit]]</f>
        <v>86.021974184039834</v>
      </c>
      <c r="J28" s="143">
        <f>Tabella3[[#This Row],[Italy (fit of selected region + fitted sum of the other regions)]]/(y_l_peak+y_a_peak)</f>
        <v>2.8677905468676105E-2</v>
      </c>
      <c r="K28" s="72">
        <f>IFERROR(Kf*psi_f*_xlfn.SECH(psi_f*(Tabella3[[#This Row],[Day]]-pf)-phi_f)^2/(1+TANH(phi_f)),0)</f>
        <v>85.122886583172743</v>
      </c>
      <c r="L28" s="292">
        <f>Tabella3[[#This Row],[Italy remov. rate fit]]-Tabella3[[#This Row],[Italy remov. rate data]]</f>
        <v>85.122886583172743</v>
      </c>
      <c r="M28" s="293">
        <f>Tabella3[[#This Row],[rem. rate residuals]]*NOT(ISBLANK(Tabella3[[#This Row],[Italy remov. rate data]]))</f>
        <v>0</v>
      </c>
      <c r="N28" s="72">
        <f>Tabella3[[#This Row],[Italy remov. rate fit]]/y_f_peak</f>
        <v>2.8361003592480439E-2</v>
      </c>
      <c r="O28" s="10">
        <f>Tabella3[[#This Row],[Italy (fit of selected region + fitted sum of the other regions)]]*NOT(ISBLANK(Tabella3[[#This Row],[Italy remov. rate data]]))</f>
        <v>0</v>
      </c>
      <c r="P28" s="72">
        <f>Tabella3[[#This Row],[Italy remov. rate fit]]*NOT(ISBLANK(Tabella3[[#This Row],[Italy remov. rate data]]))</f>
        <v>0</v>
      </c>
      <c r="Q28" s="72">
        <f>Tabella3[[#This Row],[Italy remov. rate fit]]+CIf</f>
        <v>1800.7377459177239</v>
      </c>
      <c r="R28" s="72">
        <f>MAX(Tabella3[[#This Row],[Italy remov. rate fit]]-CIf,0)</f>
        <v>0</v>
      </c>
      <c r="S28" s="139"/>
      <c r="T28" s="144"/>
      <c r="U28" s="10">
        <f>Tabella3[[#This Row],[region data]]*NOT(ISBLANK(Tabella3[[#This Row],[region data]]))</f>
        <v>0</v>
      </c>
      <c r="V28"/>
      <c r="W28" s="72">
        <f>Tabella3[[#This Row],[6-days moving avg]]*NOT(ISBLANK(Tabella3[[#This Row],[6-days moving avg]]))</f>
        <v>0</v>
      </c>
      <c r="X28" s="145">
        <f>Tabella8[[#This Row],[region fit]]</f>
        <v>0</v>
      </c>
      <c r="Y28" s="10">
        <f>Tabella3[[#This Row],[region cumul. fit]]/Kl</f>
        <v>0</v>
      </c>
      <c r="Z28" s="72">
        <f>IFERROR(Kl*psi_l*_xlfn.SECH(psi_l*(Tabella3[[#This Row],[Day]]-pl)-phi_l)^2/(1+TANH(phi_l)),0)</f>
        <v>2.2911586857584583</v>
      </c>
      <c r="AA28" s="72">
        <f>Tabella3[[#This Row],[region fit]]/y_l_peak</f>
        <v>1.6626783058594895E-2</v>
      </c>
      <c r="AB28" s="10">
        <f>Tabella3[[#This Row],[region fit]]*NOT(ISBLANK(Tabella3[[#This Row],[region data]]))</f>
        <v>0</v>
      </c>
      <c r="AC28" s="166">
        <f>IFERROR(kl_m*psi_l_m*_xlfn.SECH(psi_l_m*(Tabella3[[#This Row],[Day]]-pl_m)-phi_l_m)^2/(1+TANH(phi_l_m)),0)</f>
        <v>2.2911586857584583</v>
      </c>
      <c r="AD28" s="72">
        <f>Tabella3[[#This Row],[6-days moving avg fit]]*NOT(ISBLANK(Tabella3[[#This Row],[6-days moving avg]]))</f>
        <v>0</v>
      </c>
      <c r="AE28" s="72">
        <f>Tabella3[[#This Row],[region fit]]+CIl</f>
        <v>56.055999095306916</v>
      </c>
      <c r="AF28" s="72">
        <f>MAX(Tabella3[[#This Row],[region fit]]-CIl,0)</f>
        <v>0</v>
      </c>
      <c r="AG28" s="141"/>
      <c r="AH28" s="144"/>
      <c r="AI28" s="10">
        <f>Tabella3[[#This Row],[rest of Italy data]]*NOT(ISBLANK(Tabella3[[#This Row],[rest of Italy data]]))</f>
        <v>0</v>
      </c>
      <c r="AJ28" s="145">
        <f>Tabella8[[#This Row],[rest of Italy fit]]</f>
        <v>0</v>
      </c>
      <c r="AK28" s="72">
        <f>Tabella3[[#This Row],[rest of Italy cumul. fit]]/Ka</f>
        <v>0</v>
      </c>
      <c r="AL28" s="72">
        <f>IFERROR(Ka*psi_a*_xlfn.SECH(psi_a*(Tabella3[[#This Row],[Day]]-pa)-phi_a)^2/(1+TANH(phi_a)),0)</f>
        <v>83.730815498281373</v>
      </c>
      <c r="AM28" s="72">
        <f>Tabella3[[#This Row],[rest of Italy fit]]/y_a_peak</f>
        <v>2.9258183972213341E-2</v>
      </c>
      <c r="AN28" s="10">
        <f>Tabella3[[#This Row],[rest of Italy fit]]*NOT(ISBLANK(Tabella3[[#This Row],[rest of Italy data]]))</f>
        <v>0</v>
      </c>
      <c r="AO28" s="72">
        <f>Tabella3[[#This Row],[rest of Italy fit]]+CIa</f>
        <v>1778.3050104078641</v>
      </c>
      <c r="AP28" s="72">
        <f>MAX(Tabella3[[#This Row],[rest of Italy fit]]-CIa,0)</f>
        <v>0</v>
      </c>
      <c r="AQ28" s="1"/>
      <c r="AR28" s="2" t="s">
        <v>6</v>
      </c>
      <c r="AS28" s="6">
        <f>Critical_tl*SE_of_yl</f>
        <v>53.764840409548455</v>
      </c>
      <c r="AU28" s="284" t="s">
        <v>6</v>
      </c>
      <c r="AV28" s="6">
        <f>Critical_tl_m*SE_of_yl_m</f>
        <v>35.715706210661146</v>
      </c>
      <c r="BF28" s="47">
        <f>MAX($AS$39)</f>
        <v>0.92511054039902796</v>
      </c>
    </row>
    <row r="29" spans="2:58" x14ac:dyDescent="0.3">
      <c r="B29" s="134">
        <v>43852</v>
      </c>
      <c r="C29" s="4">
        <v>22</v>
      </c>
      <c r="D29" s="141"/>
      <c r="E29" s="144"/>
      <c r="F29" s="10">
        <f>Tabella3[[#This Row],[Italy remov. rate data]]*NOT(ISBLANK(Tabella3[[#This Row],[Italy remov. rate data]]))</f>
        <v>0</v>
      </c>
      <c r="G29" s="158">
        <f>Tabella3[[#This Row],[region cumul. fit]]+Tabella3[[#This Row],[rest of Italy cumul. fit]]</f>
        <v>0</v>
      </c>
      <c r="H29" s="158">
        <f>Tabella3[[#This Row],[Italy cumul. fit]]/Kf</f>
        <v>0</v>
      </c>
      <c r="I29" s="143">
        <f>Tabella3[[#This Row],[region fit]]+Tabella3[[#This Row],[rest of Italy fit]]</f>
        <v>90.296041270309246</v>
      </c>
      <c r="J29" s="143">
        <f>Tabella3[[#This Row],[Italy (fit of selected region + fitted sum of the other regions)]]/(y_l_peak+y_a_peak)</f>
        <v>3.0102788971170233E-2</v>
      </c>
      <c r="K29" s="72">
        <f>IFERROR(Kf*psi_f*_xlfn.SECH(psi_f*(Tabella3[[#This Row],[Day]]-pf)-phi_f)^2/(1+TANH(phi_f)),0)</f>
        <v>89.368264684490825</v>
      </c>
      <c r="L29" s="292">
        <f>Tabella3[[#This Row],[Italy remov. rate fit]]-Tabella3[[#This Row],[Italy remov. rate data]]</f>
        <v>89.368264684490825</v>
      </c>
      <c r="M29" s="293">
        <f>Tabella3[[#This Row],[rem. rate residuals]]*NOT(ISBLANK(Tabella3[[#This Row],[Italy remov. rate data]]))</f>
        <v>0</v>
      </c>
      <c r="N29" s="72">
        <f>Tabella3[[#This Row],[Italy remov. rate fit]]/y_f_peak</f>
        <v>2.9775466710636977E-2</v>
      </c>
      <c r="O29" s="10">
        <f>Tabella3[[#This Row],[Italy (fit of selected region + fitted sum of the other regions)]]*NOT(ISBLANK(Tabella3[[#This Row],[Italy remov. rate data]]))</f>
        <v>0</v>
      </c>
      <c r="P29" s="72">
        <f>Tabella3[[#This Row],[Italy remov. rate fit]]*NOT(ISBLANK(Tabella3[[#This Row],[Italy remov. rate data]]))</f>
        <v>0</v>
      </c>
      <c r="Q29" s="72">
        <f>Tabella3[[#This Row],[Italy remov. rate fit]]+CIf</f>
        <v>1804.9831240190422</v>
      </c>
      <c r="R29" s="72">
        <f>MAX(Tabella3[[#This Row],[Italy remov. rate fit]]-CIf,0)</f>
        <v>0</v>
      </c>
      <c r="S29" s="139"/>
      <c r="T29" s="144"/>
      <c r="U29" s="10">
        <f>Tabella3[[#This Row],[region data]]*NOT(ISBLANK(Tabella3[[#This Row],[region data]]))</f>
        <v>0</v>
      </c>
      <c r="V29"/>
      <c r="W29" s="72">
        <f>Tabella3[[#This Row],[6-days moving avg]]*NOT(ISBLANK(Tabella3[[#This Row],[6-days moving avg]]))</f>
        <v>0</v>
      </c>
      <c r="X29" s="145">
        <f>Tabella8[[#This Row],[region fit]]</f>
        <v>0</v>
      </c>
      <c r="Y29" s="10">
        <f>Tabella3[[#This Row],[region cumul. fit]]/Kl</f>
        <v>0</v>
      </c>
      <c r="Z29" s="72">
        <f>IFERROR(Kl*psi_l*_xlfn.SECH(psi_l*(Tabella3[[#This Row],[Day]]-pl)-phi_l)^2/(1+TANH(phi_l)),0)</f>
        <v>2.422939612040051</v>
      </c>
      <c r="AA29" s="72">
        <f>Tabella3[[#This Row],[region fit]]/y_l_peak</f>
        <v>1.7583108295325237E-2</v>
      </c>
      <c r="AB29" s="10">
        <f>Tabella3[[#This Row],[region fit]]*NOT(ISBLANK(Tabella3[[#This Row],[region data]]))</f>
        <v>0</v>
      </c>
      <c r="AC29" s="166">
        <f>IFERROR(kl_m*psi_l_m*_xlfn.SECH(psi_l_m*(Tabella3[[#This Row],[Day]]-pl_m)-phi_l_m)^2/(1+TANH(phi_l_m)),0)</f>
        <v>2.422939612040051</v>
      </c>
      <c r="AD29" s="72">
        <f>Tabella3[[#This Row],[6-days moving avg fit]]*NOT(ISBLANK(Tabella3[[#This Row],[6-days moving avg]]))</f>
        <v>0</v>
      </c>
      <c r="AE29" s="72">
        <f>Tabella3[[#This Row],[region fit]]+CIl</f>
        <v>56.187780021588509</v>
      </c>
      <c r="AF29" s="72">
        <f>MAX(Tabella3[[#This Row],[region fit]]-CIl,0)</f>
        <v>0</v>
      </c>
      <c r="AG29" s="141"/>
      <c r="AH29" s="144"/>
      <c r="AI29" s="10">
        <f>Tabella3[[#This Row],[rest of Italy data]]*NOT(ISBLANK(Tabella3[[#This Row],[rest of Italy data]]))</f>
        <v>0</v>
      </c>
      <c r="AJ29" s="145">
        <f>Tabella8[[#This Row],[rest of Italy fit]]</f>
        <v>0</v>
      </c>
      <c r="AK29" s="72">
        <f>Tabella3[[#This Row],[rest of Italy cumul. fit]]/Ka</f>
        <v>0</v>
      </c>
      <c r="AL29" s="72">
        <f>IFERROR(Ka*psi_a*_xlfn.SECH(psi_a*(Tabella3[[#This Row],[Day]]-pa)-phi_a)^2/(1+TANH(phi_a)),0)</f>
        <v>87.873101658269192</v>
      </c>
      <c r="AM29" s="72">
        <f>Tabella3[[#This Row],[rest of Italy fit]]/y_a_peak</f>
        <v>3.0705629214603989E-2</v>
      </c>
      <c r="AN29" s="10">
        <f>Tabella3[[#This Row],[rest of Italy fit]]*NOT(ISBLANK(Tabella3[[#This Row],[rest of Italy data]]))</f>
        <v>0</v>
      </c>
      <c r="AO29" s="72">
        <f>Tabella3[[#This Row],[rest of Italy fit]]+CIa</f>
        <v>1782.4472965678519</v>
      </c>
      <c r="AP29" s="72">
        <f>MAX(Tabella3[[#This Row],[rest of Italy fit]]-CIa,0)</f>
        <v>0</v>
      </c>
      <c r="AQ29" s="1"/>
      <c r="AR29" s="19" t="s">
        <v>299</v>
      </c>
      <c r="AS29" s="90">
        <f>Kl*psi_l/(1+TANH(phi_l))</f>
        <v>137.79927708710241</v>
      </c>
      <c r="AU29" s="19" t="s">
        <v>299</v>
      </c>
      <c r="AV29" s="90">
        <f>kl_m*psi_l_m/(1+TANH(phi_l_m))</f>
        <v>137.79927708710241</v>
      </c>
      <c r="BF29" s="48">
        <f>COUNT($AS$33,$AS$34,$AS$35,$AS$44)</f>
        <v>4</v>
      </c>
    </row>
    <row r="30" spans="2:58" x14ac:dyDescent="0.3">
      <c r="B30" s="134">
        <v>43853</v>
      </c>
      <c r="C30" s="4">
        <v>23</v>
      </c>
      <c r="D30" s="141"/>
      <c r="E30" s="144"/>
      <c r="F30" s="10">
        <f>Tabella3[[#This Row],[Italy remov. rate data]]*NOT(ISBLANK(Tabella3[[#This Row],[Italy remov. rate data]]))</f>
        <v>0</v>
      </c>
      <c r="G30" s="158">
        <f>Tabella3[[#This Row],[region cumul. fit]]+Tabella3[[#This Row],[rest of Italy cumul. fit]]</f>
        <v>0</v>
      </c>
      <c r="H30" s="158">
        <f>Tabella3[[#This Row],[Italy cumul. fit]]/Kf</f>
        <v>0</v>
      </c>
      <c r="I30" s="143">
        <f>Tabella3[[#This Row],[region fit]]+Tabella3[[#This Row],[rest of Italy fit]]</f>
        <v>94.779137511204169</v>
      </c>
      <c r="J30" s="143">
        <f>Tabella3[[#This Row],[Italy (fit of selected region + fitted sum of the other regions)]]/(y_l_peak+y_a_peak)</f>
        <v>3.1597358369546295E-2</v>
      </c>
      <c r="K30" s="72">
        <f>IFERROR(Kf*psi_f*_xlfn.SECH(psi_f*(Tabella3[[#This Row],[Day]]-pf)-phi_f)^2/(1+TANH(phi_f)),0)</f>
        <v>93.821966333871146</v>
      </c>
      <c r="L30" s="292">
        <f>Tabella3[[#This Row],[Italy remov. rate fit]]-Tabella3[[#This Row],[Italy remov. rate data]]</f>
        <v>93.821966333871146</v>
      </c>
      <c r="M30" s="293">
        <f>Tabella3[[#This Row],[rem. rate residuals]]*NOT(ISBLANK(Tabella3[[#This Row],[Italy remov. rate data]]))</f>
        <v>0</v>
      </c>
      <c r="N30" s="72">
        <f>Tabella3[[#This Row],[Italy remov. rate fit]]/y_f_peak</f>
        <v>3.1259338481767457E-2</v>
      </c>
      <c r="O30" s="10">
        <f>Tabella3[[#This Row],[Italy (fit of selected region + fitted sum of the other regions)]]*NOT(ISBLANK(Tabella3[[#This Row],[Italy remov. rate data]]))</f>
        <v>0</v>
      </c>
      <c r="P30" s="72">
        <f>Tabella3[[#This Row],[Italy remov. rate fit]]*NOT(ISBLANK(Tabella3[[#This Row],[Italy remov. rate data]]))</f>
        <v>0</v>
      </c>
      <c r="Q30" s="72">
        <f>Tabella3[[#This Row],[Italy remov. rate fit]]+CIf</f>
        <v>1809.4368256684224</v>
      </c>
      <c r="R30" s="72">
        <f>MAX(Tabella3[[#This Row],[Italy remov. rate fit]]-CIf,0)</f>
        <v>0</v>
      </c>
      <c r="S30" s="139"/>
      <c r="T30" s="144"/>
      <c r="U30" s="10">
        <f>Tabella3[[#This Row],[region data]]*NOT(ISBLANK(Tabella3[[#This Row],[region data]]))</f>
        <v>0</v>
      </c>
      <c r="V30"/>
      <c r="W30" s="72">
        <f>Tabella3[[#This Row],[6-days moving avg]]*NOT(ISBLANK(Tabella3[[#This Row],[6-days moving avg]]))</f>
        <v>0</v>
      </c>
      <c r="X30" s="145">
        <f>Tabella8[[#This Row],[region fit]]</f>
        <v>0</v>
      </c>
      <c r="Y30" s="10">
        <f>Tabella3[[#This Row],[region cumul. fit]]/Kl</f>
        <v>0</v>
      </c>
      <c r="Z30" s="72">
        <f>IFERROR(Kl*psi_l*_xlfn.SECH(psi_l*(Tabella3[[#This Row],[Day]]-pl)-phi_l)^2/(1+TANH(phi_l)),0)</f>
        <v>2.5622285074582649</v>
      </c>
      <c r="AA30" s="72">
        <f>Tabella3[[#This Row],[region fit]]/y_l_peak</f>
        <v>1.8593918354438754E-2</v>
      </c>
      <c r="AB30" s="10">
        <f>Tabella3[[#This Row],[region fit]]*NOT(ISBLANK(Tabella3[[#This Row],[region data]]))</f>
        <v>0</v>
      </c>
      <c r="AC30" s="166">
        <f>IFERROR(kl_m*psi_l_m*_xlfn.SECH(psi_l_m*(Tabella3[[#This Row],[Day]]-pl_m)-phi_l_m)^2/(1+TANH(phi_l_m)),0)</f>
        <v>2.5622285074582649</v>
      </c>
      <c r="AD30" s="72">
        <f>Tabella3[[#This Row],[6-days moving avg fit]]*NOT(ISBLANK(Tabella3[[#This Row],[6-days moving avg]]))</f>
        <v>0</v>
      </c>
      <c r="AE30" s="72">
        <f>Tabella3[[#This Row],[region fit]]+CIl</f>
        <v>56.32706891700672</v>
      </c>
      <c r="AF30" s="72">
        <f>MAX(Tabella3[[#This Row],[region fit]]-CIl,0)</f>
        <v>0</v>
      </c>
      <c r="AG30" s="141"/>
      <c r="AH30" s="144"/>
      <c r="AI30" s="10">
        <f>Tabella3[[#This Row],[rest of Italy data]]*NOT(ISBLANK(Tabella3[[#This Row],[rest of Italy data]]))</f>
        <v>0</v>
      </c>
      <c r="AJ30" s="145">
        <f>Tabella8[[#This Row],[rest of Italy fit]]</f>
        <v>0</v>
      </c>
      <c r="AK30" s="72">
        <f>Tabella3[[#This Row],[rest of Italy cumul. fit]]/Ka</f>
        <v>0</v>
      </c>
      <c r="AL30" s="72">
        <f>IFERROR(Ka*psi_a*_xlfn.SECH(psi_a*(Tabella3[[#This Row],[Day]]-pa)-phi_a)^2/(1+TANH(phi_a)),0)</f>
        <v>92.216909003745911</v>
      </c>
      <c r="AM30" s="72">
        <f>Tabella3[[#This Row],[rest of Italy fit]]/y_a_peak</f>
        <v>3.2223492305957953E-2</v>
      </c>
      <c r="AN30" s="10">
        <f>Tabella3[[#This Row],[rest of Italy fit]]*NOT(ISBLANK(Tabella3[[#This Row],[rest of Italy data]]))</f>
        <v>0</v>
      </c>
      <c r="AO30" s="72">
        <f>Tabella3[[#This Row],[rest of Italy fit]]+CIa</f>
        <v>1786.7911039133287</v>
      </c>
      <c r="AP30" s="72">
        <f>MAX(Tabella3[[#This Row],[rest of Italy fit]]-CIa,0)</f>
        <v>0</v>
      </c>
      <c r="AQ30" s="1"/>
      <c r="AR30" s="19" t="s">
        <v>128</v>
      </c>
      <c r="AS30" s="34">
        <f>_xlfn.XLOOKUP(ROUND(phi_l/psi_l+pl,0),Tabella3[Day],Tabella3[Date])</f>
        <v>43948</v>
      </c>
      <c r="AU30" s="19" t="s">
        <v>128</v>
      </c>
      <c r="AV30" s="34">
        <f>_xlfn.XLOOKUP(ROUND(phi_l_m/psi_l_m+pl_m,0),Tabella3[Day],Tabella3[Date])</f>
        <v>43948</v>
      </c>
      <c r="BF30" s="48" t="b">
        <f>psi_a&gt;=0.000001</f>
        <v>1</v>
      </c>
    </row>
    <row r="31" spans="2:58" x14ac:dyDescent="0.3">
      <c r="B31" s="134">
        <v>43854</v>
      </c>
      <c r="C31" s="4">
        <v>24</v>
      </c>
      <c r="D31" s="141"/>
      <c r="E31" s="144"/>
      <c r="F31" s="10">
        <f>Tabella3[[#This Row],[Italy remov. rate data]]*NOT(ISBLANK(Tabella3[[#This Row],[Italy remov. rate data]]))</f>
        <v>0</v>
      </c>
      <c r="G31" s="158">
        <f>Tabella3[[#This Row],[region cumul. fit]]+Tabella3[[#This Row],[rest of Italy cumul. fit]]</f>
        <v>0</v>
      </c>
      <c r="H31" s="158">
        <f>Tabella3[[#This Row],[Italy cumul. fit]]/Kf</f>
        <v>0</v>
      </c>
      <c r="I31" s="143">
        <f>Tabella3[[#This Row],[region fit]]+Tabella3[[#This Row],[rest of Italy fit]]</f>
        <v>99.481138744219706</v>
      </c>
      <c r="J31" s="143">
        <f>Tabella3[[#This Row],[Italy (fit of selected region + fitted sum of the other regions)]]/(y_l_peak+y_a_peak)</f>
        <v>3.3164906058995122E-2</v>
      </c>
      <c r="K31" s="72">
        <f>IFERROR(Kf*psi_f*_xlfn.SECH(psi_f*(Tabella3[[#This Row],[Day]]-pf)-phi_f)^2/(1+TANH(phi_f)),0)</f>
        <v>98.493863458954777</v>
      </c>
      <c r="L31" s="292">
        <f>Tabella3[[#This Row],[Italy remov. rate fit]]-Tabella3[[#This Row],[Italy remov. rate data]]</f>
        <v>98.493863458954777</v>
      </c>
      <c r="M31" s="293">
        <f>Tabella3[[#This Row],[rem. rate residuals]]*NOT(ISBLANK(Tabella3[[#This Row],[Italy remov. rate data]]))</f>
        <v>0</v>
      </c>
      <c r="N31" s="72">
        <f>Tabella3[[#This Row],[Italy remov. rate fit]]/y_f_peak</f>
        <v>3.2815908006917804E-2</v>
      </c>
      <c r="O31" s="10">
        <f>Tabella3[[#This Row],[Italy (fit of selected region + fitted sum of the other regions)]]*NOT(ISBLANK(Tabella3[[#This Row],[Italy remov. rate data]]))</f>
        <v>0</v>
      </c>
      <c r="P31" s="72">
        <f>Tabella3[[#This Row],[Italy remov. rate fit]]*NOT(ISBLANK(Tabella3[[#This Row],[Italy remov. rate data]]))</f>
        <v>0</v>
      </c>
      <c r="Q31" s="72">
        <f>Tabella3[[#This Row],[Italy remov. rate fit]]+CIf</f>
        <v>1814.1087227935061</v>
      </c>
      <c r="R31" s="72">
        <f>MAX(Tabella3[[#This Row],[Italy remov. rate fit]]-CIf,0)</f>
        <v>0</v>
      </c>
      <c r="S31" s="139"/>
      <c r="T31" s="144"/>
      <c r="U31" s="10">
        <f>Tabella3[[#This Row],[region data]]*NOT(ISBLANK(Tabella3[[#This Row],[region data]]))</f>
        <v>0</v>
      </c>
      <c r="V31"/>
      <c r="W31" s="72">
        <f>Tabella3[[#This Row],[6-days moving avg]]*NOT(ISBLANK(Tabella3[[#This Row],[6-days moving avg]]))</f>
        <v>0</v>
      </c>
      <c r="X31" s="145">
        <f>Tabella8[[#This Row],[region fit]]</f>
        <v>0</v>
      </c>
      <c r="Y31" s="10">
        <f>Tabella3[[#This Row],[region cumul. fit]]/Kl</f>
        <v>0</v>
      </c>
      <c r="Z31" s="72">
        <f>IFERROR(Kl*psi_l*_xlfn.SECH(psi_l*(Tabella3[[#This Row],[Day]]-pl)-phi_l)^2/(1+TANH(phi_l)),0)</f>
        <v>2.7094446097768667</v>
      </c>
      <c r="AA31" s="72">
        <f>Tabella3[[#This Row],[region fit]]/y_l_peak</f>
        <v>1.9662255615929224E-2</v>
      </c>
      <c r="AB31" s="10">
        <f>Tabella3[[#This Row],[region fit]]*NOT(ISBLANK(Tabella3[[#This Row],[region data]]))</f>
        <v>0</v>
      </c>
      <c r="AC31" s="166">
        <f>IFERROR(kl_m*psi_l_m*_xlfn.SECH(psi_l_m*(Tabella3[[#This Row],[Day]]-pl_m)-phi_l_m)^2/(1+TANH(phi_l_m)),0)</f>
        <v>2.7094446097768667</v>
      </c>
      <c r="AD31" s="72">
        <f>Tabella3[[#This Row],[6-days moving avg fit]]*NOT(ISBLANK(Tabella3[[#This Row],[6-days moving avg]]))</f>
        <v>0</v>
      </c>
      <c r="AE31" s="72">
        <f>Tabella3[[#This Row],[region fit]]+CIl</f>
        <v>56.474285019325322</v>
      </c>
      <c r="AF31" s="72">
        <f>MAX(Tabella3[[#This Row],[region fit]]-CIl,0)</f>
        <v>0</v>
      </c>
      <c r="AG31" s="141"/>
      <c r="AH31" s="144"/>
      <c r="AI31" s="10">
        <f>Tabella3[[#This Row],[rest of Italy data]]*NOT(ISBLANK(Tabella3[[#This Row],[rest of Italy data]]))</f>
        <v>0</v>
      </c>
      <c r="AJ31" s="145">
        <f>Tabella8[[#This Row],[rest of Italy fit]]</f>
        <v>0</v>
      </c>
      <c r="AK31" s="72">
        <f>Tabella3[[#This Row],[rest of Italy cumul. fit]]/Ka</f>
        <v>0</v>
      </c>
      <c r="AL31" s="72">
        <f>IFERROR(Ka*psi_a*_xlfn.SECH(psi_a*(Tabella3[[#This Row],[Day]]-pa)-phi_a)^2/(1+TANH(phi_a)),0)</f>
        <v>96.771694134442839</v>
      </c>
      <c r="AM31" s="72">
        <f>Tabella3[[#This Row],[rest of Italy fit]]/y_a_peak</f>
        <v>3.381507768004962E-2</v>
      </c>
      <c r="AN31" s="10">
        <f>Tabella3[[#This Row],[rest of Italy fit]]*NOT(ISBLANK(Tabella3[[#This Row],[rest of Italy data]]))</f>
        <v>0</v>
      </c>
      <c r="AO31" s="72">
        <f>Tabella3[[#This Row],[rest of Italy fit]]+CIa</f>
        <v>1791.3458890440256</v>
      </c>
      <c r="AP31" s="72">
        <f>MAX(Tabella3[[#This Row],[rest of Italy fit]]-CIa,0)</f>
        <v>0</v>
      </c>
      <c r="AQ31" s="1"/>
      <c r="AR31" s="14" t="s">
        <v>356</v>
      </c>
      <c r="AS31" s="136">
        <f>pr</f>
        <v>75.240334693239092</v>
      </c>
      <c r="AU31" s="14" t="s">
        <v>356</v>
      </c>
      <c r="AV31" s="136">
        <v>75.240334693239092</v>
      </c>
      <c r="BF31" s="48">
        <f>{32767;32767;0.000001;0.01;FALSE;FALSE;FALSE;1;2;1;0.0001;TRUE}</f>
        <v>32767</v>
      </c>
    </row>
    <row r="32" spans="2:58" x14ac:dyDescent="0.3">
      <c r="B32" s="134">
        <v>43855</v>
      </c>
      <c r="C32" s="4">
        <v>25</v>
      </c>
      <c r="D32" s="141"/>
      <c r="E32" s="144"/>
      <c r="F32" s="10">
        <f>Tabella3[[#This Row],[Italy remov. rate data]]*NOT(ISBLANK(Tabella3[[#This Row],[Italy remov. rate data]]))</f>
        <v>0</v>
      </c>
      <c r="G32" s="158">
        <f>Tabella3[[#This Row],[region cumul. fit]]+Tabella3[[#This Row],[rest of Italy cumul. fit]]</f>
        <v>0</v>
      </c>
      <c r="H32" s="158">
        <f>Tabella3[[#This Row],[Italy cumul. fit]]/Kf</f>
        <v>0</v>
      </c>
      <c r="I32" s="143">
        <f>Tabella3[[#This Row],[region fit]]+Tabella3[[#This Row],[rest of Italy fit]]</f>
        <v>104.41235139860606</v>
      </c>
      <c r="J32" s="143">
        <f>Tabella3[[#This Row],[Italy (fit of selected region + fitted sum of the other regions)]]/(y_l_peak+y_a_peak)</f>
        <v>3.4808867984884861E-2</v>
      </c>
      <c r="K32" s="72">
        <f>IFERROR(Kf*psi_f*_xlfn.SECH(psi_f*(Tabella3[[#This Row],[Day]]-pf)-phi_f)^2/(1+TANH(phi_f)),0)</f>
        <v>103.39425960303839</v>
      </c>
      <c r="L32" s="292">
        <f>Tabella3[[#This Row],[Italy remov. rate fit]]-Tabella3[[#This Row],[Italy remov. rate data]]</f>
        <v>103.39425960303839</v>
      </c>
      <c r="M32" s="293">
        <f>Tabella3[[#This Row],[rem. rate residuals]]*NOT(ISBLANK(Tabella3[[#This Row],[Italy remov. rate data]]))</f>
        <v>0</v>
      </c>
      <c r="N32" s="72">
        <f>Tabella3[[#This Row],[Italy remov. rate fit]]/y_f_peak</f>
        <v>3.4448608191622376E-2</v>
      </c>
      <c r="O32" s="10">
        <f>Tabella3[[#This Row],[Italy (fit of selected region + fitted sum of the other regions)]]*NOT(ISBLANK(Tabella3[[#This Row],[Italy remov. rate data]]))</f>
        <v>0</v>
      </c>
      <c r="P32" s="72">
        <f>Tabella3[[#This Row],[Italy remov. rate fit]]*NOT(ISBLANK(Tabella3[[#This Row],[Italy remov. rate data]]))</f>
        <v>0</v>
      </c>
      <c r="Q32" s="72">
        <f>Tabella3[[#This Row],[Italy remov. rate fit]]+CIf</f>
        <v>1819.0091189375896</v>
      </c>
      <c r="R32" s="72">
        <f>MAX(Tabella3[[#This Row],[Italy remov. rate fit]]-CIf,0)</f>
        <v>0</v>
      </c>
      <c r="S32" s="139"/>
      <c r="T32" s="144"/>
      <c r="U32" s="10">
        <f>Tabella3[[#This Row],[region data]]*NOT(ISBLANK(Tabella3[[#This Row],[region data]]))</f>
        <v>0</v>
      </c>
      <c r="V32"/>
      <c r="W32" s="72">
        <f>Tabella3[[#This Row],[6-days moving avg]]*NOT(ISBLANK(Tabella3[[#This Row],[6-days moving avg]]))</f>
        <v>0</v>
      </c>
      <c r="X32" s="145">
        <f>Tabella8[[#This Row],[region fit]]</f>
        <v>0</v>
      </c>
      <c r="Y32" s="10">
        <f>Tabella3[[#This Row],[region cumul. fit]]/Kl</f>
        <v>0</v>
      </c>
      <c r="Z32" s="72">
        <f>IFERROR(Kl*psi_l*_xlfn.SECH(psi_l*(Tabella3[[#This Row],[Day]]-pl)-phi_l)^2/(1+TANH(phi_l)),0)</f>
        <v>2.8650295536937063</v>
      </c>
      <c r="AA32" s="72">
        <f>Tabella3[[#This Row],[region fit]]/y_l_peak</f>
        <v>2.0791324992820766E-2</v>
      </c>
      <c r="AB32" s="10">
        <f>Tabella3[[#This Row],[region fit]]*NOT(ISBLANK(Tabella3[[#This Row],[region data]]))</f>
        <v>0</v>
      </c>
      <c r="AC32" s="166">
        <f>IFERROR(kl_m*psi_l_m*_xlfn.SECH(psi_l_m*(Tabella3[[#This Row],[Day]]-pl_m)-phi_l_m)^2/(1+TANH(phi_l_m)),0)</f>
        <v>2.8650295536937063</v>
      </c>
      <c r="AD32" s="72">
        <f>Tabella3[[#This Row],[6-days moving avg fit]]*NOT(ISBLANK(Tabella3[[#This Row],[6-days moving avg]]))</f>
        <v>0</v>
      </c>
      <c r="AE32" s="72">
        <f>Tabella3[[#This Row],[region fit]]+CIl</f>
        <v>56.629869963242164</v>
      </c>
      <c r="AF32" s="72">
        <f>MAX(Tabella3[[#This Row],[region fit]]-CIl,0)</f>
        <v>0</v>
      </c>
      <c r="AG32" s="141"/>
      <c r="AH32" s="144"/>
      <c r="AI32" s="10">
        <f>Tabella3[[#This Row],[rest of Italy data]]*NOT(ISBLANK(Tabella3[[#This Row],[rest of Italy data]]))</f>
        <v>0</v>
      </c>
      <c r="AJ32" s="145">
        <f>Tabella8[[#This Row],[rest of Italy fit]]</f>
        <v>0</v>
      </c>
      <c r="AK32" s="72">
        <f>Tabella3[[#This Row],[rest of Italy cumul. fit]]/Ka</f>
        <v>0</v>
      </c>
      <c r="AL32" s="72">
        <f>IFERROR(Ka*psi_a*_xlfn.SECH(psi_a*(Tabella3[[#This Row],[Day]]-pa)-phi_a)^2/(1+TANH(phi_a)),0)</f>
        <v>101.54732184491236</v>
      </c>
      <c r="AM32" s="72">
        <f>Tabella3[[#This Row],[rest of Italy fit]]/y_a_peak</f>
        <v>3.5483832406779652E-2</v>
      </c>
      <c r="AN32" s="10">
        <f>Tabella3[[#This Row],[rest of Italy fit]]*NOT(ISBLANK(Tabella3[[#This Row],[rest of Italy data]]))</f>
        <v>0</v>
      </c>
      <c r="AO32" s="72">
        <f>Tabella3[[#This Row],[rest of Italy fit]]+CIa</f>
        <v>1796.1215167544951</v>
      </c>
      <c r="AP32" s="72">
        <f>MAX(Tabella3[[#This Row],[rest of Italy fit]]-CIa,0)</f>
        <v>0</v>
      </c>
      <c r="AQ32" s="1"/>
      <c r="AR32" s="35" t="s">
        <v>83</v>
      </c>
      <c r="AS32" s="36" t="s">
        <v>119</v>
      </c>
      <c r="BF32" s="48">
        <f>{0;0;1;200;0;FALSE;FALSE;0.075;0;0;FALSE;30}</f>
        <v>0</v>
      </c>
    </row>
    <row r="33" spans="2:58" ht="15" thickBot="1" x14ac:dyDescent="0.35">
      <c r="B33" s="134">
        <v>43856</v>
      </c>
      <c r="C33" s="4">
        <v>26</v>
      </c>
      <c r="D33" s="141"/>
      <c r="E33" s="144"/>
      <c r="F33" s="10">
        <f>Tabella3[[#This Row],[Italy remov. rate data]]*NOT(ISBLANK(Tabella3[[#This Row],[Italy remov. rate data]]))</f>
        <v>0</v>
      </c>
      <c r="G33" s="158">
        <f>Tabella3[[#This Row],[region cumul. fit]]+Tabella3[[#This Row],[rest of Italy cumul. fit]]</f>
        <v>0</v>
      </c>
      <c r="H33" s="158">
        <f>Tabella3[[#This Row],[Italy cumul. fit]]/Kf</f>
        <v>0</v>
      </c>
      <c r="I33" s="143">
        <f>Tabella3[[#This Row],[region fit]]+Tabella3[[#This Row],[rest of Italy fit]]</f>
        <v>109.58352748990977</v>
      </c>
      <c r="J33" s="143">
        <f>Tabella3[[#This Row],[Italy (fit of selected region + fitted sum of the other regions)]]/(y_l_peak+y_a_peak)</f>
        <v>3.653282864162366E-2</v>
      </c>
      <c r="K33" s="72">
        <f>IFERROR(Kf*psi_f*_xlfn.SECH(psi_f*(Tabella3[[#This Row],[Day]]-pf)-phi_f)^2/(1+TANH(phi_f)),0)</f>
        <v>108.53390500304789</v>
      </c>
      <c r="L33" s="292">
        <f>Tabella3[[#This Row],[Italy remov. rate fit]]-Tabella3[[#This Row],[Italy remov. rate data]]</f>
        <v>108.53390500304789</v>
      </c>
      <c r="M33" s="293">
        <f>Tabella3[[#This Row],[rem. rate residuals]]*NOT(ISBLANK(Tabella3[[#This Row],[Italy remov. rate data]]))</f>
        <v>0</v>
      </c>
      <c r="N33" s="72">
        <f>Tabella3[[#This Row],[Italy remov. rate fit]]/y_f_peak</f>
        <v>3.616102076954076E-2</v>
      </c>
      <c r="O33" s="10">
        <f>Tabella3[[#This Row],[Italy (fit of selected region + fitted sum of the other regions)]]*NOT(ISBLANK(Tabella3[[#This Row],[Italy remov. rate data]]))</f>
        <v>0</v>
      </c>
      <c r="P33" s="72">
        <f>Tabella3[[#This Row],[Italy remov. rate fit]]*NOT(ISBLANK(Tabella3[[#This Row],[Italy remov. rate data]]))</f>
        <v>0</v>
      </c>
      <c r="Q33" s="72">
        <f>Tabella3[[#This Row],[Italy remov. rate fit]]+CIf</f>
        <v>1824.1487643375992</v>
      </c>
      <c r="R33" s="72">
        <f>MAX(Tabella3[[#This Row],[Italy remov. rate fit]]-CIf,0)</f>
        <v>0</v>
      </c>
      <c r="S33" s="139"/>
      <c r="T33" s="144"/>
      <c r="U33" s="10">
        <f>Tabella3[[#This Row],[region data]]*NOT(ISBLANK(Tabella3[[#This Row],[region data]]))</f>
        <v>0</v>
      </c>
      <c r="V33"/>
      <c r="W33" s="72">
        <f>Tabella3[[#This Row],[6-days moving avg]]*NOT(ISBLANK(Tabella3[[#This Row],[6-days moving avg]]))</f>
        <v>0</v>
      </c>
      <c r="X33" s="145">
        <f>Tabella8[[#This Row],[region fit]]</f>
        <v>0</v>
      </c>
      <c r="Y33" s="10">
        <f>Tabella3[[#This Row],[region cumul. fit]]/Kl</f>
        <v>0</v>
      </c>
      <c r="Z33" s="72">
        <f>IFERROR(Kl*psi_l*_xlfn.SECH(psi_l*(Tabella3[[#This Row],[Day]]-pl)-phi_l)^2/(1+TANH(phi_l)),0)</f>
        <v>3.0294484458687134</v>
      </c>
      <c r="AA33" s="72">
        <f>Tabella3[[#This Row],[region fit]]/y_l_peak</f>
        <v>2.1984501732573027E-2</v>
      </c>
      <c r="AB33" s="10">
        <f>Tabella3[[#This Row],[region fit]]*NOT(ISBLANK(Tabella3[[#This Row],[region data]]))</f>
        <v>0</v>
      </c>
      <c r="AC33" s="166">
        <f>IFERROR(kl_m*psi_l_m*_xlfn.SECH(psi_l_m*(Tabella3[[#This Row],[Day]]-pl_m)-phi_l_m)^2/(1+TANH(phi_l_m)),0)</f>
        <v>3.0294484458687134</v>
      </c>
      <c r="AD33" s="72">
        <f>Tabella3[[#This Row],[6-days moving avg fit]]*NOT(ISBLANK(Tabella3[[#This Row],[6-days moving avg]]))</f>
        <v>0</v>
      </c>
      <c r="AE33" s="72">
        <f>Tabella3[[#This Row],[region fit]]+CIl</f>
        <v>56.794288855417172</v>
      </c>
      <c r="AF33" s="72">
        <f>MAX(Tabella3[[#This Row],[region fit]]-CIl,0)</f>
        <v>0</v>
      </c>
      <c r="AG33" s="141"/>
      <c r="AH33" s="144"/>
      <c r="AI33" s="10">
        <f>Tabella3[[#This Row],[rest of Italy data]]*NOT(ISBLANK(Tabella3[[#This Row],[rest of Italy data]]))</f>
        <v>0</v>
      </c>
      <c r="AJ33" s="145">
        <f>Tabella8[[#This Row],[rest of Italy fit]]</f>
        <v>0</v>
      </c>
      <c r="AK33" s="72">
        <f>Tabella3[[#This Row],[rest of Italy cumul. fit]]/Ka</f>
        <v>0</v>
      </c>
      <c r="AL33" s="72">
        <f>IFERROR(Ka*psi_a*_xlfn.SECH(psi_a*(Tabella3[[#This Row],[Day]]-pa)-phi_a)^2/(1+TANH(phi_a)),0)</f>
        <v>106.55407904404106</v>
      </c>
      <c r="AM33" s="72">
        <f>Tabella3[[#This Row],[rest of Italy fit]]/y_a_peak</f>
        <v>3.7233351056091241E-2</v>
      </c>
      <c r="AN33" s="10">
        <f>Tabella3[[#This Row],[rest of Italy fit]]*NOT(ISBLANK(Tabella3[[#This Row],[rest of Italy data]]))</f>
        <v>0</v>
      </c>
      <c r="AO33" s="72">
        <f>Tabella3[[#This Row],[rest of Italy fit]]+CIa</f>
        <v>1801.1282739536239</v>
      </c>
      <c r="AP33" s="72">
        <f>MAX(Tabella3[[#This Row],[rest of Italy fit]]-CIa,0)</f>
        <v>0</v>
      </c>
      <c r="AQ33" s="1"/>
      <c r="AR33" s="14" t="s">
        <v>0</v>
      </c>
      <c r="AS33" s="5">
        <f>Kf-Kl</f>
        <v>216030</v>
      </c>
      <c r="BF33" s="48">
        <f>{0;0;1;200;0;FALSE;FALSE;0.075;0;0;FALSE;30}</f>
        <v>0</v>
      </c>
    </row>
    <row r="34" spans="2:58" x14ac:dyDescent="0.3">
      <c r="B34" s="134">
        <v>43857</v>
      </c>
      <c r="C34" s="4">
        <v>27</v>
      </c>
      <c r="D34" s="141"/>
      <c r="E34" s="144"/>
      <c r="F34" s="10">
        <f>Tabella3[[#This Row],[Italy remov. rate data]]*NOT(ISBLANK(Tabella3[[#This Row],[Italy remov. rate data]]))</f>
        <v>0</v>
      </c>
      <c r="G34" s="158">
        <f>Tabella3[[#This Row],[region cumul. fit]]+Tabella3[[#This Row],[rest of Italy cumul. fit]]</f>
        <v>0</v>
      </c>
      <c r="H34" s="158">
        <f>Tabella3[[#This Row],[Italy cumul. fit]]/Kf</f>
        <v>0</v>
      </c>
      <c r="I34" s="143">
        <f>Tabella3[[#This Row],[region fit]]+Tabella3[[#This Row],[rest of Italy fit]]</f>
        <v>115.00587971909633</v>
      </c>
      <c r="J34" s="143">
        <f>Tabella3[[#This Row],[Italy (fit of selected region + fitted sum of the other regions)]]/(y_l_peak+y_a_peak)</f>
        <v>3.8340526106387593E-2</v>
      </c>
      <c r="K34" s="72">
        <f>IFERROR(Kf*psi_f*_xlfn.SECH(psi_f*(Tabella3[[#This Row],[Day]]-pf)-phi_f)^2/(1+TANH(phi_f)),0)</f>
        <v>113.92401177523027</v>
      </c>
      <c r="L34" s="292">
        <f>Tabella3[[#This Row],[Italy remov. rate fit]]-Tabella3[[#This Row],[Italy remov. rate data]]</f>
        <v>113.92401177523027</v>
      </c>
      <c r="M34" s="293">
        <f>Tabella3[[#This Row],[rem. rate residuals]]*NOT(ISBLANK(Tabella3[[#This Row],[Italy remov. rate data]]))</f>
        <v>0</v>
      </c>
      <c r="N34" s="72">
        <f>Tabella3[[#This Row],[Italy remov. rate fit]]/y_f_peak</f>
        <v>3.7956881361983788E-2</v>
      </c>
      <c r="O34" s="10">
        <f>Tabella3[[#This Row],[Italy (fit of selected region + fitted sum of the other regions)]]*NOT(ISBLANK(Tabella3[[#This Row],[Italy remov. rate data]]))</f>
        <v>0</v>
      </c>
      <c r="P34" s="72">
        <f>Tabella3[[#This Row],[Italy remov. rate fit]]*NOT(ISBLANK(Tabella3[[#This Row],[Italy remov. rate data]]))</f>
        <v>0</v>
      </c>
      <c r="Q34" s="72">
        <f>Tabella3[[#This Row],[Italy remov. rate fit]]+CIf</f>
        <v>1829.5388711097817</v>
      </c>
      <c r="R34" s="72">
        <f>MAX(Tabella3[[#This Row],[Italy remov. rate fit]]-CIf,0)</f>
        <v>0</v>
      </c>
      <c r="S34" s="139"/>
      <c r="T34" s="144"/>
      <c r="U34" s="10">
        <f>Tabella3[[#This Row],[region data]]*NOT(ISBLANK(Tabella3[[#This Row],[region data]]))</f>
        <v>0</v>
      </c>
      <c r="V34"/>
      <c r="W34" s="72">
        <f>Tabella3[[#This Row],[6-days moving avg]]*NOT(ISBLANK(Tabella3[[#This Row],[6-days moving avg]]))</f>
        <v>0</v>
      </c>
      <c r="X34" s="145">
        <f>Tabella8[[#This Row],[region fit]]</f>
        <v>0</v>
      </c>
      <c r="Y34" s="10">
        <f>Tabella3[[#This Row],[region cumul. fit]]/Kl</f>
        <v>0</v>
      </c>
      <c r="Z34" s="72">
        <f>IFERROR(Kl*psi_l*_xlfn.SECH(psi_l*(Tabella3[[#This Row],[Day]]-pl)-phi_l)^2/(1+TANH(phi_l)),0)</f>
        <v>3.2031909765901707</v>
      </c>
      <c r="AA34" s="72">
        <f>Tabella3[[#This Row],[region fit]]/y_l_peak</f>
        <v>2.3245339484367872E-2</v>
      </c>
      <c r="AB34" s="10">
        <f>Tabella3[[#This Row],[region fit]]*NOT(ISBLANK(Tabella3[[#This Row],[region data]]))</f>
        <v>0</v>
      </c>
      <c r="AC34" s="166">
        <f>IFERROR(kl_m*psi_l_m*_xlfn.SECH(psi_l_m*(Tabella3[[#This Row],[Day]]-pl_m)-phi_l_m)^2/(1+TANH(phi_l_m)),0)</f>
        <v>3.2031909765901707</v>
      </c>
      <c r="AD34" s="72">
        <f>Tabella3[[#This Row],[6-days moving avg fit]]*NOT(ISBLANK(Tabella3[[#This Row],[6-days moving avg]]))</f>
        <v>0</v>
      </c>
      <c r="AE34" s="72">
        <f>Tabella3[[#This Row],[region fit]]+CIl</f>
        <v>56.968031386138627</v>
      </c>
      <c r="AF34" s="72">
        <f>MAX(Tabella3[[#This Row],[region fit]]-CIl,0)</f>
        <v>0</v>
      </c>
      <c r="AG34" s="141"/>
      <c r="AH34" s="144"/>
      <c r="AI34" s="10">
        <f>Tabella3[[#This Row],[rest of Italy data]]*NOT(ISBLANK(Tabella3[[#This Row],[rest of Italy data]]))</f>
        <v>0</v>
      </c>
      <c r="AJ34" s="145">
        <f>Tabella8[[#This Row],[rest of Italy fit]]</f>
        <v>0</v>
      </c>
      <c r="AK34" s="72">
        <f>Tabella3[[#This Row],[rest of Italy cumul. fit]]/Ka</f>
        <v>0</v>
      </c>
      <c r="AL34" s="72">
        <f>IFERROR(Ka*psi_a*_xlfn.SECH(psi_a*(Tabella3[[#This Row],[Day]]-pa)-phi_a)^2/(1+TANH(phi_a)),0)</f>
        <v>111.80268874250616</v>
      </c>
      <c r="AM34" s="72">
        <f>Tabella3[[#This Row],[rest of Italy fit]]/y_a_peak</f>
        <v>3.9067380585627913E-2</v>
      </c>
      <c r="AN34" s="10">
        <f>Tabella3[[#This Row],[rest of Italy fit]]*NOT(ISBLANK(Tabella3[[#This Row],[rest of Italy data]]))</f>
        <v>0</v>
      </c>
      <c r="AO34" s="72">
        <f>Tabella3[[#This Row],[rest of Italy fit]]+CIa</f>
        <v>1806.376883652089</v>
      </c>
      <c r="AP34" s="72">
        <f>MAX(Tabella3[[#This Row],[rest of Italy fit]]-CIa,0)</f>
        <v>0</v>
      </c>
      <c r="AQ34" s="1"/>
      <c r="AR34" s="85" t="s">
        <v>4713</v>
      </c>
      <c r="AS34" s="30">
        <f>phi_o</f>
        <v>1.2578511647740498</v>
      </c>
      <c r="BF34" s="49"/>
    </row>
    <row r="35" spans="2:58" x14ac:dyDescent="0.3">
      <c r="B35" s="134">
        <v>43858</v>
      </c>
      <c r="C35" s="4">
        <v>28</v>
      </c>
      <c r="D35" s="141"/>
      <c r="E35" s="144"/>
      <c r="F35" s="10">
        <f>Tabella3[[#This Row],[Italy remov. rate data]]*NOT(ISBLANK(Tabella3[[#This Row],[Italy remov. rate data]]))</f>
        <v>0</v>
      </c>
      <c r="G35" s="158">
        <f>Tabella3[[#This Row],[region cumul. fit]]+Tabella3[[#This Row],[rest of Italy cumul. fit]]</f>
        <v>0</v>
      </c>
      <c r="H35" s="158">
        <f>Tabella3[[#This Row],[Italy cumul. fit]]/Kf</f>
        <v>0</v>
      </c>
      <c r="I35" s="143">
        <f>Tabella3[[#This Row],[region fit]]+Tabella3[[#This Row],[rest of Italy fit]]</f>
        <v>120.69109662109584</v>
      </c>
      <c r="J35" s="143">
        <f>Tabella3[[#This Row],[Italy (fit of selected region + fitted sum of the other regions)]]/(y_l_peak+y_a_peak)</f>
        <v>4.023585708932511E-2</v>
      </c>
      <c r="K35" s="72">
        <f>IFERROR(Kf*psi_f*_xlfn.SECH(psi_f*(Tabella3[[#This Row],[Day]]-pf)-phi_f)^2/(1+TANH(phi_f)),0)</f>
        <v>119.57626915327911</v>
      </c>
      <c r="L35" s="292">
        <f>Tabella3[[#This Row],[Italy remov. rate fit]]-Tabella3[[#This Row],[Italy remov. rate data]]</f>
        <v>119.57626915327911</v>
      </c>
      <c r="M35" s="293">
        <f>Tabella3[[#This Row],[rem. rate residuals]]*NOT(ISBLANK(Tabella3[[#This Row],[Italy remov. rate data]]))</f>
        <v>0</v>
      </c>
      <c r="N35" s="72">
        <f>Tabella3[[#This Row],[Italy remov. rate fit]]/y_f_peak</f>
        <v>3.9840084554909304E-2</v>
      </c>
      <c r="O35" s="10">
        <f>Tabella3[[#This Row],[Italy (fit of selected region + fitted sum of the other regions)]]*NOT(ISBLANK(Tabella3[[#This Row],[Italy remov. rate data]]))</f>
        <v>0</v>
      </c>
      <c r="P35" s="72">
        <f>Tabella3[[#This Row],[Italy remov. rate fit]]*NOT(ISBLANK(Tabella3[[#This Row],[Italy remov. rate data]]))</f>
        <v>0</v>
      </c>
      <c r="Q35" s="72">
        <f>Tabella3[[#This Row],[Italy remov. rate fit]]+CIf</f>
        <v>1835.1911284878304</v>
      </c>
      <c r="R35" s="72">
        <f>MAX(Tabella3[[#This Row],[Italy remov. rate fit]]-CIf,0)</f>
        <v>0</v>
      </c>
      <c r="S35" s="139"/>
      <c r="T35" s="144"/>
      <c r="U35" s="10">
        <f>Tabella3[[#This Row],[region data]]*NOT(ISBLANK(Tabella3[[#This Row],[region data]]))</f>
        <v>0</v>
      </c>
      <c r="V35"/>
      <c r="W35" s="72">
        <f>Tabella3[[#This Row],[6-days moving avg]]*NOT(ISBLANK(Tabella3[[#This Row],[6-days moving avg]]))</f>
        <v>0</v>
      </c>
      <c r="X35" s="145">
        <f>Tabella8[[#This Row],[region fit]]</f>
        <v>0</v>
      </c>
      <c r="Y35" s="10">
        <f>Tabella3[[#This Row],[region cumul. fit]]/Kl</f>
        <v>0</v>
      </c>
      <c r="Z35" s="72">
        <f>IFERROR(Kl*psi_l*_xlfn.SECH(psi_l*(Tabella3[[#This Row],[Day]]-pl)-phi_l)^2/(1+TANH(phi_l)),0)</f>
        <v>3.3867725673259752</v>
      </c>
      <c r="AA35" s="72">
        <f>Tabella3[[#This Row],[region fit]]/y_l_peak</f>
        <v>2.4577578626811002E-2</v>
      </c>
      <c r="AB35" s="10">
        <f>Tabella3[[#This Row],[region fit]]*NOT(ISBLANK(Tabella3[[#This Row],[region data]]))</f>
        <v>0</v>
      </c>
      <c r="AC35" s="166">
        <f>IFERROR(kl_m*psi_l_m*_xlfn.SECH(psi_l_m*(Tabella3[[#This Row],[Day]]-pl_m)-phi_l_m)^2/(1+TANH(phi_l_m)),0)</f>
        <v>3.3867725673259752</v>
      </c>
      <c r="AD35" s="72">
        <f>Tabella3[[#This Row],[6-days moving avg fit]]*NOT(ISBLANK(Tabella3[[#This Row],[6-days moving avg]]))</f>
        <v>0</v>
      </c>
      <c r="AE35" s="72">
        <f>Tabella3[[#This Row],[region fit]]+CIl</f>
        <v>57.151612976874432</v>
      </c>
      <c r="AF35" s="72">
        <f>MAX(Tabella3[[#This Row],[region fit]]-CIl,0)</f>
        <v>0</v>
      </c>
      <c r="AG35" s="141"/>
      <c r="AH35" s="144"/>
      <c r="AI35" s="10">
        <f>Tabella3[[#This Row],[rest of Italy data]]*NOT(ISBLANK(Tabella3[[#This Row],[rest of Italy data]]))</f>
        <v>0</v>
      </c>
      <c r="AJ35" s="145">
        <f>Tabella8[[#This Row],[rest of Italy fit]]</f>
        <v>0</v>
      </c>
      <c r="AK35" s="72">
        <f>Tabella3[[#This Row],[rest of Italy cumul. fit]]/Ka</f>
        <v>0</v>
      </c>
      <c r="AL35" s="72">
        <f>IFERROR(Ka*psi_a*_xlfn.SECH(psi_a*(Tabella3[[#This Row],[Day]]-pa)-phi_a)^2/(1+TANH(phi_a)),0)</f>
        <v>117.30432405376986</v>
      </c>
      <c r="AM35" s="72">
        <f>Tabella3[[#This Row],[rest of Italy fit]]/y_a_peak</f>
        <v>4.0989825233121911E-2</v>
      </c>
      <c r="AN35" s="10">
        <f>Tabella3[[#This Row],[rest of Italy fit]]*NOT(ISBLANK(Tabella3[[#This Row],[rest of Italy data]]))</f>
        <v>0</v>
      </c>
      <c r="AO35" s="72">
        <f>Tabella3[[#This Row],[rest of Italy fit]]+CIa</f>
        <v>1811.8785189633527</v>
      </c>
      <c r="AP35" s="72">
        <f>MAX(Tabella3[[#This Row],[rest of Italy fit]]-CIa,0)</f>
        <v>0</v>
      </c>
      <c r="AR35" s="14" t="s">
        <v>4714</v>
      </c>
      <c r="AS35" s="30">
        <f>psi_o</f>
        <v>2.4513542784814477E-2</v>
      </c>
      <c r="AV35" s="1"/>
      <c r="BF35" s="45"/>
    </row>
    <row r="36" spans="2:58" x14ac:dyDescent="0.3">
      <c r="B36" s="134">
        <v>43859</v>
      </c>
      <c r="C36" s="4">
        <v>29</v>
      </c>
      <c r="D36" s="141"/>
      <c r="E36" s="144"/>
      <c r="F36" s="10">
        <f>Tabella3[[#This Row],[Italy remov. rate data]]*NOT(ISBLANK(Tabella3[[#This Row],[Italy remov. rate data]]))</f>
        <v>0</v>
      </c>
      <c r="G36" s="158">
        <f>Tabella3[[#This Row],[region cumul. fit]]+Tabella3[[#This Row],[rest of Italy cumul. fit]]</f>
        <v>0</v>
      </c>
      <c r="H36" s="158">
        <f>Tabella3[[#This Row],[Italy cumul. fit]]/Kf</f>
        <v>0</v>
      </c>
      <c r="I36" s="143">
        <f>Tabella3[[#This Row],[region fit]]+Tabella3[[#This Row],[rest of Italy fit]]</f>
        <v>126.65135769965428</v>
      </c>
      <c r="J36" s="143">
        <f>Tabella3[[#This Row],[Italy (fit of selected region + fitted sum of the other regions)]]/(y_l_peak+y_a_peak)</f>
        <v>4.2222881979196117E-2</v>
      </c>
      <c r="K36" s="72">
        <f>IFERROR(Kf*psi_f*_xlfn.SECH(psi_f*(Tabella3[[#This Row],[Day]]-pf)-phi_f)^2/(1+TANH(phi_f)),0)</f>
        <v>125.5028587156078</v>
      </c>
      <c r="L36" s="292">
        <f>Tabella3[[#This Row],[Italy remov. rate fit]]-Tabella3[[#This Row],[Italy remov. rate data]]</f>
        <v>125.5028587156078</v>
      </c>
      <c r="M36" s="293">
        <f>Tabella3[[#This Row],[rem. rate residuals]]*NOT(ISBLANK(Tabella3[[#This Row],[Italy remov. rate data]]))</f>
        <v>0</v>
      </c>
      <c r="N36" s="72">
        <f>Tabella3[[#This Row],[Italy remov. rate fit]]/y_f_peak</f>
        <v>4.1814688972302123E-2</v>
      </c>
      <c r="O36" s="10">
        <f>Tabella3[[#This Row],[Italy (fit of selected region + fitted sum of the other regions)]]*NOT(ISBLANK(Tabella3[[#This Row],[Italy remov. rate data]]))</f>
        <v>0</v>
      </c>
      <c r="P36" s="72">
        <f>Tabella3[[#This Row],[Italy remov. rate fit]]*NOT(ISBLANK(Tabella3[[#This Row],[Italy remov. rate data]]))</f>
        <v>0</v>
      </c>
      <c r="Q36" s="72">
        <f>Tabella3[[#This Row],[Italy remov. rate fit]]+CIf</f>
        <v>1841.1177180501591</v>
      </c>
      <c r="R36" s="72">
        <f>MAX(Tabella3[[#This Row],[Italy remov. rate fit]]-CIf,0)</f>
        <v>0</v>
      </c>
      <c r="S36" s="139"/>
      <c r="T36" s="144"/>
      <c r="U36" s="10">
        <f>Tabella3[[#This Row],[region data]]*NOT(ISBLANK(Tabella3[[#This Row],[region data]]))</f>
        <v>0</v>
      </c>
      <c r="V36"/>
      <c r="W36" s="72">
        <f>Tabella3[[#This Row],[6-days moving avg]]*NOT(ISBLANK(Tabella3[[#This Row],[6-days moving avg]]))</f>
        <v>0</v>
      </c>
      <c r="X36" s="145">
        <f>Tabella8[[#This Row],[region fit]]</f>
        <v>0</v>
      </c>
      <c r="Y36" s="10">
        <f>Tabella3[[#This Row],[region cumul. fit]]/Kl</f>
        <v>0</v>
      </c>
      <c r="Z36" s="72">
        <f>IFERROR(Kl*psi_l*_xlfn.SECH(psi_l*(Tabella3[[#This Row],[Day]]-pl)-phi_l)^2/(1+TANH(phi_l)),0)</f>
        <v>3.5807355530539682</v>
      </c>
      <c r="AA36" s="72">
        <f>Tabella3[[#This Row],[region fit]]/y_l_peak</f>
        <v>2.5985154848022884E-2</v>
      </c>
      <c r="AB36" s="10">
        <f>Tabella3[[#This Row],[region fit]]*NOT(ISBLANK(Tabella3[[#This Row],[region data]]))</f>
        <v>0</v>
      </c>
      <c r="AC36" s="166">
        <f>IFERROR(kl_m*psi_l_m*_xlfn.SECH(psi_l_m*(Tabella3[[#This Row],[Day]]-pl_m)-phi_l_m)^2/(1+TANH(phi_l_m)),0)</f>
        <v>3.5807355530539682</v>
      </c>
      <c r="AD36" s="72">
        <f>Tabella3[[#This Row],[6-days moving avg fit]]*NOT(ISBLANK(Tabella3[[#This Row],[6-days moving avg]]))</f>
        <v>0</v>
      </c>
      <c r="AE36" s="72">
        <f>Tabella3[[#This Row],[region fit]]+CIl</f>
        <v>57.345575962602425</v>
      </c>
      <c r="AF36" s="72">
        <f>MAX(Tabella3[[#This Row],[region fit]]-CIl,0)</f>
        <v>0</v>
      </c>
      <c r="AG36" s="141"/>
      <c r="AH36" s="144"/>
      <c r="AI36" s="10">
        <f>Tabella3[[#This Row],[rest of Italy data]]*NOT(ISBLANK(Tabella3[[#This Row],[rest of Italy data]]))</f>
        <v>0</v>
      </c>
      <c r="AJ36" s="145">
        <f>Tabella8[[#This Row],[rest of Italy fit]]</f>
        <v>0</v>
      </c>
      <c r="AK36" s="72">
        <f>Tabella3[[#This Row],[rest of Italy cumul. fit]]/Ka</f>
        <v>0</v>
      </c>
      <c r="AL36" s="72">
        <f>IFERROR(Ka*psi_a*_xlfn.SECH(psi_a*(Tabella3[[#This Row],[Day]]-pa)-phi_a)^2/(1+TANH(phi_a)),0)</f>
        <v>123.07062214660031</v>
      </c>
      <c r="AM36" s="72">
        <f>Tabella3[[#This Row],[rest of Italy fit]]/y_a_peak</f>
        <v>4.3004751391844433E-2</v>
      </c>
      <c r="AN36" s="10">
        <f>Tabella3[[#This Row],[rest of Italy fit]]*NOT(ISBLANK(Tabella3[[#This Row],[rest of Italy data]]))</f>
        <v>0</v>
      </c>
      <c r="AO36" s="72">
        <f>Tabella3[[#This Row],[rest of Italy fit]]+CIa</f>
        <v>1817.644817056183</v>
      </c>
      <c r="AP36" s="72">
        <f>MAX(Tabella3[[#This Row],[rest of Italy fit]]-CIa,0)</f>
        <v>0</v>
      </c>
      <c r="AR36" s="2" t="s">
        <v>1</v>
      </c>
      <c r="AS36" s="6">
        <f>AVERAGE(Tabella3[rest of Italy data])</f>
        <v>1753.9124999999999</v>
      </c>
      <c r="BF36" s="45"/>
    </row>
    <row r="37" spans="2:58" x14ac:dyDescent="0.3">
      <c r="B37" s="134">
        <v>43860</v>
      </c>
      <c r="C37" s="4">
        <v>30</v>
      </c>
      <c r="D37" s="141"/>
      <c r="E37" s="144"/>
      <c r="F37" s="10">
        <f>Tabella3[[#This Row],[Italy remov. rate data]]*NOT(ISBLANK(Tabella3[[#This Row],[Italy remov. rate data]]))</f>
        <v>0</v>
      </c>
      <c r="G37" s="158">
        <f>Tabella3[[#This Row],[region cumul. fit]]+Tabella3[[#This Row],[rest of Italy cumul. fit]]</f>
        <v>0</v>
      </c>
      <c r="H37" s="158">
        <f>Tabella3[[#This Row],[Italy cumul. fit]]/Kf</f>
        <v>0</v>
      </c>
      <c r="I37" s="143">
        <f>Tabella3[[#This Row],[region fit]]+Tabella3[[#This Row],[rest of Italy fit]]</f>
        <v>132.89934847663815</v>
      </c>
      <c r="J37" s="143">
        <f>Tabella3[[#This Row],[Italy (fit of selected region + fitted sum of the other regions)]]/(y_l_peak+y_a_peak)</f>
        <v>4.4305829860491634E-2</v>
      </c>
      <c r="K37" s="72">
        <f>IFERROR(Kf*psi_f*_xlfn.SECH(psi_f*(Tabella3[[#This Row],[Day]]-pf)-phi_f)^2/(1+TANH(phi_f)),0)</f>
        <v>131.71646952970602</v>
      </c>
      <c r="L37" s="292">
        <f>Tabella3[[#This Row],[Italy remov. rate fit]]-Tabella3[[#This Row],[Italy remov. rate data]]</f>
        <v>131.71646952970602</v>
      </c>
      <c r="M37" s="293">
        <f>Tabella3[[#This Row],[rem. rate residuals]]*NOT(ISBLANK(Tabella3[[#This Row],[Italy remov. rate data]]))</f>
        <v>0</v>
      </c>
      <c r="N37" s="72">
        <f>Tabella3[[#This Row],[Italy remov. rate fit]]/y_f_peak</f>
        <v>4.3884922321928116E-2</v>
      </c>
      <c r="O37" s="10">
        <f>Tabella3[[#This Row],[Italy (fit of selected region + fitted sum of the other regions)]]*NOT(ISBLANK(Tabella3[[#This Row],[Italy remov. rate data]]))</f>
        <v>0</v>
      </c>
      <c r="P37" s="72">
        <f>Tabella3[[#This Row],[Italy remov. rate fit]]*NOT(ISBLANK(Tabella3[[#This Row],[Italy remov. rate data]]))</f>
        <v>0</v>
      </c>
      <c r="Q37" s="72">
        <f>Tabella3[[#This Row],[Italy remov. rate fit]]+CIf</f>
        <v>1847.3313288642573</v>
      </c>
      <c r="R37" s="72">
        <f>MAX(Tabella3[[#This Row],[Italy remov. rate fit]]-CIf,0)</f>
        <v>0</v>
      </c>
      <c r="S37" s="139"/>
      <c r="T37" s="144"/>
      <c r="U37" s="10">
        <f>Tabella3[[#This Row],[region data]]*NOT(ISBLANK(Tabella3[[#This Row],[region data]]))</f>
        <v>0</v>
      </c>
      <c r="V37"/>
      <c r="W37" s="72">
        <f>Tabella3[[#This Row],[6-days moving avg]]*NOT(ISBLANK(Tabella3[[#This Row],[6-days moving avg]]))</f>
        <v>0</v>
      </c>
      <c r="X37" s="145">
        <f>Tabella8[[#This Row],[region fit]]</f>
        <v>0</v>
      </c>
      <c r="Y37" s="10">
        <f>Tabella3[[#This Row],[region cumul. fit]]/Kl</f>
        <v>0</v>
      </c>
      <c r="Z37" s="72">
        <f>IFERROR(Kl*psi_l*_xlfn.SECH(psi_l*(Tabella3[[#This Row],[Day]]-pl)-phi_l)^2/(1+TANH(phi_l)),0)</f>
        <v>3.7856503978613674</v>
      </c>
      <c r="AA37" s="72">
        <f>Tabella3[[#This Row],[region fit]]/y_l_peak</f>
        <v>2.7472207967161336E-2</v>
      </c>
      <c r="AB37" s="10">
        <f>Tabella3[[#This Row],[region fit]]*NOT(ISBLANK(Tabella3[[#This Row],[region data]]))</f>
        <v>0</v>
      </c>
      <c r="AC37" s="166">
        <f>IFERROR(kl_m*psi_l_m*_xlfn.SECH(psi_l_m*(Tabella3[[#This Row],[Day]]-pl_m)-phi_l_m)^2/(1+TANH(phi_l_m)),0)</f>
        <v>3.7856503978613674</v>
      </c>
      <c r="AD37" s="72">
        <f>Tabella3[[#This Row],[6-days moving avg fit]]*NOT(ISBLANK(Tabella3[[#This Row],[6-days moving avg]]))</f>
        <v>0</v>
      </c>
      <c r="AE37" s="72">
        <f>Tabella3[[#This Row],[region fit]]+CIl</f>
        <v>57.550490807409822</v>
      </c>
      <c r="AF37" s="72">
        <f>MAX(Tabella3[[#This Row],[region fit]]-CIl,0)</f>
        <v>0</v>
      </c>
      <c r="AG37" s="141"/>
      <c r="AH37" s="144"/>
      <c r="AI37" s="10">
        <f>Tabella3[[#This Row],[rest of Italy data]]*NOT(ISBLANK(Tabella3[[#This Row],[rest of Italy data]]))</f>
        <v>0</v>
      </c>
      <c r="AJ37" s="145">
        <f>Tabella8[[#This Row],[rest of Italy fit]]</f>
        <v>0</v>
      </c>
      <c r="AK37" s="72">
        <f>Tabella3[[#This Row],[rest of Italy cumul. fit]]/Ka</f>
        <v>0</v>
      </c>
      <c r="AL37" s="72">
        <f>IFERROR(Ka*psi_a*_xlfn.SECH(psi_a*(Tabella3[[#This Row],[Day]]-pa)-phi_a)^2/(1+TANH(phi_a)),0)</f>
        <v>129.11369807877679</v>
      </c>
      <c r="AM37" s="72">
        <f>Tabella3[[#This Row],[rest of Italy fit]]/y_a_peak</f>
        <v>4.5116392444537912E-2</v>
      </c>
      <c r="AN37" s="10">
        <f>Tabella3[[#This Row],[rest of Italy fit]]*NOT(ISBLANK(Tabella3[[#This Row],[rest of Italy data]]))</f>
        <v>0</v>
      </c>
      <c r="AO37" s="72">
        <f>Tabella3[[#This Row],[rest of Italy fit]]+CIa</f>
        <v>1823.6878929883596</v>
      </c>
      <c r="AP37" s="72">
        <f>MAX(Tabella3[[#This Row],[rest of Italy fit]]-CIa,0)</f>
        <v>0</v>
      </c>
      <c r="AR37" s="2" t="s">
        <v>2</v>
      </c>
      <c r="AS37" s="1">
        <f>COUNT(Tabella3[rest of Italy data])-COUNT(AS33:AS35,pa)</f>
        <v>76</v>
      </c>
      <c r="BF37" s="45"/>
    </row>
    <row r="38" spans="2:58" x14ac:dyDescent="0.3">
      <c r="B38" s="134">
        <v>43861</v>
      </c>
      <c r="C38" s="4">
        <v>31</v>
      </c>
      <c r="D38" s="141"/>
      <c r="E38" s="144"/>
      <c r="F38" s="10">
        <f>Tabella3[[#This Row],[Italy remov. rate data]]*NOT(ISBLANK(Tabella3[[#This Row],[Italy remov. rate data]]))</f>
        <v>0</v>
      </c>
      <c r="G38" s="158">
        <f>Tabella3[[#This Row],[region cumul. fit]]+Tabella3[[#This Row],[rest of Italy cumul. fit]]</f>
        <v>0</v>
      </c>
      <c r="H38" s="158">
        <f>Tabella3[[#This Row],[Italy cumul. fit]]/Kf</f>
        <v>0</v>
      </c>
      <c r="I38" s="143">
        <f>Tabella3[[#This Row],[region fit]]+Tabella3[[#This Row],[rest of Italy fit]]</f>
        <v>139.4482753743707</v>
      </c>
      <c r="J38" s="143">
        <f>Tabella3[[#This Row],[Italy (fit of selected region + fitted sum of the other regions)]]/(y_l_peak+y_a_peak)</f>
        <v>4.648910347488968E-2</v>
      </c>
      <c r="K38" s="72">
        <f>IFERROR(Kf*psi_f*_xlfn.SECH(psi_f*(Tabella3[[#This Row],[Day]]-pf)-phi_f)^2/(1+TANH(phi_f)),0)</f>
        <v>138.2303131319091</v>
      </c>
      <c r="L38" s="292">
        <f>Tabella3[[#This Row],[Italy remov. rate fit]]-Tabella3[[#This Row],[Italy remov. rate data]]</f>
        <v>138.2303131319091</v>
      </c>
      <c r="M38" s="293">
        <f>Tabella3[[#This Row],[rem. rate residuals]]*NOT(ISBLANK(Tabella3[[#This Row],[Italy remov. rate data]]))</f>
        <v>0</v>
      </c>
      <c r="N38" s="72">
        <f>Tabella3[[#This Row],[Italy remov. rate fit]]/y_f_peak</f>
        <v>4.6055186386251529E-2</v>
      </c>
      <c r="O38" s="10">
        <f>Tabella3[[#This Row],[Italy (fit of selected region + fitted sum of the other regions)]]*NOT(ISBLANK(Tabella3[[#This Row],[Italy remov. rate data]]))</f>
        <v>0</v>
      </c>
      <c r="P38" s="72">
        <f>Tabella3[[#This Row],[Italy remov. rate fit]]*NOT(ISBLANK(Tabella3[[#This Row],[Italy remov. rate data]]))</f>
        <v>0</v>
      </c>
      <c r="Q38" s="72">
        <f>Tabella3[[#This Row],[Italy remov. rate fit]]+CIf</f>
        <v>1853.8451724664603</v>
      </c>
      <c r="R38" s="72">
        <f>MAX(Tabella3[[#This Row],[Italy remov. rate fit]]-CIf,0)</f>
        <v>0</v>
      </c>
      <c r="S38" s="139"/>
      <c r="T38" s="144"/>
      <c r="U38" s="10">
        <f>Tabella3[[#This Row],[region data]]*NOT(ISBLANK(Tabella3[[#This Row],[region data]]))</f>
        <v>0</v>
      </c>
      <c r="V38"/>
      <c r="W38" s="72">
        <f>Tabella3[[#This Row],[6-days moving avg]]*NOT(ISBLANK(Tabella3[[#This Row],[6-days moving avg]]))</f>
        <v>0</v>
      </c>
      <c r="X38" s="145">
        <f>Tabella8[[#This Row],[region fit]]</f>
        <v>0</v>
      </c>
      <c r="Y38" s="10">
        <f>Tabella3[[#This Row],[region cumul. fit]]/Kl</f>
        <v>0</v>
      </c>
      <c r="Z38" s="72">
        <f>IFERROR(Kl*psi_l*_xlfn.SECH(psi_l*(Tabella3[[#This Row],[Day]]-pl)-phi_l)^2/(1+TANH(phi_l)),0)</f>
        <v>4.0021169418424511</v>
      </c>
      <c r="AA38" s="72">
        <f>Tabella3[[#This Row],[region fit]]/y_l_peak</f>
        <v>2.9043090983073356E-2</v>
      </c>
      <c r="AB38" s="10">
        <f>Tabella3[[#This Row],[region fit]]*NOT(ISBLANK(Tabella3[[#This Row],[region data]]))</f>
        <v>0</v>
      </c>
      <c r="AC38" s="166">
        <f>IFERROR(kl_m*psi_l_m*_xlfn.SECH(psi_l_m*(Tabella3[[#This Row],[Day]]-pl_m)-phi_l_m)^2/(1+TANH(phi_l_m)),0)</f>
        <v>4.0021169418424511</v>
      </c>
      <c r="AD38" s="72">
        <f>Tabella3[[#This Row],[6-days moving avg fit]]*NOT(ISBLANK(Tabella3[[#This Row],[6-days moving avg]]))</f>
        <v>0</v>
      </c>
      <c r="AE38" s="72">
        <f>Tabella3[[#This Row],[region fit]]+CIl</f>
        <v>57.766957351390907</v>
      </c>
      <c r="AF38" s="72">
        <f>MAX(Tabella3[[#This Row],[region fit]]-CIl,0)</f>
        <v>0</v>
      </c>
      <c r="AG38" s="141"/>
      <c r="AH38" s="144"/>
      <c r="AI38" s="10">
        <f>Tabella3[[#This Row],[rest of Italy data]]*NOT(ISBLANK(Tabella3[[#This Row],[rest of Italy data]]))</f>
        <v>0</v>
      </c>
      <c r="AJ38" s="145">
        <f>Tabella8[[#This Row],[rest of Italy fit]]</f>
        <v>0</v>
      </c>
      <c r="AK38" s="72">
        <f>Tabella3[[#This Row],[rest of Italy cumul. fit]]/Ka</f>
        <v>0</v>
      </c>
      <c r="AL38" s="72">
        <f>IFERROR(Ka*psi_a*_xlfn.SECH(psi_a*(Tabella3[[#This Row],[Day]]-pa)-phi_a)^2/(1+TANH(phi_a)),0)</f>
        <v>135.44615843252825</v>
      </c>
      <c r="AM38" s="72">
        <f>Tabella3[[#This Row],[rest of Italy fit]]/y_a_peak</f>
        <v>4.7329153528067665E-2</v>
      </c>
      <c r="AN38" s="10">
        <f>Tabella3[[#This Row],[rest of Italy fit]]*NOT(ISBLANK(Tabella3[[#This Row],[rest of Italy data]]))</f>
        <v>0</v>
      </c>
      <c r="AO38" s="72">
        <f>Tabella3[[#This Row],[rest of Italy fit]]+CIa</f>
        <v>1830.0203533421109</v>
      </c>
      <c r="AP38" s="72">
        <f>MAX(Tabella3[[#This Row],[rest of Italy fit]]-CIa,0)</f>
        <v>0</v>
      </c>
      <c r="AR38" s="2" t="s">
        <v>3</v>
      </c>
      <c r="AS38" s="6" cm="1">
        <f t="array" ref="AS38">SQRT(SUM((Tabella3[Colonna33]-Tabella3[Colonna322])^2)/dfa)</f>
        <v>850.82969294432121</v>
      </c>
      <c r="BF38" s="45"/>
    </row>
    <row r="39" spans="2:58" ht="16.2" x14ac:dyDescent="0.3">
      <c r="B39" s="134">
        <v>43862</v>
      </c>
      <c r="C39" s="4">
        <v>32</v>
      </c>
      <c r="D39" s="141"/>
      <c r="E39" s="144"/>
      <c r="F39" s="10">
        <f>Tabella3[[#This Row],[Italy remov. rate data]]*NOT(ISBLANK(Tabella3[[#This Row],[Italy remov. rate data]]))</f>
        <v>0</v>
      </c>
      <c r="G39" s="158">
        <f>Tabella3[[#This Row],[region cumul. fit]]+Tabella3[[#This Row],[rest of Italy cumul. fit]]</f>
        <v>0</v>
      </c>
      <c r="H39" s="158">
        <f>Tabella3[[#This Row],[Italy cumul. fit]]/Kf</f>
        <v>0</v>
      </c>
      <c r="I39" s="143">
        <f>Tabella3[[#This Row],[region fit]]+Tabella3[[#This Row],[rest of Italy fit]]</f>
        <v>146.31188033912002</v>
      </c>
      <c r="J39" s="143">
        <f>Tabella3[[#This Row],[Italy (fit of selected region + fitted sum of the other regions)]]/(y_l_peak+y_a_peak)</f>
        <v>4.8777284096416698E-2</v>
      </c>
      <c r="K39" s="72">
        <f>IFERROR(Kf*psi_f*_xlfn.SECH(psi_f*(Tabella3[[#This Row],[Day]]-pf)-phi_f)^2/(1+TANH(phi_f)),0)</f>
        <v>145.05813825039445</v>
      </c>
      <c r="L39" s="292">
        <f>Tabella3[[#This Row],[Italy remov. rate fit]]-Tabella3[[#This Row],[Italy remov. rate data]]</f>
        <v>145.05813825039445</v>
      </c>
      <c r="M39" s="293">
        <f>Tabella3[[#This Row],[rem. rate residuals]]*NOT(ISBLANK(Tabella3[[#This Row],[Italy remov. rate data]]))</f>
        <v>0</v>
      </c>
      <c r="N39" s="72">
        <f>Tabella3[[#This Row],[Italy remov. rate fit]]/y_f_peak</f>
        <v>4.8330061927801489E-2</v>
      </c>
      <c r="O39" s="10">
        <f>Tabella3[[#This Row],[Italy (fit of selected region + fitted sum of the other regions)]]*NOT(ISBLANK(Tabella3[[#This Row],[Italy remov. rate data]]))</f>
        <v>0</v>
      </c>
      <c r="P39" s="72">
        <f>Tabella3[[#This Row],[Italy remov. rate fit]]*NOT(ISBLANK(Tabella3[[#This Row],[Italy remov. rate data]]))</f>
        <v>0</v>
      </c>
      <c r="Q39" s="72">
        <f>Tabella3[[#This Row],[Italy remov. rate fit]]+CIf</f>
        <v>1860.6729975849457</v>
      </c>
      <c r="R39" s="72">
        <f>MAX(Tabella3[[#This Row],[Italy remov. rate fit]]-CIf,0)</f>
        <v>0</v>
      </c>
      <c r="S39" s="139"/>
      <c r="T39" s="144"/>
      <c r="U39" s="10">
        <f>Tabella3[[#This Row],[region data]]*NOT(ISBLANK(Tabella3[[#This Row],[region data]]))</f>
        <v>0</v>
      </c>
      <c r="V39"/>
      <c r="W39" s="72">
        <f>Tabella3[[#This Row],[6-days moving avg]]*NOT(ISBLANK(Tabella3[[#This Row],[6-days moving avg]]))</f>
        <v>0</v>
      </c>
      <c r="X39" s="145">
        <f>Tabella8[[#This Row],[region fit]]</f>
        <v>0</v>
      </c>
      <c r="Y39" s="10">
        <f>Tabella3[[#This Row],[region cumul. fit]]/Kl</f>
        <v>0</v>
      </c>
      <c r="Z39" s="72">
        <f>IFERROR(Kl*psi_l*_xlfn.SECH(psi_l*(Tabella3[[#This Row],[Day]]-pl)-phi_l)^2/(1+TANH(phi_l)),0)</f>
        <v>4.2307656768001847</v>
      </c>
      <c r="AA39" s="72">
        <f>Tabella3[[#This Row],[region fit]]/y_l_peak</f>
        <v>3.0702379331975258E-2</v>
      </c>
      <c r="AB39" s="10">
        <f>Tabella3[[#This Row],[region fit]]*NOT(ISBLANK(Tabella3[[#This Row],[region data]]))</f>
        <v>0</v>
      </c>
      <c r="AC39" s="166">
        <f>IFERROR(kl_m*psi_l_m*_xlfn.SECH(psi_l_m*(Tabella3[[#This Row],[Day]]-pl_m)-phi_l_m)^2/(1+TANH(phi_l_m)),0)</f>
        <v>4.2307656768001847</v>
      </c>
      <c r="AD39" s="72">
        <f>Tabella3[[#This Row],[6-days moving avg fit]]*NOT(ISBLANK(Tabella3[[#This Row],[6-days moving avg]]))</f>
        <v>0</v>
      </c>
      <c r="AE39" s="72">
        <f>Tabella3[[#This Row],[region fit]]+CIl</f>
        <v>57.995606086348637</v>
      </c>
      <c r="AF39" s="72">
        <f>MAX(Tabella3[[#This Row],[region fit]]-CIl,0)</f>
        <v>0</v>
      </c>
      <c r="AG39" s="141"/>
      <c r="AH39" s="144"/>
      <c r="AI39" s="10">
        <f>Tabella3[[#This Row],[rest of Italy data]]*NOT(ISBLANK(Tabella3[[#This Row],[rest of Italy data]]))</f>
        <v>0</v>
      </c>
      <c r="AJ39" s="145">
        <f>Tabella8[[#This Row],[rest of Italy fit]]</f>
        <v>0</v>
      </c>
      <c r="AK39" s="72">
        <f>Tabella3[[#This Row],[rest of Italy cumul. fit]]/Ka</f>
        <v>0</v>
      </c>
      <c r="AL39" s="72">
        <f>IFERROR(Ka*psi_a*_xlfn.SECH(psi_a*(Tabella3[[#This Row],[Day]]-pa)-phi_a)^2/(1+TANH(phi_a)),0)</f>
        <v>142.08111466231983</v>
      </c>
      <c r="AM39" s="72">
        <f>Tabella3[[#This Row],[rest of Italy fit]]/y_a_peak</f>
        <v>4.9647616197558919E-2</v>
      </c>
      <c r="AN39" s="10">
        <f>Tabella3[[#This Row],[rest of Italy fit]]*NOT(ISBLANK(Tabella3[[#This Row],[rest of Italy data]]))</f>
        <v>0</v>
      </c>
      <c r="AO39" s="72">
        <f>Tabella3[[#This Row],[rest of Italy fit]]+CIa</f>
        <v>1836.6553095719025</v>
      </c>
      <c r="AP39" s="72">
        <f>MAX(Tabella3[[#This Row],[rest of Italy fit]]-CIa,0)</f>
        <v>0</v>
      </c>
      <c r="AR39" s="2" t="s">
        <v>4</v>
      </c>
      <c r="AS39" s="7" cm="1">
        <f t="array" ref="AS39">1-SUM((Tabella3[Colonna33]-Tabella3[Colonna322])^2)/SUM((Tabella3[Colonna33]-Mean_of_ya)^2)</f>
        <v>0.92511054039902796</v>
      </c>
      <c r="BF39" s="45"/>
    </row>
    <row r="40" spans="2:58" x14ac:dyDescent="0.3">
      <c r="B40" s="134">
        <v>43863</v>
      </c>
      <c r="C40" s="4">
        <v>33</v>
      </c>
      <c r="D40" s="141"/>
      <c r="E40" s="144"/>
      <c r="F40" s="10">
        <f>Tabella3[[#This Row],[Italy remov. rate data]]*NOT(ISBLANK(Tabella3[[#This Row],[Italy remov. rate data]]))</f>
        <v>0</v>
      </c>
      <c r="G40" s="158">
        <f>Tabella3[[#This Row],[region cumul. fit]]+Tabella3[[#This Row],[rest of Italy cumul. fit]]</f>
        <v>0</v>
      </c>
      <c r="H40" s="158">
        <f>Tabella3[[#This Row],[Italy cumul. fit]]/Kf</f>
        <v>0</v>
      </c>
      <c r="I40" s="143">
        <f>Tabella3[[#This Row],[region fit]]+Tabella3[[#This Row],[rest of Italy fit]]</f>
        <v>153.50445510245748</v>
      </c>
      <c r="J40" s="143">
        <f>Tabella3[[#This Row],[Italy (fit of selected region + fitted sum of the other regions)]]/(y_l_peak+y_a_peak)</f>
        <v>5.1175136285882578E-2</v>
      </c>
      <c r="K40" s="72">
        <f>IFERROR(Kf*psi_f*_xlfn.SECH(psi_f*(Tabella3[[#This Row],[Day]]-pf)-phi_f)^2/(1+TANH(phi_f)),0)</f>
        <v>152.2142451677731</v>
      </c>
      <c r="L40" s="292">
        <f>Tabella3[[#This Row],[Italy remov. rate fit]]-Tabella3[[#This Row],[Italy remov. rate data]]</f>
        <v>152.2142451677731</v>
      </c>
      <c r="M40" s="293">
        <f>Tabella3[[#This Row],[rem. rate residuals]]*NOT(ISBLANK(Tabella3[[#This Row],[Italy remov. rate data]]))</f>
        <v>0</v>
      </c>
      <c r="N40" s="72">
        <f>Tabella3[[#This Row],[Italy remov. rate fit]]/y_f_peak</f>
        <v>5.0714313474459809E-2</v>
      </c>
      <c r="O40" s="10">
        <f>Tabella3[[#This Row],[Italy (fit of selected region + fitted sum of the other regions)]]*NOT(ISBLANK(Tabella3[[#This Row],[Italy remov. rate data]]))</f>
        <v>0</v>
      </c>
      <c r="P40" s="72">
        <f>Tabella3[[#This Row],[Italy remov. rate fit]]*NOT(ISBLANK(Tabella3[[#This Row],[Italy remov. rate data]]))</f>
        <v>0</v>
      </c>
      <c r="Q40" s="72">
        <f>Tabella3[[#This Row],[Italy remov. rate fit]]+CIf</f>
        <v>1867.8291045023243</v>
      </c>
      <c r="R40" s="72">
        <f>MAX(Tabella3[[#This Row],[Italy remov. rate fit]]-CIf,0)</f>
        <v>0</v>
      </c>
      <c r="S40" s="139"/>
      <c r="T40" s="144"/>
      <c r="U40" s="10">
        <f>Tabella3[[#This Row],[region data]]*NOT(ISBLANK(Tabella3[[#This Row],[region data]]))</f>
        <v>0</v>
      </c>
      <c r="V40"/>
      <c r="W40" s="72">
        <f>Tabella3[[#This Row],[6-days moving avg]]*NOT(ISBLANK(Tabella3[[#This Row],[6-days moving avg]]))</f>
        <v>0</v>
      </c>
      <c r="X40" s="145">
        <f>Tabella8[[#This Row],[region fit]]</f>
        <v>0</v>
      </c>
      <c r="Y40" s="10">
        <f>Tabella3[[#This Row],[region cumul. fit]]/Kl</f>
        <v>0</v>
      </c>
      <c r="Z40" s="72">
        <f>IFERROR(Kl*psi_l*_xlfn.SECH(psi_l*(Tabella3[[#This Row],[Day]]-pl)-phi_l)^2/(1+TANH(phi_l)),0)</f>
        <v>4.4722590476641653</v>
      </c>
      <c r="AA40" s="72">
        <f>Tabella3[[#This Row],[region fit]]/y_l_peak</f>
        <v>3.2454880331754331E-2</v>
      </c>
      <c r="AB40" s="10">
        <f>Tabella3[[#This Row],[region fit]]*NOT(ISBLANK(Tabella3[[#This Row],[region data]]))</f>
        <v>0</v>
      </c>
      <c r="AC40" s="166">
        <f>IFERROR(kl_m*psi_l_m*_xlfn.SECH(psi_l_m*(Tabella3[[#This Row],[Day]]-pl_m)-phi_l_m)^2/(1+TANH(phi_l_m)),0)</f>
        <v>4.4722590476641653</v>
      </c>
      <c r="AD40" s="72">
        <f>Tabella3[[#This Row],[6-days moving avg fit]]*NOT(ISBLANK(Tabella3[[#This Row],[6-days moving avg]]))</f>
        <v>0</v>
      </c>
      <c r="AE40" s="72">
        <f>Tabella3[[#This Row],[region fit]]+CIl</f>
        <v>58.237099457212622</v>
      </c>
      <c r="AF40" s="72">
        <f>MAX(Tabella3[[#This Row],[region fit]]-CIl,0)</f>
        <v>0</v>
      </c>
      <c r="AG40" s="141"/>
      <c r="AH40" s="144"/>
      <c r="AI40" s="10">
        <f>Tabella3[[#This Row],[rest of Italy data]]*NOT(ISBLANK(Tabella3[[#This Row],[rest of Italy data]]))</f>
        <v>0</v>
      </c>
      <c r="AJ40" s="145">
        <f>Tabella8[[#This Row],[rest of Italy fit]]</f>
        <v>0</v>
      </c>
      <c r="AK40" s="72">
        <f>Tabella3[[#This Row],[rest of Italy cumul. fit]]/Ka</f>
        <v>0</v>
      </c>
      <c r="AL40" s="72">
        <f>IFERROR(Ka*psi_a*_xlfn.SECH(psi_a*(Tabella3[[#This Row],[Day]]-pa)-phi_a)^2/(1+TANH(phi_a)),0)</f>
        <v>149.03219605479333</v>
      </c>
      <c r="AM40" s="72">
        <f>Tabella3[[#This Row],[rest of Italy fit]]/y_a_peak</f>
        <v>5.2076542955008132E-2</v>
      </c>
      <c r="AN40" s="10">
        <f>Tabella3[[#This Row],[rest of Italy fit]]*NOT(ISBLANK(Tabella3[[#This Row],[rest of Italy data]]))</f>
        <v>0</v>
      </c>
      <c r="AO40" s="72">
        <f>Tabella3[[#This Row],[rest of Italy fit]]+CIa</f>
        <v>1843.606390964376</v>
      </c>
      <c r="AP40" s="72">
        <f>MAX(Tabella3[[#This Row],[rest of Italy fit]]-CIa,0)</f>
        <v>0</v>
      </c>
      <c r="AR40" s="2" t="s">
        <v>5</v>
      </c>
      <c r="AS40" s="7">
        <f>TINV(0.05,dfa)</f>
        <v>1.991672609644662</v>
      </c>
      <c r="BF40" s="45"/>
    </row>
    <row r="41" spans="2:58" x14ac:dyDescent="0.3">
      <c r="B41" s="134">
        <v>43864</v>
      </c>
      <c r="C41" s="4">
        <v>34</v>
      </c>
      <c r="D41" s="141"/>
      <c r="E41" s="144"/>
      <c r="F41" s="10">
        <f>Tabella3[[#This Row],[Italy remov. rate data]]*NOT(ISBLANK(Tabella3[[#This Row],[Italy remov. rate data]]))</f>
        <v>0</v>
      </c>
      <c r="G41" s="158">
        <f>Tabella3[[#This Row],[region cumul. fit]]+Tabella3[[#This Row],[rest of Italy cumul. fit]]</f>
        <v>0</v>
      </c>
      <c r="H41" s="158">
        <f>Tabella3[[#This Row],[Italy cumul. fit]]/Kf</f>
        <v>0</v>
      </c>
      <c r="I41" s="143">
        <f>Tabella3[[#This Row],[region fit]]+Tabella3[[#This Row],[rest of Italy fit]]</f>
        <v>161.04085496480005</v>
      </c>
      <c r="J41" s="143">
        <f>Tabella3[[#This Row],[Italy (fit of selected region + fitted sum of the other regions)]]/(y_l_peak+y_a_peak)</f>
        <v>5.3687612486021948E-2</v>
      </c>
      <c r="K41" s="72">
        <f>IFERROR(Kf*psi_f*_xlfn.SECH(psi_f*(Tabella3[[#This Row],[Day]]-pf)-phi_f)^2/(1+TANH(phi_f)),0)</f>
        <v>159.71349960718175</v>
      </c>
      <c r="L41" s="292">
        <f>Tabella3[[#This Row],[Italy remov. rate fit]]-Tabella3[[#This Row],[Italy remov. rate data]]</f>
        <v>159.71349960718175</v>
      </c>
      <c r="M41" s="293">
        <f>Tabella3[[#This Row],[rem. rate residuals]]*NOT(ISBLANK(Tabella3[[#This Row],[Italy remov. rate data]]))</f>
        <v>0</v>
      </c>
      <c r="N41" s="72">
        <f>Tabella3[[#This Row],[Italy remov. rate fit]]/y_f_peak</f>
        <v>5.3212893945989985E-2</v>
      </c>
      <c r="O41" s="10">
        <f>Tabella3[[#This Row],[Italy (fit of selected region + fitted sum of the other regions)]]*NOT(ISBLANK(Tabella3[[#This Row],[Italy remov. rate data]]))</f>
        <v>0</v>
      </c>
      <c r="P41" s="72">
        <f>Tabella3[[#This Row],[Italy remov. rate fit]]*NOT(ISBLANK(Tabella3[[#This Row],[Italy remov. rate data]]))</f>
        <v>0</v>
      </c>
      <c r="Q41" s="72">
        <f>Tabella3[[#This Row],[Italy remov. rate fit]]+CIf</f>
        <v>1875.3283589417331</v>
      </c>
      <c r="R41" s="72">
        <f>MAX(Tabella3[[#This Row],[Italy remov. rate fit]]-CIf,0)</f>
        <v>0</v>
      </c>
      <c r="S41" s="139"/>
      <c r="T41" s="144"/>
      <c r="U41" s="10">
        <f>Tabella3[[#This Row],[region data]]*NOT(ISBLANK(Tabella3[[#This Row],[region data]]))</f>
        <v>0</v>
      </c>
      <c r="V41"/>
      <c r="W41" s="72">
        <f>Tabella3[[#This Row],[6-days moving avg]]*NOT(ISBLANK(Tabella3[[#This Row],[6-days moving avg]]))</f>
        <v>0</v>
      </c>
      <c r="X41" s="145">
        <f>Tabella8[[#This Row],[region fit]]</f>
        <v>0</v>
      </c>
      <c r="Y41" s="10">
        <f>Tabella3[[#This Row],[region cumul. fit]]/Kl</f>
        <v>0</v>
      </c>
      <c r="Z41" s="72">
        <f>IFERROR(Kl*psi_l*_xlfn.SECH(psi_l*(Tabella3[[#This Row],[Day]]-pl)-phi_l)^2/(1+TANH(phi_l)),0)</f>
        <v>4.7272927758679311</v>
      </c>
      <c r="AA41" s="72">
        <f>Tabella3[[#This Row],[region fit]]/y_l_peak</f>
        <v>3.4305642785628164E-2</v>
      </c>
      <c r="AB41" s="10">
        <f>Tabella3[[#This Row],[region fit]]*NOT(ISBLANK(Tabella3[[#This Row],[region data]]))</f>
        <v>0</v>
      </c>
      <c r="AC41" s="166">
        <f>IFERROR(kl_m*psi_l_m*_xlfn.SECH(psi_l_m*(Tabella3[[#This Row],[Day]]-pl_m)-phi_l_m)^2/(1+TANH(phi_l_m)),0)</f>
        <v>4.7272927758679311</v>
      </c>
      <c r="AD41" s="72">
        <f>Tabella3[[#This Row],[6-days moving avg fit]]*NOT(ISBLANK(Tabella3[[#This Row],[6-days moving avg]]))</f>
        <v>0</v>
      </c>
      <c r="AE41" s="72">
        <f>Tabella3[[#This Row],[region fit]]+CIl</f>
        <v>58.492133185416385</v>
      </c>
      <c r="AF41" s="72">
        <f>MAX(Tabella3[[#This Row],[region fit]]-CIl,0)</f>
        <v>0</v>
      </c>
      <c r="AG41" s="141"/>
      <c r="AH41" s="144"/>
      <c r="AI41" s="10">
        <f>Tabella3[[#This Row],[rest of Italy data]]*NOT(ISBLANK(Tabella3[[#This Row],[rest of Italy data]]))</f>
        <v>0</v>
      </c>
      <c r="AJ41" s="145">
        <f>Tabella8[[#This Row],[rest of Italy fit]]</f>
        <v>0</v>
      </c>
      <c r="AK41" s="72">
        <f>Tabella3[[#This Row],[rest of Italy cumul. fit]]/Ka</f>
        <v>0</v>
      </c>
      <c r="AL41" s="72">
        <f>IFERROR(Ka*psi_a*_xlfn.SECH(psi_a*(Tabella3[[#This Row],[Day]]-pa)-phi_a)^2/(1+TANH(phi_a)),0)</f>
        <v>156.31356218893211</v>
      </c>
      <c r="AM41" s="72">
        <f>Tabella3[[#This Row],[rest of Italy fit]]/y_a_peak</f>
        <v>5.4620881603257038E-2</v>
      </c>
      <c r="AN41" s="10">
        <f>Tabella3[[#This Row],[rest of Italy fit]]*NOT(ISBLANK(Tabella3[[#This Row],[rest of Italy data]]))</f>
        <v>0</v>
      </c>
      <c r="AO41" s="72">
        <f>Tabella3[[#This Row],[rest of Italy fit]]+CIa</f>
        <v>1850.8877570985148</v>
      </c>
      <c r="AP41" s="72">
        <f>MAX(Tabella3[[#This Row],[rest of Italy fit]]-CIa,0)</f>
        <v>0</v>
      </c>
      <c r="AR41" s="2" t="s">
        <v>6</v>
      </c>
      <c r="AS41" s="6">
        <f>Critical_ta*SE_of_ya</f>
        <v>1694.5741949095827</v>
      </c>
      <c r="BF41" s="45"/>
    </row>
    <row r="42" spans="2:58" ht="15" thickBot="1" x14ac:dyDescent="0.35">
      <c r="B42" s="134">
        <v>43865</v>
      </c>
      <c r="C42" s="4">
        <v>35</v>
      </c>
      <c r="D42" s="141"/>
      <c r="E42" s="144"/>
      <c r="F42" s="10">
        <f>Tabella3[[#This Row],[Italy remov. rate data]]*NOT(ISBLANK(Tabella3[[#This Row],[Italy remov. rate data]]))</f>
        <v>0</v>
      </c>
      <c r="G42" s="158">
        <f>Tabella3[[#This Row],[region cumul. fit]]+Tabella3[[#This Row],[rest of Italy cumul. fit]]</f>
        <v>0</v>
      </c>
      <c r="H42" s="158">
        <f>Tabella3[[#This Row],[Italy cumul. fit]]/Kf</f>
        <v>0</v>
      </c>
      <c r="I42" s="143">
        <f>Tabella3[[#This Row],[region fit]]+Tabella3[[#This Row],[rest of Italy fit]]</f>
        <v>168.93651197198284</v>
      </c>
      <c r="J42" s="143">
        <f>Tabella3[[#This Row],[Italy (fit of selected region + fitted sum of the other regions)]]/(y_l_peak+y_a_peak)</f>
        <v>5.6319857414284587E-2</v>
      </c>
      <c r="K42" s="72">
        <f>IFERROR(Kf*psi_f*_xlfn.SECH(psi_f*(Tabella3[[#This Row],[Day]]-pf)-phi_f)^2/(1+TANH(phi_f)),0)</f>
        <v>167.5713460122526</v>
      </c>
      <c r="L42" s="292">
        <f>Tabella3[[#This Row],[Italy remov. rate fit]]-Tabella3[[#This Row],[Italy remov. rate data]]</f>
        <v>167.5713460122526</v>
      </c>
      <c r="M42" s="293">
        <f>Tabella3[[#This Row],[rem. rate residuals]]*NOT(ISBLANK(Tabella3[[#This Row],[Italy remov. rate data]]))</f>
        <v>0</v>
      </c>
      <c r="N42" s="72">
        <f>Tabella3[[#This Row],[Italy remov. rate fit]]/y_f_peak</f>
        <v>5.5830949078620185E-2</v>
      </c>
      <c r="O42" s="10">
        <f>Tabella3[[#This Row],[Italy (fit of selected region + fitted sum of the other regions)]]*NOT(ISBLANK(Tabella3[[#This Row],[Italy remov. rate data]]))</f>
        <v>0</v>
      </c>
      <c r="P42" s="72">
        <f>Tabella3[[#This Row],[Italy remov. rate fit]]*NOT(ISBLANK(Tabella3[[#This Row],[Italy remov. rate data]]))</f>
        <v>0</v>
      </c>
      <c r="Q42" s="72">
        <f>Tabella3[[#This Row],[Italy remov. rate fit]]+CIf</f>
        <v>1883.1862053468039</v>
      </c>
      <c r="R42" s="72">
        <f>MAX(Tabella3[[#This Row],[Italy remov. rate fit]]-CIf,0)</f>
        <v>0</v>
      </c>
      <c r="S42" s="139"/>
      <c r="T42" s="144"/>
      <c r="U42" s="10">
        <f>Tabella3[[#This Row],[region data]]*NOT(ISBLANK(Tabella3[[#This Row],[region data]]))</f>
        <v>0</v>
      </c>
      <c r="V42"/>
      <c r="W42" s="72">
        <f>Tabella3[[#This Row],[6-days moving avg]]*NOT(ISBLANK(Tabella3[[#This Row],[6-days moving avg]]))</f>
        <v>0</v>
      </c>
      <c r="X42" s="145">
        <f>Tabella8[[#This Row],[region fit]]</f>
        <v>0</v>
      </c>
      <c r="Y42" s="10">
        <f>Tabella3[[#This Row],[region cumul. fit]]/Kl</f>
        <v>0</v>
      </c>
      <c r="Z42" s="72">
        <f>IFERROR(Kl*psi_l*_xlfn.SECH(psi_l*(Tabella3[[#This Row],[Day]]-pl)-phi_l)^2/(1+TANH(phi_l)),0)</f>
        <v>4.9965972001753212</v>
      </c>
      <c r="AA42" s="72">
        <f>Tabella3[[#This Row],[region fit]]/y_l_peak</f>
        <v>3.6259966712430508E-2</v>
      </c>
      <c r="AB42" s="10">
        <f>Tabella3[[#This Row],[region fit]]*NOT(ISBLANK(Tabella3[[#This Row],[region data]]))</f>
        <v>0</v>
      </c>
      <c r="AC42" s="166">
        <f>IFERROR(kl_m*psi_l_m*_xlfn.SECH(psi_l_m*(Tabella3[[#This Row],[Day]]-pl_m)-phi_l_m)^2/(1+TANH(phi_l_m)),0)</f>
        <v>4.9965972001753212</v>
      </c>
      <c r="AD42" s="72">
        <f>Tabella3[[#This Row],[6-days moving avg fit]]*NOT(ISBLANK(Tabella3[[#This Row],[6-days moving avg]]))</f>
        <v>0</v>
      </c>
      <c r="AE42" s="72">
        <f>Tabella3[[#This Row],[region fit]]+CIl</f>
        <v>58.761437609723778</v>
      </c>
      <c r="AF42" s="72">
        <f>MAX(Tabella3[[#This Row],[region fit]]-CIl,0)</f>
        <v>0</v>
      </c>
      <c r="AG42" s="141"/>
      <c r="AH42" s="144"/>
      <c r="AI42" s="10">
        <f>Tabella3[[#This Row],[rest of Italy data]]*NOT(ISBLANK(Tabella3[[#This Row],[rest of Italy data]]))</f>
        <v>0</v>
      </c>
      <c r="AJ42" s="145">
        <f>Tabella8[[#This Row],[rest of Italy fit]]</f>
        <v>0</v>
      </c>
      <c r="AK42" s="72">
        <f>Tabella3[[#This Row],[rest of Italy cumul. fit]]/Ka</f>
        <v>0</v>
      </c>
      <c r="AL42" s="72">
        <f>IFERROR(Ka*psi_a*_xlfn.SECH(psi_a*(Tabella3[[#This Row],[Day]]-pa)-phi_a)^2/(1+TANH(phi_a)),0)</f>
        <v>163.93991477180751</v>
      </c>
      <c r="AM42" s="72">
        <f>Tabella3[[#This Row],[rest of Italy fit]]/y_a_peak</f>
        <v>5.7285769381775244E-2</v>
      </c>
      <c r="AN42" s="10">
        <f>Tabella3[[#This Row],[rest of Italy fit]]*NOT(ISBLANK(Tabella3[[#This Row],[rest of Italy data]]))</f>
        <v>0</v>
      </c>
      <c r="AO42" s="72">
        <f>Tabella3[[#This Row],[rest of Italy fit]]+CIa</f>
        <v>1858.5141096813902</v>
      </c>
      <c r="AP42" s="72">
        <f>MAX(Tabella3[[#This Row],[rest of Italy fit]]-CIa,0)</f>
        <v>0</v>
      </c>
      <c r="AR42" s="37" t="s">
        <v>299</v>
      </c>
      <c r="AS42" s="89">
        <f>Ka*psi_a/(1+TANH(phi_a))</f>
        <v>2861.7912710440605</v>
      </c>
      <c r="BF42" s="46"/>
    </row>
    <row r="43" spans="2:58" ht="15" thickTop="1" x14ac:dyDescent="0.3">
      <c r="B43" s="134">
        <v>43866</v>
      </c>
      <c r="C43" s="4">
        <v>36</v>
      </c>
      <c r="D43" s="141"/>
      <c r="E43" s="144"/>
      <c r="F43" s="10">
        <f>Tabella3[[#This Row],[Italy remov. rate data]]*NOT(ISBLANK(Tabella3[[#This Row],[Italy remov. rate data]]))</f>
        <v>0</v>
      </c>
      <c r="G43" s="158">
        <f>Tabella3[[#This Row],[region cumul. fit]]+Tabella3[[#This Row],[rest of Italy cumul. fit]]</f>
        <v>0</v>
      </c>
      <c r="H43" s="158">
        <f>Tabella3[[#This Row],[Italy cumul. fit]]/Kf</f>
        <v>0</v>
      </c>
      <c r="I43" s="143">
        <f>Tabella3[[#This Row],[region fit]]+Tabella3[[#This Row],[rest of Italy fit]]</f>
        <v>177.20744734112765</v>
      </c>
      <c r="J43" s="143">
        <f>Tabella3[[#This Row],[Italy (fit of selected region + fitted sum of the other regions)]]/(y_l_peak+y_a_peak)</f>
        <v>5.9077212205356937E-2</v>
      </c>
      <c r="K43" s="72">
        <f>IFERROR(Kf*psi_f*_xlfn.SECH(psi_f*(Tabella3[[#This Row],[Day]]-pf)-phi_f)^2/(1+TANH(phi_f)),0)</f>
        <v>175.80382007670573</v>
      </c>
      <c r="L43" s="292">
        <f>Tabella3[[#This Row],[Italy remov. rate fit]]-Tabella3[[#This Row],[Italy remov. rate data]]</f>
        <v>175.80382007670573</v>
      </c>
      <c r="M43" s="293">
        <f>Tabella3[[#This Row],[rem. rate residuals]]*NOT(ISBLANK(Tabella3[[#This Row],[Italy remov. rate data]]))</f>
        <v>0</v>
      </c>
      <c r="N43" s="72">
        <f>Tabella3[[#This Row],[Italy remov. rate fit]]/y_f_peak</f>
        <v>5.857382159961752E-2</v>
      </c>
      <c r="O43" s="10">
        <f>Tabella3[[#This Row],[Italy (fit of selected region + fitted sum of the other regions)]]*NOT(ISBLANK(Tabella3[[#This Row],[Italy remov. rate data]]))</f>
        <v>0</v>
      </c>
      <c r="P43" s="72">
        <f>Tabella3[[#This Row],[Italy remov. rate fit]]*NOT(ISBLANK(Tabella3[[#This Row],[Italy remov. rate data]]))</f>
        <v>0</v>
      </c>
      <c r="Q43" s="72">
        <f>Tabella3[[#This Row],[Italy remov. rate fit]]+CIf</f>
        <v>1891.418679411257</v>
      </c>
      <c r="R43" s="72">
        <f>MAX(Tabella3[[#This Row],[Italy remov. rate fit]]-CIf,0)</f>
        <v>0</v>
      </c>
      <c r="S43" s="139"/>
      <c r="T43" s="144"/>
      <c r="U43" s="10">
        <f>Tabella3[[#This Row],[region data]]*NOT(ISBLANK(Tabella3[[#This Row],[region data]]))</f>
        <v>0</v>
      </c>
      <c r="V43"/>
      <c r="W43" s="72">
        <f>Tabella3[[#This Row],[6-days moving avg]]*NOT(ISBLANK(Tabella3[[#This Row],[6-days moving avg]]))</f>
        <v>0</v>
      </c>
      <c r="X43" s="145">
        <f>Tabella8[[#This Row],[region fit]]</f>
        <v>0</v>
      </c>
      <c r="Y43" s="10">
        <f>Tabella3[[#This Row],[region cumul. fit]]/Kl</f>
        <v>0</v>
      </c>
      <c r="Z43" s="72">
        <f>IFERROR(Kl*psi_l*_xlfn.SECH(psi_l*(Tabella3[[#This Row],[Day]]-pl)-phi_l)^2/(1+TANH(phi_l)),0)</f>
        <v>5.2809386296004064</v>
      </c>
      <c r="AA43" s="72">
        <f>Tabella3[[#This Row],[region fit]]/y_l_peak</f>
        <v>3.8323413164659384E-2</v>
      </c>
      <c r="AB43" s="10">
        <f>Tabella3[[#This Row],[region fit]]*NOT(ISBLANK(Tabella3[[#This Row],[region data]]))</f>
        <v>0</v>
      </c>
      <c r="AC43" s="166">
        <f>IFERROR(kl_m*psi_l_m*_xlfn.SECH(psi_l_m*(Tabella3[[#This Row],[Day]]-pl_m)-phi_l_m)^2/(1+TANH(phi_l_m)),0)</f>
        <v>5.2809386296004064</v>
      </c>
      <c r="AD43" s="72">
        <f>Tabella3[[#This Row],[6-days moving avg fit]]*NOT(ISBLANK(Tabella3[[#This Row],[6-days moving avg]]))</f>
        <v>0</v>
      </c>
      <c r="AE43" s="72">
        <f>Tabella3[[#This Row],[region fit]]+CIl</f>
        <v>59.045779039148862</v>
      </c>
      <c r="AF43" s="72">
        <f>MAX(Tabella3[[#This Row],[region fit]]-CIl,0)</f>
        <v>0</v>
      </c>
      <c r="AG43" s="141"/>
      <c r="AH43" s="144"/>
      <c r="AI43" s="10">
        <f>Tabella3[[#This Row],[rest of Italy data]]*NOT(ISBLANK(Tabella3[[#This Row],[rest of Italy data]]))</f>
        <v>0</v>
      </c>
      <c r="AJ43" s="145">
        <f>Tabella8[[#This Row],[rest of Italy fit]]</f>
        <v>0</v>
      </c>
      <c r="AK43" s="72">
        <f>Tabella3[[#This Row],[rest of Italy cumul. fit]]/Ka</f>
        <v>0</v>
      </c>
      <c r="AL43" s="72">
        <f>IFERROR(Ka*psi_a*_xlfn.SECH(psi_a*(Tabella3[[#This Row],[Day]]-pa)-phi_a)^2/(1+TANH(phi_a)),0)</f>
        <v>171.92650871152725</v>
      </c>
      <c r="AM43" s="72">
        <f>Tabella3[[#This Row],[rest of Italy fit]]/y_a_peak</f>
        <v>6.0076536835897087E-2</v>
      </c>
      <c r="AN43" s="10">
        <f>Tabella3[[#This Row],[rest of Italy fit]]*NOT(ISBLANK(Tabella3[[#This Row],[rest of Italy data]]))</f>
        <v>0</v>
      </c>
      <c r="AO43" s="72">
        <f>Tabella3[[#This Row],[rest of Italy fit]]+CIa</f>
        <v>1866.50070362111</v>
      </c>
      <c r="AP43" s="72">
        <f>MAX(Tabella3[[#This Row],[rest of Italy fit]]-CIa,0)</f>
        <v>0</v>
      </c>
      <c r="AR43" s="37" t="s">
        <v>128</v>
      </c>
      <c r="AS43" s="38">
        <f>_xlfn.XLOOKUP(ROUND(phi_a/psi_a+pa,0),Tabella3[Day],Tabella3[Date])</f>
        <v>43951</v>
      </c>
      <c r="BF43" s="50">
        <f>MAX($AS$52)</f>
        <v>0.92713164628372802</v>
      </c>
    </row>
    <row r="44" spans="2:58" x14ac:dyDescent="0.3">
      <c r="B44" s="134">
        <v>43867</v>
      </c>
      <c r="C44" s="4">
        <v>37</v>
      </c>
      <c r="D44" s="141"/>
      <c r="E44" s="144"/>
      <c r="F44" s="10">
        <f>Tabella3[[#This Row],[Italy remov. rate data]]*NOT(ISBLANK(Tabella3[[#This Row],[Italy remov. rate data]]))</f>
        <v>0</v>
      </c>
      <c r="G44" s="158">
        <f>Tabella3[[#This Row],[region cumul. fit]]+Tabella3[[#This Row],[rest of Italy cumul. fit]]</f>
        <v>0</v>
      </c>
      <c r="H44" s="158">
        <f>Tabella3[[#This Row],[Italy cumul. fit]]/Kf</f>
        <v>0</v>
      </c>
      <c r="I44" s="143">
        <f>Tabella3[[#This Row],[region fit]]+Tabella3[[#This Row],[rest of Italy fit]]</f>
        <v>185.87028297632531</v>
      </c>
      <c r="J44" s="143">
        <f>Tabella3[[#This Row],[Italy (fit of selected region + fitted sum of the other regions)]]/(y_l_peak+y_a_peak)</f>
        <v>6.1965218250246923E-2</v>
      </c>
      <c r="K44" s="72">
        <f>IFERROR(Kf*psi_f*_xlfn.SECH(psi_f*(Tabella3[[#This Row],[Day]]-pf)-phi_f)^2/(1+TANH(phi_f)),0)</f>
        <v>184.42756036348933</v>
      </c>
      <c r="L44" s="292">
        <f>Tabella3[[#This Row],[Italy remov. rate fit]]-Tabella3[[#This Row],[Italy remov. rate data]]</f>
        <v>184.42756036348933</v>
      </c>
      <c r="M44" s="293">
        <f>Tabella3[[#This Row],[rem. rate residuals]]*NOT(ISBLANK(Tabella3[[#This Row],[Italy remov. rate data]]))</f>
        <v>0</v>
      </c>
      <c r="N44" s="72">
        <f>Tabella3[[#This Row],[Italy remov. rate fit]]/y_f_peak</f>
        <v>6.1447055098520463E-2</v>
      </c>
      <c r="O44" s="10">
        <f>Tabella3[[#This Row],[Italy (fit of selected region + fitted sum of the other regions)]]*NOT(ISBLANK(Tabella3[[#This Row],[Italy remov. rate data]]))</f>
        <v>0</v>
      </c>
      <c r="P44" s="72">
        <f>Tabella3[[#This Row],[Italy remov. rate fit]]*NOT(ISBLANK(Tabella3[[#This Row],[Italy remov. rate data]]))</f>
        <v>0</v>
      </c>
      <c r="Q44" s="72">
        <f>Tabella3[[#This Row],[Italy remov. rate fit]]+CIf</f>
        <v>1900.0424196980407</v>
      </c>
      <c r="R44" s="72">
        <f>MAX(Tabella3[[#This Row],[Italy remov. rate fit]]-CIf,0)</f>
        <v>0</v>
      </c>
      <c r="S44" s="139"/>
      <c r="T44" s="144"/>
      <c r="U44" s="10">
        <f>Tabella3[[#This Row],[region data]]*NOT(ISBLANK(Tabella3[[#This Row],[region data]]))</f>
        <v>0</v>
      </c>
      <c r="V44"/>
      <c r="W44" s="72">
        <f>Tabella3[[#This Row],[6-days moving avg]]*NOT(ISBLANK(Tabella3[[#This Row],[6-days moving avg]]))</f>
        <v>0</v>
      </c>
      <c r="X44" s="145">
        <f>Tabella8[[#This Row],[region fit]]</f>
        <v>0</v>
      </c>
      <c r="Y44" s="10">
        <f>Tabella3[[#This Row],[region cumul. fit]]/Kl</f>
        <v>0</v>
      </c>
      <c r="Z44" s="72">
        <f>IFERROR(Kl*psi_l*_xlfn.SECH(psi_l*(Tabella3[[#This Row],[Day]]-pl)-phi_l)^2/(1+TANH(phi_l)),0)</f>
        <v>5.5811207021199758</v>
      </c>
      <c r="AA44" s="72">
        <f>Tabella3[[#This Row],[region fit]]/y_l_peak</f>
        <v>4.0501814088561364E-2</v>
      </c>
      <c r="AB44" s="10">
        <f>Tabella3[[#This Row],[region fit]]*NOT(ISBLANK(Tabella3[[#This Row],[region data]]))</f>
        <v>0</v>
      </c>
      <c r="AC44" s="166">
        <f>IFERROR(kl_m*psi_l_m*_xlfn.SECH(psi_l_m*(Tabella3[[#This Row],[Day]]-pl_m)-phi_l_m)^2/(1+TANH(phi_l_m)),0)</f>
        <v>5.5811207021199758</v>
      </c>
      <c r="AD44" s="72">
        <f>Tabella3[[#This Row],[6-days moving avg fit]]*NOT(ISBLANK(Tabella3[[#This Row],[6-days moving avg]]))</f>
        <v>0</v>
      </c>
      <c r="AE44" s="72">
        <f>Tabella3[[#This Row],[region fit]]+CIl</f>
        <v>59.34596111166843</v>
      </c>
      <c r="AF44" s="72">
        <f>MAX(Tabella3[[#This Row],[region fit]]-CIl,0)</f>
        <v>0</v>
      </c>
      <c r="AG44" s="141"/>
      <c r="AH44" s="144"/>
      <c r="AI44" s="10">
        <f>Tabella3[[#This Row],[rest of Italy data]]*NOT(ISBLANK(Tabella3[[#This Row],[rest of Italy data]]))</f>
        <v>0</v>
      </c>
      <c r="AJ44" s="145">
        <f>Tabella8[[#This Row],[rest of Italy fit]]</f>
        <v>0</v>
      </c>
      <c r="AK44" s="72">
        <f>Tabella3[[#This Row],[rest of Italy cumul. fit]]/Ka</f>
        <v>0</v>
      </c>
      <c r="AL44" s="72">
        <f>IFERROR(Ka*psi_a*_xlfn.SECH(psi_a*(Tabella3[[#This Row],[Day]]-pa)-phi_a)^2/(1+TANH(phi_a)),0)</f>
        <v>180.28916227420532</v>
      </c>
      <c r="AM44" s="72">
        <f>Tabella3[[#This Row],[rest of Italy fit]]/y_a_peak</f>
        <v>6.2998711365986823E-2</v>
      </c>
      <c r="AN44" s="10">
        <f>Tabella3[[#This Row],[rest of Italy fit]]*NOT(ISBLANK(Tabella3[[#This Row],[rest of Italy data]]))</f>
        <v>0</v>
      </c>
      <c r="AO44" s="72">
        <f>Tabella3[[#This Row],[rest of Italy fit]]+CIa</f>
        <v>1874.8633571837881</v>
      </c>
      <c r="AP44" s="72">
        <f>MAX(Tabella3[[#This Row],[rest of Italy fit]]-CIa,0)</f>
        <v>0</v>
      </c>
      <c r="AR44" s="14" t="s">
        <v>356</v>
      </c>
      <c r="AS44" s="137">
        <f>po</f>
        <v>69.695444456084331</v>
      </c>
      <c r="BF44" s="51">
        <f>COUNT($AS$46,$AS$47,$AS$48,$AS$57)</f>
        <v>4</v>
      </c>
    </row>
    <row r="45" spans="2:58" x14ac:dyDescent="0.3">
      <c r="B45" s="134">
        <v>43868</v>
      </c>
      <c r="C45" s="4">
        <v>38</v>
      </c>
      <c r="D45" s="141"/>
      <c r="E45" s="144"/>
      <c r="F45" s="10">
        <f>Tabella3[[#This Row],[Italy remov. rate data]]*NOT(ISBLANK(Tabella3[[#This Row],[Italy remov. rate data]]))</f>
        <v>0</v>
      </c>
      <c r="G45" s="158">
        <f>Tabella3[[#This Row],[region cumul. fit]]+Tabella3[[#This Row],[rest of Italy cumul. fit]]</f>
        <v>0</v>
      </c>
      <c r="H45" s="158">
        <f>Tabella3[[#This Row],[Italy cumul. fit]]/Kf</f>
        <v>0</v>
      </c>
      <c r="I45" s="143">
        <f>Tabella3[[#This Row],[region fit]]+Tabella3[[#This Row],[rest of Italy fit]]</f>
        <v>194.94225189768301</v>
      </c>
      <c r="J45" s="143">
        <f>Tabella3[[#This Row],[Italy (fit of selected region + fitted sum of the other regions)]]/(y_l_peak+y_a_peak)</f>
        <v>6.498962067310754E-2</v>
      </c>
      <c r="K45" s="72">
        <f>IFERROR(Kf*psi_f*_xlfn.SECH(psi_f*(Tabella3[[#This Row],[Day]]-pf)-phi_f)^2/(1+TANH(phi_f)),0)</f>
        <v>193.4598188363677</v>
      </c>
      <c r="L45" s="292">
        <f>Tabella3[[#This Row],[Italy remov. rate fit]]-Tabella3[[#This Row],[Italy remov. rate data]]</f>
        <v>193.4598188363677</v>
      </c>
      <c r="M45" s="293">
        <f>Tabella3[[#This Row],[rem. rate residuals]]*NOT(ISBLANK(Tabella3[[#This Row],[Italy remov. rate data]]))</f>
        <v>0</v>
      </c>
      <c r="N45" s="72">
        <f>Tabella3[[#This Row],[Italy remov. rate fit]]/y_f_peak</f>
        <v>6.4456397536023682E-2</v>
      </c>
      <c r="O45" s="10">
        <f>Tabella3[[#This Row],[Italy (fit of selected region + fitted sum of the other regions)]]*NOT(ISBLANK(Tabella3[[#This Row],[Italy remov. rate data]]))</f>
        <v>0</v>
      </c>
      <c r="P45" s="72">
        <f>Tabella3[[#This Row],[Italy remov. rate fit]]*NOT(ISBLANK(Tabella3[[#This Row],[Italy remov. rate data]]))</f>
        <v>0</v>
      </c>
      <c r="Q45" s="72">
        <f>Tabella3[[#This Row],[Italy remov. rate fit]]+CIf</f>
        <v>1909.074678170919</v>
      </c>
      <c r="R45" s="72">
        <f>MAX(Tabella3[[#This Row],[Italy remov. rate fit]]-CIf,0)</f>
        <v>0</v>
      </c>
      <c r="S45" s="139"/>
      <c r="T45" s="144"/>
      <c r="U45" s="10">
        <f>Tabella3[[#This Row],[region data]]*NOT(ISBLANK(Tabella3[[#This Row],[region data]]))</f>
        <v>0</v>
      </c>
      <c r="V45"/>
      <c r="W45" s="72">
        <f>Tabella3[[#This Row],[6-days moving avg]]*NOT(ISBLANK(Tabella3[[#This Row],[6-days moving avg]]))</f>
        <v>0</v>
      </c>
      <c r="X45" s="145">
        <f>Tabella8[[#This Row],[region fit]]</f>
        <v>0</v>
      </c>
      <c r="Y45" s="10">
        <f>Tabella3[[#This Row],[region cumul. fit]]/Kl</f>
        <v>0</v>
      </c>
      <c r="Z45" s="72">
        <f>IFERROR(Kl*psi_l*_xlfn.SECH(psi_l*(Tabella3[[#This Row],[Day]]-pl)-phi_l)^2/(1+TANH(phi_l)),0)</f>
        <v>5.8979857418232573</v>
      </c>
      <c r="AA45" s="72">
        <f>Tabella3[[#This Row],[region fit]]/y_l_peak</f>
        <v>4.2801282172874988E-2</v>
      </c>
      <c r="AB45" s="10">
        <f>Tabella3[[#This Row],[region fit]]*NOT(ISBLANK(Tabella3[[#This Row],[region data]]))</f>
        <v>0</v>
      </c>
      <c r="AC45" s="166">
        <f>IFERROR(kl_m*psi_l_m*_xlfn.SECH(psi_l_m*(Tabella3[[#This Row],[Day]]-pl_m)-phi_l_m)^2/(1+TANH(phi_l_m)),0)</f>
        <v>5.8979857418232573</v>
      </c>
      <c r="AD45" s="72">
        <f>Tabella3[[#This Row],[6-days moving avg fit]]*NOT(ISBLANK(Tabella3[[#This Row],[6-days moving avg]]))</f>
        <v>0</v>
      </c>
      <c r="AE45" s="72">
        <f>Tabella3[[#This Row],[region fit]]+CIl</f>
        <v>59.662826151371711</v>
      </c>
      <c r="AF45" s="72">
        <f>MAX(Tabella3[[#This Row],[region fit]]-CIl,0)</f>
        <v>0</v>
      </c>
      <c r="AG45" s="141"/>
      <c r="AH45" s="144"/>
      <c r="AI45" s="10">
        <f>Tabella3[[#This Row],[rest of Italy data]]*NOT(ISBLANK(Tabella3[[#This Row],[rest of Italy data]]))</f>
        <v>0</v>
      </c>
      <c r="AJ45" s="145">
        <f>Tabella8[[#This Row],[rest of Italy fit]]</f>
        <v>0</v>
      </c>
      <c r="AK45" s="72">
        <f>Tabella3[[#This Row],[rest of Italy cumul. fit]]/Ka</f>
        <v>0</v>
      </c>
      <c r="AL45" s="72">
        <f>IFERROR(Ka*psi_a*_xlfn.SECH(psi_a*(Tabella3[[#This Row],[Day]]-pa)-phi_a)^2/(1+TANH(phi_a)),0)</f>
        <v>189.04426615585976</v>
      </c>
      <c r="AM45" s="72">
        <f>Tabella3[[#This Row],[rest of Italy fit]]/y_a_peak</f>
        <v>6.6058020397445405E-2</v>
      </c>
      <c r="AN45" s="10">
        <f>Tabella3[[#This Row],[rest of Italy fit]]*NOT(ISBLANK(Tabella3[[#This Row],[rest of Italy data]]))</f>
        <v>0</v>
      </c>
      <c r="AO45" s="72">
        <f>Tabella3[[#This Row],[rest of Italy fit]]+CIa</f>
        <v>1883.6184610654425</v>
      </c>
      <c r="AP45" s="72">
        <f>MAX(Tabella3[[#This Row],[rest of Italy fit]]-CIa,0)</f>
        <v>0</v>
      </c>
      <c r="AR45" s="39" t="s">
        <v>129</v>
      </c>
      <c r="AS45" s="17" t="s">
        <v>85</v>
      </c>
      <c r="BF45" s="51" t="b">
        <f>psi_f&gt;=0.000001</f>
        <v>1</v>
      </c>
    </row>
    <row r="46" spans="2:58" x14ac:dyDescent="0.3">
      <c r="B46" s="134">
        <v>43869</v>
      </c>
      <c r="C46" s="4">
        <v>39</v>
      </c>
      <c r="D46" s="141"/>
      <c r="E46" s="144"/>
      <c r="F46" s="10">
        <f>Tabella3[[#This Row],[Italy remov. rate data]]*NOT(ISBLANK(Tabella3[[#This Row],[Italy remov. rate data]]))</f>
        <v>0</v>
      </c>
      <c r="G46" s="158">
        <f>Tabella3[[#This Row],[region cumul. fit]]+Tabella3[[#This Row],[rest of Italy cumul. fit]]</f>
        <v>0</v>
      </c>
      <c r="H46" s="158">
        <f>Tabella3[[#This Row],[Italy cumul. fit]]/Kf</f>
        <v>0</v>
      </c>
      <c r="I46" s="143">
        <f>Tabella3[[#This Row],[region fit]]+Tabella3[[#This Row],[rest of Italy fit]]</f>
        <v>204.44120738905971</v>
      </c>
      <c r="J46" s="143">
        <f>Tabella3[[#This Row],[Italy (fit of selected region + fitted sum of the other regions)]]/(y_l_peak+y_a_peak)</f>
        <v>6.8156371380898265E-2</v>
      </c>
      <c r="K46" s="72">
        <f>IFERROR(Kf*psi_f*_xlfn.SECH(psi_f*(Tabella3[[#This Row],[Day]]-pf)-phi_f)^2/(1+TANH(phi_f)),0)</f>
        <v>202.91847010856659</v>
      </c>
      <c r="L46" s="292">
        <f>Tabella3[[#This Row],[Italy remov. rate fit]]-Tabella3[[#This Row],[Italy remov. rate data]]</f>
        <v>202.91847010856659</v>
      </c>
      <c r="M46" s="293">
        <f>Tabella3[[#This Row],[rem. rate residuals]]*NOT(ISBLANK(Tabella3[[#This Row],[Italy remov. rate data]]))</f>
        <v>0</v>
      </c>
      <c r="N46" s="72">
        <f>Tabella3[[#This Row],[Italy remov. rate fit]]/y_f_peak</f>
        <v>6.7607804325415646E-2</v>
      </c>
      <c r="O46" s="10">
        <f>Tabella3[[#This Row],[Italy (fit of selected region + fitted sum of the other regions)]]*NOT(ISBLANK(Tabella3[[#This Row],[Italy remov. rate data]]))</f>
        <v>0</v>
      </c>
      <c r="P46" s="72">
        <f>Tabella3[[#This Row],[Italy remov. rate fit]]*NOT(ISBLANK(Tabella3[[#This Row],[Italy remov. rate data]]))</f>
        <v>0</v>
      </c>
      <c r="Q46" s="72">
        <f>Tabella3[[#This Row],[Italy remov. rate fit]]+CIf</f>
        <v>1918.533329443118</v>
      </c>
      <c r="R46" s="72">
        <f>MAX(Tabella3[[#This Row],[Italy remov. rate fit]]-CIf,0)</f>
        <v>0</v>
      </c>
      <c r="S46" s="139"/>
      <c r="T46" s="144"/>
      <c r="U46" s="10">
        <f>Tabella3[[#This Row],[region data]]*NOT(ISBLANK(Tabella3[[#This Row],[region data]]))</f>
        <v>0</v>
      </c>
      <c r="V46"/>
      <c r="W46" s="72">
        <f>Tabella3[[#This Row],[6-days moving avg]]*NOT(ISBLANK(Tabella3[[#This Row],[6-days moving avg]]))</f>
        <v>0</v>
      </c>
      <c r="X46" s="145">
        <f>Tabella8[[#This Row],[region fit]]</f>
        <v>0</v>
      </c>
      <c r="Y46" s="10">
        <f>Tabella3[[#This Row],[region cumul. fit]]/Kl</f>
        <v>0</v>
      </c>
      <c r="Z46" s="72">
        <f>IFERROR(Kl*psi_l*_xlfn.SECH(psi_l*(Tabella3[[#This Row],[Day]]-pl)-phi_l)^2/(1+TANH(phi_l)),0)</f>
        <v>6.2324161059704046</v>
      </c>
      <c r="AA46" s="72">
        <f>Tabella3[[#This Row],[region fit]]/y_l_peak</f>
        <v>4.5228220624342737E-2</v>
      </c>
      <c r="AB46" s="10">
        <f>Tabella3[[#This Row],[region fit]]*NOT(ISBLANK(Tabella3[[#This Row],[region data]]))</f>
        <v>0</v>
      </c>
      <c r="AC46" s="166">
        <f>IFERROR(kl_m*psi_l_m*_xlfn.SECH(psi_l_m*(Tabella3[[#This Row],[Day]]-pl_m)-phi_l_m)^2/(1+TANH(phi_l_m)),0)</f>
        <v>6.2324161059704046</v>
      </c>
      <c r="AD46" s="72">
        <f>Tabella3[[#This Row],[6-days moving avg fit]]*NOT(ISBLANK(Tabella3[[#This Row],[6-days moving avg]]))</f>
        <v>0</v>
      </c>
      <c r="AE46" s="72">
        <f>Tabella3[[#This Row],[region fit]]+CIl</f>
        <v>59.997256515518856</v>
      </c>
      <c r="AF46" s="72">
        <f>MAX(Tabella3[[#This Row],[region fit]]-CIl,0)</f>
        <v>0</v>
      </c>
      <c r="AG46" s="141"/>
      <c r="AH46" s="144"/>
      <c r="AI46" s="10">
        <f>Tabella3[[#This Row],[rest of Italy data]]*NOT(ISBLANK(Tabella3[[#This Row],[rest of Italy data]]))</f>
        <v>0</v>
      </c>
      <c r="AJ46" s="145">
        <f>Tabella8[[#This Row],[rest of Italy fit]]</f>
        <v>0</v>
      </c>
      <c r="AK46" s="72">
        <f>Tabella3[[#This Row],[rest of Italy cumul. fit]]/Ka</f>
        <v>0</v>
      </c>
      <c r="AL46" s="72">
        <f>IFERROR(Ka*psi_a*_xlfn.SECH(psi_a*(Tabella3[[#This Row],[Day]]-pa)-phi_a)^2/(1+TANH(phi_a)),0)</f>
        <v>198.20879128308931</v>
      </c>
      <c r="AM46" s="72">
        <f>Tabella3[[#This Row],[rest of Italy fit]]/y_a_peak</f>
        <v>6.9260394106512621E-2</v>
      </c>
      <c r="AN46" s="10">
        <f>Tabella3[[#This Row],[rest of Italy fit]]*NOT(ISBLANK(Tabella3[[#This Row],[rest of Italy data]]))</f>
        <v>0</v>
      </c>
      <c r="AO46" s="72">
        <f>Tabella3[[#This Row],[rest of Italy fit]]+CIa</f>
        <v>1892.7829861926721</v>
      </c>
      <c r="AP46" s="72">
        <f>MAX(Tabella3[[#This Row],[rest of Italy fit]]-CIa,0)</f>
        <v>0</v>
      </c>
      <c r="AR46" s="14" t="s">
        <v>0</v>
      </c>
      <c r="AS46" s="5">
        <f>Kt</f>
        <v>225000</v>
      </c>
      <c r="BF46" s="51">
        <f>{32767;32767;0.000001;0.01;FALSE;TRUE;FALSE;1;2;1;0.0001;TRUE}</f>
        <v>32767</v>
      </c>
    </row>
    <row r="47" spans="2:58" x14ac:dyDescent="0.3">
      <c r="B47" s="134">
        <v>43870</v>
      </c>
      <c r="C47" s="4">
        <v>40</v>
      </c>
      <c r="D47" s="141"/>
      <c r="E47" s="144"/>
      <c r="F47" s="10">
        <f>Tabella3[[#This Row],[Italy remov. rate data]]*NOT(ISBLANK(Tabella3[[#This Row],[Italy remov. rate data]]))</f>
        <v>0</v>
      </c>
      <c r="G47" s="158">
        <f>Tabella3[[#This Row],[region cumul. fit]]+Tabella3[[#This Row],[rest of Italy cumul. fit]]</f>
        <v>0</v>
      </c>
      <c r="H47" s="158">
        <f>Tabella3[[#This Row],[Italy cumul. fit]]/Kf</f>
        <v>0</v>
      </c>
      <c r="I47" s="143">
        <f>Tabella3[[#This Row],[region fit]]+Tabella3[[#This Row],[rest of Italy fit]]</f>
        <v>214.38563065028771</v>
      </c>
      <c r="J47" s="143">
        <f>Tabella3[[#This Row],[Italy (fit of selected region + fitted sum of the other regions)]]/(y_l_peak+y_a_peak)</f>
        <v>7.1471631614473702E-2</v>
      </c>
      <c r="K47" s="72">
        <f>IFERROR(Kf*psi_f*_xlfn.SECH(psi_f*(Tabella3[[#This Row],[Day]]-pf)-phi_f)^2/(1+TANH(phi_f)),0)</f>
        <v>212.82201919349529</v>
      </c>
      <c r="L47" s="292">
        <f>Tabella3[[#This Row],[Italy remov. rate fit]]-Tabella3[[#This Row],[Italy remov. rate data]]</f>
        <v>212.82201919349529</v>
      </c>
      <c r="M47" s="293">
        <f>Tabella3[[#This Row],[rem. rate residuals]]*NOT(ISBLANK(Tabella3[[#This Row],[Italy remov. rate data]]))</f>
        <v>0</v>
      </c>
      <c r="N47" s="72">
        <f>Tabella3[[#This Row],[Italy remov. rate fit]]/y_f_peak</f>
        <v>7.090744091494236E-2</v>
      </c>
      <c r="O47" s="10">
        <f>Tabella3[[#This Row],[Italy (fit of selected region + fitted sum of the other regions)]]*NOT(ISBLANK(Tabella3[[#This Row],[Italy remov. rate data]]))</f>
        <v>0</v>
      </c>
      <c r="P47" s="72">
        <f>Tabella3[[#This Row],[Italy remov. rate fit]]*NOT(ISBLANK(Tabella3[[#This Row],[Italy remov. rate data]]))</f>
        <v>0</v>
      </c>
      <c r="Q47" s="72">
        <f>Tabella3[[#This Row],[Italy remov. rate fit]]+CIf</f>
        <v>1928.4368785280467</v>
      </c>
      <c r="R47" s="72">
        <f>MAX(Tabella3[[#This Row],[Italy remov. rate fit]]-CIf,0)</f>
        <v>0</v>
      </c>
      <c r="S47" s="139"/>
      <c r="T47" s="144"/>
      <c r="U47" s="10">
        <f>Tabella3[[#This Row],[region data]]*NOT(ISBLANK(Tabella3[[#This Row],[region data]]))</f>
        <v>0</v>
      </c>
      <c r="V47"/>
      <c r="W47" s="72">
        <f>Tabella3[[#This Row],[6-days moving avg]]*NOT(ISBLANK(Tabella3[[#This Row],[6-days moving avg]]))</f>
        <v>0</v>
      </c>
      <c r="X47" s="145">
        <f>Tabella8[[#This Row],[region fit]]</f>
        <v>0</v>
      </c>
      <c r="Y47" s="10">
        <f>Tabella3[[#This Row],[region cumul. fit]]/Kl</f>
        <v>0</v>
      </c>
      <c r="Z47" s="72">
        <f>IFERROR(Kl*psi_l*_xlfn.SECH(psi_l*(Tabella3[[#This Row],[Day]]-pl)-phi_l)^2/(1+TANH(phi_l)),0)</f>
        <v>6.5853355121307011</v>
      </c>
      <c r="AA47" s="72">
        <f>Tabella3[[#This Row],[region fit]]/y_l_peak</f>
        <v>4.7789332798662904E-2</v>
      </c>
      <c r="AB47" s="10">
        <f>Tabella3[[#This Row],[region fit]]*NOT(ISBLANK(Tabella3[[#This Row],[region data]]))</f>
        <v>0</v>
      </c>
      <c r="AC47" s="166">
        <f>IFERROR(kl_m*psi_l_m*_xlfn.SECH(psi_l_m*(Tabella3[[#This Row],[Day]]-pl_m)-phi_l_m)^2/(1+TANH(phi_l_m)),0)</f>
        <v>6.5853355121307011</v>
      </c>
      <c r="AD47" s="72">
        <f>Tabella3[[#This Row],[6-days moving avg fit]]*NOT(ISBLANK(Tabella3[[#This Row],[6-days moving avg]]))</f>
        <v>0</v>
      </c>
      <c r="AE47" s="72">
        <f>Tabella3[[#This Row],[region fit]]+CIl</f>
        <v>60.350175921679153</v>
      </c>
      <c r="AF47" s="72">
        <f>MAX(Tabella3[[#This Row],[region fit]]-CIl,0)</f>
        <v>0</v>
      </c>
      <c r="AG47" s="141"/>
      <c r="AH47" s="144"/>
      <c r="AI47" s="10">
        <f>Tabella3[[#This Row],[rest of Italy data]]*NOT(ISBLANK(Tabella3[[#This Row],[rest of Italy data]]))</f>
        <v>0</v>
      </c>
      <c r="AJ47" s="145">
        <f>Tabella8[[#This Row],[rest of Italy fit]]</f>
        <v>0</v>
      </c>
      <c r="AK47" s="72">
        <f>Tabella3[[#This Row],[rest of Italy cumul. fit]]/Ka</f>
        <v>0</v>
      </c>
      <c r="AL47" s="72">
        <f>IFERROR(Ka*psi_a*_xlfn.SECH(psi_a*(Tabella3[[#This Row],[Day]]-pa)-phi_a)^2/(1+TANH(phi_a)),0)</f>
        <v>207.800295138157</v>
      </c>
      <c r="AM47" s="72">
        <f>Tabella3[[#This Row],[rest of Italy fit]]/y_a_peak</f>
        <v>7.2611967630450455E-2</v>
      </c>
      <c r="AN47" s="10">
        <f>Tabella3[[#This Row],[rest of Italy fit]]*NOT(ISBLANK(Tabella3[[#This Row],[rest of Italy data]]))</f>
        <v>0</v>
      </c>
      <c r="AO47" s="72">
        <f>Tabella3[[#This Row],[rest of Italy fit]]+CIa</f>
        <v>1902.3744900477398</v>
      </c>
      <c r="AP47" s="72">
        <f>MAX(Tabella3[[#This Row],[rest of Italy fit]]-CIa,0)</f>
        <v>0</v>
      </c>
      <c r="AR47" s="85" t="s">
        <v>4713</v>
      </c>
      <c r="AS47" s="30">
        <f>phi_t</f>
        <v>1.2610737633797455</v>
      </c>
      <c r="BF47" s="51">
        <f>{0;0;1;200;0;FALSE;FALSE;0.075;0;0;FALSE;30}</f>
        <v>0</v>
      </c>
    </row>
    <row r="48" spans="2:58" ht="15" thickBot="1" x14ac:dyDescent="0.35">
      <c r="B48" s="134">
        <v>43871</v>
      </c>
      <c r="C48" s="4">
        <v>41</v>
      </c>
      <c r="D48" s="141"/>
      <c r="E48" s="144"/>
      <c r="F48" s="10">
        <f>Tabella3[[#This Row],[Italy remov. rate data]]*NOT(ISBLANK(Tabella3[[#This Row],[Italy remov. rate data]]))</f>
        <v>0</v>
      </c>
      <c r="G48" s="158">
        <f>Tabella3[[#This Row],[region cumul. fit]]+Tabella3[[#This Row],[rest of Italy cumul. fit]]</f>
        <v>0</v>
      </c>
      <c r="H48" s="158">
        <f>Tabella3[[#This Row],[Italy cumul. fit]]/Kf</f>
        <v>0</v>
      </c>
      <c r="I48" s="143">
        <f>Tabella3[[#This Row],[region fit]]+Tabella3[[#This Row],[rest of Italy fit]]</f>
        <v>224.79463671883377</v>
      </c>
      <c r="J48" s="143">
        <f>Tabella3[[#This Row],[Italy (fit of selected region + fitted sum of the other regions)]]/(y_l_peak+y_a_peak)</f>
        <v>7.4941773922740137E-2</v>
      </c>
      <c r="K48" s="72">
        <f>IFERROR(Kf*psi_f*_xlfn.SECH(psi_f*(Tabella3[[#This Row],[Day]]-pf)-phi_f)^2/(1+TANH(phi_f)),0)</f>
        <v>223.18960752165887</v>
      </c>
      <c r="L48" s="292">
        <f>Tabella3[[#This Row],[Italy remov. rate fit]]-Tabella3[[#This Row],[Italy remov. rate data]]</f>
        <v>223.18960752165887</v>
      </c>
      <c r="M48" s="293">
        <f>Tabella3[[#This Row],[rem. rate residuals]]*NOT(ISBLANK(Tabella3[[#This Row],[Italy remov. rate data]]))</f>
        <v>0</v>
      </c>
      <c r="N48" s="72">
        <f>Tabella3[[#This Row],[Italy remov. rate fit]]/y_f_peak</f>
        <v>7.4361684792505253E-2</v>
      </c>
      <c r="O48" s="10">
        <f>Tabella3[[#This Row],[Italy (fit of selected region + fitted sum of the other regions)]]*NOT(ISBLANK(Tabella3[[#This Row],[Italy remov. rate data]]))</f>
        <v>0</v>
      </c>
      <c r="P48" s="72">
        <f>Tabella3[[#This Row],[Italy remov. rate fit]]*NOT(ISBLANK(Tabella3[[#This Row],[Italy remov. rate data]]))</f>
        <v>0</v>
      </c>
      <c r="Q48" s="72">
        <f>Tabella3[[#This Row],[Italy remov. rate fit]]+CIf</f>
        <v>1938.8044668562102</v>
      </c>
      <c r="R48" s="72">
        <f>MAX(Tabella3[[#This Row],[Italy remov. rate fit]]-CIf,0)</f>
        <v>0</v>
      </c>
      <c r="S48" s="139"/>
      <c r="T48" s="144"/>
      <c r="U48" s="10">
        <f>Tabella3[[#This Row],[region data]]*NOT(ISBLANK(Tabella3[[#This Row],[region data]]))</f>
        <v>0</v>
      </c>
      <c r="V48"/>
      <c r="W48" s="72">
        <f>Tabella3[[#This Row],[6-days moving avg]]*NOT(ISBLANK(Tabella3[[#This Row],[6-days moving avg]]))</f>
        <v>0</v>
      </c>
      <c r="X48" s="145">
        <f>Tabella8[[#This Row],[region fit]]</f>
        <v>0</v>
      </c>
      <c r="Y48" s="10">
        <f>Tabella3[[#This Row],[region cumul. fit]]/Kl</f>
        <v>0</v>
      </c>
      <c r="Z48" s="72">
        <f>IFERROR(Kl*psi_l*_xlfn.SECH(psi_l*(Tabella3[[#This Row],[Day]]-pl)-phi_l)^2/(1+TANH(phi_l)),0)</f>
        <v>6.9577103341329911</v>
      </c>
      <c r="AA48" s="72">
        <f>Tabella3[[#This Row],[region fit]]/y_l_peak</f>
        <v>5.0491631605113926E-2</v>
      </c>
      <c r="AB48" s="10">
        <f>Tabella3[[#This Row],[region fit]]*NOT(ISBLANK(Tabella3[[#This Row],[region data]]))</f>
        <v>0</v>
      </c>
      <c r="AC48" s="166">
        <f>IFERROR(kl_m*psi_l_m*_xlfn.SECH(psi_l_m*(Tabella3[[#This Row],[Day]]-pl_m)-phi_l_m)^2/(1+TANH(phi_l_m)),0)</f>
        <v>6.9577103341329911</v>
      </c>
      <c r="AD48" s="72">
        <f>Tabella3[[#This Row],[6-days moving avg fit]]*NOT(ISBLANK(Tabella3[[#This Row],[6-days moving avg]]))</f>
        <v>0</v>
      </c>
      <c r="AE48" s="72">
        <f>Tabella3[[#This Row],[region fit]]+CIl</f>
        <v>60.722550743681445</v>
      </c>
      <c r="AF48" s="72">
        <f>MAX(Tabella3[[#This Row],[region fit]]-CIl,0)</f>
        <v>0</v>
      </c>
      <c r="AG48" s="141"/>
      <c r="AH48" s="144"/>
      <c r="AI48" s="10">
        <f>Tabella3[[#This Row],[rest of Italy data]]*NOT(ISBLANK(Tabella3[[#This Row],[rest of Italy data]]))</f>
        <v>0</v>
      </c>
      <c r="AJ48" s="145">
        <f>Tabella8[[#This Row],[rest of Italy fit]]</f>
        <v>0</v>
      </c>
      <c r="AK48" s="72">
        <f>Tabella3[[#This Row],[rest of Italy cumul. fit]]/Ka</f>
        <v>0</v>
      </c>
      <c r="AL48" s="72">
        <f>IFERROR(Ka*psi_a*_xlfn.SECH(psi_a*(Tabella3[[#This Row],[Day]]-pa)-phi_a)^2/(1+TANH(phi_a)),0)</f>
        <v>217.83692638470077</v>
      </c>
      <c r="AM48" s="72">
        <f>Tabella3[[#This Row],[rest of Italy fit]]/y_a_peak</f>
        <v>7.6119082683912112E-2</v>
      </c>
      <c r="AN48" s="10">
        <f>Tabella3[[#This Row],[rest of Italy fit]]*NOT(ISBLANK(Tabella3[[#This Row],[rest of Italy data]]))</f>
        <v>0</v>
      </c>
      <c r="AO48" s="72">
        <f>Tabella3[[#This Row],[rest of Italy fit]]+CIa</f>
        <v>1912.4111212942835</v>
      </c>
      <c r="AP48" s="72">
        <f>MAX(Tabella3[[#This Row],[rest of Italy fit]]-CIa,0)</f>
        <v>0</v>
      </c>
      <c r="AR48" s="14" t="s">
        <v>4714</v>
      </c>
      <c r="AS48" s="30">
        <f>psi_t</f>
        <v>2.4696367209902436E-2</v>
      </c>
      <c r="AT48" s="6"/>
      <c r="BF48" s="52">
        <f>{0;0;1;200;0;FALSE;FALSE;0.075;0;0;FALSE;30}</f>
        <v>0</v>
      </c>
    </row>
    <row r="49" spans="2:47" x14ac:dyDescent="0.3">
      <c r="B49" s="134">
        <v>43872</v>
      </c>
      <c r="C49" s="4">
        <v>42</v>
      </c>
      <c r="D49" s="141"/>
      <c r="E49" s="144"/>
      <c r="F49" s="10">
        <f>Tabella3[[#This Row],[Italy remov. rate data]]*NOT(ISBLANK(Tabella3[[#This Row],[Italy remov. rate data]]))</f>
        <v>0</v>
      </c>
      <c r="G49" s="158">
        <f>Tabella3[[#This Row],[region cumul. fit]]+Tabella3[[#This Row],[rest of Italy cumul. fit]]</f>
        <v>0</v>
      </c>
      <c r="H49" s="158">
        <f>Tabella3[[#This Row],[Italy cumul. fit]]/Kf</f>
        <v>0</v>
      </c>
      <c r="I49" s="143">
        <f>Tabella3[[#This Row],[region fit]]+Tabella3[[#This Row],[rest of Italy fit]]</f>
        <v>235.68797840365605</v>
      </c>
      <c r="J49" s="143">
        <f>Tabella3[[#This Row],[Italy (fit of selected region + fitted sum of the other regions)]]/(y_l_peak+y_a_peak)</f>
        <v>7.8573383474120129E-2</v>
      </c>
      <c r="K49" s="72">
        <f>IFERROR(Kf*psi_f*_xlfn.SECH(psi_f*(Tabella3[[#This Row],[Day]]-pf)-phi_f)^2/(1+TANH(phi_f)),0)</f>
        <v>234.04101696562907</v>
      </c>
      <c r="L49" s="292">
        <f>Tabella3[[#This Row],[Italy remov. rate fit]]-Tabella3[[#This Row],[Italy remov. rate data]]</f>
        <v>234.04101696562907</v>
      </c>
      <c r="M49" s="293">
        <f>Tabella3[[#This Row],[rem. rate residuals]]*NOT(ISBLANK(Tabella3[[#This Row],[Italy remov. rate data]]))</f>
        <v>0</v>
      </c>
      <c r="N49" s="72">
        <f>Tabella3[[#This Row],[Italy remov. rate fit]]/y_f_peak</f>
        <v>7.7977126826689669E-2</v>
      </c>
      <c r="O49" s="10">
        <f>Tabella3[[#This Row],[Italy (fit of selected region + fitted sum of the other regions)]]*NOT(ISBLANK(Tabella3[[#This Row],[Italy remov. rate data]]))</f>
        <v>0</v>
      </c>
      <c r="P49" s="72">
        <f>Tabella3[[#This Row],[Italy remov. rate fit]]*NOT(ISBLANK(Tabella3[[#This Row],[Italy remov. rate data]]))</f>
        <v>0</v>
      </c>
      <c r="Q49" s="72">
        <f>Tabella3[[#This Row],[Italy remov. rate fit]]+CIf</f>
        <v>1949.6558763001804</v>
      </c>
      <c r="R49" s="72">
        <f>MAX(Tabella3[[#This Row],[Italy remov. rate fit]]-CIf,0)</f>
        <v>0</v>
      </c>
      <c r="S49" s="139"/>
      <c r="T49" s="144"/>
      <c r="U49" s="10">
        <f>Tabella3[[#This Row],[region data]]*NOT(ISBLANK(Tabella3[[#This Row],[region data]]))</f>
        <v>0</v>
      </c>
      <c r="V49"/>
      <c r="W49" s="72">
        <f>Tabella3[[#This Row],[6-days moving avg]]*NOT(ISBLANK(Tabella3[[#This Row],[6-days moving avg]]))</f>
        <v>0</v>
      </c>
      <c r="X49" s="145">
        <f>Tabella8[[#This Row],[region fit]]</f>
        <v>0</v>
      </c>
      <c r="Y49" s="10">
        <f>Tabella3[[#This Row],[region cumul. fit]]/Kl</f>
        <v>0</v>
      </c>
      <c r="Z49" s="72">
        <f>IFERROR(Kl*psi_l*_xlfn.SECH(psi_l*(Tabella3[[#This Row],[Day]]-pl)-phi_l)^2/(1+TANH(phi_l)),0)</f>
        <v>7.3505508539746485</v>
      </c>
      <c r="AA49" s="72">
        <f>Tabella3[[#This Row],[region fit]]/y_l_peak</f>
        <v>5.3342448591572743E-2</v>
      </c>
      <c r="AB49" s="10">
        <f>Tabella3[[#This Row],[region fit]]*NOT(ISBLANK(Tabella3[[#This Row],[region data]]))</f>
        <v>0</v>
      </c>
      <c r="AC49" s="166">
        <f>IFERROR(kl_m*psi_l_m*_xlfn.SECH(psi_l_m*(Tabella3[[#This Row],[Day]]-pl_m)-phi_l_m)^2/(1+TANH(phi_l_m)),0)</f>
        <v>7.3505508539746485</v>
      </c>
      <c r="AD49" s="72">
        <f>Tabella3[[#This Row],[6-days moving avg fit]]*NOT(ISBLANK(Tabella3[[#This Row],[6-days moving avg]]))</f>
        <v>0</v>
      </c>
      <c r="AE49" s="72">
        <f>Tabella3[[#This Row],[region fit]]+CIl</f>
        <v>61.115391263523101</v>
      </c>
      <c r="AF49" s="72">
        <f>MAX(Tabella3[[#This Row],[region fit]]-CIl,0)</f>
        <v>0</v>
      </c>
      <c r="AG49" s="141"/>
      <c r="AH49" s="144"/>
      <c r="AI49" s="10">
        <f>Tabella3[[#This Row],[rest of Italy data]]*NOT(ISBLANK(Tabella3[[#This Row],[rest of Italy data]]))</f>
        <v>0</v>
      </c>
      <c r="AJ49" s="145">
        <f>Tabella8[[#This Row],[rest of Italy fit]]</f>
        <v>0</v>
      </c>
      <c r="AK49" s="72">
        <f>Tabella3[[#This Row],[rest of Italy cumul. fit]]/Ka</f>
        <v>0</v>
      </c>
      <c r="AL49" s="72">
        <f>IFERROR(Ka*psi_a*_xlfn.SECH(psi_a*(Tabella3[[#This Row],[Day]]-pa)-phi_a)^2/(1+TANH(phi_a)),0)</f>
        <v>228.33742754968139</v>
      </c>
      <c r="AM49" s="72">
        <f>Tabella3[[#This Row],[rest of Italy fit]]/y_a_peak</f>
        <v>7.9788288496099022E-2</v>
      </c>
      <c r="AN49" s="10">
        <f>Tabella3[[#This Row],[rest of Italy fit]]*NOT(ISBLANK(Tabella3[[#This Row],[rest of Italy data]]))</f>
        <v>0</v>
      </c>
      <c r="AO49" s="72">
        <f>Tabella3[[#This Row],[rest of Italy fit]]+CIa</f>
        <v>1922.9116224592642</v>
      </c>
      <c r="AP49" s="72">
        <f>MAX(Tabella3[[#This Row],[rest of Italy fit]]-CIa,0)</f>
        <v>0</v>
      </c>
      <c r="AR49" s="2" t="s">
        <v>1</v>
      </c>
      <c r="AS49" s="6">
        <f>AVERAGE(Tabella3[Italy remov. rate data])</f>
        <v>1810.5679012345679</v>
      </c>
    </row>
    <row r="50" spans="2:47" x14ac:dyDescent="0.3">
      <c r="B50" s="134">
        <v>43873</v>
      </c>
      <c r="C50" s="4">
        <v>43</v>
      </c>
      <c r="D50" s="141"/>
      <c r="E50" s="144"/>
      <c r="F50" s="10">
        <f>Tabella3[[#This Row],[Italy remov. rate data]]*NOT(ISBLANK(Tabella3[[#This Row],[Italy remov. rate data]]))</f>
        <v>0</v>
      </c>
      <c r="G50" s="158">
        <f>Tabella3[[#This Row],[region cumul. fit]]+Tabella3[[#This Row],[rest of Italy cumul. fit]]</f>
        <v>0</v>
      </c>
      <c r="H50" s="158">
        <f>Tabella3[[#This Row],[Italy cumul. fit]]/Kf</f>
        <v>0</v>
      </c>
      <c r="I50" s="143">
        <f>Tabella3[[#This Row],[region fit]]+Tabella3[[#This Row],[rest of Italy fit]]</f>
        <v>247.08604795048873</v>
      </c>
      <c r="J50" s="143">
        <f>Tabella3[[#This Row],[Italy (fit of selected region + fitted sum of the other regions)]]/(y_l_peak+y_a_peak)</f>
        <v>8.2373258611723163E-2</v>
      </c>
      <c r="K50" s="72">
        <f>IFERROR(Kf*psi_f*_xlfn.SECH(psi_f*(Tabella3[[#This Row],[Day]]-pf)-phi_f)^2/(1+TANH(phi_f)),0)</f>
        <v>245.39667159136027</v>
      </c>
      <c r="L50" s="292">
        <f>Tabella3[[#This Row],[Italy remov. rate fit]]-Tabella3[[#This Row],[Italy remov. rate data]]</f>
        <v>245.39667159136027</v>
      </c>
      <c r="M50" s="293">
        <f>Tabella3[[#This Row],[rem. rate residuals]]*NOT(ISBLANK(Tabella3[[#This Row],[Italy remov. rate data]]))</f>
        <v>0</v>
      </c>
      <c r="N50" s="72">
        <f>Tabella3[[#This Row],[Italy remov. rate fit]]/y_f_peak</f>
        <v>8.1760571850263322E-2</v>
      </c>
      <c r="O50" s="10">
        <f>Tabella3[[#This Row],[Italy (fit of selected region + fitted sum of the other regions)]]*NOT(ISBLANK(Tabella3[[#This Row],[Italy remov. rate data]]))</f>
        <v>0</v>
      </c>
      <c r="P50" s="72">
        <f>Tabella3[[#This Row],[Italy remov. rate fit]]*NOT(ISBLANK(Tabella3[[#This Row],[Italy remov. rate data]]))</f>
        <v>0</v>
      </c>
      <c r="Q50" s="72">
        <f>Tabella3[[#This Row],[Italy remov. rate fit]]+CIf</f>
        <v>1961.0115309259115</v>
      </c>
      <c r="R50" s="72">
        <f>MAX(Tabella3[[#This Row],[Italy remov. rate fit]]-CIf,0)</f>
        <v>0</v>
      </c>
      <c r="S50" s="139"/>
      <c r="T50" s="144"/>
      <c r="U50" s="10">
        <f>Tabella3[[#This Row],[region data]]*NOT(ISBLANK(Tabella3[[#This Row],[region data]]))</f>
        <v>0</v>
      </c>
      <c r="V50"/>
      <c r="W50" s="72">
        <f>Tabella3[[#This Row],[6-days moving avg]]*NOT(ISBLANK(Tabella3[[#This Row],[6-days moving avg]]))</f>
        <v>0</v>
      </c>
      <c r="X50" s="145">
        <f>Tabella8[[#This Row],[region fit]]</f>
        <v>0</v>
      </c>
      <c r="Y50" s="10">
        <f>Tabella3[[#This Row],[region cumul. fit]]/Kl</f>
        <v>0</v>
      </c>
      <c r="Z50" s="72">
        <f>IFERROR(Kl*psi_l*_xlfn.SECH(psi_l*(Tabella3[[#This Row],[Day]]-pl)-phi_l)^2/(1+TANH(phi_l)),0)</f>
        <v>7.7649124550922322</v>
      </c>
      <c r="AA50" s="72">
        <f>Tabella3[[#This Row],[region fit]]/y_l_peak</f>
        <v>5.6349442603999003E-2</v>
      </c>
      <c r="AB50" s="10">
        <f>Tabella3[[#This Row],[region fit]]*NOT(ISBLANK(Tabella3[[#This Row],[region data]]))</f>
        <v>0</v>
      </c>
      <c r="AC50" s="166">
        <f>IFERROR(kl_m*psi_l_m*_xlfn.SECH(psi_l_m*(Tabella3[[#This Row],[Day]]-pl_m)-phi_l_m)^2/(1+TANH(phi_l_m)),0)</f>
        <v>7.7649124550922322</v>
      </c>
      <c r="AD50" s="72">
        <f>Tabella3[[#This Row],[6-days moving avg fit]]*NOT(ISBLANK(Tabella3[[#This Row],[6-days moving avg]]))</f>
        <v>0</v>
      </c>
      <c r="AE50" s="72">
        <f>Tabella3[[#This Row],[region fit]]+CIl</f>
        <v>61.529752864640685</v>
      </c>
      <c r="AF50" s="72">
        <f>MAX(Tabella3[[#This Row],[region fit]]-CIl,0)</f>
        <v>0</v>
      </c>
      <c r="AG50" s="141"/>
      <c r="AH50" s="144"/>
      <c r="AI50" s="10">
        <f>Tabella3[[#This Row],[rest of Italy data]]*NOT(ISBLANK(Tabella3[[#This Row],[rest of Italy data]]))</f>
        <v>0</v>
      </c>
      <c r="AJ50" s="145">
        <f>Tabella8[[#This Row],[rest of Italy fit]]</f>
        <v>0</v>
      </c>
      <c r="AK50" s="72">
        <f>Tabella3[[#This Row],[rest of Italy cumul. fit]]/Ka</f>
        <v>0</v>
      </c>
      <c r="AL50" s="72">
        <f>IFERROR(Ka*psi_a*_xlfn.SECH(psi_a*(Tabella3[[#This Row],[Day]]-pa)-phi_a)^2/(1+TANH(phi_a)),0)</f>
        <v>239.3211354953965</v>
      </c>
      <c r="AM50" s="72">
        <f>Tabella3[[#This Row],[rest of Italy fit]]/y_a_peak</f>
        <v>8.362634197569746E-2</v>
      </c>
      <c r="AN50" s="10">
        <f>Tabella3[[#This Row],[rest of Italy fit]]*NOT(ISBLANK(Tabella3[[#This Row],[rest of Italy data]]))</f>
        <v>0</v>
      </c>
      <c r="AO50" s="72">
        <f>Tabella3[[#This Row],[rest of Italy fit]]+CIa</f>
        <v>1933.8953304049792</v>
      </c>
      <c r="AP50" s="72">
        <f>MAX(Tabella3[[#This Row],[rest of Italy fit]]-CIa,0)</f>
        <v>0</v>
      </c>
      <c r="AR50" s="2" t="s">
        <v>2</v>
      </c>
      <c r="AS50" s="1">
        <f>COUNT(Tabella3[Italy remov. rate data])-COUNT(AS46:AS48,pf)</f>
        <v>77</v>
      </c>
      <c r="AT50" s="6"/>
      <c r="AU50" s="6"/>
    </row>
    <row r="51" spans="2:47" x14ac:dyDescent="0.3">
      <c r="B51" s="134">
        <v>43874</v>
      </c>
      <c r="C51" s="4">
        <v>44</v>
      </c>
      <c r="D51" s="141"/>
      <c r="E51" s="144"/>
      <c r="F51" s="10">
        <f>Tabella3[[#This Row],[Italy remov. rate data]]*NOT(ISBLANK(Tabella3[[#This Row],[Italy remov. rate data]]))</f>
        <v>0</v>
      </c>
      <c r="G51" s="158">
        <f>Tabella3[[#This Row],[region cumul. fit]]+Tabella3[[#This Row],[rest of Italy cumul. fit]]</f>
        <v>0</v>
      </c>
      <c r="H51" s="158">
        <f>Tabella3[[#This Row],[Italy cumul. fit]]/Kf</f>
        <v>0</v>
      </c>
      <c r="I51" s="143">
        <f>Tabella3[[#This Row],[region fit]]+Tabella3[[#This Row],[rest of Italy fit]]</f>
        <v>259.00987613292762</v>
      </c>
      <c r="J51" s="143">
        <f>Tabella3[[#This Row],[Italy (fit of selected region + fitted sum of the other regions)]]/(y_l_peak+y_a_peak)</f>
        <v>8.6348410550332849E-2</v>
      </c>
      <c r="K51" s="72">
        <f>IFERROR(Kf*psi_f*_xlfn.SECH(psi_f*(Tabella3[[#This Row],[Day]]-pf)-phi_f)^2/(1+TANH(phi_f)),0)</f>
        <v>257.27763682924325</v>
      </c>
      <c r="L51" s="292">
        <f>Tabella3[[#This Row],[Italy remov. rate fit]]-Tabella3[[#This Row],[Italy remov. rate data]]</f>
        <v>257.27763682924325</v>
      </c>
      <c r="M51" s="293">
        <f>Tabella3[[#This Row],[rem. rate residuals]]*NOT(ISBLANK(Tabella3[[#This Row],[Italy remov. rate data]]))</f>
        <v>0</v>
      </c>
      <c r="N51" s="72">
        <f>Tabella3[[#This Row],[Italy remov. rate fit]]/y_f_peak</f>
        <v>8.5719038383990392E-2</v>
      </c>
      <c r="O51" s="10">
        <f>Tabella3[[#This Row],[Italy (fit of selected region + fitted sum of the other regions)]]*NOT(ISBLANK(Tabella3[[#This Row],[Italy remov. rate data]]))</f>
        <v>0</v>
      </c>
      <c r="P51" s="72">
        <f>Tabella3[[#This Row],[Italy remov. rate fit]]*NOT(ISBLANK(Tabella3[[#This Row],[Italy remov. rate data]]))</f>
        <v>0</v>
      </c>
      <c r="Q51" s="72">
        <f>Tabella3[[#This Row],[Italy remov. rate fit]]+CIf</f>
        <v>1972.8924961637945</v>
      </c>
      <c r="R51" s="72">
        <f>MAX(Tabella3[[#This Row],[Italy remov. rate fit]]-CIf,0)</f>
        <v>0</v>
      </c>
      <c r="S51" s="139"/>
      <c r="T51" s="144"/>
      <c r="U51" s="10">
        <f>Tabella3[[#This Row],[region data]]*NOT(ISBLANK(Tabella3[[#This Row],[region data]]))</f>
        <v>0</v>
      </c>
      <c r="V51"/>
      <c r="W51" s="72">
        <f>Tabella3[[#This Row],[6-days moving avg]]*NOT(ISBLANK(Tabella3[[#This Row],[6-days moving avg]]))</f>
        <v>0</v>
      </c>
      <c r="X51" s="145">
        <f>Tabella8[[#This Row],[region fit]]</f>
        <v>0</v>
      </c>
      <c r="Y51" s="10">
        <f>Tabella3[[#This Row],[region cumul. fit]]/Kl</f>
        <v>0</v>
      </c>
      <c r="Z51" s="72">
        <f>IFERROR(Kl*psi_l*_xlfn.SECH(psi_l*(Tabella3[[#This Row],[Day]]-pl)-phi_l)^2/(1+TANH(phi_l)),0)</f>
        <v>8.2018967404862906</v>
      </c>
      <c r="AA51" s="72">
        <f>Tabella3[[#This Row],[region fit]]/y_l_peak</f>
        <v>5.9520607900590813E-2</v>
      </c>
      <c r="AB51" s="10">
        <f>Tabella3[[#This Row],[region fit]]*NOT(ISBLANK(Tabella3[[#This Row],[region data]]))</f>
        <v>0</v>
      </c>
      <c r="AC51" s="166">
        <f>IFERROR(kl_m*psi_l_m*_xlfn.SECH(psi_l_m*(Tabella3[[#This Row],[Day]]-pl_m)-phi_l_m)^2/(1+TANH(phi_l_m)),0)</f>
        <v>8.2018967404862906</v>
      </c>
      <c r="AD51" s="72">
        <f>Tabella3[[#This Row],[6-days moving avg fit]]*NOT(ISBLANK(Tabella3[[#This Row],[6-days moving avg]]))</f>
        <v>0</v>
      </c>
      <c r="AE51" s="72">
        <f>Tabella3[[#This Row],[region fit]]+CIl</f>
        <v>61.966737150034746</v>
      </c>
      <c r="AF51" s="72">
        <f>MAX(Tabella3[[#This Row],[region fit]]-CIl,0)</f>
        <v>0</v>
      </c>
      <c r="AG51" s="141"/>
      <c r="AH51" s="144"/>
      <c r="AI51" s="10">
        <f>Tabella3[[#This Row],[rest of Italy data]]*NOT(ISBLANK(Tabella3[[#This Row],[rest of Italy data]]))</f>
        <v>0</v>
      </c>
      <c r="AJ51" s="145">
        <f>Tabella8[[#This Row],[rest of Italy fit]]</f>
        <v>0</v>
      </c>
      <c r="AK51" s="72">
        <f>Tabella3[[#This Row],[rest of Italy cumul. fit]]/Ka</f>
        <v>0</v>
      </c>
      <c r="AL51" s="72">
        <f>IFERROR(Ka*psi_a*_xlfn.SECH(psi_a*(Tabella3[[#This Row],[Day]]-pa)-phi_a)^2/(1+TANH(phi_a)),0)</f>
        <v>250.80797939244133</v>
      </c>
      <c r="AM51" s="72">
        <f>Tabella3[[#This Row],[rest of Italy fit]]/y_a_peak</f>
        <v>8.7640207002567194E-2</v>
      </c>
      <c r="AN51" s="10">
        <f>Tabella3[[#This Row],[rest of Italy fit]]*NOT(ISBLANK(Tabella3[[#This Row],[rest of Italy data]]))</f>
        <v>0</v>
      </c>
      <c r="AO51" s="72">
        <f>Tabella3[[#This Row],[rest of Italy fit]]+CIa</f>
        <v>1945.3821743020239</v>
      </c>
      <c r="AP51" s="72">
        <f>MAX(Tabella3[[#This Row],[rest of Italy fit]]-CIa,0)</f>
        <v>0</v>
      </c>
      <c r="AR51" s="2" t="s">
        <v>3</v>
      </c>
      <c r="AS51" s="6" cm="1">
        <f t="array" ref="AS51">SQRT(SUM((Tabella3[Colonna1]-Tabella3[Colonna22])^2)/dff)</f>
        <v>861.57492649246797</v>
      </c>
    </row>
    <row r="52" spans="2:47" ht="16.2" x14ac:dyDescent="0.3">
      <c r="B52" s="134">
        <v>43875</v>
      </c>
      <c r="C52" s="4">
        <v>45</v>
      </c>
      <c r="D52" s="141"/>
      <c r="E52" s="144"/>
      <c r="F52" s="10">
        <f>Tabella3[[#This Row],[Italy remov. rate data]]*NOT(ISBLANK(Tabella3[[#This Row],[Italy remov. rate data]]))</f>
        <v>0</v>
      </c>
      <c r="G52" s="158">
        <f>Tabella3[[#This Row],[region cumul. fit]]+Tabella3[[#This Row],[rest of Italy cumul. fit]]</f>
        <v>0</v>
      </c>
      <c r="H52" s="158">
        <f>Tabella3[[#This Row],[Italy cumul. fit]]/Kf</f>
        <v>0</v>
      </c>
      <c r="I52" s="143">
        <f>Tabella3[[#This Row],[region fit]]+Tabella3[[#This Row],[rest of Italy fit]]</f>
        <v>271.48112843754654</v>
      </c>
      <c r="J52" s="143">
        <f>Tabella3[[#This Row],[Italy (fit of selected region + fitted sum of the other regions)]]/(y_l_peak+y_a_peak)</f>
        <v>9.0506062104605448E-2</v>
      </c>
      <c r="K52" s="72">
        <f>IFERROR(Kf*psi_f*_xlfn.SECH(psi_f*(Tabella3[[#This Row],[Day]]-pf)-phi_f)^2/(1+TANH(phi_f)),0)</f>
        <v>269.70561573211904</v>
      </c>
      <c r="L52" s="292">
        <f>Tabella3[[#This Row],[Italy remov. rate fit]]-Tabella3[[#This Row],[Italy remov. rate data]]</f>
        <v>269.70561573211904</v>
      </c>
      <c r="M52" s="293">
        <f>Tabella3[[#This Row],[rem. rate residuals]]*NOT(ISBLANK(Tabella3[[#This Row],[Italy remov. rate data]]))</f>
        <v>0</v>
      </c>
      <c r="N52" s="72">
        <f>Tabella3[[#This Row],[Italy remov. rate fit]]/y_f_peak</f>
        <v>8.9859757389887079E-2</v>
      </c>
      <c r="O52" s="10">
        <f>Tabella3[[#This Row],[Italy (fit of selected region + fitted sum of the other regions)]]*NOT(ISBLANK(Tabella3[[#This Row],[Italy remov. rate data]]))</f>
        <v>0</v>
      </c>
      <c r="P52" s="72">
        <f>Tabella3[[#This Row],[Italy remov. rate fit]]*NOT(ISBLANK(Tabella3[[#This Row],[Italy remov. rate data]]))</f>
        <v>0</v>
      </c>
      <c r="Q52" s="72">
        <f>Tabella3[[#This Row],[Italy remov. rate fit]]+CIf</f>
        <v>1985.3204750666703</v>
      </c>
      <c r="R52" s="72">
        <f>MAX(Tabella3[[#This Row],[Italy remov. rate fit]]-CIf,0)</f>
        <v>0</v>
      </c>
      <c r="S52" s="139"/>
      <c r="T52" s="144"/>
      <c r="U52" s="10">
        <f>Tabella3[[#This Row],[region data]]*NOT(ISBLANK(Tabella3[[#This Row],[region data]]))</f>
        <v>0</v>
      </c>
      <c r="V52"/>
      <c r="W52" s="72">
        <f>Tabella3[[#This Row],[6-days moving avg]]*NOT(ISBLANK(Tabella3[[#This Row],[6-days moving avg]]))</f>
        <v>0</v>
      </c>
      <c r="X52" s="145">
        <f>Tabella8[[#This Row],[region fit]]</f>
        <v>0</v>
      </c>
      <c r="Y52" s="10">
        <f>Tabella3[[#This Row],[region cumul. fit]]/Kl</f>
        <v>0</v>
      </c>
      <c r="Z52" s="72">
        <f>IFERROR(Kl*psi_l*_xlfn.SECH(psi_l*(Tabella3[[#This Row],[Day]]-pl)-phi_l)^2/(1+TANH(phi_l)),0)</f>
        <v>8.662652557106199</v>
      </c>
      <c r="AA52" s="72">
        <f>Tabella3[[#This Row],[region fit]]/y_l_peak</f>
        <v>6.2864281585676016E-2</v>
      </c>
      <c r="AB52" s="10">
        <f>Tabella3[[#This Row],[region fit]]*NOT(ISBLANK(Tabella3[[#This Row],[region data]]))</f>
        <v>0</v>
      </c>
      <c r="AC52" s="166">
        <f>IFERROR(kl_m*psi_l_m*_xlfn.SECH(psi_l_m*(Tabella3[[#This Row],[Day]]-pl_m)-phi_l_m)^2/(1+TANH(phi_l_m)),0)</f>
        <v>8.662652557106199</v>
      </c>
      <c r="AD52" s="72">
        <f>Tabella3[[#This Row],[6-days moving avg fit]]*NOT(ISBLANK(Tabella3[[#This Row],[6-days moving avg]]))</f>
        <v>0</v>
      </c>
      <c r="AE52" s="72">
        <f>Tabella3[[#This Row],[region fit]]+CIl</f>
        <v>62.427492966654654</v>
      </c>
      <c r="AF52" s="72">
        <f>MAX(Tabella3[[#This Row],[region fit]]-CIl,0)</f>
        <v>0</v>
      </c>
      <c r="AG52" s="141"/>
      <c r="AH52" s="144"/>
      <c r="AI52" s="10">
        <f>Tabella3[[#This Row],[rest of Italy data]]*NOT(ISBLANK(Tabella3[[#This Row],[rest of Italy data]]))</f>
        <v>0</v>
      </c>
      <c r="AJ52" s="145">
        <f>Tabella8[[#This Row],[rest of Italy fit]]</f>
        <v>0</v>
      </c>
      <c r="AK52" s="72">
        <f>Tabella3[[#This Row],[rest of Italy cumul. fit]]/Ka</f>
        <v>0</v>
      </c>
      <c r="AL52" s="72">
        <f>IFERROR(Ka*psi_a*_xlfn.SECH(psi_a*(Tabella3[[#This Row],[Day]]-pa)-phi_a)^2/(1+TANH(phi_a)),0)</f>
        <v>262.81847588044036</v>
      </c>
      <c r="AM52" s="72">
        <f>Tabella3[[#This Row],[rest of Italy fit]]/y_a_peak</f>
        <v>9.1837052736748664E-2</v>
      </c>
      <c r="AN52" s="10">
        <f>Tabella3[[#This Row],[rest of Italy fit]]*NOT(ISBLANK(Tabella3[[#This Row],[rest of Italy data]]))</f>
        <v>0</v>
      </c>
      <c r="AO52" s="72">
        <f>Tabella3[[#This Row],[rest of Italy fit]]+CIa</f>
        <v>1957.3926707900232</v>
      </c>
      <c r="AP52" s="72">
        <f>MAX(Tabella3[[#This Row],[rest of Italy fit]]-CIa,0)</f>
        <v>0</v>
      </c>
      <c r="AR52" s="2" t="s">
        <v>4</v>
      </c>
      <c r="AS52" s="7" cm="1">
        <f t="array" ref="AS52">1-SUM((Tabella3[Colonna1]-Tabella3[Colonna22])^2)/SUM((Tabella3[Colonna1]-Mean_of_yf)^2)</f>
        <v>0.92713164628372802</v>
      </c>
    </row>
    <row r="53" spans="2:47" x14ac:dyDescent="0.3">
      <c r="B53" s="134">
        <v>43876</v>
      </c>
      <c r="C53" s="4">
        <v>46</v>
      </c>
      <c r="D53" s="141"/>
      <c r="E53" s="144"/>
      <c r="F53" s="10">
        <f>Tabella3[[#This Row],[Italy remov. rate data]]*NOT(ISBLANK(Tabella3[[#This Row],[Italy remov. rate data]]))</f>
        <v>0</v>
      </c>
      <c r="G53" s="158">
        <f>Tabella3[[#This Row],[region cumul. fit]]+Tabella3[[#This Row],[rest of Italy cumul. fit]]</f>
        <v>0</v>
      </c>
      <c r="H53" s="158">
        <f>Tabella3[[#This Row],[Italy cumul. fit]]/Kf</f>
        <v>0</v>
      </c>
      <c r="I53" s="143">
        <f>Tabella3[[#This Row],[region fit]]+Tabella3[[#This Row],[rest of Italy fit]]</f>
        <v>284.52209798390822</v>
      </c>
      <c r="J53" s="143">
        <f>Tabella3[[#This Row],[Italy (fit of selected region + fitted sum of the other regions)]]/(y_l_peak+y_a_peak)</f>
        <v>9.485364532875136E-2</v>
      </c>
      <c r="K53" s="72">
        <f>IFERROR(Kf*psi_f*_xlfn.SECH(psi_f*(Tabella3[[#This Row],[Day]]-pf)-phi_f)^2/(1+TANH(phi_f)),0)</f>
        <v>282.70294196009769</v>
      </c>
      <c r="L53" s="292">
        <f>Tabella3[[#This Row],[Italy remov. rate fit]]-Tabella3[[#This Row],[Italy remov. rate data]]</f>
        <v>282.70294196009769</v>
      </c>
      <c r="M53" s="293">
        <f>Tabella3[[#This Row],[rem. rate residuals]]*NOT(ISBLANK(Tabella3[[#This Row],[Italy remov. rate data]]))</f>
        <v>0</v>
      </c>
      <c r="N53" s="72">
        <f>Tabella3[[#This Row],[Italy remov. rate fit]]/y_f_peak</f>
        <v>9.419016993392329E-2</v>
      </c>
      <c r="O53" s="10">
        <f>Tabella3[[#This Row],[Italy (fit of selected region + fitted sum of the other regions)]]*NOT(ISBLANK(Tabella3[[#This Row],[Italy remov. rate data]]))</f>
        <v>0</v>
      </c>
      <c r="P53" s="72">
        <f>Tabella3[[#This Row],[Italy remov. rate fit]]*NOT(ISBLANK(Tabella3[[#This Row],[Italy remov. rate data]]))</f>
        <v>0</v>
      </c>
      <c r="Q53" s="72">
        <f>Tabella3[[#This Row],[Italy remov. rate fit]]+CIf</f>
        <v>1998.3178012946489</v>
      </c>
      <c r="R53" s="72">
        <f>MAX(Tabella3[[#This Row],[Italy remov. rate fit]]-CIf,0)</f>
        <v>0</v>
      </c>
      <c r="S53" s="139"/>
      <c r="T53" s="144"/>
      <c r="U53" s="10">
        <f>Tabella3[[#This Row],[region data]]*NOT(ISBLANK(Tabella3[[#This Row],[region data]]))</f>
        <v>0</v>
      </c>
      <c r="V53"/>
      <c r="W53" s="72">
        <f>Tabella3[[#This Row],[6-days moving avg]]*NOT(ISBLANK(Tabella3[[#This Row],[6-days moving avg]]))</f>
        <v>0</v>
      </c>
      <c r="X53" s="145">
        <f>Tabella8[[#This Row],[region fit]]</f>
        <v>0</v>
      </c>
      <c r="Y53" s="10">
        <f>Tabella3[[#This Row],[region cumul. fit]]/Kl</f>
        <v>0</v>
      </c>
      <c r="Z53" s="72">
        <f>IFERROR(Kl*psi_l*_xlfn.SECH(psi_l*(Tabella3[[#This Row],[Day]]-pl)-phi_l)^2/(1+TANH(phi_l)),0)</f>
        <v>9.1483769056295188</v>
      </c>
      <c r="AA53" s="72">
        <f>Tabella3[[#This Row],[region fit]]/y_l_peak</f>
        <v>6.6389150211919212E-2</v>
      </c>
      <c r="AB53" s="10">
        <f>Tabella3[[#This Row],[region fit]]*NOT(ISBLANK(Tabella3[[#This Row],[region data]]))</f>
        <v>0</v>
      </c>
      <c r="AC53" s="166">
        <f>IFERROR(kl_m*psi_l_m*_xlfn.SECH(psi_l_m*(Tabella3[[#This Row],[Day]]-pl_m)-phi_l_m)^2/(1+TANH(phi_l_m)),0)</f>
        <v>9.1483769056295188</v>
      </c>
      <c r="AD53" s="72">
        <f>Tabella3[[#This Row],[6-days moving avg fit]]*NOT(ISBLANK(Tabella3[[#This Row],[6-days moving avg]]))</f>
        <v>0</v>
      </c>
      <c r="AE53" s="72">
        <f>Tabella3[[#This Row],[region fit]]+CIl</f>
        <v>62.913217315177974</v>
      </c>
      <c r="AF53" s="72">
        <f>MAX(Tabella3[[#This Row],[region fit]]-CIl,0)</f>
        <v>0</v>
      </c>
      <c r="AG53" s="141"/>
      <c r="AH53" s="144"/>
      <c r="AI53" s="10">
        <f>Tabella3[[#This Row],[rest of Italy data]]*NOT(ISBLANK(Tabella3[[#This Row],[rest of Italy data]]))</f>
        <v>0</v>
      </c>
      <c r="AJ53" s="145">
        <f>Tabella8[[#This Row],[rest of Italy fit]]</f>
        <v>0</v>
      </c>
      <c r="AK53" s="72">
        <f>Tabella3[[#This Row],[rest of Italy cumul. fit]]/Ka</f>
        <v>0</v>
      </c>
      <c r="AL53" s="72">
        <f>IFERROR(Ka*psi_a*_xlfn.SECH(psi_a*(Tabella3[[#This Row],[Day]]-pa)-phi_a)^2/(1+TANH(phi_a)),0)</f>
        <v>275.37372107827872</v>
      </c>
      <c r="AM53" s="72">
        <f>Tabella3[[#This Row],[rest of Italy fit]]/y_a_peak</f>
        <v>9.6224250826586241E-2</v>
      </c>
      <c r="AN53" s="10">
        <f>Tabella3[[#This Row],[rest of Italy fit]]*NOT(ISBLANK(Tabella3[[#This Row],[rest of Italy data]]))</f>
        <v>0</v>
      </c>
      <c r="AO53" s="72">
        <f>Tabella3[[#This Row],[rest of Italy fit]]+CIa</f>
        <v>1969.9479159878615</v>
      </c>
      <c r="AP53" s="72">
        <f>MAX(Tabella3[[#This Row],[rest of Italy fit]]-CIa,0)</f>
        <v>0</v>
      </c>
      <c r="AR53" s="2" t="s">
        <v>5</v>
      </c>
      <c r="AS53" s="7">
        <f>TINV(0.05,dff)</f>
        <v>1.9912543953883848</v>
      </c>
    </row>
    <row r="54" spans="2:47" x14ac:dyDescent="0.3">
      <c r="B54" s="134">
        <v>43877</v>
      </c>
      <c r="C54" s="4">
        <v>47</v>
      </c>
      <c r="D54" s="141"/>
      <c r="E54" s="144"/>
      <c r="F54" s="10">
        <f>Tabella3[[#This Row],[Italy remov. rate data]]*NOT(ISBLANK(Tabella3[[#This Row],[Italy remov. rate data]]))</f>
        <v>0</v>
      </c>
      <c r="G54" s="158">
        <f>Tabella3[[#This Row],[region cumul. fit]]+Tabella3[[#This Row],[rest of Italy cumul. fit]]</f>
        <v>0</v>
      </c>
      <c r="H54" s="158">
        <f>Tabella3[[#This Row],[Italy cumul. fit]]/Kf</f>
        <v>0</v>
      </c>
      <c r="I54" s="143">
        <f>Tabella3[[#This Row],[region fit]]+Tabella3[[#This Row],[rest of Italy fit]]</f>
        <v>298.15569479183824</v>
      </c>
      <c r="J54" s="143">
        <f>Tabella3[[#This Row],[Italy (fit of selected region + fitted sum of the other regions)]]/(y_l_peak+y_a_peak)</f>
        <v>9.9398797938471437E-2</v>
      </c>
      <c r="K54" s="72">
        <f>IFERROR(Kf*psi_f*_xlfn.SECH(psi_f*(Tabella3[[#This Row],[Day]]-pf)-phi_f)^2/(1+TANH(phi_f)),0)</f>
        <v>296.29256910353371</v>
      </c>
      <c r="L54" s="292">
        <f>Tabella3[[#This Row],[Italy remov. rate fit]]-Tabella3[[#This Row],[Italy remov. rate data]]</f>
        <v>296.29256910353371</v>
      </c>
      <c r="M54" s="293">
        <f>Tabella3[[#This Row],[rem. rate residuals]]*NOT(ISBLANK(Tabella3[[#This Row],[Italy remov. rate data]]))</f>
        <v>0</v>
      </c>
      <c r="N54" s="72">
        <f>Tabella3[[#This Row],[Italy remov. rate fit]]/y_f_peak</f>
        <v>9.8717923628681675E-2</v>
      </c>
      <c r="O54" s="10">
        <f>Tabella3[[#This Row],[Italy (fit of selected region + fitted sum of the other regions)]]*NOT(ISBLANK(Tabella3[[#This Row],[Italy remov. rate data]]))</f>
        <v>0</v>
      </c>
      <c r="P54" s="72">
        <f>Tabella3[[#This Row],[Italy remov. rate fit]]*NOT(ISBLANK(Tabella3[[#This Row],[Italy remov. rate data]]))</f>
        <v>0</v>
      </c>
      <c r="Q54" s="72">
        <f>Tabella3[[#This Row],[Italy remov. rate fit]]+CIf</f>
        <v>2011.9074284380849</v>
      </c>
      <c r="R54" s="72">
        <f>MAX(Tabella3[[#This Row],[Italy remov. rate fit]]-CIf,0)</f>
        <v>0</v>
      </c>
      <c r="S54" s="139"/>
      <c r="T54" s="144"/>
      <c r="U54" s="10">
        <f>Tabella3[[#This Row],[region data]]*NOT(ISBLANK(Tabella3[[#This Row],[region data]]))</f>
        <v>0</v>
      </c>
      <c r="V54"/>
      <c r="W54" s="72">
        <f>Tabella3[[#This Row],[6-days moving avg]]*NOT(ISBLANK(Tabella3[[#This Row],[6-days moving avg]]))</f>
        <v>0</v>
      </c>
      <c r="X54" s="145">
        <f>Tabella8[[#This Row],[region fit]]</f>
        <v>0</v>
      </c>
      <c r="Y54" s="10">
        <f>Tabella3[[#This Row],[region cumul. fit]]/Kl</f>
        <v>0</v>
      </c>
      <c r="Z54" s="72">
        <f>IFERROR(Kl*psi_l*_xlfn.SECH(psi_l*(Tabella3[[#This Row],[Day]]-pl)-phi_l)^2/(1+TANH(phi_l)),0)</f>
        <v>9.6603157123074794</v>
      </c>
      <c r="AA54" s="72">
        <f>Tabella3[[#This Row],[region fit]]/y_l_peak</f>
        <v>7.010425538155203E-2</v>
      </c>
      <c r="AB54" s="10">
        <f>Tabella3[[#This Row],[region fit]]*NOT(ISBLANK(Tabella3[[#This Row],[region data]]))</f>
        <v>0</v>
      </c>
      <c r="AC54" s="166">
        <f>IFERROR(kl_m*psi_l_m*_xlfn.SECH(psi_l_m*(Tabella3[[#This Row],[Day]]-pl_m)-phi_l_m)^2/(1+TANH(phi_l_m)),0)</f>
        <v>9.6603157123074794</v>
      </c>
      <c r="AD54" s="72">
        <f>Tabella3[[#This Row],[6-days moving avg fit]]*NOT(ISBLANK(Tabella3[[#This Row],[6-days moving avg]]))</f>
        <v>0</v>
      </c>
      <c r="AE54" s="72">
        <f>Tabella3[[#This Row],[region fit]]+CIl</f>
        <v>63.425156121855935</v>
      </c>
      <c r="AF54" s="72">
        <f>MAX(Tabella3[[#This Row],[region fit]]-CIl,0)</f>
        <v>0</v>
      </c>
      <c r="AG54" s="141"/>
      <c r="AH54" s="144"/>
      <c r="AI54" s="10">
        <f>Tabella3[[#This Row],[rest of Italy data]]*NOT(ISBLANK(Tabella3[[#This Row],[rest of Italy data]]))</f>
        <v>0</v>
      </c>
      <c r="AJ54" s="145">
        <f>Tabella8[[#This Row],[rest of Italy fit]]</f>
        <v>0</v>
      </c>
      <c r="AK54" s="72">
        <f>Tabella3[[#This Row],[rest of Italy cumul. fit]]/Ka</f>
        <v>0</v>
      </c>
      <c r="AL54" s="72">
        <f>IFERROR(Ka*psi_a*_xlfn.SECH(psi_a*(Tabella3[[#This Row],[Day]]-pa)-phi_a)^2/(1+TANH(phi_a)),0)</f>
        <v>288.49537907953078</v>
      </c>
      <c r="AM54" s="72">
        <f>Tabella3[[#This Row],[rest of Italy fit]]/y_a_peak</f>
        <v>0.10080937138866865</v>
      </c>
      <c r="AN54" s="10">
        <f>Tabella3[[#This Row],[rest of Italy fit]]*NOT(ISBLANK(Tabella3[[#This Row],[rest of Italy data]]))</f>
        <v>0</v>
      </c>
      <c r="AO54" s="72">
        <f>Tabella3[[#This Row],[rest of Italy fit]]+CIa</f>
        <v>1983.0695739891135</v>
      </c>
      <c r="AP54" s="72">
        <f>MAX(Tabella3[[#This Row],[rest of Italy fit]]-CIa,0)</f>
        <v>0</v>
      </c>
      <c r="AR54" s="2" t="s">
        <v>6</v>
      </c>
      <c r="AS54" s="6">
        <f>Critical_tf*SE_of_yf</f>
        <v>1715.6148593345513</v>
      </c>
    </row>
    <row r="55" spans="2:47" x14ac:dyDescent="0.3">
      <c r="B55" s="134">
        <v>43878</v>
      </c>
      <c r="C55" s="4">
        <v>48</v>
      </c>
      <c r="D55" s="141"/>
      <c r="E55" s="144"/>
      <c r="F55" s="10">
        <f>Tabella3[[#This Row],[Italy remov. rate data]]*NOT(ISBLANK(Tabella3[[#This Row],[Italy remov. rate data]]))</f>
        <v>0</v>
      </c>
      <c r="G55" s="158">
        <f>Tabella3[[#This Row],[region cumul. fit]]+Tabella3[[#This Row],[rest of Italy cumul. fit]]</f>
        <v>0</v>
      </c>
      <c r="H55" s="158">
        <f>Tabella3[[#This Row],[Italy cumul. fit]]/Kf</f>
        <v>0</v>
      </c>
      <c r="I55" s="143">
        <f>Tabella3[[#This Row],[region fit]]+Tabella3[[#This Row],[rest of Italy fit]]</f>
        <v>312.4054309788221</v>
      </c>
      <c r="J55" s="143">
        <f>Tabella3[[#This Row],[Italy (fit of selected region + fitted sum of the other regions)]]/(y_l_peak+y_a_peak)</f>
        <v>0.10414935837608245</v>
      </c>
      <c r="K55" s="72">
        <f>IFERROR(Kf*psi_f*_xlfn.SECH(psi_f*(Tabella3[[#This Row],[Day]]-pf)-phi_f)^2/(1+TANH(phi_f)),0)</f>
        <v>310.49805592604093</v>
      </c>
      <c r="L55" s="292">
        <f>Tabella3[[#This Row],[Italy remov. rate fit]]-Tabella3[[#This Row],[Italy remov. rate data]]</f>
        <v>310.49805592604093</v>
      </c>
      <c r="M55" s="293">
        <f>Tabella3[[#This Row],[rem. rate residuals]]*NOT(ISBLANK(Tabella3[[#This Row],[Italy remov. rate data]]))</f>
        <v>0</v>
      </c>
      <c r="N55" s="72">
        <f>Tabella3[[#This Row],[Italy remov. rate fit]]/y_f_peak</f>
        <v>0.10345086771666685</v>
      </c>
      <c r="O55" s="10">
        <f>Tabella3[[#This Row],[Italy (fit of selected region + fitted sum of the other regions)]]*NOT(ISBLANK(Tabella3[[#This Row],[Italy remov. rate data]]))</f>
        <v>0</v>
      </c>
      <c r="P55" s="72">
        <f>Tabella3[[#This Row],[Italy remov. rate fit]]*NOT(ISBLANK(Tabella3[[#This Row],[Italy remov. rate data]]))</f>
        <v>0</v>
      </c>
      <c r="Q55" s="72">
        <f>Tabella3[[#This Row],[Italy remov. rate fit]]+CIf</f>
        <v>2026.1129152605922</v>
      </c>
      <c r="R55" s="72">
        <f>MAX(Tabella3[[#This Row],[Italy remov. rate fit]]-CIf,0)</f>
        <v>0</v>
      </c>
      <c r="S55" s="139"/>
      <c r="T55" s="144"/>
      <c r="U55" s="10">
        <f>Tabella3[[#This Row],[region data]]*NOT(ISBLANK(Tabella3[[#This Row],[region data]]))</f>
        <v>0</v>
      </c>
      <c r="V55"/>
      <c r="W55" s="72">
        <f>Tabella3[[#This Row],[6-days moving avg]]*NOT(ISBLANK(Tabella3[[#This Row],[6-days moving avg]]))</f>
        <v>0</v>
      </c>
      <c r="X55" s="145">
        <f>Tabella8[[#This Row],[region fit]]</f>
        <v>0</v>
      </c>
      <c r="Y55" s="10">
        <f>Tabella3[[#This Row],[region cumul. fit]]/Kl</f>
        <v>0</v>
      </c>
      <c r="Z55" s="72">
        <f>IFERROR(Kl*psi_l*_xlfn.SECH(psi_l*(Tabella3[[#This Row],[Day]]-pl)-phi_l)^2/(1+TANH(phi_l)),0)</f>
        <v>10.199764436886774</v>
      </c>
      <c r="AA55" s="72">
        <f>Tabella3[[#This Row],[region fit]]/y_l_peak</f>
        <v>7.4018998158020391E-2</v>
      </c>
      <c r="AB55" s="10">
        <f>Tabella3[[#This Row],[region fit]]*NOT(ISBLANK(Tabella3[[#This Row],[region data]]))</f>
        <v>0</v>
      </c>
      <c r="AC55" s="166">
        <f>IFERROR(kl_m*psi_l_m*_xlfn.SECH(psi_l_m*(Tabella3[[#This Row],[Day]]-pl_m)-phi_l_m)^2/(1+TANH(phi_l_m)),0)</f>
        <v>10.199764436886774</v>
      </c>
      <c r="AD55" s="72">
        <f>Tabella3[[#This Row],[6-days moving avg fit]]*NOT(ISBLANK(Tabella3[[#This Row],[6-days moving avg]]))</f>
        <v>0</v>
      </c>
      <c r="AE55" s="72">
        <f>Tabella3[[#This Row],[region fit]]+CIl</f>
        <v>63.964604846435229</v>
      </c>
      <c r="AF55" s="72">
        <f>MAX(Tabella3[[#This Row],[region fit]]-CIl,0)</f>
        <v>0</v>
      </c>
      <c r="AG55" s="141"/>
      <c r="AH55" s="144"/>
      <c r="AI55" s="10">
        <f>Tabella3[[#This Row],[rest of Italy data]]*NOT(ISBLANK(Tabella3[[#This Row],[rest of Italy data]]))</f>
        <v>0</v>
      </c>
      <c r="AJ55" s="145">
        <f>Tabella8[[#This Row],[rest of Italy fit]]</f>
        <v>0</v>
      </c>
      <c r="AK55" s="72">
        <f>Tabella3[[#This Row],[rest of Italy cumul. fit]]/Ka</f>
        <v>0</v>
      </c>
      <c r="AL55" s="72">
        <f>IFERROR(Ka*psi_a*_xlfn.SECH(psi_a*(Tabella3[[#This Row],[Day]]-pa)-phi_a)^2/(1+TANH(phi_a)),0)</f>
        <v>302.20566654193533</v>
      </c>
      <c r="AM55" s="72">
        <f>Tabella3[[#This Row],[rest of Italy fit]]/y_a_peak</f>
        <v>0.10560017762290622</v>
      </c>
      <c r="AN55" s="10">
        <f>Tabella3[[#This Row],[rest of Italy fit]]*NOT(ISBLANK(Tabella3[[#This Row],[rest of Italy data]]))</f>
        <v>0</v>
      </c>
      <c r="AO55" s="72">
        <f>Tabella3[[#This Row],[rest of Italy fit]]+CIa</f>
        <v>1996.7798614515182</v>
      </c>
      <c r="AP55" s="72">
        <f>MAX(Tabella3[[#This Row],[rest of Italy fit]]-CIa,0)</f>
        <v>0</v>
      </c>
      <c r="AR55" s="62" t="s">
        <v>299</v>
      </c>
      <c r="AS55" s="88">
        <f>Kf*psi_f/(1+TANH(phi_f))</f>
        <v>3001.4060082747565</v>
      </c>
    </row>
    <row r="56" spans="2:47" x14ac:dyDescent="0.3">
      <c r="B56" s="134">
        <v>43879</v>
      </c>
      <c r="C56" s="4">
        <v>49</v>
      </c>
      <c r="D56" s="141"/>
      <c r="E56" s="144"/>
      <c r="F56" s="10">
        <f>Tabella3[[#This Row],[Italy remov. rate data]]*NOT(ISBLANK(Tabella3[[#This Row],[Italy remov. rate data]]))</f>
        <v>0</v>
      </c>
      <c r="G56" s="158">
        <f>Tabella3[[#This Row],[region cumul. fit]]+Tabella3[[#This Row],[rest of Italy cumul. fit]]</f>
        <v>0</v>
      </c>
      <c r="H56" s="158">
        <f>Tabella3[[#This Row],[Italy cumul. fit]]/Kf</f>
        <v>0</v>
      </c>
      <c r="I56" s="143">
        <f>Tabella3[[#This Row],[region fit]]+Tabella3[[#This Row],[rest of Italy fit]]</f>
        <v>327.29540144006035</v>
      </c>
      <c r="J56" s="143">
        <f>Tabella3[[#This Row],[Italy (fit of selected region + fitted sum of the other regions)]]/(y_l_peak+y_a_peak)</f>
        <v>0.10911335936965645</v>
      </c>
      <c r="K56" s="72">
        <f>IFERROR(Kf*psi_f*_xlfn.SECH(psi_f*(Tabella3[[#This Row],[Day]]-pf)-phi_f)^2/(1+TANH(phi_f)),0)</f>
        <v>325.34354707915702</v>
      </c>
      <c r="L56" s="292">
        <f>Tabella3[[#This Row],[Italy remov. rate fit]]-Tabella3[[#This Row],[Italy remov. rate data]]</f>
        <v>325.34354707915702</v>
      </c>
      <c r="M56" s="293">
        <f>Tabella3[[#This Row],[rem. rate residuals]]*NOT(ISBLANK(Tabella3[[#This Row],[Italy remov. rate data]]))</f>
        <v>0</v>
      </c>
      <c r="N56" s="72">
        <f>Tabella3[[#This Row],[Italy remov. rate fit]]/y_f_peak</f>
        <v>0.10839704664487172</v>
      </c>
      <c r="O56" s="10">
        <f>Tabella3[[#This Row],[Italy (fit of selected region + fitted sum of the other regions)]]*NOT(ISBLANK(Tabella3[[#This Row],[Italy remov. rate data]]))</f>
        <v>0</v>
      </c>
      <c r="P56" s="72">
        <f>Tabella3[[#This Row],[Italy remov. rate fit]]*NOT(ISBLANK(Tabella3[[#This Row],[Italy remov. rate data]]))</f>
        <v>0</v>
      </c>
      <c r="Q56" s="72">
        <f>Tabella3[[#This Row],[Italy remov. rate fit]]+CIf</f>
        <v>2040.9584064137084</v>
      </c>
      <c r="R56" s="72">
        <f>MAX(Tabella3[[#This Row],[Italy remov. rate fit]]-CIf,0)</f>
        <v>0</v>
      </c>
      <c r="S56" s="139"/>
      <c r="T56" s="144"/>
      <c r="U56" s="10">
        <f>Tabella3[[#This Row],[region data]]*NOT(ISBLANK(Tabella3[[#This Row],[region data]]))</f>
        <v>0</v>
      </c>
      <c r="V56"/>
      <c r="W56" s="72">
        <f>Tabella3[[#This Row],[6-days moving avg]]*NOT(ISBLANK(Tabella3[[#This Row],[6-days moving avg]]))</f>
        <v>0</v>
      </c>
      <c r="X56" s="145">
        <f>Tabella8[[#This Row],[region fit]]</f>
        <v>0</v>
      </c>
      <c r="Y56" s="10">
        <f>Tabella3[[#This Row],[region cumul. fit]]/Kl</f>
        <v>0</v>
      </c>
      <c r="Z56" s="72">
        <f>IFERROR(Kl*psi_l*_xlfn.SECH(psi_l*(Tabella3[[#This Row],[Day]]-pl)-phi_l)^2/(1+TANH(phi_l)),0)</f>
        <v>10.768068487756093</v>
      </c>
      <c r="AA56" s="72">
        <f>Tabella3[[#This Row],[region fit]]/y_l_peak</f>
        <v>7.8143142078674593E-2</v>
      </c>
      <c r="AB56" s="10">
        <f>Tabella3[[#This Row],[region fit]]*NOT(ISBLANK(Tabella3[[#This Row],[region data]]))</f>
        <v>0</v>
      </c>
      <c r="AC56" s="166">
        <f>IFERROR(kl_m*psi_l_m*_xlfn.SECH(psi_l_m*(Tabella3[[#This Row],[Day]]-pl_m)-phi_l_m)^2/(1+TANH(phi_l_m)),0)</f>
        <v>10.768068487756093</v>
      </c>
      <c r="AD56" s="72">
        <f>Tabella3[[#This Row],[6-days moving avg fit]]*NOT(ISBLANK(Tabella3[[#This Row],[6-days moving avg]]))</f>
        <v>0</v>
      </c>
      <c r="AE56" s="72">
        <f>Tabella3[[#This Row],[region fit]]+CIl</f>
        <v>64.532908897304551</v>
      </c>
      <c r="AF56" s="72">
        <f>MAX(Tabella3[[#This Row],[region fit]]-CIl,0)</f>
        <v>0</v>
      </c>
      <c r="AG56" s="141"/>
      <c r="AH56" s="144"/>
      <c r="AI56" s="10">
        <f>Tabella3[[#This Row],[rest of Italy data]]*NOT(ISBLANK(Tabella3[[#This Row],[rest of Italy data]]))</f>
        <v>0</v>
      </c>
      <c r="AJ56" s="145">
        <f>Tabella8[[#This Row],[rest of Italy fit]]</f>
        <v>0</v>
      </c>
      <c r="AK56" s="72">
        <f>Tabella3[[#This Row],[rest of Italy cumul. fit]]/Ka</f>
        <v>0</v>
      </c>
      <c r="AL56" s="72">
        <f>IFERROR(Ka*psi_a*_xlfn.SECH(psi_a*(Tabella3[[#This Row],[Day]]-pa)-phi_a)^2/(1+TANH(phi_a)),0)</f>
        <v>316.52733295230428</v>
      </c>
      <c r="AM56" s="72">
        <f>Tabella3[[#This Row],[rest of Italy fit]]/y_a_peak</f>
        <v>0.11060461891646849</v>
      </c>
      <c r="AN56" s="10">
        <f>Tabella3[[#This Row],[rest of Italy fit]]*NOT(ISBLANK(Tabella3[[#This Row],[rest of Italy data]]))</f>
        <v>0</v>
      </c>
      <c r="AO56" s="72">
        <f>Tabella3[[#This Row],[rest of Italy fit]]+CIa</f>
        <v>2011.101527861887</v>
      </c>
      <c r="AP56" s="72">
        <f>MAX(Tabella3[[#This Row],[rest of Italy fit]]-CIa,0)</f>
        <v>0</v>
      </c>
      <c r="AR56" s="62" t="s">
        <v>128</v>
      </c>
      <c r="AS56" s="76">
        <f>_xlfn.XLOOKUP(ROUND(phi_f/psi_f+pf,0),Tabella3[Day],Tabella3[Date])</f>
        <v>43951</v>
      </c>
    </row>
    <row r="57" spans="2:47" x14ac:dyDescent="0.3">
      <c r="B57" s="134">
        <v>43880</v>
      </c>
      <c r="C57" s="4">
        <v>50</v>
      </c>
      <c r="D57" s="141"/>
      <c r="E57" s="144"/>
      <c r="F57" s="10">
        <f>Tabella3[[#This Row],[Italy remov. rate data]]*NOT(ISBLANK(Tabella3[[#This Row],[Italy remov. rate data]]))</f>
        <v>0</v>
      </c>
      <c r="G57" s="158">
        <f>Tabella3[[#This Row],[region cumul. fit]]+Tabella3[[#This Row],[rest of Italy cumul. fit]]</f>
        <v>0</v>
      </c>
      <c r="H57" s="158">
        <f>Tabella3[[#This Row],[Italy cumul. fit]]/Kf</f>
        <v>0</v>
      </c>
      <c r="I57" s="143">
        <f>Tabella3[[#This Row],[region fit]]+Tabella3[[#This Row],[rest of Italy fit]]</f>
        <v>342.85025953275203</v>
      </c>
      <c r="J57" s="143">
        <f>Tabella3[[#This Row],[Italy (fit of selected region + fitted sum of the other regions)]]/(y_l_peak+y_a_peak)</f>
        <v>0.11429901982667544</v>
      </c>
      <c r="K57" s="72">
        <f>IFERROR(Kf*psi_f*_xlfn.SECH(psi_f*(Tabella3[[#This Row],[Day]]-pf)-phi_f)^2/(1+TANH(phi_f)),0)</f>
        <v>340.85374880940071</v>
      </c>
      <c r="L57" s="292">
        <f>Tabella3[[#This Row],[Italy remov. rate fit]]-Tabella3[[#This Row],[Italy remov. rate data]]</f>
        <v>340.85374880940071</v>
      </c>
      <c r="M57" s="293">
        <f>Tabella3[[#This Row],[rem. rate residuals]]*NOT(ISBLANK(Tabella3[[#This Row],[Italy remov. rate data]]))</f>
        <v>0</v>
      </c>
      <c r="N57" s="72">
        <f>Tabella3[[#This Row],[Italy remov. rate fit]]/y_f_peak</f>
        <v>0.11356469197092314</v>
      </c>
      <c r="O57" s="10">
        <f>Tabella3[[#This Row],[Italy (fit of selected region + fitted sum of the other regions)]]*NOT(ISBLANK(Tabella3[[#This Row],[Italy remov. rate data]]))</f>
        <v>0</v>
      </c>
      <c r="P57" s="72">
        <f>Tabella3[[#This Row],[Italy remov. rate fit]]*NOT(ISBLANK(Tabella3[[#This Row],[Italy remov. rate data]]))</f>
        <v>0</v>
      </c>
      <c r="Q57" s="72">
        <f>Tabella3[[#This Row],[Italy remov. rate fit]]+CIf</f>
        <v>2056.4686081439522</v>
      </c>
      <c r="R57" s="72">
        <f>MAX(Tabella3[[#This Row],[Italy remov. rate fit]]-CIf,0)</f>
        <v>0</v>
      </c>
      <c r="S57" s="139"/>
      <c r="T57" s="144"/>
      <c r="U57" s="10">
        <f>Tabella3[[#This Row],[region data]]*NOT(ISBLANK(Tabella3[[#This Row],[region data]]))</f>
        <v>0</v>
      </c>
      <c r="V57"/>
      <c r="W57" s="72">
        <f>Tabella3[[#This Row],[6-days moving avg]]*NOT(ISBLANK(Tabella3[[#This Row],[6-days moving avg]]))</f>
        <v>0</v>
      </c>
      <c r="X57" s="145">
        <f>Tabella8[[#This Row],[region fit]]</f>
        <v>0</v>
      </c>
      <c r="Y57" s="10">
        <f>Tabella3[[#This Row],[region cumul. fit]]/Kl</f>
        <v>0</v>
      </c>
      <c r="Z57" s="72">
        <f>IFERROR(Kl*psi_l*_xlfn.SECH(psi_l*(Tabella3[[#This Row],[Day]]-pl)-phi_l)^2/(1+TANH(phi_l)),0)</f>
        <v>11.366623412400575</v>
      </c>
      <c r="AA57" s="72">
        <f>Tabella3[[#This Row],[region fit]]/y_l_peak</f>
        <v>8.2486814536884501E-2</v>
      </c>
      <c r="AB57" s="10">
        <f>Tabella3[[#This Row],[region fit]]*NOT(ISBLANK(Tabella3[[#This Row],[region data]]))</f>
        <v>0</v>
      </c>
      <c r="AC57" s="166">
        <f>IFERROR(kl_m*psi_l_m*_xlfn.SECH(psi_l_m*(Tabella3[[#This Row],[Day]]-pl_m)-phi_l_m)^2/(1+TANH(phi_l_m)),0)</f>
        <v>11.366623412400575</v>
      </c>
      <c r="AD57" s="72">
        <f>Tabella3[[#This Row],[6-days moving avg fit]]*NOT(ISBLANK(Tabella3[[#This Row],[6-days moving avg]]))</f>
        <v>0</v>
      </c>
      <c r="AE57" s="72">
        <f>Tabella3[[#This Row],[region fit]]+CIl</f>
        <v>65.131463821949026</v>
      </c>
      <c r="AF57" s="72">
        <f>MAX(Tabella3[[#This Row],[region fit]]-CIl,0)</f>
        <v>0</v>
      </c>
      <c r="AG57" s="141"/>
      <c r="AH57" s="144"/>
      <c r="AI57" s="10">
        <f>Tabella3[[#This Row],[rest of Italy data]]*NOT(ISBLANK(Tabella3[[#This Row],[rest of Italy data]]))</f>
        <v>0</v>
      </c>
      <c r="AJ57" s="145">
        <f>Tabella8[[#This Row],[rest of Italy fit]]</f>
        <v>0</v>
      </c>
      <c r="AK57" s="72">
        <f>Tabella3[[#This Row],[rest of Italy cumul. fit]]/Ka</f>
        <v>0</v>
      </c>
      <c r="AL57" s="72">
        <f>IFERROR(Ka*psi_a*_xlfn.SECH(psi_a*(Tabella3[[#This Row],[Day]]-pa)-phi_a)^2/(1+TANH(phi_a)),0)</f>
        <v>331.48363612035143</v>
      </c>
      <c r="AM57" s="72">
        <f>Tabella3[[#This Row],[rest of Italy fit]]/y_a_peak</f>
        <v>0.11583082228055613</v>
      </c>
      <c r="AN57" s="10">
        <f>Tabella3[[#This Row],[rest of Italy fit]]*NOT(ISBLANK(Tabella3[[#This Row],[rest of Italy data]]))</f>
        <v>0</v>
      </c>
      <c r="AO57" s="72">
        <f>Tabella3[[#This Row],[rest of Italy fit]]+CIa</f>
        <v>2026.0578310299343</v>
      </c>
      <c r="AP57" s="72">
        <f>MAX(Tabella3[[#This Row],[rest of Italy fit]]-CIa,0)</f>
        <v>0</v>
      </c>
      <c r="AR57" s="61" t="s">
        <v>356</v>
      </c>
      <c r="AS57" s="138">
        <f>pt</f>
        <v>69.844294912230211</v>
      </c>
    </row>
    <row r="58" spans="2:47" x14ac:dyDescent="0.3">
      <c r="B58" s="134">
        <v>43881</v>
      </c>
      <c r="C58" s="4">
        <v>51</v>
      </c>
      <c r="D58" s="141"/>
      <c r="E58" s="144"/>
      <c r="F58" s="10">
        <f>Tabella3[[#This Row],[Italy remov. rate data]]*NOT(ISBLANK(Tabella3[[#This Row],[Italy remov. rate data]]))</f>
        <v>0</v>
      </c>
      <c r="G58" s="158">
        <f>Tabella3[[#This Row],[region cumul. fit]]+Tabella3[[#This Row],[rest of Italy cumul. fit]]</f>
        <v>0</v>
      </c>
      <c r="H58" s="158">
        <f>Tabella3[[#This Row],[Italy cumul. fit]]/Kf</f>
        <v>0</v>
      </c>
      <c r="I58" s="143">
        <f>Tabella3[[#This Row],[region fit]]+Tabella3[[#This Row],[rest of Italy fit]]</f>
        <v>359.09518725487527</v>
      </c>
      <c r="J58" s="143">
        <f>Tabella3[[#This Row],[Italy (fit of selected region + fitted sum of the other regions)]]/(y_l_peak+y_a_peak)</f>
        <v>0.11971473489226808</v>
      </c>
      <c r="K58" s="72">
        <f>IFERROR(Kf*psi_f*_xlfn.SECH(psi_f*(Tabella3[[#This Row],[Day]]-pf)-phi_f)^2/(1+TANH(phi_f)),0)</f>
        <v>357.0538991472967</v>
      </c>
      <c r="L58" s="292">
        <f>Tabella3[[#This Row],[Italy remov. rate fit]]-Tabella3[[#This Row],[Italy remov. rate data]]</f>
        <v>357.0538991472967</v>
      </c>
      <c r="M58" s="293">
        <f>Tabella3[[#This Row],[rem. rate residuals]]*NOT(ISBLANK(Tabella3[[#This Row],[Italy remov. rate data]]))</f>
        <v>0</v>
      </c>
      <c r="N58" s="72">
        <f>Tabella3[[#This Row],[Italy remov. rate fit]]/y_f_peak</f>
        <v>0.11896221243074524</v>
      </c>
      <c r="O58" s="10">
        <f>Tabella3[[#This Row],[Italy (fit of selected region + fitted sum of the other regions)]]*NOT(ISBLANK(Tabella3[[#This Row],[Italy remov. rate data]]))</f>
        <v>0</v>
      </c>
      <c r="P58" s="72">
        <f>Tabella3[[#This Row],[Italy remov. rate fit]]*NOT(ISBLANK(Tabella3[[#This Row],[Italy remov. rate data]]))</f>
        <v>0</v>
      </c>
      <c r="Q58" s="72">
        <f>Tabella3[[#This Row],[Italy remov. rate fit]]+CIf</f>
        <v>2072.6687584818478</v>
      </c>
      <c r="R58" s="72">
        <f>MAX(Tabella3[[#This Row],[Italy remov. rate fit]]-CIf,0)</f>
        <v>0</v>
      </c>
      <c r="S58" s="139"/>
      <c r="T58" s="144"/>
      <c r="U58" s="10">
        <f>Tabella3[[#This Row],[region data]]*NOT(ISBLANK(Tabella3[[#This Row],[region data]]))</f>
        <v>0</v>
      </c>
      <c r="V58"/>
      <c r="W58" s="72">
        <f>Tabella3[[#This Row],[6-days moving avg]]*NOT(ISBLANK(Tabella3[[#This Row],[6-days moving avg]]))</f>
        <v>0</v>
      </c>
      <c r="X58" s="145">
        <f>Tabella8[[#This Row],[region fit]]</f>
        <v>0</v>
      </c>
      <c r="Y58" s="10">
        <f>Tabella3[[#This Row],[region cumul. fit]]/Kl</f>
        <v>0</v>
      </c>
      <c r="Z58" s="72">
        <f>IFERROR(Kl*psi_l*_xlfn.SECH(psi_l*(Tabella3[[#This Row],[Day]]-pl)-phi_l)^2/(1+TANH(phi_l)),0)</f>
        <v>11.996874827981992</v>
      </c>
      <c r="AA58" s="72">
        <f>Tabella3[[#This Row],[region fit]]/y_l_peak</f>
        <v>8.7060506278264518E-2</v>
      </c>
      <c r="AB58" s="10">
        <f>Tabella3[[#This Row],[region fit]]*NOT(ISBLANK(Tabella3[[#This Row],[region data]]))</f>
        <v>0</v>
      </c>
      <c r="AC58" s="166">
        <f>IFERROR(kl_m*psi_l_m*_xlfn.SECH(psi_l_m*(Tabella3[[#This Row],[Day]]-pl_m)-phi_l_m)^2/(1+TANH(phi_l_m)),0)</f>
        <v>11.996874827981992</v>
      </c>
      <c r="AD58" s="72">
        <f>Tabella3[[#This Row],[6-days moving avg fit]]*NOT(ISBLANK(Tabella3[[#This Row],[6-days moving avg]]))</f>
        <v>0</v>
      </c>
      <c r="AE58" s="72">
        <f>Tabella3[[#This Row],[region fit]]+CIl</f>
        <v>65.761715237530453</v>
      </c>
      <c r="AF58" s="72">
        <f>MAX(Tabella3[[#This Row],[region fit]]-CIl,0)</f>
        <v>0</v>
      </c>
      <c r="AG58" s="141"/>
      <c r="AH58" s="144"/>
      <c r="AI58" s="10">
        <f>Tabella3[[#This Row],[rest of Italy data]]*NOT(ISBLANK(Tabella3[[#This Row],[rest of Italy data]]))</f>
        <v>0</v>
      </c>
      <c r="AJ58" s="145">
        <f>Tabella8[[#This Row],[rest of Italy fit]]</f>
        <v>0</v>
      </c>
      <c r="AK58" s="72">
        <f>Tabella3[[#This Row],[rest of Italy cumul. fit]]/Ka</f>
        <v>0</v>
      </c>
      <c r="AL58" s="72">
        <f>IFERROR(Ka*psi_a*_xlfn.SECH(psi_a*(Tabella3[[#This Row],[Day]]-pa)-phi_a)^2/(1+TANH(phi_a)),0)</f>
        <v>347.0983124268933</v>
      </c>
      <c r="AM58" s="72">
        <f>Tabella3[[#This Row],[rest of Italy fit]]/y_a_peak</f>
        <v>0.12128708195418537</v>
      </c>
      <c r="AN58" s="10">
        <f>Tabella3[[#This Row],[rest of Italy fit]]*NOT(ISBLANK(Tabella3[[#This Row],[rest of Italy data]]))</f>
        <v>0</v>
      </c>
      <c r="AO58" s="72">
        <f>Tabella3[[#This Row],[rest of Italy fit]]+CIa</f>
        <v>2041.672507336476</v>
      </c>
      <c r="AP58" s="72">
        <f>MAX(Tabella3[[#This Row],[rest of Italy fit]]-CIa,0)</f>
        <v>0</v>
      </c>
    </row>
    <row r="59" spans="2:47" x14ac:dyDescent="0.3">
      <c r="B59" s="134">
        <v>43882</v>
      </c>
      <c r="C59" s="4">
        <v>52</v>
      </c>
      <c r="D59" s="141"/>
      <c r="E59" s="144"/>
      <c r="F59" s="10">
        <f>Tabella3[[#This Row],[Italy remov. rate data]]*NOT(ISBLANK(Tabella3[[#This Row],[Italy remov. rate data]]))</f>
        <v>0</v>
      </c>
      <c r="G59" s="158">
        <f>Tabella3[[#This Row],[region cumul. fit]]+Tabella3[[#This Row],[rest of Italy cumul. fit]]</f>
        <v>0</v>
      </c>
      <c r="H59" s="158">
        <f>Tabella3[[#This Row],[Italy cumul. fit]]/Kf</f>
        <v>0</v>
      </c>
      <c r="I59" s="143">
        <f>Tabella3[[#This Row],[region fit]]+Tabella3[[#This Row],[rest of Italy fit]]</f>
        <v>376.05585937740659</v>
      </c>
      <c r="J59" s="143">
        <f>Tabella3[[#This Row],[Italy (fit of selected region + fitted sum of the other regions)]]/(y_l_peak+y_a_peak)</f>
        <v>0.12536906399165076</v>
      </c>
      <c r="K59" s="72">
        <f>IFERROR(Kf*psi_f*_xlfn.SECH(psi_f*(Tabella3[[#This Row],[Day]]-pf)-phi_f)^2/(1+TANH(phi_f)),0)</f>
        <v>373.969732036788</v>
      </c>
      <c r="L59" s="292">
        <f>Tabella3[[#This Row],[Italy remov. rate fit]]-Tabella3[[#This Row],[Italy remov. rate data]]</f>
        <v>373.969732036788</v>
      </c>
      <c r="M59" s="293">
        <f>Tabella3[[#This Row],[rem. rate residuals]]*NOT(ISBLANK(Tabella3[[#This Row],[Italy remov. rate data]]))</f>
        <v>0</v>
      </c>
      <c r="N59" s="72">
        <f>Tabella3[[#This Row],[Italy remov. rate fit]]/y_f_peak</f>
        <v>0.12459818198729808</v>
      </c>
      <c r="O59" s="10">
        <f>Tabella3[[#This Row],[Italy (fit of selected region + fitted sum of the other regions)]]*NOT(ISBLANK(Tabella3[[#This Row],[Italy remov. rate data]]))</f>
        <v>0</v>
      </c>
      <c r="P59" s="72">
        <f>Tabella3[[#This Row],[Italy remov. rate fit]]*NOT(ISBLANK(Tabella3[[#This Row],[Italy remov. rate data]]))</f>
        <v>0</v>
      </c>
      <c r="Q59" s="72">
        <f>Tabella3[[#This Row],[Italy remov. rate fit]]+CIf</f>
        <v>2089.5845913713392</v>
      </c>
      <c r="R59" s="72">
        <f>MAX(Tabella3[[#This Row],[Italy remov. rate fit]]-CIf,0)</f>
        <v>0</v>
      </c>
      <c r="S59" s="139"/>
      <c r="T59" s="144"/>
      <c r="U59" s="10">
        <f>Tabella3[[#This Row],[region data]]*NOT(ISBLANK(Tabella3[[#This Row],[region data]]))</f>
        <v>0</v>
      </c>
      <c r="V59"/>
      <c r="W59" s="72">
        <f>Tabella3[[#This Row],[6-days moving avg]]*NOT(ISBLANK(Tabella3[[#This Row],[6-days moving avg]]))</f>
        <v>0</v>
      </c>
      <c r="X59" s="145">
        <f>Tabella8[[#This Row],[region fit]]</f>
        <v>0</v>
      </c>
      <c r="Y59" s="10">
        <f>Tabella3[[#This Row],[region cumul. fit]]/Kl</f>
        <v>0</v>
      </c>
      <c r="Z59" s="72">
        <f>IFERROR(Kl*psi_l*_xlfn.SECH(psi_l*(Tabella3[[#This Row],[Day]]-pl)-phi_l)^2/(1+TANH(phi_l)),0)</f>
        <v>12.660318053402866</v>
      </c>
      <c r="AA59" s="72">
        <f>Tabella3[[#This Row],[region fit]]/y_l_peak</f>
        <v>9.1875068730587942E-2</v>
      </c>
      <c r="AB59" s="10">
        <f>Tabella3[[#This Row],[region fit]]*NOT(ISBLANK(Tabella3[[#This Row],[region data]]))</f>
        <v>0</v>
      </c>
      <c r="AC59" s="166">
        <f>IFERROR(kl_m*psi_l_m*_xlfn.SECH(psi_l_m*(Tabella3[[#This Row],[Day]]-pl_m)-phi_l_m)^2/(1+TANH(phi_l_m)),0)</f>
        <v>12.660318053402866</v>
      </c>
      <c r="AD59" s="72">
        <f>Tabella3[[#This Row],[6-days moving avg fit]]*NOT(ISBLANK(Tabella3[[#This Row],[6-days moving avg]]))</f>
        <v>0</v>
      </c>
      <c r="AE59" s="72">
        <f>Tabella3[[#This Row],[region fit]]+CIl</f>
        <v>66.425158462951316</v>
      </c>
      <c r="AF59" s="72">
        <f>MAX(Tabella3[[#This Row],[region fit]]-CIl,0)</f>
        <v>0</v>
      </c>
      <c r="AG59" s="141"/>
      <c r="AH59" s="144"/>
      <c r="AI59" s="10">
        <f>Tabella3[[#This Row],[rest of Italy data]]*NOT(ISBLANK(Tabella3[[#This Row],[rest of Italy data]]))</f>
        <v>0</v>
      </c>
      <c r="AJ59" s="145">
        <f>Tabella8[[#This Row],[rest of Italy fit]]</f>
        <v>0</v>
      </c>
      <c r="AK59" s="72">
        <f>Tabella3[[#This Row],[rest of Italy cumul. fit]]/Ka</f>
        <v>0</v>
      </c>
      <c r="AL59" s="72">
        <f>IFERROR(Ka*psi_a*_xlfn.SECH(psi_a*(Tabella3[[#This Row],[Day]]-pa)-phi_a)^2/(1+TANH(phi_a)),0)</f>
        <v>363.39554132400372</v>
      </c>
      <c r="AM59" s="72">
        <f>Tabella3[[#This Row],[rest of Italy fit]]/y_a_peak</f>
        <v>0.12698184699942389</v>
      </c>
      <c r="AN59" s="10">
        <f>Tabella3[[#This Row],[rest of Italy fit]]*NOT(ISBLANK(Tabella3[[#This Row],[rest of Italy data]]))</f>
        <v>0</v>
      </c>
      <c r="AO59" s="72">
        <f>Tabella3[[#This Row],[rest of Italy fit]]+CIa</f>
        <v>2057.9697362335864</v>
      </c>
      <c r="AP59" s="72">
        <f>MAX(Tabella3[[#This Row],[rest of Italy fit]]-CIa,0)</f>
        <v>0</v>
      </c>
      <c r="AR59" s="53"/>
      <c r="AS59" s="55"/>
      <c r="AT59" s="54"/>
      <c r="AU59" s="54"/>
    </row>
    <row r="60" spans="2:47" x14ac:dyDescent="0.3">
      <c r="B60" s="134">
        <v>43883</v>
      </c>
      <c r="C60" s="4">
        <v>53</v>
      </c>
      <c r="D60" s="141"/>
      <c r="E60" s="144"/>
      <c r="F60" s="10">
        <f>Tabella3[[#This Row],[Italy remov. rate data]]*NOT(ISBLANK(Tabella3[[#This Row],[Italy remov. rate data]]))</f>
        <v>0</v>
      </c>
      <c r="G60" s="158">
        <f>Tabella3[[#This Row],[region cumul. fit]]+Tabella3[[#This Row],[rest of Italy cumul. fit]]</f>
        <v>0</v>
      </c>
      <c r="H60" s="158">
        <f>Tabella3[[#This Row],[Italy cumul. fit]]/Kf</f>
        <v>0</v>
      </c>
      <c r="I60" s="143">
        <f>Tabella3[[#This Row],[region fit]]+Tabella3[[#This Row],[rest of Italy fit]]</f>
        <v>393.75840095795633</v>
      </c>
      <c r="J60" s="143">
        <f>Tabella3[[#This Row],[Italy (fit of selected region + fitted sum of the other regions)]]/(y_l_peak+y_a_peak)</f>
        <v>0.13127071666607296</v>
      </c>
      <c r="K60" s="72">
        <f>IFERROR(Kf*psi_f*_xlfn.SECH(psi_f*(Tabella3[[#This Row],[Day]]-pf)-phi_f)^2/(1+TANH(phi_f)),0)</f>
        <v>391.62743483273545</v>
      </c>
      <c r="L60" s="292">
        <f>Tabella3[[#This Row],[Italy remov. rate fit]]-Tabella3[[#This Row],[Italy remov. rate data]]</f>
        <v>391.62743483273545</v>
      </c>
      <c r="M60" s="293">
        <f>Tabella3[[#This Row],[rem. rate residuals]]*NOT(ISBLANK(Tabella3[[#This Row],[Italy remov. rate data]]))</f>
        <v>0</v>
      </c>
      <c r="N60" s="72">
        <f>Tabella3[[#This Row],[Italy remov. rate fit]]/y_f_peak</f>
        <v>0.13048132566971421</v>
      </c>
      <c r="O60" s="10">
        <f>Tabella3[[#This Row],[Italy (fit of selected region + fitted sum of the other regions)]]*NOT(ISBLANK(Tabella3[[#This Row],[Italy remov. rate data]]))</f>
        <v>0</v>
      </c>
      <c r="P60" s="72">
        <f>Tabella3[[#This Row],[Italy remov. rate fit]]*NOT(ISBLANK(Tabella3[[#This Row],[Italy remov. rate data]]))</f>
        <v>0</v>
      </c>
      <c r="Q60" s="72">
        <f>Tabella3[[#This Row],[Italy remov. rate fit]]+CIf</f>
        <v>2107.2422941672867</v>
      </c>
      <c r="R60" s="72">
        <f>MAX(Tabella3[[#This Row],[Italy remov. rate fit]]-CIf,0)</f>
        <v>0</v>
      </c>
      <c r="S60" s="139"/>
      <c r="T60" s="144"/>
      <c r="U60" s="10">
        <f>Tabella3[[#This Row],[region data]]*NOT(ISBLANK(Tabella3[[#This Row],[region data]]))</f>
        <v>0</v>
      </c>
      <c r="V60"/>
      <c r="W60" s="72">
        <f>Tabella3[[#This Row],[6-days moving avg]]*NOT(ISBLANK(Tabella3[[#This Row],[6-days moving avg]]))</f>
        <v>0</v>
      </c>
      <c r="X60" s="145">
        <f>Tabella8[[#This Row],[region fit]]</f>
        <v>0</v>
      </c>
      <c r="Y60" s="10">
        <f>Tabella3[[#This Row],[region cumul. fit]]/Kl</f>
        <v>0</v>
      </c>
      <c r="Z60" s="72">
        <f>IFERROR(Kl*psi_l*_xlfn.SECH(psi_l*(Tabella3[[#This Row],[Day]]-pl)-phi_l)^2/(1+TANH(phi_l)),0)</f>
        <v>13.358497400569744</v>
      </c>
      <c r="AA60" s="72">
        <f>Tabella3[[#This Row],[region fit]]/y_l_peak</f>
        <v>9.6941708860532619E-2</v>
      </c>
      <c r="AB60" s="10">
        <f>Tabella3[[#This Row],[region fit]]*NOT(ISBLANK(Tabella3[[#This Row],[region data]]))</f>
        <v>0</v>
      </c>
      <c r="AC60" s="166">
        <f>IFERROR(kl_m*psi_l_m*_xlfn.SECH(psi_l_m*(Tabella3[[#This Row],[Day]]-pl_m)-phi_l_m)^2/(1+TANH(phi_l_m)),0)</f>
        <v>13.358497400569744</v>
      </c>
      <c r="AD60" s="72">
        <f>Tabella3[[#This Row],[6-days moving avg fit]]*NOT(ISBLANK(Tabella3[[#This Row],[6-days moving avg]]))</f>
        <v>0</v>
      </c>
      <c r="AE60" s="72">
        <f>Tabella3[[#This Row],[region fit]]+CIl</f>
        <v>67.123337810118201</v>
      </c>
      <c r="AF60" s="72">
        <f>MAX(Tabella3[[#This Row],[region fit]]-CIl,0)</f>
        <v>0</v>
      </c>
      <c r="AG60" s="141"/>
      <c r="AH60" s="144"/>
      <c r="AI60" s="10">
        <f>Tabella3[[#This Row],[rest of Italy data]]*NOT(ISBLANK(Tabella3[[#This Row],[rest of Italy data]]))</f>
        <v>0</v>
      </c>
      <c r="AJ60" s="145">
        <f>Tabella8[[#This Row],[rest of Italy fit]]</f>
        <v>0</v>
      </c>
      <c r="AK60" s="72">
        <f>Tabella3[[#This Row],[rest of Italy cumul. fit]]/Ka</f>
        <v>0</v>
      </c>
      <c r="AL60" s="72">
        <f>IFERROR(Ka*psi_a*_xlfn.SECH(psi_a*(Tabella3[[#This Row],[Day]]-pa)-phi_a)^2/(1+TANH(phi_a)),0)</f>
        <v>380.39990355738661</v>
      </c>
      <c r="AM60" s="72">
        <f>Tabella3[[#This Row],[rest of Italy fit]]/y_a_peak</f>
        <v>0.13292370670297216</v>
      </c>
      <c r="AN60" s="10">
        <f>Tabella3[[#This Row],[rest of Italy fit]]*NOT(ISBLANK(Tabella3[[#This Row],[rest of Italy data]]))</f>
        <v>0</v>
      </c>
      <c r="AO60" s="72">
        <f>Tabella3[[#This Row],[rest of Italy fit]]+CIa</f>
        <v>2074.9740984669693</v>
      </c>
      <c r="AP60" s="72">
        <f>MAX(Tabella3[[#This Row],[rest of Italy fit]]-CIa,0)</f>
        <v>0</v>
      </c>
      <c r="AR60" s="53"/>
      <c r="AS60" s="53"/>
    </row>
    <row r="61" spans="2:47" x14ac:dyDescent="0.3">
      <c r="B61" s="134">
        <v>43884</v>
      </c>
      <c r="C61" s="4">
        <v>54</v>
      </c>
      <c r="D61" s="141"/>
      <c r="E61" s="144"/>
      <c r="F61" s="10">
        <f>Tabella3[[#This Row],[Italy remov. rate data]]*NOT(ISBLANK(Tabella3[[#This Row],[Italy remov. rate data]]))</f>
        <v>0</v>
      </c>
      <c r="G61" s="158">
        <f>Tabella3[[#This Row],[region cumul. fit]]+Tabella3[[#This Row],[rest of Italy cumul. fit]]</f>
        <v>0</v>
      </c>
      <c r="H61" s="158">
        <f>Tabella3[[#This Row],[Italy cumul. fit]]/Kf</f>
        <v>0</v>
      </c>
      <c r="I61" s="143">
        <f>Tabella3[[#This Row],[region fit]]+Tabella3[[#This Row],[rest of Italy fit]]</f>
        <v>412.22933763370355</v>
      </c>
      <c r="J61" s="143">
        <f>Tabella3[[#This Row],[Italy (fit of selected region + fitted sum of the other regions)]]/(y_l_peak+y_a_peak)</f>
        <v>0.13742853600153365</v>
      </c>
      <c r="K61" s="72">
        <f>IFERROR(Kf*psi_f*_xlfn.SECH(psi_f*(Tabella3[[#This Row],[Day]]-pf)-phi_f)^2/(1+TANH(phi_f)),0)</f>
        <v>410.05359856438071</v>
      </c>
      <c r="L61" s="292">
        <f>Tabella3[[#This Row],[Italy remov. rate fit]]-Tabella3[[#This Row],[Italy remov. rate data]]</f>
        <v>410.05359856438071</v>
      </c>
      <c r="M61" s="293">
        <f>Tabella3[[#This Row],[rem. rate residuals]]*NOT(ISBLANK(Tabella3[[#This Row],[Italy remov. rate data]]))</f>
        <v>0</v>
      </c>
      <c r="N61" s="72">
        <f>Tabella3[[#This Row],[Italy remov. rate fit]]/y_f_peak</f>
        <v>0.1366205030022194</v>
      </c>
      <c r="O61" s="10">
        <f>Tabella3[[#This Row],[Italy (fit of selected region + fitted sum of the other regions)]]*NOT(ISBLANK(Tabella3[[#This Row],[Italy remov. rate data]]))</f>
        <v>0</v>
      </c>
      <c r="P61" s="72">
        <f>Tabella3[[#This Row],[Italy remov. rate fit]]*NOT(ISBLANK(Tabella3[[#This Row],[Italy remov. rate data]]))</f>
        <v>0</v>
      </c>
      <c r="Q61" s="72">
        <f>Tabella3[[#This Row],[Italy remov. rate fit]]+CIf</f>
        <v>2125.668457898932</v>
      </c>
      <c r="R61" s="72">
        <f>MAX(Tabella3[[#This Row],[Italy remov. rate fit]]-CIf,0)</f>
        <v>0</v>
      </c>
      <c r="S61" s="139"/>
      <c r="T61" s="144"/>
      <c r="U61" s="10">
        <f>Tabella3[[#This Row],[region data]]*NOT(ISBLANK(Tabella3[[#This Row],[region data]]))</f>
        <v>0</v>
      </c>
      <c r="V61"/>
      <c r="W61" s="72">
        <f>Tabella3[[#This Row],[6-days moving avg]]*NOT(ISBLANK(Tabella3[[#This Row],[6-days moving avg]]))</f>
        <v>0</v>
      </c>
      <c r="X61" s="145">
        <f>Tabella8[[#This Row],[region fit]]</f>
        <v>0</v>
      </c>
      <c r="Y61" s="10">
        <f>Tabella3[[#This Row],[region cumul. fit]]/Kl</f>
        <v>0</v>
      </c>
      <c r="Z61" s="72">
        <f>IFERROR(Kl*psi_l*_xlfn.SECH(psi_l*(Tabella3[[#This Row],[Day]]-pl)-phi_l)^2/(1+TANH(phi_l)),0)</f>
        <v>14.093005078762257</v>
      </c>
      <c r="AA61" s="72">
        <f>Tabella3[[#This Row],[region fit]]/y_l_peak</f>
        <v>0.10227198122276157</v>
      </c>
      <c r="AB61" s="10">
        <f>Tabella3[[#This Row],[region fit]]*NOT(ISBLANK(Tabella3[[#This Row],[region data]]))</f>
        <v>0</v>
      </c>
      <c r="AC61" s="166">
        <f>IFERROR(kl_m*psi_l_m*_xlfn.SECH(psi_l_m*(Tabella3[[#This Row],[Day]]-pl_m)-phi_l_m)^2/(1+TANH(phi_l_m)),0)</f>
        <v>14.093005078762257</v>
      </c>
      <c r="AD61" s="72">
        <f>Tabella3[[#This Row],[6-days moving avg fit]]*NOT(ISBLANK(Tabella3[[#This Row],[6-days moving avg]]))</f>
        <v>0</v>
      </c>
      <c r="AE61" s="72">
        <f>Tabella3[[#This Row],[region fit]]+CIl</f>
        <v>67.857845488310716</v>
      </c>
      <c r="AF61" s="72">
        <f>MAX(Tabella3[[#This Row],[region fit]]-CIl,0)</f>
        <v>0</v>
      </c>
      <c r="AG61" s="141"/>
      <c r="AH61" s="144"/>
      <c r="AI61" s="10">
        <f>Tabella3[[#This Row],[rest of Italy data]]*NOT(ISBLANK(Tabella3[[#This Row],[rest of Italy data]]))</f>
        <v>0</v>
      </c>
      <c r="AJ61" s="145">
        <f>Tabella8[[#This Row],[rest of Italy fit]]</f>
        <v>0</v>
      </c>
      <c r="AK61" s="72">
        <f>Tabella3[[#This Row],[rest of Italy cumul. fit]]/Ka</f>
        <v>0</v>
      </c>
      <c r="AL61" s="72">
        <f>IFERROR(Ka*psi_a*_xlfn.SECH(psi_a*(Tabella3[[#This Row],[Day]]-pa)-phi_a)^2/(1+TANH(phi_a)),0)</f>
        <v>398.1363325549413</v>
      </c>
      <c r="AM61" s="72">
        <f>Tabella3[[#This Row],[rest of Italy fit]]/y_a_peak</f>
        <v>0.1391213735897972</v>
      </c>
      <c r="AN61" s="10">
        <f>Tabella3[[#This Row],[rest of Italy fit]]*NOT(ISBLANK(Tabella3[[#This Row],[rest of Italy data]]))</f>
        <v>0</v>
      </c>
      <c r="AO61" s="72">
        <f>Tabella3[[#This Row],[rest of Italy fit]]+CIa</f>
        <v>2092.7105274645241</v>
      </c>
      <c r="AP61" s="72">
        <f>MAX(Tabella3[[#This Row],[rest of Italy fit]]-CIa,0)</f>
        <v>0</v>
      </c>
      <c r="AR61" s="53"/>
      <c r="AS61" s="53"/>
    </row>
    <row r="62" spans="2:47" x14ac:dyDescent="0.3">
      <c r="B62" s="15">
        <v>43885</v>
      </c>
      <c r="C62" s="4">
        <v>55</v>
      </c>
      <c r="D62" s="72">
        <f>'dpc-covid19-ita-andamento-naz'!J2+'dpc-covid19-ita-andamento-naz'!K2</f>
        <v>8</v>
      </c>
      <c r="E62" s="72">
        <f>(Tabella3[[#This Row],[Italy cumul. data]]-D61)</f>
        <v>8</v>
      </c>
      <c r="F62" s="72">
        <f>Tabella3[[#This Row],[Italy remov. rate data]]*NOT(ISBLANK(Tabella3[[#This Row],[Italy remov. rate data]]))</f>
        <v>8</v>
      </c>
      <c r="G62" s="77">
        <f>Tabella8[[#This Row],[Italy fit]]</f>
        <v>0</v>
      </c>
      <c r="H62" s="158">
        <f>Tabella3[[#This Row],[Italy cumul. fit]]/Kf</f>
        <v>0</v>
      </c>
      <c r="I62" s="77">
        <f>Tabella3[[#This Row],[region fit]]+Tabella3[[#This Row],[rest of Italy fit]]</f>
        <v>431.49553806279977</v>
      </c>
      <c r="J62" s="77">
        <f>Tabella3[[#This Row],[Italy (fit of selected region + fitted sum of the other regions)]]/(y_l_peak+y_a_peak)</f>
        <v>0.14385147943996382</v>
      </c>
      <c r="K62" s="72">
        <f>IFERROR(Kf*psi_f*_xlfn.SECH(psi_f*(Tabella3[[#This Row],[Day]]-pf)-phi_f)^2/(1+TANH(phi_f)),0)</f>
        <v>429.27516033430464</v>
      </c>
      <c r="L62" s="292">
        <f>Tabella3[[#This Row],[Italy remov. rate fit]]-Tabella3[[#This Row],[Italy remov. rate data]]</f>
        <v>421.27516033430464</v>
      </c>
      <c r="M62" s="293">
        <f>Tabella3[[#This Row],[rem. rate residuals]]*NOT(ISBLANK(Tabella3[[#This Row],[Italy remov. rate data]]))</f>
        <v>421.27516033430464</v>
      </c>
      <c r="N62" s="72">
        <f>Tabella3[[#This Row],[Italy remov. rate fit]]/y_f_peak</f>
        <v>0.1430246888127798</v>
      </c>
      <c r="O62" s="72">
        <f>Tabella3[[#This Row],[Italy (fit of selected region + fitted sum of the other regions)]]*NOT(ISBLANK(Tabella3[[#This Row],[Italy remov. rate data]]))</f>
        <v>431.49553806279977</v>
      </c>
      <c r="P62" s="72">
        <f>Tabella3[[#This Row],[Italy remov. rate fit]]*NOT(ISBLANK(Tabella3[[#This Row],[Italy remov. rate data]]))</f>
        <v>429.27516033430464</v>
      </c>
      <c r="Q62" s="72">
        <f>Tabella3[[#This Row],[Italy remov. rate fit]]+CIf</f>
        <v>2144.890019668856</v>
      </c>
      <c r="R62" s="72">
        <f>MAX(Tabella3[[#This Row],[Italy remov. rate fit]]-CIf,0)</f>
        <v>0</v>
      </c>
      <c r="S62" s="4">
        <f>Tabella8[[#This Row],[region data]]</f>
        <v>0</v>
      </c>
      <c r="T62" s="144"/>
      <c r="U62" s="72">
        <f>Tabella3[[#This Row],[region data]]*NOT(ISBLANK(Tabella3[[#This Row],[region data]]))</f>
        <v>0</v>
      </c>
      <c r="V62"/>
      <c r="W62" s="72">
        <f>Tabella3[[#This Row],[6-days moving avg]]*NOT(ISBLANK(Tabella3[[#This Row],[6-days moving avg]]))</f>
        <v>0</v>
      </c>
      <c r="X62" s="77">
        <f>Tabella8[[#This Row],[region fit]]</f>
        <v>0</v>
      </c>
      <c r="Y62" s="72">
        <f>Tabella3[[#This Row],[region cumul. fit]]/Kl</f>
        <v>0</v>
      </c>
      <c r="Z62" s="72">
        <f>IFERROR(Kl*psi_l*_xlfn.SECH(psi_l*(Tabella3[[#This Row],[Day]]-pl)-phi_l)^2/(1+TANH(phi_l)),0)</f>
        <v>14.865479662063601</v>
      </c>
      <c r="AA62" s="72">
        <f>Tabella3[[#This Row],[region fit]]/y_l_peak</f>
        <v>0.10787777683817011</v>
      </c>
      <c r="AB62" s="72">
        <f>Tabella3[[#This Row],[region fit]]*NOT(ISBLANK(Tabella3[[#This Row],[region data]]))</f>
        <v>0</v>
      </c>
      <c r="AC62" s="166">
        <f>IFERROR(kl_m*psi_l_m*_xlfn.SECH(psi_l_m*(Tabella3[[#This Row],[Day]]-pl_m)-phi_l_m)^2/(1+TANH(phi_l_m)),0)</f>
        <v>14.865479662063601</v>
      </c>
      <c r="AD62" s="72">
        <f>Tabella3[[#This Row],[6-days moving avg fit]]*NOT(ISBLANK(Tabella3[[#This Row],[6-days moving avg]]))</f>
        <v>0</v>
      </c>
      <c r="AE62" s="72">
        <f>Tabella3[[#This Row],[region fit]]+CIl</f>
        <v>68.630320071612061</v>
      </c>
      <c r="AF62" s="72">
        <f>MAX(Tabella3[[#This Row],[region fit]]-CIl,0)</f>
        <v>0</v>
      </c>
      <c r="AG62" s="10">
        <f>Tabella8[[#This Row],[rest of Italy ]]</f>
        <v>8</v>
      </c>
      <c r="AH62" s="144"/>
      <c r="AI62" s="72">
        <f>Tabella3[[#This Row],[rest of Italy data]]*NOT(ISBLANK(Tabella3[[#This Row],[rest of Italy data]]))</f>
        <v>0</v>
      </c>
      <c r="AJ62" s="77">
        <f>Tabella8[[#This Row],[rest of Italy fit]]</f>
        <v>0</v>
      </c>
      <c r="AK62" s="72">
        <f>Tabella3[[#This Row],[rest of Italy cumul. fit]]/Ka</f>
        <v>0</v>
      </c>
      <c r="AL62" s="72">
        <f>IFERROR(Ka*psi_a*_xlfn.SECH(psi_a*(Tabella3[[#This Row],[Day]]-pa)-phi_a)^2/(1+TANH(phi_a)),0)</f>
        <v>416.63005840073617</v>
      </c>
      <c r="AM62" s="72">
        <f>Tabella3[[#This Row],[rest of Italy fit]]/y_a_peak</f>
        <v>0.1455836638458744</v>
      </c>
      <c r="AN62" s="72">
        <f>Tabella3[[#This Row],[rest of Italy fit]]*NOT(ISBLANK(Tabella3[[#This Row],[rest of Italy data]]))</f>
        <v>0</v>
      </c>
      <c r="AO62" s="72">
        <f>Tabella3[[#This Row],[rest of Italy fit]]+CIa</f>
        <v>2111.204253310319</v>
      </c>
      <c r="AP62" s="72">
        <f>MAX(Tabella3[[#This Row],[rest of Italy fit]]-CIa,0)</f>
        <v>0</v>
      </c>
      <c r="AR62"/>
      <c r="AS62"/>
    </row>
    <row r="63" spans="2:47" x14ac:dyDescent="0.3">
      <c r="B63" s="9">
        <v>43886</v>
      </c>
      <c r="C63" s="4">
        <v>56</v>
      </c>
      <c r="D63" s="72">
        <f>'dpc-covid19-ita-andamento-naz'!J3+'dpc-covid19-ita-andamento-naz'!K3</f>
        <v>11</v>
      </c>
      <c r="E63" s="72">
        <f>(Tabella3[[#This Row],[Italy cumul. data]]-D62)</f>
        <v>3</v>
      </c>
      <c r="F63" s="72">
        <f>Tabella3[[#This Row],[Italy remov. rate data]]*NOT(ISBLANK(Tabella3[[#This Row],[Italy remov. rate data]]))</f>
        <v>3</v>
      </c>
      <c r="G63" s="77">
        <f>Tabella8[[#This Row],[Italy fit]]</f>
        <v>0</v>
      </c>
      <c r="H63" s="158">
        <f>Tabella3[[#This Row],[Italy cumul. fit]]/Kf</f>
        <v>0</v>
      </c>
      <c r="I63" s="77">
        <f>Tabella3[[#This Row],[region fit]]+Tabella3[[#This Row],[rest of Italy fit]]</f>
        <v>451.58414785676132</v>
      </c>
      <c r="J63" s="77">
        <f>Tabella3[[#This Row],[Italy (fit of selected region + fitted sum of the other regions)]]/(y_l_peak+y_a_peak)</f>
        <v>0.15054859675368432</v>
      </c>
      <c r="K63" s="72">
        <f>IFERROR(Kf*psi_f*_xlfn.SECH(psi_f*(Tabella3[[#This Row],[Day]]-pf)-phi_f)^2/(1+TANH(phi_f)),0)</f>
        <v>449.31933719618542</v>
      </c>
      <c r="L63" s="292">
        <f>Tabella3[[#This Row],[Italy remov. rate fit]]-Tabella3[[#This Row],[Italy remov. rate data]]</f>
        <v>446.31933719618542</v>
      </c>
      <c r="M63" s="293">
        <f>Tabella3[[#This Row],[rem. rate residuals]]*NOT(ISBLANK(Tabella3[[#This Row],[Italy remov. rate data]]))</f>
        <v>446.31933719618542</v>
      </c>
      <c r="N63" s="72">
        <f>Tabella3[[#This Row],[Italy remov. rate fit]]/y_f_peak</f>
        <v>0.14970295120267965</v>
      </c>
      <c r="O63" s="72">
        <f>Tabella3[[#This Row],[Italy (fit of selected region + fitted sum of the other regions)]]*NOT(ISBLANK(Tabella3[[#This Row],[Italy remov. rate data]]))</f>
        <v>451.58414785676132</v>
      </c>
      <c r="P63" s="72">
        <f>Tabella3[[#This Row],[Italy remov. rate fit]]*NOT(ISBLANK(Tabella3[[#This Row],[Italy remov. rate data]]))</f>
        <v>449.31933719618542</v>
      </c>
      <c r="Q63" s="72">
        <f>Tabella3[[#This Row],[Italy remov. rate fit]]+CIf</f>
        <v>2164.9341965307367</v>
      </c>
      <c r="R63" s="72">
        <f>MAX(Tabella3[[#This Row],[Italy remov. rate fit]]-CIf,0)</f>
        <v>0</v>
      </c>
      <c r="S63" s="4">
        <f>Tabella8[[#This Row],[region data]]</f>
        <v>0</v>
      </c>
      <c r="T63" s="72">
        <f>(Tabella3[[#This Row],[region cumul. data]]-S62)</f>
        <v>0</v>
      </c>
      <c r="U63" s="72">
        <f>Tabella3[[#This Row],[region data]]*NOT(ISBLANK(Tabella3[[#This Row],[region data]]))</f>
        <v>0</v>
      </c>
      <c r="V63">
        <f t="shared" ref="V63:V76" si="0">AVERAGE(T59:T64)</f>
        <v>0</v>
      </c>
      <c r="W63" s="72">
        <f>Tabella3[[#This Row],[6-days moving avg]]*NOT(ISBLANK(Tabella3[[#This Row],[6-days moving avg]]))</f>
        <v>0</v>
      </c>
      <c r="X63" s="77">
        <f>Tabella8[[#This Row],[region fit]]</f>
        <v>0</v>
      </c>
      <c r="Y63" s="72">
        <f>Tabella3[[#This Row],[region cumul. fit]]/Kl</f>
        <v>0</v>
      </c>
      <c r="Z63" s="72">
        <f>IFERROR(Kl*psi_l*_xlfn.SECH(psi_l*(Tabella3[[#This Row],[Day]]-pl)-phi_l)^2/(1+TANH(phi_l)),0)</f>
        <v>15.67760406574914</v>
      </c>
      <c r="AA63" s="72">
        <f>Tabella3[[#This Row],[region fit]]/y_l_peak</f>
        <v>0.11377130850867516</v>
      </c>
      <c r="AB63" s="72">
        <f>Tabella3[[#This Row],[region fit]]*NOT(ISBLANK(Tabella3[[#This Row],[region data]]))</f>
        <v>15.67760406574914</v>
      </c>
      <c r="AC63" s="166">
        <f>IFERROR(kl_m*psi_l_m*_xlfn.SECH(psi_l_m*(Tabella3[[#This Row],[Day]]-pl_m)-phi_l_m)^2/(1+TANH(phi_l_m)),0)</f>
        <v>15.67760406574914</v>
      </c>
      <c r="AD63" s="72">
        <f>Tabella3[[#This Row],[6-days moving avg fit]]*NOT(ISBLANK(Tabella3[[#This Row],[6-days moving avg]]))</f>
        <v>15.67760406574914</v>
      </c>
      <c r="AE63" s="72">
        <f>Tabella3[[#This Row],[region fit]]+CIl</f>
        <v>69.442444475297592</v>
      </c>
      <c r="AF63" s="72">
        <f>MAX(Tabella3[[#This Row],[region fit]]-CIl,0)</f>
        <v>0</v>
      </c>
      <c r="AG63" s="10">
        <f>Tabella8[[#This Row],[rest of Italy ]]</f>
        <v>11</v>
      </c>
      <c r="AH63" s="10">
        <f>(Tabella3[[#This Row],[rest of Italy cum. data]]-AG62)</f>
        <v>3</v>
      </c>
      <c r="AI63" s="72">
        <f>Tabella3[[#This Row],[rest of Italy data]]*NOT(ISBLANK(Tabella3[[#This Row],[rest of Italy data]]))</f>
        <v>3</v>
      </c>
      <c r="AJ63" s="77">
        <f>Tabella8[[#This Row],[rest of Italy fit]]</f>
        <v>0</v>
      </c>
      <c r="AK63" s="72">
        <f>Tabella3[[#This Row],[rest of Italy cumul. fit]]/Ka</f>
        <v>0</v>
      </c>
      <c r="AL63" s="72">
        <f>IFERROR(Ka*psi_a*_xlfn.SECH(psi_a*(Tabella3[[#This Row],[Day]]-pa)-phi_a)^2/(1+TANH(phi_a)),0)</f>
        <v>435.90654379101215</v>
      </c>
      <c r="AM63" s="72">
        <f>Tabella3[[#This Row],[rest of Italy fit]]/y_a_peak</f>
        <v>0.15231947493919828</v>
      </c>
      <c r="AN63" s="72">
        <f>Tabella3[[#This Row],[rest of Italy fit]]*NOT(ISBLANK(Tabella3[[#This Row],[rest of Italy data]]))</f>
        <v>435.90654379101215</v>
      </c>
      <c r="AO63" s="72">
        <f>Tabella3[[#This Row],[rest of Italy fit]]+CIa</f>
        <v>2130.4807387005949</v>
      </c>
      <c r="AP63" s="72">
        <f>MAX(Tabella3[[#This Row],[rest of Italy fit]]-CIa,0)</f>
        <v>0</v>
      </c>
      <c r="AR63"/>
      <c r="AS63"/>
    </row>
    <row r="64" spans="2:47" x14ac:dyDescent="0.3">
      <c r="B64" s="9">
        <v>43887</v>
      </c>
      <c r="C64" s="4">
        <v>57</v>
      </c>
      <c r="D64" s="72">
        <f>'dpc-covid19-ita-andamento-naz'!J4+'dpc-covid19-ita-andamento-naz'!K4</f>
        <v>15</v>
      </c>
      <c r="E64" s="72">
        <f>(Tabella3[[#This Row],[Italy cumul. data]]-D63)</f>
        <v>4</v>
      </c>
      <c r="F64" s="72">
        <f>Tabella3[[#This Row],[Italy remov. rate data]]*NOT(ISBLANK(Tabella3[[#This Row],[Italy remov. rate data]]))</f>
        <v>4</v>
      </c>
      <c r="G64" s="77">
        <f>Tabella8[[#This Row],[Italy fit]]</f>
        <v>0</v>
      </c>
      <c r="H64" s="158">
        <f>Tabella3[[#This Row],[Italy cumul. fit]]/Kf</f>
        <v>0</v>
      </c>
      <c r="I64" s="77">
        <f>Tabella3[[#This Row],[region fit]]+Tabella3[[#This Row],[rest of Italy fit]]</f>
        <v>472.5225143225336</v>
      </c>
      <c r="J64" s="77">
        <f>Tabella3[[#This Row],[Italy (fit of selected region + fitted sum of the other regions)]]/(y_l_peak+y_a_peak)</f>
        <v>0.15752900495600297</v>
      </c>
      <c r="K64" s="72">
        <f>IFERROR(Kf*psi_f*_xlfn.SECH(psi_f*(Tabella3[[#This Row],[Day]]-pf)-phi_f)^2/(1+TANH(phi_f)),0)</f>
        <v>470.21355083131419</v>
      </c>
      <c r="L64" s="292">
        <f>Tabella3[[#This Row],[Italy remov. rate fit]]-Tabella3[[#This Row],[Italy remov. rate data]]</f>
        <v>466.21355083131419</v>
      </c>
      <c r="M64" s="293">
        <f>Tabella3[[#This Row],[rem. rate residuals]]*NOT(ISBLANK(Tabella3[[#This Row],[Italy remov. rate data]]))</f>
        <v>466.21355083131419</v>
      </c>
      <c r="N64" s="72">
        <f>Tabella3[[#This Row],[Italy remov. rate fit]]/y_f_peak</f>
        <v>0.15666442645045495</v>
      </c>
      <c r="O64" s="72">
        <f>Tabella3[[#This Row],[Italy (fit of selected region + fitted sum of the other regions)]]*NOT(ISBLANK(Tabella3[[#This Row],[Italy remov. rate data]]))</f>
        <v>472.5225143225336</v>
      </c>
      <c r="P64" s="72">
        <f>Tabella3[[#This Row],[Italy remov. rate fit]]*NOT(ISBLANK(Tabella3[[#This Row],[Italy remov. rate data]]))</f>
        <v>470.21355083131419</v>
      </c>
      <c r="Q64" s="72">
        <f>Tabella3[[#This Row],[Italy remov. rate fit]]+CIf</f>
        <v>2185.8284101658655</v>
      </c>
      <c r="R64" s="72">
        <f>MAX(Tabella3[[#This Row],[Italy remov. rate fit]]-CIf,0)</f>
        <v>0</v>
      </c>
      <c r="S64" s="4">
        <f>Tabella8[[#This Row],[region data]]</f>
        <v>0</v>
      </c>
      <c r="T64" s="72">
        <f>(Tabella3[[#This Row],[region cumul. data]]-S63)</f>
        <v>0</v>
      </c>
      <c r="U64" s="72">
        <f>Tabella3[[#This Row],[region data]]*NOT(ISBLANK(Tabella3[[#This Row],[region data]]))</f>
        <v>0</v>
      </c>
      <c r="V64">
        <f t="shared" si="0"/>
        <v>0</v>
      </c>
      <c r="W64" s="72">
        <f>Tabella3[[#This Row],[6-days moving avg]]*NOT(ISBLANK(Tabella3[[#This Row],[6-days moving avg]]))</f>
        <v>0</v>
      </c>
      <c r="X64" s="77">
        <f>Tabella8[[#This Row],[region fit]]</f>
        <v>0</v>
      </c>
      <c r="Y64" s="72">
        <f>Tabella3[[#This Row],[region cumul. fit]]/Kl</f>
        <v>0</v>
      </c>
      <c r="Z64" s="72">
        <f>IFERROR(Kl*psi_l*_xlfn.SECH(psi_l*(Tabella3[[#This Row],[Day]]-pl)-phi_l)^2/(1+TANH(phi_l)),0)</f>
        <v>16.531102973403353</v>
      </c>
      <c r="AA64" s="72">
        <f>Tabella3[[#This Row],[region fit]]/y_l_peak</f>
        <v>0.1199650921459777</v>
      </c>
      <c r="AB64" s="72">
        <f>Tabella3[[#This Row],[region fit]]*NOT(ISBLANK(Tabella3[[#This Row],[region data]]))</f>
        <v>16.531102973403353</v>
      </c>
      <c r="AC64" s="166">
        <f>IFERROR(kl_m*psi_l_m*_xlfn.SECH(psi_l_m*(Tabella3[[#This Row],[Day]]-pl_m)-phi_l_m)^2/(1+TANH(phi_l_m)),0)</f>
        <v>16.531102973403353</v>
      </c>
      <c r="AD64" s="72">
        <f>Tabella3[[#This Row],[6-days moving avg fit]]*NOT(ISBLANK(Tabella3[[#This Row],[6-days moving avg]]))</f>
        <v>16.531102973403353</v>
      </c>
      <c r="AE64" s="72">
        <f>Tabella3[[#This Row],[region fit]]+CIl</f>
        <v>70.295943382951805</v>
      </c>
      <c r="AF64" s="72">
        <f>MAX(Tabella3[[#This Row],[region fit]]-CIl,0)</f>
        <v>0</v>
      </c>
      <c r="AG64" s="10">
        <f>Tabella8[[#This Row],[rest of Italy ]]</f>
        <v>15</v>
      </c>
      <c r="AH64" s="10">
        <f>(Tabella3[[#This Row],[rest of Italy cum. data]]-AG63)</f>
        <v>4</v>
      </c>
      <c r="AI64" s="72">
        <f>Tabella3[[#This Row],[rest of Italy data]]*NOT(ISBLANK(Tabella3[[#This Row],[rest of Italy data]]))</f>
        <v>4</v>
      </c>
      <c r="AJ64" s="77">
        <f>Tabella8[[#This Row],[rest of Italy fit]]</f>
        <v>0</v>
      </c>
      <c r="AK64" s="72">
        <f>Tabella3[[#This Row],[rest of Italy cumul. fit]]/Ka</f>
        <v>0</v>
      </c>
      <c r="AL64" s="72">
        <f>IFERROR(Ka*psi_a*_xlfn.SECH(psi_a*(Tabella3[[#This Row],[Day]]-pa)-phi_a)^2/(1+TANH(phi_a)),0)</f>
        <v>455.99141134913026</v>
      </c>
      <c r="AM64" s="72">
        <f>Tabella3[[#This Row],[rest of Italy fit]]/y_a_peak</f>
        <v>0.15933776022133578</v>
      </c>
      <c r="AN64" s="72">
        <f>Tabella3[[#This Row],[rest of Italy fit]]*NOT(ISBLANK(Tabella3[[#This Row],[rest of Italy data]]))</f>
        <v>455.99141134913026</v>
      </c>
      <c r="AO64" s="72">
        <f>Tabella3[[#This Row],[rest of Italy fit]]+CIa</f>
        <v>2150.5656062587132</v>
      </c>
      <c r="AP64" s="72">
        <f>MAX(Tabella3[[#This Row],[rest of Italy fit]]-CIa,0)</f>
        <v>0</v>
      </c>
      <c r="AR64"/>
      <c r="AS64"/>
    </row>
    <row r="65" spans="2:45" x14ac:dyDescent="0.3">
      <c r="B65" s="9">
        <v>43888</v>
      </c>
      <c r="C65" s="4">
        <v>58</v>
      </c>
      <c r="D65" s="72">
        <f>'dpc-covid19-ita-andamento-naz'!J5+'dpc-covid19-ita-andamento-naz'!K5</f>
        <v>62</v>
      </c>
      <c r="E65" s="72">
        <f>(Tabella3[[#This Row],[Italy cumul. data]]-D64)</f>
        <v>47</v>
      </c>
      <c r="F65" s="72">
        <f>Tabella3[[#This Row],[Italy remov. rate data]]*NOT(ISBLANK(Tabella3[[#This Row],[Italy remov. rate data]]))</f>
        <v>47</v>
      </c>
      <c r="G65" s="77">
        <f>Tabella8[[#This Row],[Italy fit]]</f>
        <v>0</v>
      </c>
      <c r="H65" s="158">
        <f>Tabella3[[#This Row],[Italy cumul. fit]]/Kf</f>
        <v>0</v>
      </c>
      <c r="I65" s="77">
        <f>Tabella3[[#This Row],[region fit]]+Tabella3[[#This Row],[rest of Italy fit]]</f>
        <v>494.33810131272361</v>
      </c>
      <c r="J65" s="77">
        <f>Tabella3[[#This Row],[Italy (fit of selected region + fitted sum of the other regions)]]/(y_l_peak+y_a_peak)</f>
        <v>0.16480185991408441</v>
      </c>
      <c r="K65" s="72">
        <f>IFERROR(Kf*psi_f*_xlfn.SECH(psi_f*(Tabella3[[#This Row],[Day]]-pf)-phi_f)^2/(1+TANH(phi_f)),0)</f>
        <v>491.98534232424345</v>
      </c>
      <c r="L65" s="292">
        <f>Tabella3[[#This Row],[Italy remov. rate fit]]-Tabella3[[#This Row],[Italy remov. rate data]]</f>
        <v>444.98534232424345</v>
      </c>
      <c r="M65" s="293">
        <f>Tabella3[[#This Row],[rem. rate residuals]]*NOT(ISBLANK(Tabella3[[#This Row],[Italy remov. rate data]]))</f>
        <v>444.98534232424345</v>
      </c>
      <c r="N65" s="72">
        <f>Tabella3[[#This Row],[Italy remov. rate fit]]/y_f_peak</f>
        <v>0.16391829061708396</v>
      </c>
      <c r="O65" s="72">
        <f>Tabella3[[#This Row],[Italy (fit of selected region + fitted sum of the other regions)]]*NOT(ISBLANK(Tabella3[[#This Row],[Italy remov. rate data]]))</f>
        <v>494.33810131272361</v>
      </c>
      <c r="P65" s="72">
        <f>Tabella3[[#This Row],[Italy remov. rate fit]]*NOT(ISBLANK(Tabella3[[#This Row],[Italy remov. rate data]]))</f>
        <v>491.98534232424345</v>
      </c>
      <c r="Q65" s="72">
        <f>Tabella3[[#This Row],[Italy remov. rate fit]]+CIf</f>
        <v>2207.6002016587945</v>
      </c>
      <c r="R65" s="72">
        <f>MAX(Tabella3[[#This Row],[Italy remov. rate fit]]-CIf,0)</f>
        <v>0</v>
      </c>
      <c r="S65" s="4">
        <f>Tabella8[[#This Row],[region data]]</f>
        <v>0</v>
      </c>
      <c r="T65" s="72">
        <f>(Tabella3[[#This Row],[region cumul. data]]-S64)</f>
        <v>0</v>
      </c>
      <c r="U65" s="72">
        <f>Tabella3[[#This Row],[region data]]*NOT(ISBLANK(Tabella3[[#This Row],[region data]]))</f>
        <v>0</v>
      </c>
      <c r="V65">
        <f t="shared" si="0"/>
        <v>0</v>
      </c>
      <c r="W65" s="72">
        <f>Tabella3[[#This Row],[6-days moving avg]]*NOT(ISBLANK(Tabella3[[#This Row],[6-days moving avg]]))</f>
        <v>0</v>
      </c>
      <c r="X65" s="77">
        <f>Tabella8[[#This Row],[region fit]]</f>
        <v>0</v>
      </c>
      <c r="Y65" s="72">
        <f>Tabella3[[#This Row],[region cumul. fit]]/Kl</f>
        <v>0</v>
      </c>
      <c r="Z65" s="72">
        <f>IFERROR(Kl*psi_l*_xlfn.SECH(psi_l*(Tabella3[[#This Row],[Day]]-pl)-phi_l)^2/(1+TANH(phi_l)),0)</f>
        <v>17.427739652397136</v>
      </c>
      <c r="AA65" s="72">
        <f>Tabella3[[#This Row],[region fit]]/y_l_peak</f>
        <v>0.12647192366169763</v>
      </c>
      <c r="AB65" s="72">
        <f>Tabella3[[#This Row],[region fit]]*NOT(ISBLANK(Tabella3[[#This Row],[region data]]))</f>
        <v>17.427739652397136</v>
      </c>
      <c r="AC65" s="166">
        <f>IFERROR(kl_m*psi_l_m*_xlfn.SECH(psi_l_m*(Tabella3[[#This Row],[Day]]-pl_m)-phi_l_m)^2/(1+TANH(phi_l_m)),0)</f>
        <v>17.427739652397136</v>
      </c>
      <c r="AD65" s="72">
        <f>Tabella3[[#This Row],[6-days moving avg fit]]*NOT(ISBLANK(Tabella3[[#This Row],[6-days moving avg]]))</f>
        <v>17.427739652397136</v>
      </c>
      <c r="AE65" s="72">
        <f>Tabella3[[#This Row],[region fit]]+CIl</f>
        <v>71.192580061945591</v>
      </c>
      <c r="AF65" s="72">
        <f>MAX(Tabella3[[#This Row],[region fit]]-CIl,0)</f>
        <v>0</v>
      </c>
      <c r="AG65" s="10">
        <f>Tabella8[[#This Row],[rest of Italy ]]</f>
        <v>62</v>
      </c>
      <c r="AH65" s="10">
        <f>(Tabella3[[#This Row],[rest of Italy cum. data]]-AG64)</f>
        <v>47</v>
      </c>
      <c r="AI65" s="72">
        <f>Tabella3[[#This Row],[rest of Italy data]]*NOT(ISBLANK(Tabella3[[#This Row],[rest of Italy data]]))</f>
        <v>47</v>
      </c>
      <c r="AJ65" s="77">
        <f>Tabella8[[#This Row],[rest of Italy fit]]</f>
        <v>0</v>
      </c>
      <c r="AK65" s="72">
        <f>Tabella3[[#This Row],[rest of Italy cumul. fit]]/Ka</f>
        <v>0</v>
      </c>
      <c r="AL65" s="72">
        <f>IFERROR(Ka*psi_a*_xlfn.SECH(psi_a*(Tabella3[[#This Row],[Day]]-pa)-phi_a)^2/(1+TANH(phi_a)),0)</f>
        <v>476.91036166032649</v>
      </c>
      <c r="AM65" s="72">
        <f>Tabella3[[#This Row],[rest of Italy fit]]/y_a_peak</f>
        <v>0.16664750028618838</v>
      </c>
      <c r="AN65" s="72">
        <f>Tabella3[[#This Row],[rest of Italy fit]]*NOT(ISBLANK(Tabella3[[#This Row],[rest of Italy data]]))</f>
        <v>476.91036166032649</v>
      </c>
      <c r="AO65" s="72">
        <f>Tabella3[[#This Row],[rest of Italy fit]]+CIa</f>
        <v>2171.4845565699093</v>
      </c>
      <c r="AP65" s="72">
        <f>MAX(Tabella3[[#This Row],[rest of Italy fit]]-CIa,0)</f>
        <v>0</v>
      </c>
      <c r="AR65"/>
      <c r="AS65"/>
    </row>
    <row r="66" spans="2:45" x14ac:dyDescent="0.3">
      <c r="B66" s="9">
        <v>43889</v>
      </c>
      <c r="C66" s="4">
        <v>59</v>
      </c>
      <c r="D66" s="72">
        <f>'dpc-covid19-ita-andamento-naz'!J6+'dpc-covid19-ita-andamento-naz'!K6</f>
        <v>67</v>
      </c>
      <c r="E66" s="72">
        <f>(Tabella3[[#This Row],[Italy cumul. data]]-D65)</f>
        <v>5</v>
      </c>
      <c r="F66" s="72">
        <f>Tabella3[[#This Row],[Italy remov. rate data]]*NOT(ISBLANK(Tabella3[[#This Row],[Italy remov. rate data]]))</f>
        <v>5</v>
      </c>
      <c r="G66" s="77">
        <f>Tabella8[[#This Row],[Italy fit]]</f>
        <v>0</v>
      </c>
      <c r="H66" s="158">
        <f>Tabella3[[#This Row],[Italy cumul. fit]]/Kf</f>
        <v>0</v>
      </c>
      <c r="I66" s="77">
        <f>Tabella3[[#This Row],[region fit]]+Tabella3[[#This Row],[rest of Italy fit]]</f>
        <v>517.05839346696598</v>
      </c>
      <c r="J66" s="77">
        <f>Tabella3[[#This Row],[Italy (fit of selected region + fitted sum of the other regions)]]/(y_l_peak+y_a_peak)</f>
        <v>0.17237632442504836</v>
      </c>
      <c r="K66" s="72">
        <f>IFERROR(Kf*psi_f*_xlfn.SECH(psi_f*(Tabella3[[#This Row],[Day]]-pf)-phi_f)^2/(1+TANH(phi_f)),0)</f>
        <v>514.6622763230647</v>
      </c>
      <c r="L66" s="292">
        <f>Tabella3[[#This Row],[Italy remov. rate fit]]-Tabella3[[#This Row],[Italy remov. rate data]]</f>
        <v>509.6622763230647</v>
      </c>
      <c r="M66" s="293">
        <f>Tabella3[[#This Row],[rem. rate residuals]]*NOT(ISBLANK(Tabella3[[#This Row],[Italy remov. rate data]]))</f>
        <v>509.6622763230647</v>
      </c>
      <c r="N66" s="72">
        <f>Tabella3[[#This Row],[Italy remov. rate fit]]/y_f_peak</f>
        <v>0.17147372761437851</v>
      </c>
      <c r="O66" s="72">
        <f>Tabella3[[#This Row],[Italy (fit of selected region + fitted sum of the other regions)]]*NOT(ISBLANK(Tabella3[[#This Row],[Italy remov. rate data]]))</f>
        <v>517.05839346696598</v>
      </c>
      <c r="P66" s="72">
        <f>Tabella3[[#This Row],[Italy remov. rate fit]]*NOT(ISBLANK(Tabella3[[#This Row],[Italy remov. rate data]]))</f>
        <v>514.6622763230647</v>
      </c>
      <c r="Q66" s="72">
        <f>Tabella3[[#This Row],[Italy remov. rate fit]]+CIf</f>
        <v>2230.2771356576159</v>
      </c>
      <c r="R66" s="72">
        <f>MAX(Tabella3[[#This Row],[Italy remov. rate fit]]-CIf,0)</f>
        <v>0</v>
      </c>
      <c r="S66" s="4">
        <f>Tabella8[[#This Row],[region data]]</f>
        <v>0</v>
      </c>
      <c r="T66" s="72">
        <f>(Tabella3[[#This Row],[region cumul. data]]-S65)</f>
        <v>0</v>
      </c>
      <c r="U66" s="72">
        <f>Tabella3[[#This Row],[region data]]*NOT(ISBLANK(Tabella3[[#This Row],[region data]]))</f>
        <v>0</v>
      </c>
      <c r="V66">
        <f t="shared" si="0"/>
        <v>0.8</v>
      </c>
      <c r="W66" s="72">
        <f>Tabella3[[#This Row],[6-days moving avg]]*NOT(ISBLANK(Tabella3[[#This Row],[6-days moving avg]]))</f>
        <v>0.8</v>
      </c>
      <c r="X66" s="77">
        <f>Tabella8[[#This Row],[region fit]]</f>
        <v>0</v>
      </c>
      <c r="Y66" s="72">
        <f>Tabella3[[#This Row],[region cumul. fit]]/Kl</f>
        <v>0</v>
      </c>
      <c r="Z66" s="72">
        <f>IFERROR(Kl*psi_l*_xlfn.SECH(psi_l*(Tabella3[[#This Row],[Day]]-pl)-phi_l)^2/(1+TANH(phi_l)),0)</f>
        <v>18.369312091273478</v>
      </c>
      <c r="AA66" s="72">
        <f>Tabella3[[#This Row],[region fit]]/y_l_peak</f>
        <v>0.1333048509366439</v>
      </c>
      <c r="AB66" s="72">
        <f>Tabella3[[#This Row],[region fit]]*NOT(ISBLANK(Tabella3[[#This Row],[region data]]))</f>
        <v>18.369312091273478</v>
      </c>
      <c r="AC66" s="166">
        <f>IFERROR(kl_m*psi_l_m*_xlfn.SECH(psi_l_m*(Tabella3[[#This Row],[Day]]-pl_m)-phi_l_m)^2/(1+TANH(phi_l_m)),0)</f>
        <v>18.369312091273478</v>
      </c>
      <c r="AD66" s="72">
        <f>Tabella3[[#This Row],[6-days moving avg fit]]*NOT(ISBLANK(Tabella3[[#This Row],[6-days moving avg]]))</f>
        <v>18.369312091273478</v>
      </c>
      <c r="AE66" s="72">
        <f>Tabella3[[#This Row],[region fit]]+CIl</f>
        <v>72.134152500821926</v>
      </c>
      <c r="AF66" s="72">
        <f>MAX(Tabella3[[#This Row],[region fit]]-CIl,0)</f>
        <v>0</v>
      </c>
      <c r="AG66" s="10">
        <f>Tabella8[[#This Row],[rest of Italy ]]</f>
        <v>67</v>
      </c>
      <c r="AH66" s="10">
        <f>(Tabella3[[#This Row],[rest of Italy cum. data]]-AG65)</f>
        <v>5</v>
      </c>
      <c r="AI66" s="72">
        <f>Tabella3[[#This Row],[rest of Italy data]]*NOT(ISBLANK(Tabella3[[#This Row],[rest of Italy data]]))</f>
        <v>5</v>
      </c>
      <c r="AJ66" s="77">
        <f>Tabella8[[#This Row],[rest of Italy fit]]</f>
        <v>0</v>
      </c>
      <c r="AK66" s="72">
        <f>Tabella3[[#This Row],[rest of Italy cumul. fit]]/Ka</f>
        <v>0</v>
      </c>
      <c r="AL66" s="72">
        <f>IFERROR(Ka*psi_a*_xlfn.SECH(psi_a*(Tabella3[[#This Row],[Day]]-pa)-phi_a)^2/(1+TANH(phi_a)),0)</f>
        <v>498.68908137569247</v>
      </c>
      <c r="AM66" s="72">
        <f>Tabella3[[#This Row],[rest of Italy fit]]/y_a_peak</f>
        <v>0.17425767085862867</v>
      </c>
      <c r="AN66" s="72">
        <f>Tabella3[[#This Row],[rest of Italy fit]]*NOT(ISBLANK(Tabella3[[#This Row],[rest of Italy data]]))</f>
        <v>498.68908137569247</v>
      </c>
      <c r="AO66" s="72">
        <f>Tabella3[[#This Row],[rest of Italy fit]]+CIa</f>
        <v>2193.2632762852754</v>
      </c>
      <c r="AP66" s="72">
        <f>MAX(Tabella3[[#This Row],[rest of Italy fit]]-CIa,0)</f>
        <v>0</v>
      </c>
      <c r="AR66"/>
      <c r="AS66"/>
    </row>
    <row r="67" spans="2:45" x14ac:dyDescent="0.3">
      <c r="B67" s="9">
        <v>43890</v>
      </c>
      <c r="C67" s="4">
        <v>60</v>
      </c>
      <c r="D67" s="72">
        <f>'dpc-covid19-ita-andamento-naz'!J7+'dpc-covid19-ita-andamento-naz'!K7</f>
        <v>79</v>
      </c>
      <c r="E67" s="72">
        <f>(Tabella3[[#This Row],[Italy cumul. data]]-D66)</f>
        <v>12</v>
      </c>
      <c r="F67" s="72">
        <f>Tabella3[[#This Row],[Italy remov. rate data]]*NOT(ISBLANK(Tabella3[[#This Row],[Italy remov. rate data]]))</f>
        <v>12</v>
      </c>
      <c r="G67" s="77">
        <f>Tabella8[[#This Row],[Italy fit]]</f>
        <v>0</v>
      </c>
      <c r="H67" s="158">
        <f>Tabella3[[#This Row],[Italy cumul. fit]]/Kf</f>
        <v>0</v>
      </c>
      <c r="I67" s="77">
        <f>Tabella3[[#This Row],[region fit]]+Tabella3[[#This Row],[rest of Italy fit]]</f>
        <v>540.71078911759764</v>
      </c>
      <c r="J67" s="77">
        <f>Tabella3[[#This Row],[Italy (fit of selected region + fitted sum of the other regions)]]/(y_l_peak+y_a_peak)</f>
        <v>0.18026153251298818</v>
      </c>
      <c r="K67" s="72">
        <f>IFERROR(Kf*psi_f*_xlfn.SECH(psi_f*(Tabella3[[#This Row],[Day]]-pf)-phi_f)^2/(1+TANH(phi_f)),0)</f>
        <v>538.27183386078821</v>
      </c>
      <c r="L67" s="292">
        <f>Tabella3[[#This Row],[Italy remov. rate fit]]-Tabella3[[#This Row],[Italy remov. rate data]]</f>
        <v>526.27183386078821</v>
      </c>
      <c r="M67" s="293">
        <f>Tabella3[[#This Row],[rem. rate residuals]]*NOT(ISBLANK(Tabella3[[#This Row],[Italy remov. rate data]]))</f>
        <v>526.27183386078821</v>
      </c>
      <c r="N67" s="72">
        <f>Tabella3[[#This Row],[Italy remov. rate fit]]/y_f_peak</f>
        <v>0.17933989349551319</v>
      </c>
      <c r="O67" s="72">
        <f>Tabella3[[#This Row],[Italy (fit of selected region + fitted sum of the other regions)]]*NOT(ISBLANK(Tabella3[[#This Row],[Italy remov. rate data]]))</f>
        <v>540.71078911759764</v>
      </c>
      <c r="P67" s="72">
        <f>Tabella3[[#This Row],[Italy remov. rate fit]]*NOT(ISBLANK(Tabella3[[#This Row],[Italy remov. rate data]]))</f>
        <v>538.27183386078821</v>
      </c>
      <c r="Q67" s="72">
        <f>Tabella3[[#This Row],[Italy remov. rate fit]]+CIf</f>
        <v>2253.8866931953394</v>
      </c>
      <c r="R67" s="72">
        <f>MAX(Tabella3[[#This Row],[Italy remov. rate fit]]-CIf,0)</f>
        <v>0</v>
      </c>
      <c r="S67" s="4">
        <f>Tabella8[[#This Row],[region data]]</f>
        <v>4</v>
      </c>
      <c r="T67" s="72">
        <f>(Tabella3[[#This Row],[region cumul. data]]-S66)</f>
        <v>4</v>
      </c>
      <c r="U67" s="72">
        <f>Tabella3[[#This Row],[region data]]*NOT(ISBLANK(Tabella3[[#This Row],[region data]]))</f>
        <v>4</v>
      </c>
      <c r="V67">
        <f t="shared" si="0"/>
        <v>0.66666666666666663</v>
      </c>
      <c r="W67" s="72">
        <f>Tabella3[[#This Row],[6-days moving avg]]*NOT(ISBLANK(Tabella3[[#This Row],[6-days moving avg]]))</f>
        <v>0.66666666666666663</v>
      </c>
      <c r="X67" s="77">
        <f>Tabella8[[#This Row],[region fit]]</f>
        <v>0</v>
      </c>
      <c r="Y67" s="72">
        <f>Tabella3[[#This Row],[region cumul. fit]]/Kl</f>
        <v>0</v>
      </c>
      <c r="Z67" s="72">
        <f>IFERROR(Kl*psi_l*_xlfn.SECH(psi_l*(Tabella3[[#This Row],[Day]]-pl)-phi_l)^2/(1+TANH(phi_l)),0)</f>
        <v>19.357648388642112</v>
      </c>
      <c r="AA67" s="72">
        <f>Tabella3[[#This Row],[region fit]]/y_l_peak</f>
        <v>0.14047714035833594</v>
      </c>
      <c r="AB67" s="72">
        <f>Tabella3[[#This Row],[region fit]]*NOT(ISBLANK(Tabella3[[#This Row],[region data]]))</f>
        <v>19.357648388642112</v>
      </c>
      <c r="AC67" s="166">
        <f>IFERROR(kl_m*psi_l_m*_xlfn.SECH(psi_l_m*(Tabella3[[#This Row],[Day]]-pl_m)-phi_l_m)^2/(1+TANH(phi_l_m)),0)</f>
        <v>19.357648388642112</v>
      </c>
      <c r="AD67" s="72">
        <f>Tabella3[[#This Row],[6-days moving avg fit]]*NOT(ISBLANK(Tabella3[[#This Row],[6-days moving avg]]))</f>
        <v>19.357648388642112</v>
      </c>
      <c r="AE67" s="72">
        <f>Tabella3[[#This Row],[region fit]]+CIl</f>
        <v>73.122488798190574</v>
      </c>
      <c r="AF67" s="72">
        <f>MAX(Tabella3[[#This Row],[region fit]]-CIl,0)</f>
        <v>0</v>
      </c>
      <c r="AG67" s="10">
        <f>Tabella8[[#This Row],[rest of Italy ]]</f>
        <v>75</v>
      </c>
      <c r="AH67" s="10">
        <f>(Tabella3[[#This Row],[rest of Italy cum. data]]-AG66)</f>
        <v>8</v>
      </c>
      <c r="AI67" s="72">
        <f>Tabella3[[#This Row],[rest of Italy data]]*NOT(ISBLANK(Tabella3[[#This Row],[rest of Italy data]]))</f>
        <v>8</v>
      </c>
      <c r="AJ67" s="77">
        <f>Tabella8[[#This Row],[rest of Italy fit]]</f>
        <v>0</v>
      </c>
      <c r="AK67" s="72">
        <f>Tabella3[[#This Row],[rest of Italy cumul. fit]]/Ka</f>
        <v>0</v>
      </c>
      <c r="AL67" s="72">
        <f>IFERROR(Ka*psi_a*_xlfn.SECH(psi_a*(Tabella3[[#This Row],[Day]]-pa)-phi_a)^2/(1+TANH(phi_a)),0)</f>
        <v>521.35314072895551</v>
      </c>
      <c r="AM67" s="72">
        <f>Tabella3[[#This Row],[rest of Italy fit]]/y_a_peak</f>
        <v>0.18217720698363563</v>
      </c>
      <c r="AN67" s="72">
        <f>Tabella3[[#This Row],[rest of Italy fit]]*NOT(ISBLANK(Tabella3[[#This Row],[rest of Italy data]]))</f>
        <v>521.35314072895551</v>
      </c>
      <c r="AO67" s="72">
        <f>Tabella3[[#This Row],[rest of Italy fit]]+CIa</f>
        <v>2215.9273356385384</v>
      </c>
      <c r="AP67" s="72">
        <f>MAX(Tabella3[[#This Row],[rest of Italy fit]]-CIa,0)</f>
        <v>0</v>
      </c>
      <c r="AR67"/>
      <c r="AS67"/>
    </row>
    <row r="68" spans="2:45" x14ac:dyDescent="0.3">
      <c r="B68" s="15">
        <v>43891</v>
      </c>
      <c r="C68" s="4">
        <v>61</v>
      </c>
      <c r="D68" s="72">
        <f>'dpc-covid19-ita-andamento-naz'!J8+'dpc-covid19-ita-andamento-naz'!K8</f>
        <v>117</v>
      </c>
      <c r="E68" s="72">
        <f>(Tabella3[[#This Row],[Italy cumul. data]]-D67)</f>
        <v>38</v>
      </c>
      <c r="F68" s="72">
        <f>Tabella3[[#This Row],[Italy remov. rate data]]*NOT(ISBLANK(Tabella3[[#This Row],[Italy remov. rate data]]))</f>
        <v>38</v>
      </c>
      <c r="G68" s="77">
        <f>Tabella8[[#This Row],[Italy fit]]</f>
        <v>0</v>
      </c>
      <c r="H68" s="158">
        <f>Tabella3[[#This Row],[Italy cumul. fit]]/Kf</f>
        <v>0</v>
      </c>
      <c r="I68" s="77">
        <f>Tabella3[[#This Row],[region fit]]+Tabella3[[#This Row],[rest of Italy fit]]</f>
        <v>565.32248113000674</v>
      </c>
      <c r="J68" s="77">
        <f>Tabella3[[#This Row],[Italy (fit of selected region + fitted sum of the other regions)]]/(y_l_peak+y_a_peak)</f>
        <v>0.18846654970366539</v>
      </c>
      <c r="K68" s="72">
        <f>IFERROR(Kf*psi_f*_xlfn.SECH(psi_f*(Tabella3[[#This Row],[Day]]-pf)-phi_f)^2/(1+TANH(phi_f)),0)</f>
        <v>562.84129311232232</v>
      </c>
      <c r="L68" s="292">
        <f>Tabella3[[#This Row],[Italy remov. rate fit]]-Tabella3[[#This Row],[Italy remov. rate data]]</f>
        <v>524.84129311232232</v>
      </c>
      <c r="M68" s="293">
        <f>Tabella3[[#This Row],[rem. rate residuals]]*NOT(ISBLANK(Tabella3[[#This Row],[Italy remov. rate data]]))</f>
        <v>524.84129311232232</v>
      </c>
      <c r="N68" s="72">
        <f>Tabella3[[#This Row],[Italy remov. rate fit]]/y_f_peak</f>
        <v>0.18752587672597154</v>
      </c>
      <c r="O68" s="72">
        <f>Tabella3[[#This Row],[Italy (fit of selected region + fitted sum of the other regions)]]*NOT(ISBLANK(Tabella3[[#This Row],[Italy remov. rate data]]))</f>
        <v>565.32248113000674</v>
      </c>
      <c r="P68" s="72">
        <f>Tabella3[[#This Row],[Italy remov. rate fit]]*NOT(ISBLANK(Tabella3[[#This Row],[Italy remov. rate data]]))</f>
        <v>562.84129311232232</v>
      </c>
      <c r="Q68" s="72">
        <f>Tabella3[[#This Row],[Italy remov. rate fit]]+CIf</f>
        <v>2278.4561524468736</v>
      </c>
      <c r="R68" s="72">
        <f>MAX(Tabella3[[#This Row],[Italy remov. rate fit]]-CIf,0)</f>
        <v>0</v>
      </c>
      <c r="S68" s="4">
        <f>Tabella8[[#This Row],[region data]]</f>
        <v>4</v>
      </c>
      <c r="T68" s="72">
        <f>(Tabella3[[#This Row],[region cumul. data]]-S67)</f>
        <v>0</v>
      </c>
      <c r="U68" s="72">
        <f>Tabella3[[#This Row],[region data]]*NOT(ISBLANK(Tabella3[[#This Row],[region data]]))</f>
        <v>0</v>
      </c>
      <c r="V68">
        <f t="shared" si="0"/>
        <v>0.66666666666666663</v>
      </c>
      <c r="W68" s="72">
        <f>Tabella3[[#This Row],[6-days moving avg]]*NOT(ISBLANK(Tabella3[[#This Row],[6-days moving avg]]))</f>
        <v>0.66666666666666663</v>
      </c>
      <c r="X68" s="77">
        <f>Tabella8[[#This Row],[region fit]]</f>
        <v>0</v>
      </c>
      <c r="Y68" s="72">
        <f>Tabella3[[#This Row],[region cumul. fit]]/Kl</f>
        <v>0</v>
      </c>
      <c r="Z68" s="72">
        <f>IFERROR(Kl*psi_l*_xlfn.SECH(psi_l*(Tabella3[[#This Row],[Day]]-pl)-phi_l)^2/(1+TANH(phi_l)),0)</f>
        <v>20.394601319470279</v>
      </c>
      <c r="AA68" s="72">
        <f>Tabella3[[#This Row],[region fit]]/y_l_peak</f>
        <v>0.14800223738894455</v>
      </c>
      <c r="AB68" s="72">
        <f>Tabella3[[#This Row],[region fit]]*NOT(ISBLANK(Tabella3[[#This Row],[region data]]))</f>
        <v>20.394601319470279</v>
      </c>
      <c r="AC68" s="166">
        <f>IFERROR(kl_m*psi_l_m*_xlfn.SECH(psi_l_m*(Tabella3[[#This Row],[Day]]-pl_m)-phi_l_m)^2/(1+TANH(phi_l_m)),0)</f>
        <v>20.394601319470279</v>
      </c>
      <c r="AD68" s="72">
        <f>Tabella3[[#This Row],[6-days moving avg fit]]*NOT(ISBLANK(Tabella3[[#This Row],[6-days moving avg]]))</f>
        <v>20.394601319470279</v>
      </c>
      <c r="AE68" s="72">
        <f>Tabella3[[#This Row],[region fit]]+CIl</f>
        <v>74.159441729018738</v>
      </c>
      <c r="AF68" s="72">
        <f>MAX(Tabella3[[#This Row],[region fit]]-CIl,0)</f>
        <v>0</v>
      </c>
      <c r="AG68" s="10">
        <f>Tabella8[[#This Row],[rest of Italy ]]</f>
        <v>113</v>
      </c>
      <c r="AH68" s="10">
        <f>(Tabella3[[#This Row],[rest of Italy cum. data]]-AG67)</f>
        <v>38</v>
      </c>
      <c r="AI68" s="72">
        <f>Tabella3[[#This Row],[rest of Italy data]]*NOT(ISBLANK(Tabella3[[#This Row],[rest of Italy data]]))</f>
        <v>38</v>
      </c>
      <c r="AJ68" s="77">
        <f>Tabella8[[#This Row],[rest of Italy fit]]</f>
        <v>0</v>
      </c>
      <c r="AK68" s="72">
        <f>Tabella3[[#This Row],[rest of Italy cumul. fit]]/Ka</f>
        <v>0</v>
      </c>
      <c r="AL68" s="72">
        <f>IFERROR(Ka*psi_a*_xlfn.SECH(psi_a*(Tabella3[[#This Row],[Day]]-pa)-phi_a)^2/(1+TANH(phi_a)),0)</f>
        <v>544.92787981053641</v>
      </c>
      <c r="AM68" s="72">
        <f>Tabella3[[#This Row],[rest of Italy fit]]/y_a_peak</f>
        <v>0.1904149632868688</v>
      </c>
      <c r="AN68" s="72">
        <f>Tabella3[[#This Row],[rest of Italy fit]]*NOT(ISBLANK(Tabella3[[#This Row],[rest of Italy data]]))</f>
        <v>544.92787981053641</v>
      </c>
      <c r="AO68" s="72">
        <f>Tabella3[[#This Row],[rest of Italy fit]]+CIa</f>
        <v>2239.5020747201193</v>
      </c>
      <c r="AP68" s="72">
        <f>MAX(Tabella3[[#This Row],[rest of Italy fit]]-CIa,0)</f>
        <v>0</v>
      </c>
      <c r="AR68"/>
      <c r="AS68"/>
    </row>
    <row r="69" spans="2:45" x14ac:dyDescent="0.3">
      <c r="B69" s="9">
        <v>43892</v>
      </c>
      <c r="C69" s="4">
        <v>62</v>
      </c>
      <c r="D69" s="72">
        <f>'dpc-covid19-ita-andamento-naz'!J9+'dpc-covid19-ita-andamento-naz'!K9</f>
        <v>201</v>
      </c>
      <c r="E69" s="72">
        <f>(Tabella3[[#This Row],[Italy cumul. data]]-D68)</f>
        <v>84</v>
      </c>
      <c r="F69" s="72">
        <f>Tabella3[[#This Row],[Italy remov. rate data]]*NOT(ISBLANK(Tabella3[[#This Row],[Italy remov. rate data]]))</f>
        <v>84</v>
      </c>
      <c r="G69" s="77">
        <f>Tabella8[[#This Row],[Italy fit]]</f>
        <v>0</v>
      </c>
      <c r="H69" s="77">
        <f>Tabella3[[#This Row],[Italy cumul. fit]]/Kf</f>
        <v>0</v>
      </c>
      <c r="I69" s="77">
        <f>Tabella3[[#This Row],[region fit]]+Tabella3[[#This Row],[rest of Italy fit]]</f>
        <v>590.92032495353908</v>
      </c>
      <c r="J69" s="77">
        <f>Tabella3[[#This Row],[Italy (fit of selected region + fitted sum of the other regions)]]/(y_l_peak+y_a_peak)</f>
        <v>0.19700032903547474</v>
      </c>
      <c r="K69" s="72">
        <f>IFERROR(Kf*psi_f*_xlfn.SECH(psi_f*(Tabella3[[#This Row],[Day]]-pf)-phi_f)^2/(1+TANH(phi_f)),0)</f>
        <v>588.39759736801182</v>
      </c>
      <c r="L69" s="292">
        <f>Tabella3[[#This Row],[Italy remov. rate fit]]-Tabella3[[#This Row],[Italy remov. rate data]]</f>
        <v>504.39759736801182</v>
      </c>
      <c r="M69" s="293">
        <f>Tabella3[[#This Row],[rem. rate residuals]]*NOT(ISBLANK(Tabella3[[#This Row],[Italy remov. rate data]]))</f>
        <v>504.39759736801182</v>
      </c>
      <c r="N69" s="72">
        <f>Tabella3[[#This Row],[Italy remov. rate fit]]/y_f_peak</f>
        <v>0.1960406541953415</v>
      </c>
      <c r="O69" s="72">
        <f>Tabella3[[#This Row],[Italy (fit of selected region + fitted sum of the other regions)]]*NOT(ISBLANK(Tabella3[[#This Row],[Italy remov. rate data]]))</f>
        <v>590.92032495353908</v>
      </c>
      <c r="P69" s="72">
        <f>Tabella3[[#This Row],[Italy remov. rate fit]]*NOT(ISBLANK(Tabella3[[#This Row],[Italy remov. rate data]]))</f>
        <v>588.39759736801182</v>
      </c>
      <c r="Q69" s="72">
        <f>Tabella3[[#This Row],[Italy remov. rate fit]]+CIf</f>
        <v>2304.0124567025632</v>
      </c>
      <c r="R69" s="72">
        <f>MAX(Tabella3[[#This Row],[Italy remov. rate fit]]-CIf,0)</f>
        <v>0</v>
      </c>
      <c r="S69" s="4">
        <f>Tabella8[[#This Row],[region data]]</f>
        <v>4</v>
      </c>
      <c r="T69" s="72">
        <f>(Tabella3[[#This Row],[region cumul. data]]-S68)</f>
        <v>0</v>
      </c>
      <c r="U69" s="72">
        <f>Tabella3[[#This Row],[region data]]*NOT(ISBLANK(Tabella3[[#This Row],[region data]]))</f>
        <v>0</v>
      </c>
      <c r="V69">
        <f t="shared" si="0"/>
        <v>0.83333333333333337</v>
      </c>
      <c r="W69" s="72">
        <f>Tabella3[[#This Row],[6-days moving avg]]*NOT(ISBLANK(Tabella3[[#This Row],[6-days moving avg]]))</f>
        <v>0.83333333333333337</v>
      </c>
      <c r="X69" s="77">
        <f>Tabella8[[#This Row],[region fit]]</f>
        <v>0</v>
      </c>
      <c r="Y69" s="72">
        <f>Tabella3[[#This Row],[region cumul. fit]]/Kl</f>
        <v>0</v>
      </c>
      <c r="Z69" s="72">
        <f>IFERROR(Kl*psi_l*_xlfn.SECH(psi_l*(Tabella3[[#This Row],[Day]]-pl)-phi_l)^2/(1+TANH(phi_l)),0)</f>
        <v>21.482042001296499</v>
      </c>
      <c r="AA69" s="72">
        <f>Tabella3[[#This Row],[region fit]]/y_l_peak</f>
        <v>0.15589372060143522</v>
      </c>
      <c r="AB69" s="72">
        <f>Tabella3[[#This Row],[region fit]]*NOT(ISBLANK(Tabella3[[#This Row],[region data]]))</f>
        <v>21.482042001296499</v>
      </c>
      <c r="AC69" s="166">
        <f>IFERROR(kl_m*psi_l_m*_xlfn.SECH(psi_l_m*(Tabella3[[#This Row],[Day]]-pl_m)-phi_l_m)^2/(1+TANH(phi_l_m)),0)</f>
        <v>21.482042001296499</v>
      </c>
      <c r="AD69" s="72">
        <f>Tabella3[[#This Row],[6-days moving avg fit]]*NOT(ISBLANK(Tabella3[[#This Row],[6-days moving avg]]))</f>
        <v>21.482042001296499</v>
      </c>
      <c r="AE69" s="72">
        <f>Tabella3[[#This Row],[region fit]]+CIl</f>
        <v>75.246882410844961</v>
      </c>
      <c r="AF69" s="72">
        <f>MAX(Tabella3[[#This Row],[region fit]]-CIl,0)</f>
        <v>0</v>
      </c>
      <c r="AG69" s="10">
        <f>Tabella8[[#This Row],[rest of Italy ]]</f>
        <v>197</v>
      </c>
      <c r="AH69" s="10">
        <f>(Tabella3[[#This Row],[rest of Italy cum. data]]-AG68)</f>
        <v>84</v>
      </c>
      <c r="AI69" s="72">
        <f>Tabella3[[#This Row],[rest of Italy data]]*NOT(ISBLANK(Tabella3[[#This Row],[rest of Italy data]]))</f>
        <v>84</v>
      </c>
      <c r="AJ69" s="77">
        <f>Tabella8[[#This Row],[rest of Italy fit]]</f>
        <v>0</v>
      </c>
      <c r="AK69" s="72">
        <f>Tabella3[[#This Row],[rest of Italy cumul. fit]]/Ka</f>
        <v>0</v>
      </c>
      <c r="AL69" s="72">
        <f>IFERROR(Ka*psi_a*_xlfn.SECH(psi_a*(Tabella3[[#This Row],[Day]]-pa)-phi_a)^2/(1+TANH(phi_a)),0)</f>
        <v>569.43828295224262</v>
      </c>
      <c r="AM69" s="72">
        <f>Tabella3[[#This Row],[rest of Italy fit]]/y_a_peak</f>
        <v>0.19897967008072387</v>
      </c>
      <c r="AN69" s="72">
        <f>Tabella3[[#This Row],[rest of Italy fit]]*NOT(ISBLANK(Tabella3[[#This Row],[rest of Italy data]]))</f>
        <v>569.43828295224262</v>
      </c>
      <c r="AO69" s="72">
        <f>Tabella3[[#This Row],[rest of Italy fit]]+CIa</f>
        <v>2264.0124778618256</v>
      </c>
      <c r="AP69" s="72">
        <f>MAX(Tabella3[[#This Row],[rest of Italy fit]]-CIa,0)</f>
        <v>0</v>
      </c>
      <c r="AR69"/>
      <c r="AS69"/>
    </row>
    <row r="70" spans="2:45" x14ac:dyDescent="0.3">
      <c r="B70" s="9">
        <v>43893</v>
      </c>
      <c r="C70" s="4">
        <v>63</v>
      </c>
      <c r="D70" s="72">
        <f>'dpc-covid19-ita-andamento-naz'!J10+'dpc-covid19-ita-andamento-naz'!K10</f>
        <v>239</v>
      </c>
      <c r="E70" s="72">
        <f>(Tabella3[[#This Row],[Italy cumul. data]]-D69)</f>
        <v>38</v>
      </c>
      <c r="F70" s="72">
        <f>Tabella3[[#This Row],[Italy remov. rate data]]*NOT(ISBLANK(Tabella3[[#This Row],[Italy remov. rate data]]))</f>
        <v>38</v>
      </c>
      <c r="G70" s="77">
        <f>Tabella8[[#This Row],[Italy fit]]</f>
        <v>0</v>
      </c>
      <c r="H70" s="77">
        <f>Tabella3[[#This Row],[Italy cumul. fit]]/Kf</f>
        <v>0</v>
      </c>
      <c r="I70" s="77">
        <f>Tabella3[[#This Row],[region fit]]+Tabella3[[#This Row],[rest of Italy fit]]</f>
        <v>617.53069317423717</v>
      </c>
      <c r="J70" s="77">
        <f>Tabella3[[#This Row],[Italy (fit of selected region + fitted sum of the other regions)]]/(y_l_peak+y_a_peak)</f>
        <v>0.20587166257040573</v>
      </c>
      <c r="K70" s="72">
        <f>IFERROR(Kf*psi_f*_xlfn.SECH(psi_f*(Tabella3[[#This Row],[Day]]-pf)-phi_f)^2/(1+TANH(phi_f)),0)</f>
        <v>614.9672095210517</v>
      </c>
      <c r="L70" s="292">
        <f>Tabella3[[#This Row],[Italy remov. rate fit]]-Tabella3[[#This Row],[Italy remov. rate data]]</f>
        <v>576.9672095210517</v>
      </c>
      <c r="M70" s="293">
        <f>Tabella3[[#This Row],[rem. rate residuals]]*NOT(ISBLANK(Tabella3[[#This Row],[Italy remov. rate data]]))</f>
        <v>576.9672095210517</v>
      </c>
      <c r="N70" s="72">
        <f>Tabella3[[#This Row],[Italy remov. rate fit]]/y_f_peak</f>
        <v>0.20489304273584169</v>
      </c>
      <c r="O70" s="72">
        <f>Tabella3[[#This Row],[Italy (fit of selected region + fitted sum of the other regions)]]*NOT(ISBLANK(Tabella3[[#This Row],[Italy remov. rate data]]))</f>
        <v>617.53069317423717</v>
      </c>
      <c r="P70" s="72">
        <f>Tabella3[[#This Row],[Italy remov. rate fit]]*NOT(ISBLANK(Tabella3[[#This Row],[Italy remov. rate data]]))</f>
        <v>614.9672095210517</v>
      </c>
      <c r="Q70" s="72">
        <f>Tabella3[[#This Row],[Italy remov. rate fit]]+CIf</f>
        <v>2330.5820688556032</v>
      </c>
      <c r="R70" s="72">
        <f>MAX(Tabella3[[#This Row],[Italy remov. rate fit]]-CIf,0)</f>
        <v>0</v>
      </c>
      <c r="S70" s="4">
        <f>Tabella8[[#This Row],[region data]]</f>
        <v>5</v>
      </c>
      <c r="T70" s="72">
        <f>(Tabella3[[#This Row],[region cumul. data]]-S69)</f>
        <v>1</v>
      </c>
      <c r="U70" s="72">
        <f>Tabella3[[#This Row],[region data]]*NOT(ISBLANK(Tabella3[[#This Row],[region data]]))</f>
        <v>1</v>
      </c>
      <c r="V70">
        <f t="shared" si="0"/>
        <v>0.83333333333333337</v>
      </c>
      <c r="W70" s="72">
        <f>Tabella3[[#This Row],[6-days moving avg]]*NOT(ISBLANK(Tabella3[[#This Row],[6-days moving avg]]))</f>
        <v>0.83333333333333337</v>
      </c>
      <c r="X70" s="77">
        <f>Tabella8[[#This Row],[region fit]]</f>
        <v>0</v>
      </c>
      <c r="Y70" s="72">
        <f>Tabella3[[#This Row],[region cumul. fit]]/Kl</f>
        <v>0</v>
      </c>
      <c r="Z70" s="72">
        <f>IFERROR(Kl*psi_l*_xlfn.SECH(psi_l*(Tabella3[[#This Row],[Day]]-pl)-phi_l)^2/(1+TANH(phi_l)),0)</f>
        <v>22.621852580021038</v>
      </c>
      <c r="AA70" s="72">
        <f>Tabella3[[#This Row],[region fit]]/y_l_peak</f>
        <v>0.16416524860084605</v>
      </c>
      <c r="AB70" s="72">
        <f>Tabella3[[#This Row],[region fit]]*NOT(ISBLANK(Tabella3[[#This Row],[region data]]))</f>
        <v>22.621852580021038</v>
      </c>
      <c r="AC70" s="166">
        <f>IFERROR(kl_m*psi_l_m*_xlfn.SECH(psi_l_m*(Tabella3[[#This Row],[Day]]-pl_m)-phi_l_m)^2/(1+TANH(phi_l_m)),0)</f>
        <v>22.621852580021038</v>
      </c>
      <c r="AD70" s="72">
        <f>Tabella3[[#This Row],[6-days moving avg fit]]*NOT(ISBLANK(Tabella3[[#This Row],[6-days moving avg]]))</f>
        <v>22.621852580021038</v>
      </c>
      <c r="AE70" s="72">
        <f>Tabella3[[#This Row],[region fit]]+CIl</f>
        <v>76.386692989569497</v>
      </c>
      <c r="AF70" s="72">
        <f>MAX(Tabella3[[#This Row],[region fit]]-CIl,0)</f>
        <v>0</v>
      </c>
      <c r="AG70" s="10">
        <f>Tabella8[[#This Row],[rest of Italy ]]</f>
        <v>234</v>
      </c>
      <c r="AH70" s="10">
        <f>(Tabella3[[#This Row],[rest of Italy cum. data]]-AG69)</f>
        <v>37</v>
      </c>
      <c r="AI70" s="72">
        <f>Tabella3[[#This Row],[rest of Italy data]]*NOT(ISBLANK(Tabella3[[#This Row],[rest of Italy data]]))</f>
        <v>37</v>
      </c>
      <c r="AJ70" s="77">
        <f>Tabella8[[#This Row],[rest of Italy fit]]</f>
        <v>0</v>
      </c>
      <c r="AK70" s="72">
        <f>Tabella3[[#This Row],[rest of Italy cumul. fit]]/Ka</f>
        <v>0</v>
      </c>
      <c r="AL70" s="72">
        <f>IFERROR(Ka*psi_a*_xlfn.SECH(psi_a*(Tabella3[[#This Row],[Day]]-pa)-phi_a)^2/(1+TANH(phi_a)),0)</f>
        <v>594.90884059421614</v>
      </c>
      <c r="AM70" s="72">
        <f>Tabella3[[#This Row],[rest of Italy fit]]/y_a_peak</f>
        <v>0.20787988509629388</v>
      </c>
      <c r="AN70" s="72">
        <f>Tabella3[[#This Row],[rest of Italy fit]]*NOT(ISBLANK(Tabella3[[#This Row],[rest of Italy data]]))</f>
        <v>594.90884059421614</v>
      </c>
      <c r="AO70" s="72">
        <f>Tabella3[[#This Row],[rest of Italy fit]]+CIa</f>
        <v>2289.4830355037989</v>
      </c>
      <c r="AP70" s="72">
        <f>MAX(Tabella3[[#This Row],[rest of Italy fit]]-CIa,0)</f>
        <v>0</v>
      </c>
      <c r="AR70"/>
      <c r="AS70"/>
    </row>
    <row r="71" spans="2:45" x14ac:dyDescent="0.3">
      <c r="B71" s="9">
        <v>43894</v>
      </c>
      <c r="C71" s="4">
        <v>64</v>
      </c>
      <c r="D71" s="72">
        <f>'dpc-covid19-ita-andamento-naz'!J11+'dpc-covid19-ita-andamento-naz'!K11</f>
        <v>383</v>
      </c>
      <c r="E71" s="72">
        <f>(Tabella3[[#This Row],[Italy cumul. data]]-D70)</f>
        <v>144</v>
      </c>
      <c r="F71" s="72">
        <f>Tabella3[[#This Row],[Italy remov. rate data]]*NOT(ISBLANK(Tabella3[[#This Row],[Italy remov. rate data]]))</f>
        <v>144</v>
      </c>
      <c r="G71" s="77">
        <f>Tabella8[[#This Row],[Italy fit]]</f>
        <v>0</v>
      </c>
      <c r="H71" s="77">
        <f>Tabella3[[#This Row],[Italy cumul. fit]]/Kf</f>
        <v>0</v>
      </c>
      <c r="I71" s="77">
        <f>Tabella3[[#This Row],[region fit]]+Tabella3[[#This Row],[rest of Italy fit]]</f>
        <v>645.17931588750378</v>
      </c>
      <c r="J71" s="77">
        <f>Tabella3[[#This Row],[Italy (fit of selected region + fitted sum of the other regions)]]/(y_l_peak+y_a_peak)</f>
        <v>0.21508912817766757</v>
      </c>
      <c r="K71" s="72">
        <f>IFERROR(Kf*psi_f*_xlfn.SECH(psi_f*(Tabella3[[#This Row],[Day]]-pf)-phi_f)^2/(1+TANH(phi_f)),0)</f>
        <v>642.5759523940128</v>
      </c>
      <c r="L71" s="292">
        <f>Tabella3[[#This Row],[Italy remov. rate fit]]-Tabella3[[#This Row],[Italy remov. rate data]]</f>
        <v>498.5759523940128</v>
      </c>
      <c r="M71" s="293">
        <f>Tabella3[[#This Row],[rem. rate residuals]]*NOT(ISBLANK(Tabella3[[#This Row],[Italy remov. rate data]]))</f>
        <v>498.5759523940128</v>
      </c>
      <c r="N71" s="72">
        <f>Tabella3[[#This Row],[Italy remov. rate fit]]/y_f_peak</f>
        <v>0.21409164592276306</v>
      </c>
      <c r="O71" s="72">
        <f>Tabella3[[#This Row],[Italy (fit of selected region + fitted sum of the other regions)]]*NOT(ISBLANK(Tabella3[[#This Row],[Italy remov. rate data]]))</f>
        <v>645.17931588750378</v>
      </c>
      <c r="P71" s="72">
        <f>Tabella3[[#This Row],[Italy remov. rate fit]]*NOT(ISBLANK(Tabella3[[#This Row],[Italy remov. rate data]]))</f>
        <v>642.5759523940128</v>
      </c>
      <c r="Q71" s="72">
        <f>Tabella3[[#This Row],[Italy remov. rate fit]]+CIf</f>
        <v>2358.1908117285639</v>
      </c>
      <c r="R71" s="72">
        <f>MAX(Tabella3[[#This Row],[Italy remov. rate fit]]-CIf,0)</f>
        <v>0</v>
      </c>
      <c r="S71" s="4">
        <f>Tabella8[[#This Row],[region data]]</f>
        <v>5</v>
      </c>
      <c r="T71" s="72">
        <f>(Tabella3[[#This Row],[region cumul. data]]-S70)</f>
        <v>0</v>
      </c>
      <c r="U71" s="72">
        <f>Tabella3[[#This Row],[region data]]*NOT(ISBLANK(Tabella3[[#This Row],[region data]]))</f>
        <v>0</v>
      </c>
      <c r="V71">
        <f t="shared" si="0"/>
        <v>1.1666666666666667</v>
      </c>
      <c r="W71" s="72">
        <f>Tabella3[[#This Row],[6-days moving avg]]*NOT(ISBLANK(Tabella3[[#This Row],[6-days moving avg]]))</f>
        <v>1.1666666666666667</v>
      </c>
      <c r="X71" s="77">
        <f>Tabella8[[#This Row],[region fit]]</f>
        <v>0</v>
      </c>
      <c r="Y71" s="72">
        <f>Tabella3[[#This Row],[region cumul. fit]]/Kl</f>
        <v>0</v>
      </c>
      <c r="Z71" s="72">
        <f>IFERROR(Kl*psi_l*_xlfn.SECH(psi_l*(Tabella3[[#This Row],[Day]]-pl)-phi_l)^2/(1+TANH(phi_l)),0)</f>
        <v>23.815917852703663</v>
      </c>
      <c r="AA71" s="72">
        <f>Tabella3[[#This Row],[region fit]]/y_l_peak</f>
        <v>0.17283049923149968</v>
      </c>
      <c r="AB71" s="72">
        <f>Tabella3[[#This Row],[region fit]]*NOT(ISBLANK(Tabella3[[#This Row],[region data]]))</f>
        <v>23.815917852703663</v>
      </c>
      <c r="AC71" s="166">
        <f>IFERROR(kl_m*psi_l_m*_xlfn.SECH(psi_l_m*(Tabella3[[#This Row],[Day]]-pl_m)-phi_l_m)^2/(1+TANH(phi_l_m)),0)</f>
        <v>23.815917852703663</v>
      </c>
      <c r="AD71" s="72">
        <f>Tabella3[[#This Row],[6-days moving avg fit]]*NOT(ISBLANK(Tabella3[[#This Row],[6-days moving avg]]))</f>
        <v>23.815917852703663</v>
      </c>
      <c r="AE71" s="72">
        <f>Tabella3[[#This Row],[region fit]]+CIl</f>
        <v>77.580758262252118</v>
      </c>
      <c r="AF71" s="72">
        <f>MAX(Tabella3[[#This Row],[region fit]]-CIl,0)</f>
        <v>0</v>
      </c>
      <c r="AG71" s="10">
        <f>Tabella8[[#This Row],[rest of Italy ]]</f>
        <v>378</v>
      </c>
      <c r="AH71" s="10">
        <f>(Tabella3[[#This Row],[rest of Italy cum. data]]-AG70)</f>
        <v>144</v>
      </c>
      <c r="AI71" s="72">
        <f>Tabella3[[#This Row],[rest of Italy data]]*NOT(ISBLANK(Tabella3[[#This Row],[rest of Italy data]]))</f>
        <v>144</v>
      </c>
      <c r="AJ71" s="77">
        <f>Tabella8[[#This Row],[rest of Italy fit]]</f>
        <v>0</v>
      </c>
      <c r="AK71" s="72">
        <f>Tabella3[[#This Row],[rest of Italy cumul. fit]]/Ka</f>
        <v>0</v>
      </c>
      <c r="AL71" s="72">
        <f>IFERROR(Ka*psi_a*_xlfn.SECH(psi_a*(Tabella3[[#This Row],[Day]]-pa)-phi_a)^2/(1+TANH(phi_a)),0)</f>
        <v>621.36339803480007</v>
      </c>
      <c r="AM71" s="72">
        <f>Tabella3[[#This Row],[rest of Italy fit]]/y_a_peak</f>
        <v>0.21712394063180909</v>
      </c>
      <c r="AN71" s="72">
        <f>Tabella3[[#This Row],[rest of Italy fit]]*NOT(ISBLANK(Tabella3[[#This Row],[rest of Italy data]]))</f>
        <v>621.36339803480007</v>
      </c>
      <c r="AO71" s="72">
        <f>Tabella3[[#This Row],[rest of Italy fit]]+CIa</f>
        <v>2315.9375929443827</v>
      </c>
      <c r="AP71" s="72">
        <f>MAX(Tabella3[[#This Row],[rest of Italy fit]]-CIa,0)</f>
        <v>0</v>
      </c>
      <c r="AR71"/>
      <c r="AS71"/>
    </row>
    <row r="72" spans="2:45" x14ac:dyDescent="0.3">
      <c r="B72" s="15">
        <v>43895</v>
      </c>
      <c r="C72" s="4">
        <v>65</v>
      </c>
      <c r="D72" s="72">
        <f>'dpc-covid19-ita-andamento-naz'!J12+'dpc-covid19-ita-andamento-naz'!K12</f>
        <v>562</v>
      </c>
      <c r="E72" s="72">
        <f>(Tabella3[[#This Row],[Italy cumul. data]]-D71)</f>
        <v>179</v>
      </c>
      <c r="F72" s="72">
        <f>Tabella3[[#This Row],[Italy remov. rate data]]*NOT(ISBLANK(Tabella3[[#This Row],[Italy remov. rate data]]))</f>
        <v>179</v>
      </c>
      <c r="G72" s="77">
        <f>Tabella8[[#This Row],[Italy fit]]</f>
        <v>0</v>
      </c>
      <c r="H72" s="77">
        <f>Tabella3[[#This Row],[Italy cumul. fit]]/Kf</f>
        <v>0</v>
      </c>
      <c r="I72" s="77">
        <f>Tabella3[[#This Row],[region fit]]+Tabella3[[#This Row],[rest of Italy fit]]</f>
        <v>673.89110624887678</v>
      </c>
      <c r="J72" s="77">
        <f>Tabella3[[#This Row],[Italy (fit of selected region + fitted sum of the other regions)]]/(y_l_peak+y_a_peak)</f>
        <v>0.22466103137600951</v>
      </c>
      <c r="K72" s="72">
        <f>IFERROR(Kf*psi_f*_xlfn.SECH(psi_f*(Tabella3[[#This Row],[Day]]-pf)-phi_f)^2/(1+TANH(phi_f)),0)</f>
        <v>671.24883427087741</v>
      </c>
      <c r="L72" s="292">
        <f>Tabella3[[#This Row],[Italy remov. rate fit]]-Tabella3[[#This Row],[Italy remov. rate data]]</f>
        <v>492.24883427087741</v>
      </c>
      <c r="M72" s="293">
        <f>Tabella3[[#This Row],[rem. rate residuals]]*NOT(ISBLANK(Tabella3[[#This Row],[Italy remov. rate data]]))</f>
        <v>492.24883427087741</v>
      </c>
      <c r="N72" s="72">
        <f>Tabella3[[#This Row],[Italy remov. rate fit]]/y_f_peak</f>
        <v>0.22364479594572384</v>
      </c>
      <c r="O72" s="72">
        <f>Tabella3[[#This Row],[Italy (fit of selected region + fitted sum of the other regions)]]*NOT(ISBLANK(Tabella3[[#This Row],[Italy remov. rate data]]))</f>
        <v>673.89110624887678</v>
      </c>
      <c r="P72" s="72">
        <f>Tabella3[[#This Row],[Italy remov. rate fit]]*NOT(ISBLANK(Tabella3[[#This Row],[Italy remov. rate data]]))</f>
        <v>671.24883427087741</v>
      </c>
      <c r="Q72" s="72">
        <f>Tabella3[[#This Row],[Italy remov. rate fit]]+CIf</f>
        <v>2386.8636936054286</v>
      </c>
      <c r="R72" s="72">
        <f>MAX(Tabella3[[#This Row],[Italy remov. rate fit]]-CIf,0)</f>
        <v>0</v>
      </c>
      <c r="S72" s="4">
        <f>Tabella8[[#This Row],[region data]]</f>
        <v>7</v>
      </c>
      <c r="T72" s="72">
        <f>(Tabella3[[#This Row],[region cumul. data]]-S71)</f>
        <v>2</v>
      </c>
      <c r="U72" s="72">
        <f>Tabella3[[#This Row],[region data]]*NOT(ISBLANK(Tabella3[[#This Row],[region data]]))</f>
        <v>2</v>
      </c>
      <c r="V72">
        <f t="shared" si="0"/>
        <v>0.66666666666666663</v>
      </c>
      <c r="W72" s="72">
        <f>Tabella3[[#This Row],[6-days moving avg]]*NOT(ISBLANK(Tabella3[[#This Row],[6-days moving avg]]))</f>
        <v>0.66666666666666663</v>
      </c>
      <c r="X72" s="77">
        <f>Tabella8[[#This Row],[region fit]]</f>
        <v>0</v>
      </c>
      <c r="Y72" s="72">
        <f>Tabella3[[#This Row],[region cumul. fit]]/Kl</f>
        <v>0</v>
      </c>
      <c r="Z72" s="72">
        <f>IFERROR(Kl*psi_l*_xlfn.SECH(psi_l*(Tabella3[[#This Row],[Day]]-pl)-phi_l)^2/(1+TANH(phi_l)),0)</f>
        <v>25.066115743405614</v>
      </c>
      <c r="AA72" s="72">
        <f>Tabella3[[#This Row],[region fit]]/y_l_peak</f>
        <v>0.18190310046083491</v>
      </c>
      <c r="AB72" s="72">
        <f>Tabella3[[#This Row],[region fit]]*NOT(ISBLANK(Tabella3[[#This Row],[region data]]))</f>
        <v>25.066115743405614</v>
      </c>
      <c r="AC72" s="166">
        <f>IFERROR(kl_m*psi_l_m*_xlfn.SECH(psi_l_m*(Tabella3[[#This Row],[Day]]-pl_m)-phi_l_m)^2/(1+TANH(phi_l_m)),0)</f>
        <v>25.066115743405614</v>
      </c>
      <c r="AD72" s="72">
        <f>Tabella3[[#This Row],[6-days moving avg fit]]*NOT(ISBLANK(Tabella3[[#This Row],[6-days moving avg]]))</f>
        <v>25.066115743405614</v>
      </c>
      <c r="AE72" s="72">
        <f>Tabella3[[#This Row],[region fit]]+CIl</f>
        <v>78.830956152954073</v>
      </c>
      <c r="AF72" s="72">
        <f>MAX(Tabella3[[#This Row],[region fit]]-CIl,0)</f>
        <v>0</v>
      </c>
      <c r="AG72" s="10">
        <f>Tabella8[[#This Row],[rest of Italy ]]</f>
        <v>555</v>
      </c>
      <c r="AH72" s="10">
        <f>(Tabella3[[#This Row],[rest of Italy cum. data]]-AG71)</f>
        <v>177</v>
      </c>
      <c r="AI72" s="72">
        <f>Tabella3[[#This Row],[rest of Italy data]]*NOT(ISBLANK(Tabella3[[#This Row],[rest of Italy data]]))</f>
        <v>177</v>
      </c>
      <c r="AJ72" s="77">
        <f>Tabella8[[#This Row],[rest of Italy fit]]</f>
        <v>0</v>
      </c>
      <c r="AK72" s="72">
        <f>Tabella3[[#This Row],[rest of Italy cumul. fit]]/Ka</f>
        <v>0</v>
      </c>
      <c r="AL72" s="72">
        <f>IFERROR(Ka*psi_a*_xlfn.SECH(psi_a*(Tabella3[[#This Row],[Day]]-pa)-phi_a)^2/(1+TANH(phi_a)),0)</f>
        <v>648.82499050547119</v>
      </c>
      <c r="AM72" s="72">
        <f>Tabella3[[#This Row],[rest of Italy fit]]/y_a_peak</f>
        <v>0.22671988592262424</v>
      </c>
      <c r="AN72" s="72">
        <f>Tabella3[[#This Row],[rest of Italy fit]]*NOT(ISBLANK(Tabella3[[#This Row],[rest of Italy data]]))</f>
        <v>648.82499050547119</v>
      </c>
      <c r="AO72" s="72">
        <f>Tabella3[[#This Row],[rest of Italy fit]]+CIa</f>
        <v>2343.399185415054</v>
      </c>
      <c r="AP72" s="72">
        <f>MAX(Tabella3[[#This Row],[rest of Italy fit]]-CIa,0)</f>
        <v>0</v>
      </c>
      <c r="AR72"/>
      <c r="AS72"/>
    </row>
    <row r="73" spans="2:45" x14ac:dyDescent="0.3">
      <c r="B73" s="9">
        <v>43896</v>
      </c>
      <c r="C73" s="4">
        <v>66</v>
      </c>
      <c r="D73" s="72">
        <f>'dpc-covid19-ita-andamento-naz'!J13+'dpc-covid19-ita-andamento-naz'!K13</f>
        <v>720</v>
      </c>
      <c r="E73" s="72">
        <f>(Tabella3[[#This Row],[Italy cumul. data]]-D72)</f>
        <v>158</v>
      </c>
      <c r="F73" s="72">
        <f>Tabella3[[#This Row],[Italy remov. rate data]]*NOT(ISBLANK(Tabella3[[#This Row],[Italy remov. rate data]]))</f>
        <v>158</v>
      </c>
      <c r="G73" s="77">
        <f>Tabella8[[#This Row],[Italy fit]]</f>
        <v>0</v>
      </c>
      <c r="H73" s="77">
        <f>Tabella3[[#This Row],[Italy cumul. fit]]/Kf</f>
        <v>0</v>
      </c>
      <c r="I73" s="77">
        <f>Tabella3[[#This Row],[region fit]]+Tabella3[[#This Row],[rest of Italy fit]]</f>
        <v>703.68997061627863</v>
      </c>
      <c r="J73" s="77">
        <f>Tabella3[[#This Row],[Italy (fit of selected region + fitted sum of the other regions)]]/(y_l_peak+y_a_peak)</f>
        <v>0.23459534203916568</v>
      </c>
      <c r="K73" s="72">
        <f>IFERROR(Kf*psi_f*_xlfn.SECH(psi_f*(Tabella3[[#This Row],[Day]]-pf)-phi_f)^2/(1+TANH(phi_f)),0)</f>
        <v>701.00985905730374</v>
      </c>
      <c r="L73" s="292">
        <f>Tabella3[[#This Row],[Italy remov. rate fit]]-Tabella3[[#This Row],[Italy remov. rate data]]</f>
        <v>543.00985905730374</v>
      </c>
      <c r="M73" s="293">
        <f>Tabella3[[#This Row],[rem. rate residuals]]*NOT(ISBLANK(Tabella3[[#This Row],[Italy remov. rate data]]))</f>
        <v>543.00985905730374</v>
      </c>
      <c r="N73" s="72">
        <f>Tabella3[[#This Row],[Italy remov. rate fit]]/y_f_peak</f>
        <v>0.23356049035840121</v>
      </c>
      <c r="O73" s="72">
        <f>Tabella3[[#This Row],[Italy (fit of selected region + fitted sum of the other regions)]]*NOT(ISBLANK(Tabella3[[#This Row],[Italy remov. rate data]]))</f>
        <v>703.68997061627863</v>
      </c>
      <c r="P73" s="72">
        <f>Tabella3[[#This Row],[Italy remov. rate fit]]*NOT(ISBLANK(Tabella3[[#This Row],[Italy remov. rate data]]))</f>
        <v>701.00985905730374</v>
      </c>
      <c r="Q73" s="72">
        <f>Tabella3[[#This Row],[Italy remov. rate fit]]+CIf</f>
        <v>2416.6247183918549</v>
      </c>
      <c r="R73" s="72">
        <f>MAX(Tabella3[[#This Row],[Italy remov. rate fit]]-CIf,0)</f>
        <v>0</v>
      </c>
      <c r="S73" s="4">
        <f>Tabella8[[#This Row],[region data]]</f>
        <v>8</v>
      </c>
      <c r="T73" s="72">
        <f>(Tabella3[[#This Row],[region cumul. data]]-S72)</f>
        <v>1</v>
      </c>
      <c r="U73" s="72">
        <f>Tabella3[[#This Row],[region data]]*NOT(ISBLANK(Tabella3[[#This Row],[region data]]))</f>
        <v>1</v>
      </c>
      <c r="V73">
        <f t="shared" si="0"/>
        <v>0.83333333333333337</v>
      </c>
      <c r="W73" s="72">
        <f>Tabella3[[#This Row],[6-days moving avg]]*NOT(ISBLANK(Tabella3[[#This Row],[6-days moving avg]]))</f>
        <v>0.83333333333333337</v>
      </c>
      <c r="X73" s="77">
        <f>Tabella8[[#This Row],[region fit]]</f>
        <v>0</v>
      </c>
      <c r="Y73" s="72">
        <f>Tabella3[[#This Row],[region cumul. fit]]/Kl</f>
        <v>0</v>
      </c>
      <c r="Z73" s="72">
        <f>IFERROR(Kl*psi_l*_xlfn.SECH(psi_l*(Tabella3[[#This Row],[Day]]-pl)-phi_l)^2/(1+TANH(phi_l)),0)</f>
        <v>26.374306547759637</v>
      </c>
      <c r="AA73" s="72">
        <f>Tabella3[[#This Row],[region fit]]/y_l_peak</f>
        <v>0.19139655232798164</v>
      </c>
      <c r="AB73" s="72">
        <f>Tabella3[[#This Row],[region fit]]*NOT(ISBLANK(Tabella3[[#This Row],[region data]]))</f>
        <v>26.374306547759637</v>
      </c>
      <c r="AC73" s="166">
        <f>IFERROR(kl_m*psi_l_m*_xlfn.SECH(psi_l_m*(Tabella3[[#This Row],[Day]]-pl_m)-phi_l_m)^2/(1+TANH(phi_l_m)),0)</f>
        <v>26.374306547759637</v>
      </c>
      <c r="AD73" s="72">
        <f>Tabella3[[#This Row],[6-days moving avg fit]]*NOT(ISBLANK(Tabella3[[#This Row],[6-days moving avg]]))</f>
        <v>26.374306547759637</v>
      </c>
      <c r="AE73" s="72">
        <f>Tabella3[[#This Row],[region fit]]+CIl</f>
        <v>80.1391469573081</v>
      </c>
      <c r="AF73" s="72">
        <f>MAX(Tabella3[[#This Row],[region fit]]-CIl,0)</f>
        <v>0</v>
      </c>
      <c r="AG73" s="10">
        <f>Tabella8[[#This Row],[rest of Italy ]]</f>
        <v>712</v>
      </c>
      <c r="AH73" s="10">
        <f>(Tabella3[[#This Row],[rest of Italy cum. data]]-AG72)</f>
        <v>157</v>
      </c>
      <c r="AI73" s="72">
        <f>Tabella3[[#This Row],[rest of Italy data]]*NOT(ISBLANK(Tabella3[[#This Row],[rest of Italy data]]))</f>
        <v>157</v>
      </c>
      <c r="AJ73" s="77">
        <f>Tabella8[[#This Row],[rest of Italy fit]]</f>
        <v>0</v>
      </c>
      <c r="AK73" s="72">
        <f>Tabella3[[#This Row],[rest of Italy cumul. fit]]/Ka</f>
        <v>0</v>
      </c>
      <c r="AL73" s="72">
        <f>IFERROR(Ka*psi_a*_xlfn.SECH(psi_a*(Tabella3[[#This Row],[Day]]-pa)-phi_a)^2/(1+TANH(phi_a)),0)</f>
        <v>677.31566406851903</v>
      </c>
      <c r="AM73" s="72">
        <f>Tabella3[[#This Row],[rest of Italy fit]]/y_a_peak</f>
        <v>0.2366754245572269</v>
      </c>
      <c r="AN73" s="72">
        <f>Tabella3[[#This Row],[rest of Italy fit]]*NOT(ISBLANK(Tabella3[[#This Row],[rest of Italy data]]))</f>
        <v>677.31566406851903</v>
      </c>
      <c r="AO73" s="72">
        <f>Tabella3[[#This Row],[rest of Italy fit]]+CIa</f>
        <v>2371.889858978102</v>
      </c>
      <c r="AP73" s="72">
        <f>MAX(Tabella3[[#This Row],[rest of Italy fit]]-CIa,0)</f>
        <v>0</v>
      </c>
      <c r="AR73"/>
      <c r="AS73"/>
    </row>
    <row r="74" spans="2:45" x14ac:dyDescent="0.3">
      <c r="B74" s="9">
        <v>43897</v>
      </c>
      <c r="C74" s="4">
        <v>67</v>
      </c>
      <c r="D74" s="72">
        <f>'dpc-covid19-ita-andamento-naz'!J14+'dpc-covid19-ita-andamento-naz'!K14</f>
        <v>822</v>
      </c>
      <c r="E74" s="72">
        <f>(Tabella3[[#This Row],[Italy cumul. data]]-D73)</f>
        <v>102</v>
      </c>
      <c r="F74" s="72">
        <f>Tabella3[[#This Row],[Italy remov. rate data]]*NOT(ISBLANK(Tabella3[[#This Row],[Italy remov. rate data]]))</f>
        <v>102</v>
      </c>
      <c r="G74" s="77">
        <f>Tabella8[[#This Row],[Italy fit]]</f>
        <v>0</v>
      </c>
      <c r="H74" s="77">
        <f>Tabella3[[#This Row],[Italy cumul. fit]]/Kf</f>
        <v>0</v>
      </c>
      <c r="I74" s="77">
        <f>Tabella3[[#This Row],[region fit]]+Tabella3[[#This Row],[rest of Italy fit]]</f>
        <v>734.59860276937025</v>
      </c>
      <c r="J74" s="77">
        <f>Tabella3[[#This Row],[Italy (fit of selected region + fitted sum of the other regions)]]/(y_l_peak+y_a_peak)</f>
        <v>0.24489962579294289</v>
      </c>
      <c r="K74" s="72">
        <f>IFERROR(Kf*psi_f*_xlfn.SECH(psi_f*(Tabella3[[#This Row],[Day]]-pf)-phi_f)^2/(1+TANH(phi_f)),0)</f>
        <v>731.88182056520054</v>
      </c>
      <c r="L74" s="292">
        <f>Tabella3[[#This Row],[Italy remov. rate fit]]-Tabella3[[#This Row],[Italy remov. rate data]]</f>
        <v>629.88182056520054</v>
      </c>
      <c r="M74" s="293">
        <f>Tabella3[[#This Row],[rem. rate residuals]]*NOT(ISBLANK(Tabella3[[#This Row],[Italy remov. rate data]]))</f>
        <v>629.88182056520054</v>
      </c>
      <c r="N74" s="72">
        <f>Tabella3[[#This Row],[Italy remov. rate fit]]/y_f_peak</f>
        <v>0.24384632353884533</v>
      </c>
      <c r="O74" s="72">
        <f>Tabella3[[#This Row],[Italy (fit of selected region + fitted sum of the other regions)]]*NOT(ISBLANK(Tabella3[[#This Row],[Italy remov. rate data]]))</f>
        <v>734.59860276937025</v>
      </c>
      <c r="P74" s="72">
        <f>Tabella3[[#This Row],[Italy remov. rate fit]]*NOT(ISBLANK(Tabella3[[#This Row],[Italy remov. rate data]]))</f>
        <v>731.88182056520054</v>
      </c>
      <c r="Q74" s="72">
        <f>Tabella3[[#This Row],[Italy remov. rate fit]]+CIf</f>
        <v>2447.4966798997521</v>
      </c>
      <c r="R74" s="72">
        <f>MAX(Tabella3[[#This Row],[Italy remov. rate fit]]-CIf,0)</f>
        <v>0</v>
      </c>
      <c r="S74" s="4">
        <f>Tabella8[[#This Row],[region data]]</f>
        <v>9</v>
      </c>
      <c r="T74" s="72">
        <f>(Tabella3[[#This Row],[region cumul. data]]-S73)</f>
        <v>1</v>
      </c>
      <c r="U74" s="72">
        <f>Tabella3[[#This Row],[region data]]*NOT(ISBLANK(Tabella3[[#This Row],[region data]]))</f>
        <v>1</v>
      </c>
      <c r="V74">
        <f t="shared" si="0"/>
        <v>1.1666666666666667</v>
      </c>
      <c r="W74" s="72">
        <f>Tabella3[[#This Row],[6-days moving avg]]*NOT(ISBLANK(Tabella3[[#This Row],[6-days moving avg]]))</f>
        <v>1.1666666666666667</v>
      </c>
      <c r="X74" s="77">
        <f>Tabella8[[#This Row],[region fit]]</f>
        <v>0</v>
      </c>
      <c r="Y74" s="72">
        <f>Tabella3[[#This Row],[region cumul. fit]]/Kl</f>
        <v>0</v>
      </c>
      <c r="Z74" s="72">
        <f>IFERROR(Kl*psi_l*_xlfn.SECH(psi_l*(Tabella3[[#This Row],[Day]]-pl)-phi_l)^2/(1+TANH(phi_l)),0)</f>
        <v>27.742320862869523</v>
      </c>
      <c r="AA74" s="72">
        <f>Tabella3[[#This Row],[region fit]]/y_l_peak</f>
        <v>0.20132413935186108</v>
      </c>
      <c r="AB74" s="72">
        <f>Tabella3[[#This Row],[region fit]]*NOT(ISBLANK(Tabella3[[#This Row],[region data]]))</f>
        <v>27.742320862869523</v>
      </c>
      <c r="AC74" s="166">
        <f>IFERROR(kl_m*psi_l_m*_xlfn.SECH(psi_l_m*(Tabella3[[#This Row],[Day]]-pl_m)-phi_l_m)^2/(1+TANH(phi_l_m)),0)</f>
        <v>27.742320862869523</v>
      </c>
      <c r="AD74" s="72">
        <f>Tabella3[[#This Row],[6-days moving avg fit]]*NOT(ISBLANK(Tabella3[[#This Row],[6-days moving avg]]))</f>
        <v>27.742320862869523</v>
      </c>
      <c r="AE74" s="72">
        <f>Tabella3[[#This Row],[region fit]]+CIl</f>
        <v>81.507161272417974</v>
      </c>
      <c r="AF74" s="72">
        <f>MAX(Tabella3[[#This Row],[region fit]]-CIl,0)</f>
        <v>0</v>
      </c>
      <c r="AG74" s="10">
        <f>Tabella8[[#This Row],[rest of Italy ]]</f>
        <v>813</v>
      </c>
      <c r="AH74" s="10">
        <f>(Tabella3[[#This Row],[rest of Italy cum. data]]-AG73)</f>
        <v>101</v>
      </c>
      <c r="AI74" s="72">
        <f>Tabella3[[#This Row],[rest of Italy data]]*NOT(ISBLANK(Tabella3[[#This Row],[rest of Italy data]]))</f>
        <v>101</v>
      </c>
      <c r="AJ74" s="77">
        <f>Tabella8[[#This Row],[rest of Italy fit]]</f>
        <v>0</v>
      </c>
      <c r="AK74" s="72">
        <f>Tabella3[[#This Row],[rest of Italy cumul. fit]]/Ka</f>
        <v>0</v>
      </c>
      <c r="AL74" s="72">
        <f>IFERROR(Ka*psi_a*_xlfn.SECH(psi_a*(Tabella3[[#This Row],[Day]]-pa)-phi_a)^2/(1+TANH(phi_a)),0)</f>
        <v>706.85628190650073</v>
      </c>
      <c r="AM74" s="72">
        <f>Tabella3[[#This Row],[rest of Italy fit]]/y_a_peak</f>
        <v>0.24699784678867234</v>
      </c>
      <c r="AN74" s="72">
        <f>Tabella3[[#This Row],[rest of Italy fit]]*NOT(ISBLANK(Tabella3[[#This Row],[rest of Italy data]]))</f>
        <v>706.85628190650073</v>
      </c>
      <c r="AO74" s="72">
        <f>Tabella3[[#This Row],[rest of Italy fit]]+CIa</f>
        <v>2401.4304768160837</v>
      </c>
      <c r="AP74" s="72">
        <f>MAX(Tabella3[[#This Row],[rest of Italy fit]]-CIa,0)</f>
        <v>0</v>
      </c>
      <c r="AR74"/>
      <c r="AS74"/>
    </row>
    <row r="75" spans="2:45" x14ac:dyDescent="0.3">
      <c r="B75" s="15">
        <v>43898</v>
      </c>
      <c r="C75" s="4">
        <v>68</v>
      </c>
      <c r="D75" s="72">
        <f>'dpc-covid19-ita-andamento-naz'!J15+'dpc-covid19-ita-andamento-naz'!K15</f>
        <v>988</v>
      </c>
      <c r="E75" s="72">
        <f>(Tabella3[[#This Row],[Italy cumul. data]]-D74)</f>
        <v>166</v>
      </c>
      <c r="F75" s="72">
        <f>Tabella3[[#This Row],[Italy remov. rate data]]*NOT(ISBLANK(Tabella3[[#This Row],[Italy remov. rate data]]))</f>
        <v>166</v>
      </c>
      <c r="G75" s="77">
        <f>Tabella8[[#This Row],[Italy fit]]</f>
        <v>0</v>
      </c>
      <c r="H75" s="77">
        <f>Tabella3[[#This Row],[Italy cumul. fit]]/Kf</f>
        <v>0</v>
      </c>
      <c r="I75" s="77">
        <f>Tabella3[[#This Row],[region fit]]+Tabella3[[#This Row],[rest of Italy fit]]</f>
        <v>766.63826178306169</v>
      </c>
      <c r="J75" s="77">
        <f>Tabella3[[#This Row],[Italy (fit of selected region + fitted sum of the other regions)]]/(y_l_peak+y_a_peak)</f>
        <v>0.25558096996295077</v>
      </c>
      <c r="K75" s="72">
        <f>IFERROR(Kf*psi_f*_xlfn.SECH(psi_f*(Tabella3[[#This Row],[Day]]-pf)-phi_f)^2/(1+TANH(phi_f)),0)</f>
        <v>763.8860805101541</v>
      </c>
      <c r="L75" s="292">
        <f>Tabella3[[#This Row],[Italy remov. rate fit]]-Tabella3[[#This Row],[Italy remov. rate data]]</f>
        <v>597.8860805101541</v>
      </c>
      <c r="M75" s="293">
        <f>Tabella3[[#This Row],[rem. rate residuals]]*NOT(ISBLANK(Tabella3[[#This Row],[Italy remov. rate data]]))</f>
        <v>597.8860805101541</v>
      </c>
      <c r="N75" s="72">
        <f>Tabella3[[#This Row],[Italy remov. rate fit]]/y_f_peak</f>
        <v>0.25450941272328725</v>
      </c>
      <c r="O75" s="72">
        <f>Tabella3[[#This Row],[Italy (fit of selected region + fitted sum of the other regions)]]*NOT(ISBLANK(Tabella3[[#This Row],[Italy remov. rate data]]))</f>
        <v>766.63826178306169</v>
      </c>
      <c r="P75" s="72">
        <f>Tabella3[[#This Row],[Italy remov. rate fit]]*NOT(ISBLANK(Tabella3[[#This Row],[Italy remov. rate data]]))</f>
        <v>763.8860805101541</v>
      </c>
      <c r="Q75" s="72">
        <f>Tabella3[[#This Row],[Italy remov. rate fit]]+CIf</f>
        <v>2479.5009398447055</v>
      </c>
      <c r="R75" s="72">
        <f>MAX(Tabella3[[#This Row],[Italy remov. rate fit]]-CIf,0)</f>
        <v>0</v>
      </c>
      <c r="S75" s="4">
        <f>Tabella8[[#This Row],[region data]]</f>
        <v>11</v>
      </c>
      <c r="T75" s="72">
        <f>(Tabella3[[#This Row],[region cumul. data]]-S74)</f>
        <v>2</v>
      </c>
      <c r="U75" s="72">
        <f>Tabella3[[#This Row],[region data]]*NOT(ISBLANK(Tabella3[[#This Row],[region data]]))</f>
        <v>2</v>
      </c>
      <c r="V75">
        <f t="shared" si="0"/>
        <v>1.1666666666666667</v>
      </c>
      <c r="W75" s="72">
        <f>Tabella3[[#This Row],[6-days moving avg]]*NOT(ISBLANK(Tabella3[[#This Row],[6-days moving avg]]))</f>
        <v>1.1666666666666667</v>
      </c>
      <c r="X75" s="77">
        <f>Tabella8[[#This Row],[region fit]]</f>
        <v>0</v>
      </c>
      <c r="Y75" s="72">
        <f>Tabella3[[#This Row],[region cumul. fit]]/Kl</f>
        <v>0</v>
      </c>
      <c r="Z75" s="72">
        <f>IFERROR(Kl*psi_l*_xlfn.SECH(psi_l*(Tabella3[[#This Row],[Day]]-pl)-phi_l)^2/(1+TANH(phi_l)),0)</f>
        <v>29.171946121590004</v>
      </c>
      <c r="AA75" s="72">
        <f>Tabella3[[#This Row],[region fit]]/y_l_peak</f>
        <v>0.211698832811369</v>
      </c>
      <c r="AB75" s="72">
        <f>Tabella3[[#This Row],[region fit]]*NOT(ISBLANK(Tabella3[[#This Row],[region data]]))</f>
        <v>29.171946121590004</v>
      </c>
      <c r="AC75" s="166">
        <f>IFERROR(kl_m*psi_l_m*_xlfn.SECH(psi_l_m*(Tabella3[[#This Row],[Day]]-pl_m)-phi_l_m)^2/(1+TANH(phi_l_m)),0)</f>
        <v>29.171946121590004</v>
      </c>
      <c r="AD75" s="72">
        <f>Tabella3[[#This Row],[6-days moving avg fit]]*NOT(ISBLANK(Tabella3[[#This Row],[6-days moving avg]]))</f>
        <v>29.171946121590004</v>
      </c>
      <c r="AE75" s="72">
        <f>Tabella3[[#This Row],[region fit]]+CIl</f>
        <v>82.936786531138466</v>
      </c>
      <c r="AF75" s="72">
        <f>MAX(Tabella3[[#This Row],[region fit]]-CIl,0)</f>
        <v>0</v>
      </c>
      <c r="AG75" s="10">
        <f>Tabella8[[#This Row],[rest of Italy ]]</f>
        <v>977</v>
      </c>
      <c r="AH75" s="10">
        <f>(Tabella3[[#This Row],[rest of Italy cum. data]]-AG74)</f>
        <v>164</v>
      </c>
      <c r="AI75" s="72">
        <f>Tabella3[[#This Row],[rest of Italy data]]*NOT(ISBLANK(Tabella3[[#This Row],[rest of Italy data]]))</f>
        <v>164</v>
      </c>
      <c r="AJ75" s="77">
        <f>Tabella8[[#This Row],[rest of Italy fit]]</f>
        <v>0</v>
      </c>
      <c r="AK75" s="72">
        <f>Tabella3[[#This Row],[rest of Italy cumul. fit]]/Ka</f>
        <v>0</v>
      </c>
      <c r="AL75" s="72">
        <f>IFERROR(Ka*psi_a*_xlfn.SECH(psi_a*(Tabella3[[#This Row],[Day]]-pa)-phi_a)^2/(1+TANH(phi_a)),0)</f>
        <v>737.46631566147164</v>
      </c>
      <c r="AM75" s="72">
        <f>Tabella3[[#This Row],[rest of Italy fit]]/y_a_peak</f>
        <v>0.25769395662193895</v>
      </c>
      <c r="AN75" s="72">
        <f>Tabella3[[#This Row],[rest of Italy fit]]*NOT(ISBLANK(Tabella3[[#This Row],[rest of Italy data]]))</f>
        <v>737.46631566147164</v>
      </c>
      <c r="AO75" s="72">
        <f>Tabella3[[#This Row],[rest of Italy fit]]+CIa</f>
        <v>2432.0405105710543</v>
      </c>
      <c r="AP75" s="72">
        <f>MAX(Tabella3[[#This Row],[rest of Italy fit]]-CIa,0)</f>
        <v>0</v>
      </c>
      <c r="AR75"/>
      <c r="AS75"/>
    </row>
    <row r="76" spans="2:45" x14ac:dyDescent="0.3">
      <c r="B76" s="9">
        <v>43899</v>
      </c>
      <c r="C76" s="4">
        <v>69</v>
      </c>
      <c r="D76" s="72">
        <f>'dpc-covid19-ita-andamento-naz'!J16+'dpc-covid19-ita-andamento-naz'!K16</f>
        <v>1187</v>
      </c>
      <c r="E76" s="72">
        <f>(Tabella3[[#This Row],[Italy cumul. data]]-D75)</f>
        <v>199</v>
      </c>
      <c r="F76" s="72">
        <f>Tabella3[[#This Row],[Italy remov. rate data]]*NOT(ISBLANK(Tabella3[[#This Row],[Italy remov. rate data]]))</f>
        <v>199</v>
      </c>
      <c r="G76" s="77">
        <f>Tabella8[[#This Row],[Italy fit]]</f>
        <v>0</v>
      </c>
      <c r="H76" s="77">
        <f>Tabella3[[#This Row],[Italy cumul. fit]]/Kf</f>
        <v>0</v>
      </c>
      <c r="I76" s="77">
        <f>Tabella3[[#This Row],[region fit]]+Tabella3[[#This Row],[rest of Italy fit]]</f>
        <v>799.82853324488144</v>
      </c>
      <c r="J76" s="77">
        <f>Tabella3[[#This Row],[Italy (fit of selected region + fitted sum of the other regions)]]/(y_l_peak+y_a_peak)</f>
        <v>0.26664590396952653</v>
      </c>
      <c r="K76" s="72">
        <f>IFERROR(Kf*psi_f*_xlfn.SECH(psi_f*(Tabella3[[#This Row],[Day]]-pf)-phi_f)^2/(1+TANH(phi_f)),0)</f>
        <v>797.04232992385505</v>
      </c>
      <c r="L76" s="292">
        <f>Tabella3[[#This Row],[Italy remov. rate fit]]-Tabella3[[#This Row],[Italy remov. rate data]]</f>
        <v>598.04232992385505</v>
      </c>
      <c r="M76" s="293">
        <f>Tabella3[[#This Row],[rem. rate residuals]]*NOT(ISBLANK(Tabella3[[#This Row],[Italy remov. rate data]]))</f>
        <v>598.04232992385505</v>
      </c>
      <c r="N76" s="72">
        <f>Tabella3[[#This Row],[Italy remov. rate fit]]/y_f_peak</f>
        <v>0.26555631851420342</v>
      </c>
      <c r="O76" s="72">
        <f>Tabella3[[#This Row],[Italy (fit of selected region + fitted sum of the other regions)]]*NOT(ISBLANK(Tabella3[[#This Row],[Italy remov. rate data]]))</f>
        <v>799.82853324488144</v>
      </c>
      <c r="P76" s="72">
        <f>Tabella3[[#This Row],[Italy remov. rate fit]]*NOT(ISBLANK(Tabella3[[#This Row],[Italy remov. rate data]]))</f>
        <v>797.04232992385505</v>
      </c>
      <c r="Q76" s="72">
        <f>Tabella3[[#This Row],[Italy remov. rate fit]]+CIf</f>
        <v>2512.6571892584061</v>
      </c>
      <c r="R76" s="72">
        <f>MAX(Tabella3[[#This Row],[Italy remov. rate fit]]-CIf,0)</f>
        <v>0</v>
      </c>
      <c r="S76" s="4">
        <f>Tabella8[[#This Row],[region data]]</f>
        <v>12</v>
      </c>
      <c r="T76" s="72">
        <f>(Tabella3[[#This Row],[region cumul. data]]-S75)</f>
        <v>1</v>
      </c>
      <c r="U76" s="72">
        <f>Tabella3[[#This Row],[region data]]*NOT(ISBLANK(Tabella3[[#This Row],[region data]]))</f>
        <v>1</v>
      </c>
      <c r="V76">
        <f t="shared" si="0"/>
        <v>1.3333333333333333</v>
      </c>
      <c r="W76" s="72">
        <f>Tabella3[[#This Row],[6-days moving avg]]*NOT(ISBLANK(Tabella3[[#This Row],[6-days moving avg]]))</f>
        <v>1.3333333333333333</v>
      </c>
      <c r="X76" s="77">
        <f>Tabella8[[#This Row],[region fit]]</f>
        <v>0</v>
      </c>
      <c r="Y76" s="72">
        <f>Tabella3[[#This Row],[region cumul. fit]]/Kl</f>
        <v>0</v>
      </c>
      <c r="Z76" s="72">
        <f>IFERROR(Kl*psi_l*_xlfn.SECH(psi_l*(Tabella3[[#This Row],[Day]]-pl)-phi_l)^2/(1+TANH(phi_l)),0)</f>
        <v>30.664911654503587</v>
      </c>
      <c r="AA76" s="72">
        <f>Tabella3[[#This Row],[region fit]]/y_l_peak</f>
        <v>0.2225331823411556</v>
      </c>
      <c r="AB76" s="72">
        <f>Tabella3[[#This Row],[region fit]]*NOT(ISBLANK(Tabella3[[#This Row],[region data]]))</f>
        <v>30.664911654503587</v>
      </c>
      <c r="AC76" s="166">
        <f>IFERROR(kl_m*psi_l_m*_xlfn.SECH(psi_l_m*(Tabella3[[#This Row],[Day]]-pl_m)-phi_l_m)^2/(1+TANH(phi_l_m)),0)</f>
        <v>30.664911654503587</v>
      </c>
      <c r="AD76" s="72">
        <f>Tabella3[[#This Row],[6-days moving avg fit]]*NOT(ISBLANK(Tabella3[[#This Row],[6-days moving avg]]))</f>
        <v>30.664911654503587</v>
      </c>
      <c r="AE76" s="72">
        <f>Tabella3[[#This Row],[region fit]]+CIl</f>
        <v>84.429752064052039</v>
      </c>
      <c r="AF76" s="72">
        <f>MAX(Tabella3[[#This Row],[region fit]]-CIl,0)</f>
        <v>0</v>
      </c>
      <c r="AG76" s="10">
        <f>Tabella8[[#This Row],[rest of Italy ]]</f>
        <v>1175</v>
      </c>
      <c r="AH76" s="10">
        <f>(Tabella3[[#This Row],[rest of Italy cum. data]]-AG75)</f>
        <v>198</v>
      </c>
      <c r="AI76" s="72">
        <f>Tabella3[[#This Row],[rest of Italy data]]*NOT(ISBLANK(Tabella3[[#This Row],[rest of Italy data]]))</f>
        <v>198</v>
      </c>
      <c r="AJ76" s="77">
        <f>Tabella8[[#This Row],[rest of Italy fit]]</f>
        <v>0</v>
      </c>
      <c r="AK76" s="72">
        <f>Tabella3[[#This Row],[rest of Italy cumul. fit]]/Ka</f>
        <v>0</v>
      </c>
      <c r="AL76" s="72">
        <f>IFERROR(Ka*psi_a*_xlfn.SECH(psi_a*(Tabella3[[#This Row],[Day]]-pa)-phi_a)^2/(1+TANH(phi_a)),0)</f>
        <v>769.16362159037783</v>
      </c>
      <c r="AM76" s="72">
        <f>Tabella3[[#This Row],[rest of Italy fit]]/y_a_peak</f>
        <v>0.26876999359557263</v>
      </c>
      <c r="AN76" s="72">
        <f>Tabella3[[#This Row],[rest of Italy fit]]*NOT(ISBLANK(Tabella3[[#This Row],[rest of Italy data]]))</f>
        <v>769.16362159037783</v>
      </c>
      <c r="AO76" s="72">
        <f>Tabella3[[#This Row],[rest of Italy fit]]+CIa</f>
        <v>2463.7378164999604</v>
      </c>
      <c r="AP76" s="72">
        <f>MAX(Tabella3[[#This Row],[rest of Italy fit]]-CIa,0)</f>
        <v>0</v>
      </c>
      <c r="AR76"/>
      <c r="AS76"/>
    </row>
    <row r="77" spans="2:45" x14ac:dyDescent="0.3">
      <c r="B77" s="15">
        <v>43900</v>
      </c>
      <c r="C77" s="4">
        <v>70</v>
      </c>
      <c r="D77" s="72">
        <f>'dpc-covid19-ita-andamento-naz'!J17+'dpc-covid19-ita-andamento-naz'!K17</f>
        <v>1635</v>
      </c>
      <c r="E77" s="72">
        <f>(Tabella3[[#This Row],[Italy cumul. data]]-D76)</f>
        <v>448</v>
      </c>
      <c r="F77" s="72">
        <f>Tabella3[[#This Row],[Italy remov. rate data]]*NOT(ISBLANK(Tabella3[[#This Row],[Italy remov. rate data]]))</f>
        <v>448</v>
      </c>
      <c r="G77" s="77">
        <f>Tabella8[[#This Row],[Italy fit]]</f>
        <v>129.02576862024938</v>
      </c>
      <c r="H77" s="77">
        <f>Tabella3[[#This Row],[Italy cumul. fit]]/Kf</f>
        <v>5.7344786053444171E-4</v>
      </c>
      <c r="I77" s="77">
        <f>Tabella3[[#This Row],[region fit]]+Tabella3[[#This Row],[rest of Italy fit]]</f>
        <v>834.18707364193676</v>
      </c>
      <c r="J77" s="77">
        <f>Tabella3[[#This Row],[Italy (fit of selected region + fitted sum of the other regions)]]/(y_l_peak+y_a_peak)</f>
        <v>0.27810031411175801</v>
      </c>
      <c r="K77" s="72">
        <f>IFERROR(Kf*psi_f*_xlfn.SECH(psi_f*(Tabella3[[#This Row],[Day]]-pf)-phi_f)^2/(1+TANH(phi_f)),0)</f>
        <v>831.36833382041937</v>
      </c>
      <c r="L77" s="292">
        <f>Tabella3[[#This Row],[Italy remov. rate fit]]-Tabella3[[#This Row],[Italy remov. rate data]]</f>
        <v>383.36833382041937</v>
      </c>
      <c r="M77" s="293">
        <f>Tabella3[[#This Row],[rem. rate residuals]]*NOT(ISBLANK(Tabella3[[#This Row],[Italy remov. rate data]]))</f>
        <v>383.36833382041937</v>
      </c>
      <c r="N77" s="72">
        <f>Tabella3[[#This Row],[Italy remov. rate fit]]/y_f_peak</f>
        <v>0.27699295980895955</v>
      </c>
      <c r="O77" s="72">
        <f>Tabella3[[#This Row],[Italy (fit of selected region + fitted sum of the other regions)]]*NOT(ISBLANK(Tabella3[[#This Row],[Italy remov. rate data]]))</f>
        <v>834.18707364193676</v>
      </c>
      <c r="P77" s="72">
        <f>Tabella3[[#This Row],[Italy remov. rate fit]]*NOT(ISBLANK(Tabella3[[#This Row],[Italy remov. rate data]]))</f>
        <v>831.36833382041937</v>
      </c>
      <c r="Q77" s="72">
        <f>Tabella3[[#This Row],[Italy remov. rate fit]]+CIf</f>
        <v>2546.9831931549706</v>
      </c>
      <c r="R77" s="72">
        <f>MAX(Tabella3[[#This Row],[Italy remov. rate fit]]-CIf,0)</f>
        <v>0</v>
      </c>
      <c r="S77" s="4">
        <f>Tabella8[[#This Row],[region data]]</f>
        <v>13</v>
      </c>
      <c r="T77" s="72">
        <f>(Tabella3[[#This Row],[region cumul. data]]-S76)</f>
        <v>1</v>
      </c>
      <c r="U77" s="72">
        <f>Tabella3[[#This Row],[region data]]*NOT(ISBLANK(Tabella3[[#This Row],[region data]]))</f>
        <v>1</v>
      </c>
      <c r="V77">
        <f t="shared" ref="V77:V140" si="1">AVERAGE(T73:T78)</f>
        <v>1</v>
      </c>
      <c r="W77" s="72">
        <f>Tabella3[[#This Row],[6-days moving avg]]*NOT(ISBLANK(Tabella3[[#This Row],[6-days moving avg]]))</f>
        <v>1</v>
      </c>
      <c r="X77" s="77">
        <f>Tabella8[[#This Row],[region fit]]</f>
        <v>0</v>
      </c>
      <c r="Y77" s="72">
        <f>Tabella3[[#This Row],[region cumul. fit]]/Kl</f>
        <v>0</v>
      </c>
      <c r="Z77" s="72">
        <f>IFERROR(Kl*psi_l*_xlfn.SECH(psi_l*(Tabella3[[#This Row],[Day]]-pl)-phi_l)^2/(1+TANH(phi_l)),0)</f>
        <v>32.222872209298011</v>
      </c>
      <c r="AA77" s="72">
        <f>Tabella3[[#This Row],[region fit]]/y_l_peak</f>
        <v>0.23383919633286648</v>
      </c>
      <c r="AB77" s="72">
        <f>Tabella3[[#This Row],[region fit]]*NOT(ISBLANK(Tabella3[[#This Row],[region data]]))</f>
        <v>32.222872209298011</v>
      </c>
      <c r="AC77" s="166">
        <f>IFERROR(kl_m*psi_l_m*_xlfn.SECH(psi_l_m*(Tabella3[[#This Row],[Day]]-pl_m)-phi_l_m)^2/(1+TANH(phi_l_m)),0)</f>
        <v>32.222872209298011</v>
      </c>
      <c r="AD77" s="72">
        <f>Tabella3[[#This Row],[6-days moving avg fit]]*NOT(ISBLANK(Tabella3[[#This Row],[6-days moving avg]]))</f>
        <v>32.222872209298011</v>
      </c>
      <c r="AE77" s="72">
        <f>Tabella3[[#This Row],[region fit]]+CIl</f>
        <v>85.987712618846473</v>
      </c>
      <c r="AF77" s="72">
        <f>MAX(Tabella3[[#This Row],[region fit]]-CIl,0)</f>
        <v>0</v>
      </c>
      <c r="AG77" s="10">
        <f>Tabella8[[#This Row],[rest of Italy ]]</f>
        <v>1622</v>
      </c>
      <c r="AH77" s="10">
        <f>(Tabella3[[#This Row],[rest of Italy cum. data]]-AG76)</f>
        <v>447</v>
      </c>
      <c r="AI77" s="72">
        <f>Tabella3[[#This Row],[rest of Italy data]]*NOT(ISBLANK(Tabella3[[#This Row],[rest of Italy data]]))</f>
        <v>447</v>
      </c>
      <c r="AJ77" s="77">
        <f>Tabella8[[#This Row],[rest of Italy fit]]</f>
        <v>242.70089901987399</v>
      </c>
      <c r="AK77" s="72">
        <f>Tabella3[[#This Row],[rest of Italy cumul. fit]]/Ka</f>
        <v>1.1234592372349858E-3</v>
      </c>
      <c r="AL77" s="72">
        <f>IFERROR(Ka*psi_a*_xlfn.SECH(psi_a*(Tabella3[[#This Row],[Day]]-pa)-phi_a)^2/(1+TANH(phi_a)),0)</f>
        <v>801.96420143263879</v>
      </c>
      <c r="AM77" s="72">
        <f>Tabella3[[#This Row],[rest of Italy fit]]/y_a_peak</f>
        <v>0.28023154922128896</v>
      </c>
      <c r="AN77" s="72">
        <f>Tabella3[[#This Row],[rest of Italy fit]]*NOT(ISBLANK(Tabella3[[#This Row],[rest of Italy data]]))</f>
        <v>801.96420143263879</v>
      </c>
      <c r="AO77" s="72">
        <f>Tabella3[[#This Row],[rest of Italy fit]]+CIa</f>
        <v>2496.5383963422214</v>
      </c>
      <c r="AP77" s="72">
        <f>MAX(Tabella3[[#This Row],[rest of Italy fit]]-CIa,0)</f>
        <v>0</v>
      </c>
      <c r="AR77"/>
      <c r="AS77"/>
    </row>
    <row r="78" spans="2:45" x14ac:dyDescent="0.3">
      <c r="B78" s="9">
        <v>43901</v>
      </c>
      <c r="C78" s="4">
        <v>71</v>
      </c>
      <c r="D78" s="72">
        <f>'dpc-covid19-ita-andamento-naz'!J18+'dpc-covid19-ita-andamento-naz'!K18</f>
        <v>1872</v>
      </c>
      <c r="E78" s="72">
        <f>(Tabella3[[#This Row],[Italy cumul. data]]-D77)</f>
        <v>237</v>
      </c>
      <c r="F78" s="72">
        <f>Tabella3[[#This Row],[Italy remov. rate data]]*NOT(ISBLANK(Tabella3[[#This Row],[Italy remov. rate data]]))</f>
        <v>237</v>
      </c>
      <c r="G78" s="77">
        <f>Tabella8[[#This Row],[Italy fit]]</f>
        <v>978.05040302826933</v>
      </c>
      <c r="H78" s="77">
        <f>Tabella3[[#This Row],[Italy cumul. fit]]/Kf</f>
        <v>4.3468906801256415E-3</v>
      </c>
      <c r="I78" s="77">
        <f>Tabella3[[#This Row],[region fit]]+Tabella3[[#This Row],[rest of Italy fit]]</f>
        <v>869.72933790463605</v>
      </c>
      <c r="J78" s="77">
        <f>Tabella3[[#This Row],[Italy (fit of selected region + fitted sum of the other regions)]]/(y_l_peak+y_a_peak)</f>
        <v>0.28994935273632733</v>
      </c>
      <c r="K78" s="72">
        <f>IFERROR(Kf*psi_f*_xlfn.SECH(psi_f*(Tabella3[[#This Row],[Day]]-pf)-phi_f)^2/(1+TANH(phi_f)),0)</f>
        <v>866.87965911750098</v>
      </c>
      <c r="L78" s="292">
        <f>Tabella3[[#This Row],[Italy remov. rate fit]]-Tabella3[[#This Row],[Italy remov. rate data]]</f>
        <v>629.87965911750098</v>
      </c>
      <c r="M78" s="293">
        <f>Tabella3[[#This Row],[rem. rate residuals]]*NOT(ISBLANK(Tabella3[[#This Row],[Italy remov. rate data]]))</f>
        <v>629.87965911750098</v>
      </c>
      <c r="N78" s="72">
        <f>Tabella3[[#This Row],[Italy remov. rate fit]]/y_f_peak</f>
        <v>0.28882452314933349</v>
      </c>
      <c r="O78" s="72">
        <f>Tabella3[[#This Row],[Italy (fit of selected region + fitted sum of the other regions)]]*NOT(ISBLANK(Tabella3[[#This Row],[Italy remov. rate data]]))</f>
        <v>869.72933790463605</v>
      </c>
      <c r="P78" s="72">
        <f>Tabella3[[#This Row],[Italy remov. rate fit]]*NOT(ISBLANK(Tabella3[[#This Row],[Italy remov. rate data]]))</f>
        <v>866.87965911750098</v>
      </c>
      <c r="Q78" s="72">
        <f>Tabella3[[#This Row],[Italy remov. rate fit]]+CIf</f>
        <v>2582.494518452052</v>
      </c>
      <c r="R78" s="72">
        <f>MAX(Tabella3[[#This Row],[Italy remov. rate fit]]-CIf,0)</f>
        <v>0</v>
      </c>
      <c r="S78" s="4">
        <f>Tabella8[[#This Row],[region data]]</f>
        <v>13</v>
      </c>
      <c r="T78" s="72">
        <f>(Tabella3[[#This Row],[region cumul. data]]-S77)</f>
        <v>0</v>
      </c>
      <c r="U78" s="72">
        <f>Tabella3[[#This Row],[region data]]*NOT(ISBLANK(Tabella3[[#This Row],[region data]]))</f>
        <v>0</v>
      </c>
      <c r="V78">
        <f t="shared" si="1"/>
        <v>3.8333333333333335</v>
      </c>
      <c r="W78" s="72">
        <f>Tabella3[[#This Row],[6-days moving avg]]*NOT(ISBLANK(Tabella3[[#This Row],[6-days moving avg]]))</f>
        <v>3.8333333333333335</v>
      </c>
      <c r="X78" s="77">
        <f>Tabella8[[#This Row],[region fit]]</f>
        <v>0</v>
      </c>
      <c r="Y78" s="72">
        <f>Tabella3[[#This Row],[region cumul. fit]]/Kl</f>
        <v>0</v>
      </c>
      <c r="Z78" s="72">
        <f>IFERROR(Kl*psi_l*_xlfn.SECH(psi_l*(Tabella3[[#This Row],[Day]]-pl)-phi_l)^2/(1+TANH(phi_l)),0)</f>
        <v>33.847389866087639</v>
      </c>
      <c r="AA78" s="72">
        <f>Tabella3[[#This Row],[region fit]]/y_l_peak</f>
        <v>0.2456282106958575</v>
      </c>
      <c r="AB78" s="72">
        <f>Tabella3[[#This Row],[region fit]]*NOT(ISBLANK(Tabella3[[#This Row],[region data]]))</f>
        <v>33.847389866087639</v>
      </c>
      <c r="AC78" s="166">
        <f>IFERROR(kl_m*psi_l_m*_xlfn.SECH(psi_l_m*(Tabella3[[#This Row],[Day]]-pl_m)-phi_l_m)^2/(1+TANH(phi_l_m)),0)</f>
        <v>33.847389866087639</v>
      </c>
      <c r="AD78" s="72">
        <f>Tabella3[[#This Row],[6-days moving avg fit]]*NOT(ISBLANK(Tabella3[[#This Row],[6-days moving avg]]))</f>
        <v>33.847389866087639</v>
      </c>
      <c r="AE78" s="72">
        <f>Tabella3[[#This Row],[region fit]]+CIl</f>
        <v>87.612230275636094</v>
      </c>
      <c r="AF78" s="72">
        <f>MAX(Tabella3[[#This Row],[region fit]]-CIl,0)</f>
        <v>0</v>
      </c>
      <c r="AG78" s="10">
        <f>Tabella8[[#This Row],[rest of Italy ]]</f>
        <v>1859</v>
      </c>
      <c r="AH78" s="10">
        <f>(Tabella3[[#This Row],[rest of Italy cum. data]]-AG77)</f>
        <v>237</v>
      </c>
      <c r="AI78" s="72">
        <f>Tabella3[[#This Row],[rest of Italy data]]*NOT(ISBLANK(Tabella3[[#This Row],[rest of Italy data]]))</f>
        <v>237</v>
      </c>
      <c r="AJ78" s="77">
        <f>Tabella8[[#This Row],[rest of Italy fit]]</f>
        <v>1061.5303582923698</v>
      </c>
      <c r="AK78" s="72">
        <f>Tabella3[[#This Row],[rest of Italy cumul. fit]]/Ka</f>
        <v>4.9138099259008923E-3</v>
      </c>
      <c r="AL78" s="72">
        <f>IFERROR(Ka*psi_a*_xlfn.SECH(psi_a*(Tabella3[[#This Row],[Day]]-pa)-phi_a)^2/(1+TANH(phi_a)),0)</f>
        <v>835.88194803854844</v>
      </c>
      <c r="AM78" s="72">
        <f>Tabella3[[#This Row],[rest of Italy fit]]/y_a_peak</f>
        <v>0.2920834780985252</v>
      </c>
      <c r="AN78" s="72">
        <f>Tabella3[[#This Row],[rest of Italy fit]]*NOT(ISBLANK(Tabella3[[#This Row],[rest of Italy data]]))</f>
        <v>835.88194803854844</v>
      </c>
      <c r="AO78" s="72">
        <f>Tabella3[[#This Row],[rest of Italy fit]]+CIa</f>
        <v>2530.4561429481309</v>
      </c>
      <c r="AP78" s="72">
        <f>MAX(Tabella3[[#This Row],[rest of Italy fit]]-CIa,0)</f>
        <v>0</v>
      </c>
      <c r="AR78"/>
      <c r="AS78"/>
    </row>
    <row r="79" spans="2:45" x14ac:dyDescent="0.3">
      <c r="B79" s="15">
        <v>43902</v>
      </c>
      <c r="C79" s="4">
        <v>72</v>
      </c>
      <c r="D79" s="72">
        <f>'dpc-covid19-ita-andamento-naz'!J19+'dpc-covid19-ita-andamento-naz'!K19</f>
        <v>2274</v>
      </c>
      <c r="E79" s="72">
        <f>(Tabella3[[#This Row],[Italy cumul. data]]-D78)</f>
        <v>402</v>
      </c>
      <c r="F79" s="72">
        <f>Tabella3[[#This Row],[Italy remov. rate data]]*NOT(ISBLANK(Tabella3[[#This Row],[Italy remov. rate data]]))</f>
        <v>402</v>
      </c>
      <c r="G79" s="77">
        <f>Tabella8[[#This Row],[Italy fit]]</f>
        <v>1863.1845850473394</v>
      </c>
      <c r="H79" s="77">
        <f>Tabella3[[#This Row],[Italy cumul. fit]]/Kf</f>
        <v>8.280820377988175E-3</v>
      </c>
      <c r="I79" s="77">
        <f>Tabella3[[#This Row],[region fit]]+Tabella3[[#This Row],[rest of Italy fit]]</f>
        <v>906.46829028321815</v>
      </c>
      <c r="J79" s="77">
        <f>Tabella3[[#This Row],[Italy (fit of selected region + fitted sum of the other regions)]]/(y_l_peak+y_a_peak)</f>
        <v>0.30219734184986541</v>
      </c>
      <c r="K79" s="72">
        <f>IFERROR(Kf*psi_f*_xlfn.SECH(psi_f*(Tabella3[[#This Row],[Day]]-pf)-phi_f)^2/(1+TANH(phi_f)),0)</f>
        <v>903.58938600207614</v>
      </c>
      <c r="L79" s="292">
        <f>Tabella3[[#This Row],[Italy remov. rate fit]]-Tabella3[[#This Row],[Italy remov. rate data]]</f>
        <v>501.58938600207614</v>
      </c>
      <c r="M79" s="293">
        <f>Tabella3[[#This Row],[rem. rate residuals]]*NOT(ISBLANK(Tabella3[[#This Row],[Italy remov. rate data]]))</f>
        <v>501.58938600207614</v>
      </c>
      <c r="N79" s="72">
        <f>Tabella3[[#This Row],[Italy remov. rate fit]]/y_f_peak</f>
        <v>0.30105536655517989</v>
      </c>
      <c r="O79" s="72">
        <f>Tabella3[[#This Row],[Italy (fit of selected region + fitted sum of the other regions)]]*NOT(ISBLANK(Tabella3[[#This Row],[Italy remov. rate data]]))</f>
        <v>906.46829028321815</v>
      </c>
      <c r="P79" s="72">
        <f>Tabella3[[#This Row],[Italy remov. rate fit]]*NOT(ISBLANK(Tabella3[[#This Row],[Italy remov. rate data]]))</f>
        <v>903.58938600207614</v>
      </c>
      <c r="Q79" s="72">
        <f>Tabella3[[#This Row],[Italy remov. rate fit]]+CIf</f>
        <v>2619.2042453366275</v>
      </c>
      <c r="R79" s="72">
        <f>MAX(Tabella3[[#This Row],[Italy remov. rate fit]]-CIf,0)</f>
        <v>0</v>
      </c>
      <c r="S79" s="4">
        <f>Tabella8[[#This Row],[region data]]</f>
        <v>31</v>
      </c>
      <c r="T79" s="72">
        <f>(Tabella3[[#This Row],[region cumul. data]]-S78)</f>
        <v>18</v>
      </c>
      <c r="U79" s="72">
        <f>Tabella3[[#This Row],[region data]]*NOT(ISBLANK(Tabella3[[#This Row],[region data]]))</f>
        <v>18</v>
      </c>
      <c r="V79">
        <f t="shared" si="1"/>
        <v>5.333333333333333</v>
      </c>
      <c r="W79" s="72">
        <f>Tabella3[[#This Row],[6-days moving avg]]*NOT(ISBLANK(Tabella3[[#This Row],[6-days moving avg]]))</f>
        <v>5.333333333333333</v>
      </c>
      <c r="X79" s="77">
        <f>Tabella8[[#This Row],[region fit]]</f>
        <v>0</v>
      </c>
      <c r="Y79" s="72">
        <f>Tabella3[[#This Row],[region cumul. fit]]/Kl</f>
        <v>0</v>
      </c>
      <c r="Z79" s="72">
        <f>IFERROR(Kl*psi_l*_xlfn.SECH(psi_l*(Tabella3[[#This Row],[Day]]-pl)-phi_l)^2/(1+TANH(phi_l)),0)</f>
        <v>35.539914298856431</v>
      </c>
      <c r="AA79" s="72">
        <f>Tabella3[[#This Row],[region fit]]/y_l_peak</f>
        <v>0.25791074561582628</v>
      </c>
      <c r="AB79" s="72">
        <f>Tabella3[[#This Row],[region fit]]*NOT(ISBLANK(Tabella3[[#This Row],[region data]]))</f>
        <v>35.539914298856431</v>
      </c>
      <c r="AC79" s="166">
        <f>IFERROR(kl_m*psi_l_m*_xlfn.SECH(psi_l_m*(Tabella3[[#This Row],[Day]]-pl_m)-phi_l_m)^2/(1+TANH(phi_l_m)),0)</f>
        <v>35.539914298856431</v>
      </c>
      <c r="AD79" s="72">
        <f>Tabella3[[#This Row],[6-days moving avg fit]]*NOT(ISBLANK(Tabella3[[#This Row],[6-days moving avg]]))</f>
        <v>35.539914298856431</v>
      </c>
      <c r="AE79" s="72">
        <f>Tabella3[[#This Row],[region fit]]+CIl</f>
        <v>89.304754708404886</v>
      </c>
      <c r="AF79" s="72">
        <f>MAX(Tabella3[[#This Row],[region fit]]-CIl,0)</f>
        <v>0</v>
      </c>
      <c r="AG79" s="10">
        <f>Tabella8[[#This Row],[rest of Italy ]]</f>
        <v>2243</v>
      </c>
      <c r="AH79" s="10">
        <f>(Tabella3[[#This Row],[rest of Italy cum. data]]-AG78)</f>
        <v>384</v>
      </c>
      <c r="AI79" s="72">
        <f>Tabella3[[#This Row],[rest of Italy data]]*NOT(ISBLANK(Tabella3[[#This Row],[rest of Italy data]]))</f>
        <v>384</v>
      </c>
      <c r="AJ79" s="77">
        <f>Tabella8[[#This Row],[rest of Italy fit]]</f>
        <v>1914.841051772273</v>
      </c>
      <c r="AK79" s="72">
        <f>Tabella3[[#This Row],[rest of Italy cumul. fit]]/Ka</f>
        <v>8.8637737896230754E-3</v>
      </c>
      <c r="AL79" s="72">
        <f>IFERROR(Ka*psi_a*_xlfn.SECH(psi_a*(Tabella3[[#This Row],[Day]]-pa)-phi_a)^2/(1+TANH(phi_a)),0)</f>
        <v>870.92837598436176</v>
      </c>
      <c r="AM79" s="72">
        <f>Tabella3[[#This Row],[rest of Italy fit]]/y_a_peak</f>
        <v>0.30432980378286745</v>
      </c>
      <c r="AN79" s="72">
        <f>Tabella3[[#This Row],[rest of Italy fit]]*NOT(ISBLANK(Tabella3[[#This Row],[rest of Italy data]]))</f>
        <v>870.92837598436176</v>
      </c>
      <c r="AO79" s="72">
        <f>Tabella3[[#This Row],[rest of Italy fit]]+CIa</f>
        <v>2565.5025708939447</v>
      </c>
      <c r="AP79" s="72">
        <f>MAX(Tabella3[[#This Row],[rest of Italy fit]]-CIa,0)</f>
        <v>0</v>
      </c>
      <c r="AR79"/>
      <c r="AS79"/>
    </row>
    <row r="80" spans="2:45" x14ac:dyDescent="0.3">
      <c r="B80" s="9">
        <v>43903</v>
      </c>
      <c r="C80" s="4">
        <v>73</v>
      </c>
      <c r="D80" s="72">
        <f>'dpc-covid19-ita-andamento-naz'!J20+'dpc-covid19-ita-andamento-naz'!K20</f>
        <v>2705</v>
      </c>
      <c r="E80" s="72">
        <f>(Tabella3[[#This Row],[Italy cumul. data]]-D79)</f>
        <v>431</v>
      </c>
      <c r="F80" s="72">
        <f>Tabella3[[#This Row],[Italy remov. rate data]]*NOT(ISBLANK(Tabella3[[#This Row],[Italy remov. rate data]]))</f>
        <v>431</v>
      </c>
      <c r="G80" s="77">
        <f>Tabella8[[#This Row],[Italy fit]]</f>
        <v>2785.6321063424789</v>
      </c>
      <c r="H80" s="77">
        <f>Tabella3[[#This Row],[Italy cumul. fit]]/Kf</f>
        <v>1.2380587139299907E-2</v>
      </c>
      <c r="I80" s="77">
        <f>Tabella3[[#This Row],[region fit]]+Tabella3[[#This Row],[rest of Italy fit]]</f>
        <v>944.41409895119045</v>
      </c>
      <c r="J80" s="77">
        <f>Tabella3[[#This Row],[Italy (fit of selected region + fitted sum of the other regions)]]/(y_l_peak+y_a_peak)</f>
        <v>0.31484767130620195</v>
      </c>
      <c r="K80" s="72">
        <f>IFERROR(Kf*psi_f*_xlfn.SECH(psi_f*(Tabella3[[#This Row],[Day]]-pf)-phi_f)^2/(1+TANH(phi_f)),0)</f>
        <v>941.50780314862709</v>
      </c>
      <c r="L80" s="292">
        <f>Tabella3[[#This Row],[Italy remov. rate fit]]-Tabella3[[#This Row],[Italy remov. rate data]]</f>
        <v>510.50780314862709</v>
      </c>
      <c r="M80" s="293">
        <f>Tabella3[[#This Row],[rem. rate residuals]]*NOT(ISBLANK(Tabella3[[#This Row],[Italy remov. rate data]]))</f>
        <v>510.50780314862709</v>
      </c>
      <c r="N80" s="72">
        <f>Tabella3[[#This Row],[Italy remov. rate fit]]/y_f_peak</f>
        <v>0.31368891797808351</v>
      </c>
      <c r="O80" s="72">
        <f>Tabella3[[#This Row],[Italy (fit of selected region + fitted sum of the other regions)]]*NOT(ISBLANK(Tabella3[[#This Row],[Italy remov. rate data]]))</f>
        <v>944.41409895119045</v>
      </c>
      <c r="P80" s="72">
        <f>Tabella3[[#This Row],[Italy remov. rate fit]]*NOT(ISBLANK(Tabella3[[#This Row],[Italy remov. rate data]]))</f>
        <v>941.50780314862709</v>
      </c>
      <c r="Q80" s="72">
        <f>Tabella3[[#This Row],[Italy remov. rate fit]]+CIf</f>
        <v>2657.1226624831784</v>
      </c>
      <c r="R80" s="72">
        <f>MAX(Tabella3[[#This Row],[Italy remov. rate fit]]-CIf,0)</f>
        <v>0</v>
      </c>
      <c r="S80" s="4">
        <f>Tabella8[[#This Row],[region data]]</f>
        <v>41</v>
      </c>
      <c r="T80" s="72">
        <f>(Tabella3[[#This Row],[region cumul. data]]-S79)</f>
        <v>10</v>
      </c>
      <c r="U80" s="72">
        <f>Tabella3[[#This Row],[region data]]*NOT(ISBLANK(Tabella3[[#This Row],[region data]]))</f>
        <v>10</v>
      </c>
      <c r="V80">
        <f t="shared" si="1"/>
        <v>11.333333333333334</v>
      </c>
      <c r="W80" s="72">
        <f>Tabella3[[#This Row],[6-days moving avg]]*NOT(ISBLANK(Tabella3[[#This Row],[6-days moving avg]]))</f>
        <v>11.333333333333334</v>
      </c>
      <c r="X80" s="77">
        <f>Tabella8[[#This Row],[region fit]]</f>
        <v>0</v>
      </c>
      <c r="Y80" s="72">
        <f>Tabella3[[#This Row],[region cumul. fit]]/Kl</f>
        <v>0</v>
      </c>
      <c r="Z80" s="72">
        <f>IFERROR(Kl*psi_l*_xlfn.SECH(psi_l*(Tabella3[[#This Row],[Day]]-pl)-phi_l)^2/(1+TANH(phi_l)),0)</f>
        <v>37.301761347983359</v>
      </c>
      <c r="AA80" s="72">
        <f>Tabella3[[#This Row],[region fit]]/y_l_peak</f>
        <v>0.27069635005708376</v>
      </c>
      <c r="AB80" s="72">
        <f>Tabella3[[#This Row],[region fit]]*NOT(ISBLANK(Tabella3[[#This Row],[region data]]))</f>
        <v>37.301761347983359</v>
      </c>
      <c r="AC80" s="166">
        <f>IFERROR(kl_m*psi_l_m*_xlfn.SECH(psi_l_m*(Tabella3[[#This Row],[Day]]-pl_m)-phi_l_m)^2/(1+TANH(phi_l_m)),0)</f>
        <v>37.301761347983359</v>
      </c>
      <c r="AD80" s="72">
        <f>Tabella3[[#This Row],[6-days moving avg fit]]*NOT(ISBLANK(Tabella3[[#This Row],[6-days moving avg]]))</f>
        <v>37.301761347983359</v>
      </c>
      <c r="AE80" s="72">
        <f>Tabella3[[#This Row],[region fit]]+CIl</f>
        <v>91.066601757531814</v>
      </c>
      <c r="AF80" s="72">
        <f>MAX(Tabella3[[#This Row],[region fit]]-CIl,0)</f>
        <v>0</v>
      </c>
      <c r="AG80" s="10">
        <f>Tabella8[[#This Row],[rest of Italy ]]</f>
        <v>2664</v>
      </c>
      <c r="AH80" s="10">
        <f>(Tabella3[[#This Row],[rest of Italy cum. data]]-AG79)</f>
        <v>421</v>
      </c>
      <c r="AI80" s="72">
        <f>Tabella3[[#This Row],[rest of Italy data]]*NOT(ISBLANK(Tabella3[[#This Row],[rest of Italy data]]))</f>
        <v>421</v>
      </c>
      <c r="AJ80" s="77">
        <f>Tabella8[[#This Row],[rest of Italy fit]]</f>
        <v>2803.7663210252686</v>
      </c>
      <c r="AK80" s="72">
        <f>Tabella3[[#This Row],[rest of Italy cumul. fit]]/Ka</f>
        <v>1.2978597051452431E-2</v>
      </c>
      <c r="AL80" s="72">
        <f>IFERROR(Ka*psi_a*_xlfn.SECH(psi_a*(Tabella3[[#This Row],[Day]]-pa)-phi_a)^2/(1+TANH(phi_a)),0)</f>
        <v>907.11233760320704</v>
      </c>
      <c r="AM80" s="72">
        <f>Tabella3[[#This Row],[rest of Italy fit]]/y_a_peak</f>
        <v>0.31697361955830811</v>
      </c>
      <c r="AN80" s="72">
        <f>Tabella3[[#This Row],[rest of Italy fit]]*NOT(ISBLANK(Tabella3[[#This Row],[rest of Italy data]]))</f>
        <v>907.11233760320704</v>
      </c>
      <c r="AO80" s="72">
        <f>Tabella3[[#This Row],[rest of Italy fit]]+CIa</f>
        <v>2601.6865325127897</v>
      </c>
      <c r="AP80" s="72">
        <f>MAX(Tabella3[[#This Row],[rest of Italy fit]]-CIa,0)</f>
        <v>0</v>
      </c>
      <c r="AR80"/>
      <c r="AS80"/>
    </row>
    <row r="81" spans="2:45" x14ac:dyDescent="0.3">
      <c r="B81" s="9">
        <v>43904</v>
      </c>
      <c r="C81" s="4">
        <v>74</v>
      </c>
      <c r="D81" s="72">
        <f>'dpc-covid19-ita-andamento-naz'!J21+'dpc-covid19-ita-andamento-naz'!K21</f>
        <v>3407</v>
      </c>
      <c r="E81" s="72">
        <f>(Tabella3[[#This Row],[Italy cumul. data]]-D80)</f>
        <v>702</v>
      </c>
      <c r="F81" s="72">
        <f>Tabella3[[#This Row],[Italy remov. rate data]]*NOT(ISBLANK(Tabella3[[#This Row],[Italy remov. rate data]]))</f>
        <v>702</v>
      </c>
      <c r="G81" s="77">
        <f>Tabella8[[#This Row],[Italy fit]]</f>
        <v>3746.6055186727481</v>
      </c>
      <c r="H81" s="77">
        <f>Tabella3[[#This Row],[Italy cumul. fit]]/Kf</f>
        <v>1.6651580082989993E-2</v>
      </c>
      <c r="I81" s="77">
        <f>Tabella3[[#This Row],[region fit]]+Tabella3[[#This Row],[rest of Italy fit]]</f>
        <v>983.57381497859035</v>
      </c>
      <c r="J81" s="77">
        <f>Tabella3[[#This Row],[Italy (fit of selected region + fitted sum of the other regions)]]/(y_l_peak+y_a_peak)</f>
        <v>0.32790269178284587</v>
      </c>
      <c r="K81" s="72">
        <f>IFERROR(Kf*psi_f*_xlfn.SECH(psi_f*(Tabella3[[#This Row],[Day]]-pf)-phi_f)^2/(1+TANH(phi_f)),0)</f>
        <v>980.64208744542577</v>
      </c>
      <c r="L81" s="292">
        <f>Tabella3[[#This Row],[Italy remov. rate fit]]-Tabella3[[#This Row],[Italy remov. rate data]]</f>
        <v>278.64208744542577</v>
      </c>
      <c r="M81" s="293">
        <f>Tabella3[[#This Row],[rem. rate residuals]]*NOT(ISBLANK(Tabella3[[#This Row],[Italy remov. rate data]]))</f>
        <v>278.64208744542577</v>
      </c>
      <c r="N81" s="72">
        <f>Tabella3[[#This Row],[Italy remov. rate fit]]/y_f_peak</f>
        <v>0.32672756859346408</v>
      </c>
      <c r="O81" s="72">
        <f>Tabella3[[#This Row],[Italy (fit of selected region + fitted sum of the other regions)]]*NOT(ISBLANK(Tabella3[[#This Row],[Italy remov. rate data]]))</f>
        <v>983.57381497859035</v>
      </c>
      <c r="P81" s="72">
        <f>Tabella3[[#This Row],[Italy remov. rate fit]]*NOT(ISBLANK(Tabella3[[#This Row],[Italy remov. rate data]]))</f>
        <v>980.64208744542577</v>
      </c>
      <c r="Q81" s="72">
        <f>Tabella3[[#This Row],[Italy remov. rate fit]]+CIf</f>
        <v>2696.2569467799772</v>
      </c>
      <c r="R81" s="72">
        <f>MAX(Tabella3[[#This Row],[Italy remov. rate fit]]-CIf,0)</f>
        <v>0</v>
      </c>
      <c r="S81" s="4">
        <f>Tabella8[[#This Row],[region data]]</f>
        <v>79</v>
      </c>
      <c r="T81" s="72">
        <f>(Tabella3[[#This Row],[region cumul. data]]-S80)</f>
        <v>38</v>
      </c>
      <c r="U81" s="72">
        <f>Tabella3[[#This Row],[region data]]*NOT(ISBLANK(Tabella3[[#This Row],[region data]]))</f>
        <v>38</v>
      </c>
      <c r="V81">
        <f t="shared" si="1"/>
        <v>9</v>
      </c>
      <c r="W81" s="72">
        <f>Tabella3[[#This Row],[6-days moving avg]]*NOT(ISBLANK(Tabella3[[#This Row],[6-days moving avg]]))</f>
        <v>9</v>
      </c>
      <c r="X81" s="77">
        <f>Tabella8[[#This Row],[region fit]]</f>
        <v>0</v>
      </c>
      <c r="Y81" s="72">
        <f>Tabella3[[#This Row],[region cumul. fit]]/Kl</f>
        <v>0</v>
      </c>
      <c r="Z81" s="72">
        <f>IFERROR(Kl*psi_l*_xlfn.SECH(psi_l*(Tabella3[[#This Row],[Day]]-pl)-phi_l)^2/(1+TANH(phi_l)),0)</f>
        <v>39.134089887097304</v>
      </c>
      <c r="AA81" s="72">
        <f>Tabella3[[#This Row],[region fit]]/y_l_peak</f>
        <v>0.28399343388689036</v>
      </c>
      <c r="AB81" s="72">
        <f>Tabella3[[#This Row],[region fit]]*NOT(ISBLANK(Tabella3[[#This Row],[region data]]))</f>
        <v>39.134089887097304</v>
      </c>
      <c r="AC81" s="166">
        <f>IFERROR(kl_m*psi_l_m*_xlfn.SECH(psi_l_m*(Tabella3[[#This Row],[Day]]-pl_m)-phi_l_m)^2/(1+TANH(phi_l_m)),0)</f>
        <v>39.134089887097304</v>
      </c>
      <c r="AD81" s="72">
        <f>Tabella3[[#This Row],[6-days moving avg fit]]*NOT(ISBLANK(Tabella3[[#This Row],[6-days moving avg]]))</f>
        <v>39.134089887097304</v>
      </c>
      <c r="AE81" s="72">
        <f>Tabella3[[#This Row],[region fit]]+CIl</f>
        <v>92.898930296645759</v>
      </c>
      <c r="AF81" s="72">
        <f>MAX(Tabella3[[#This Row],[region fit]]-CIl,0)</f>
        <v>0</v>
      </c>
      <c r="AG81" s="10">
        <f>Tabella8[[#This Row],[rest of Italy ]]</f>
        <v>3328</v>
      </c>
      <c r="AH81" s="10">
        <f>(Tabella3[[#This Row],[rest of Italy cum. data]]-AG80)</f>
        <v>664</v>
      </c>
      <c r="AI81" s="72">
        <f>Tabella3[[#This Row],[rest of Italy data]]*NOT(ISBLANK(Tabella3[[#This Row],[rest of Italy data]]))</f>
        <v>664</v>
      </c>
      <c r="AJ81" s="77">
        <f>Tabella8[[#This Row],[rest of Italy fit]]</f>
        <v>3729.4469052643476</v>
      </c>
      <c r="AK81" s="72">
        <f>Tabella3[[#This Row],[rest of Italy cumul. fit]]/Ka</f>
        <v>1.7263560178050953E-2</v>
      </c>
      <c r="AL81" s="72">
        <f>IFERROR(Ka*psi_a*_xlfn.SECH(psi_a*(Tabella3[[#This Row],[Day]]-pa)-phi_a)^2/(1+TANH(phi_a)),0)</f>
        <v>944.43972509149307</v>
      </c>
      <c r="AM81" s="72">
        <f>Tabella3[[#This Row],[rest of Italy fit]]/y_a_peak</f>
        <v>0.33001698434384258</v>
      </c>
      <c r="AN81" s="72">
        <f>Tabella3[[#This Row],[rest of Italy fit]]*NOT(ISBLANK(Tabella3[[#This Row],[rest of Italy data]]))</f>
        <v>944.43972509149307</v>
      </c>
      <c r="AO81" s="72">
        <f>Tabella3[[#This Row],[rest of Italy fit]]+CIa</f>
        <v>2639.0139200010758</v>
      </c>
      <c r="AP81" s="72">
        <f>MAX(Tabella3[[#This Row],[rest of Italy fit]]-CIa,0)</f>
        <v>0</v>
      </c>
      <c r="AR81"/>
      <c r="AS81"/>
    </row>
    <row r="82" spans="2:45" x14ac:dyDescent="0.3">
      <c r="B82" s="9">
        <v>43905</v>
      </c>
      <c r="C82" s="4">
        <v>75</v>
      </c>
      <c r="D82" s="72">
        <f>'dpc-covid19-ita-andamento-naz'!J22+'dpc-covid19-ita-andamento-naz'!K22</f>
        <v>4144</v>
      </c>
      <c r="E82" s="72">
        <f>(Tabella3[[#This Row],[Italy cumul. data]]-D81)</f>
        <v>737</v>
      </c>
      <c r="F82" s="72">
        <f>Tabella3[[#This Row],[Italy remov. rate data]]*NOT(ISBLANK(Tabella3[[#This Row],[Italy remov. rate data]]))</f>
        <v>737</v>
      </c>
      <c r="G82" s="77">
        <f>Tabella8[[#This Row],[Italy fit]]</f>
        <v>4747.3228558556657</v>
      </c>
      <c r="H82" s="77">
        <f>Tabella3[[#This Row],[Italy cumul. fit]]/Kf</f>
        <v>2.1099212692691847E-2</v>
      </c>
      <c r="I82" s="77">
        <f>Tabella3[[#This Row],[region fit]]+Tabella3[[#This Row],[rest of Italy fit]]</f>
        <v>1023.9510365987528</v>
      </c>
      <c r="J82" s="77">
        <f>Tabella3[[#This Row],[Italy (fit of selected region + fitted sum of the other regions)]]/(y_l_peak+y_a_peak)</f>
        <v>0.34136360285463152</v>
      </c>
      <c r="K82" s="72">
        <f>IFERROR(Kf*psi_f*_xlfn.SECH(psi_f*(Tabella3[[#This Row],[Day]]-pf)-phi_f)^2/(1+TANH(phi_f)),0)</f>
        <v>1020.9959691639324</v>
      </c>
      <c r="L82" s="292">
        <f>Tabella3[[#This Row],[Italy remov. rate fit]]-Tabella3[[#This Row],[Italy remov. rate data]]</f>
        <v>283.99596916393239</v>
      </c>
      <c r="M82" s="293">
        <f>Tabella3[[#This Row],[rem. rate residuals]]*NOT(ISBLANK(Tabella3[[#This Row],[Italy remov. rate data]]))</f>
        <v>283.99596916393239</v>
      </c>
      <c r="N82" s="72">
        <f>Tabella3[[#This Row],[Italy remov. rate fit]]/y_f_peak</f>
        <v>0.34017256124266004</v>
      </c>
      <c r="O82" s="72">
        <f>Tabella3[[#This Row],[Italy (fit of selected region + fitted sum of the other regions)]]*NOT(ISBLANK(Tabella3[[#This Row],[Italy remov. rate data]]))</f>
        <v>1023.9510365987528</v>
      </c>
      <c r="P82" s="72">
        <f>Tabella3[[#This Row],[Italy remov. rate fit]]*NOT(ISBLANK(Tabella3[[#This Row],[Italy remov. rate data]]))</f>
        <v>1020.9959691639324</v>
      </c>
      <c r="Q82" s="72">
        <f>Tabella3[[#This Row],[Italy remov. rate fit]]+CIf</f>
        <v>2736.6108284984839</v>
      </c>
      <c r="R82" s="72">
        <f>MAX(Tabella3[[#This Row],[Italy remov. rate fit]]-CIf,0)</f>
        <v>0</v>
      </c>
      <c r="S82" s="4">
        <f>Tabella8[[#This Row],[region data]]</f>
        <v>66</v>
      </c>
      <c r="T82" s="72">
        <f>(Tabella3[[#This Row],[region cumul. data]]-S81)</f>
        <v>-13</v>
      </c>
      <c r="U82" s="72">
        <f>Tabella3[[#This Row],[region data]]*NOT(ISBLANK(Tabella3[[#This Row],[region data]]))</f>
        <v>-13</v>
      </c>
      <c r="V82">
        <f t="shared" si="1"/>
        <v>13.166666666666666</v>
      </c>
      <c r="W82" s="72">
        <f>Tabella3[[#This Row],[6-days moving avg]]*NOT(ISBLANK(Tabella3[[#This Row],[6-days moving avg]]))</f>
        <v>13.166666666666666</v>
      </c>
      <c r="X82" s="77">
        <f>Tabella8[[#This Row],[region fit]]</f>
        <v>0</v>
      </c>
      <c r="Y82" s="72">
        <f>Tabella3[[#This Row],[region cumul. fit]]/Kl</f>
        <v>0</v>
      </c>
      <c r="Z82" s="72">
        <f>IFERROR(Kl*psi_l*_xlfn.SECH(psi_l*(Tabella3[[#This Row],[Day]]-pl)-phi_l)^2/(1+TANH(phi_l)),0)</f>
        <v>41.037876989642982</v>
      </c>
      <c r="AA82" s="72">
        <f>Tabella3[[#This Row],[region fit]]/y_l_peak</f>
        <v>0.29780908766091052</v>
      </c>
      <c r="AB82" s="72">
        <f>Tabella3[[#This Row],[region fit]]*NOT(ISBLANK(Tabella3[[#This Row],[region data]]))</f>
        <v>41.037876989642982</v>
      </c>
      <c r="AC82" s="166">
        <f>IFERROR(kl_m*psi_l_m*_xlfn.SECH(psi_l_m*(Tabella3[[#This Row],[Day]]-pl_m)-phi_l_m)^2/(1+TANH(phi_l_m)),0)</f>
        <v>41.037876989642982</v>
      </c>
      <c r="AD82" s="72">
        <f>Tabella3[[#This Row],[6-days moving avg fit]]*NOT(ISBLANK(Tabella3[[#This Row],[6-days moving avg]]))</f>
        <v>41.037876989642982</v>
      </c>
      <c r="AE82" s="72">
        <f>Tabella3[[#This Row],[region fit]]+CIl</f>
        <v>94.802717399191437</v>
      </c>
      <c r="AF82" s="72">
        <f>MAX(Tabella3[[#This Row],[region fit]]-CIl,0)</f>
        <v>0</v>
      </c>
      <c r="AG82" s="10">
        <f>Tabella8[[#This Row],[rest of Italy ]]</f>
        <v>4078</v>
      </c>
      <c r="AH82" s="10">
        <f>(Tabella3[[#This Row],[rest of Italy cum. data]]-AG81)</f>
        <v>750</v>
      </c>
      <c r="AI82" s="72">
        <f>Tabella3[[#This Row],[rest of Italy data]]*NOT(ISBLANK(Tabella3[[#This Row],[rest of Italy data]]))</f>
        <v>750</v>
      </c>
      <c r="AJ82" s="77">
        <f>Tabella8[[#This Row],[rest of Italy fit]]</f>
        <v>4693.0278268014363</v>
      </c>
      <c r="AK82" s="72">
        <f>Tabella3[[#This Row],[rest of Italy cumul. fit]]/Ka</f>
        <v>2.1723963462488713E-2</v>
      </c>
      <c r="AL82" s="72">
        <f>IFERROR(Ka*psi_a*_xlfn.SECH(psi_a*(Tabella3[[#This Row],[Day]]-pa)-phi_a)^2/(1+TANH(phi_a)),0)</f>
        <v>982.91315960910981</v>
      </c>
      <c r="AM82" s="72">
        <f>Tabella3[[#This Row],[rest of Italy fit]]/y_a_peak</f>
        <v>0.34346081405528778</v>
      </c>
      <c r="AN82" s="72">
        <f>Tabella3[[#This Row],[rest of Italy fit]]*NOT(ISBLANK(Tabella3[[#This Row],[rest of Italy data]]))</f>
        <v>982.91315960910981</v>
      </c>
      <c r="AO82" s="72">
        <f>Tabella3[[#This Row],[rest of Italy fit]]+CIa</f>
        <v>2677.4873545186924</v>
      </c>
      <c r="AP82" s="72">
        <f>MAX(Tabella3[[#This Row],[rest of Italy fit]]-CIa,0)</f>
        <v>0</v>
      </c>
      <c r="AR82"/>
      <c r="AS82"/>
    </row>
    <row r="83" spans="2:45" x14ac:dyDescent="0.3">
      <c r="B83" s="9">
        <v>43906</v>
      </c>
      <c r="C83" s="4">
        <v>76</v>
      </c>
      <c r="D83" s="72">
        <f>'dpc-covid19-ita-andamento-naz'!J23+'dpc-covid19-ita-andamento-naz'!K23</f>
        <v>4907</v>
      </c>
      <c r="E83" s="72">
        <f>(Tabella3[[#This Row],[Italy cumul. data]]-D82)</f>
        <v>763</v>
      </c>
      <c r="F83" s="72">
        <f>Tabella3[[#This Row],[Italy remov. rate data]]*NOT(ISBLANK(Tabella3[[#This Row],[Italy remov. rate data]]))</f>
        <v>763</v>
      </c>
      <c r="G83" s="77">
        <f>Tabella8[[#This Row],[Italy fit]]</f>
        <v>5789.0040141284207</v>
      </c>
      <c r="H83" s="77">
        <f>Tabella3[[#This Row],[Italy cumul. fit]]/Kf</f>
        <v>2.5728906729459648E-2</v>
      </c>
      <c r="I83" s="77">
        <f>Tabella3[[#This Row],[region fit]]+Tabella3[[#This Row],[rest of Italy fit]]</f>
        <v>1065.5455600056646</v>
      </c>
      <c r="J83" s="77">
        <f>Tabella3[[#This Row],[Italy (fit of selected region + fitted sum of the other regions)]]/(y_l_peak+y_a_peak)</f>
        <v>0.35523033657694786</v>
      </c>
      <c r="K83" s="72">
        <f>IFERROR(Kf*psi_f*_xlfn.SECH(psi_f*(Tabella3[[#This Row],[Day]]-pf)-phi_f)^2/(1+TANH(phi_f)),0)</f>
        <v>1062.5693838174845</v>
      </c>
      <c r="L83" s="292">
        <f>Tabella3[[#This Row],[Italy remov. rate fit]]-Tabella3[[#This Row],[Italy remov. rate data]]</f>
        <v>299.56938381748455</v>
      </c>
      <c r="M83" s="293">
        <f>Tabella3[[#This Row],[rem. rate residuals]]*NOT(ISBLANK(Tabella3[[#This Row],[Italy remov. rate data]]))</f>
        <v>299.56938381748455</v>
      </c>
      <c r="N83" s="72">
        <f>Tabella3[[#This Row],[Italy remov. rate fit]]/y_f_peak</f>
        <v>0.35402387444018679</v>
      </c>
      <c r="O83" s="72">
        <f>Tabella3[[#This Row],[Italy (fit of selected region + fitted sum of the other regions)]]*NOT(ISBLANK(Tabella3[[#This Row],[Italy remov. rate data]]))</f>
        <v>1065.5455600056646</v>
      </c>
      <c r="P83" s="72">
        <f>Tabella3[[#This Row],[Italy remov. rate fit]]*NOT(ISBLANK(Tabella3[[#This Row],[Italy remov. rate data]]))</f>
        <v>1062.5693838174845</v>
      </c>
      <c r="Q83" s="72">
        <f>Tabella3[[#This Row],[Italy remov. rate fit]]+CIf</f>
        <v>2778.1842431520358</v>
      </c>
      <c r="R83" s="72">
        <f>MAX(Tabella3[[#This Row],[Italy remov. rate fit]]-CIf,0)</f>
        <v>0</v>
      </c>
      <c r="S83" s="4">
        <f>Tabella8[[#This Row],[region data]]</f>
        <v>92</v>
      </c>
      <c r="T83" s="72">
        <f>(Tabella3[[#This Row],[region cumul. data]]-S82)</f>
        <v>26</v>
      </c>
      <c r="U83" s="72">
        <f>Tabella3[[#This Row],[region data]]*NOT(ISBLANK(Tabella3[[#This Row],[region data]]))</f>
        <v>26</v>
      </c>
      <c r="V83">
        <f t="shared" si="1"/>
        <v>17.333333333333332</v>
      </c>
      <c r="W83" s="72">
        <f>Tabella3[[#This Row],[6-days moving avg]]*NOT(ISBLANK(Tabella3[[#This Row],[6-days moving avg]]))</f>
        <v>17.333333333333332</v>
      </c>
      <c r="X83" s="77">
        <f>Tabella8[[#This Row],[region fit]]</f>
        <v>32.100824509866122</v>
      </c>
      <c r="Y83" s="72">
        <f>Tabella3[[#This Row],[region cumul. fit]]/Kl</f>
        <v>3.5786872363284417E-3</v>
      </c>
      <c r="Z83" s="72">
        <f>IFERROR(Kl*psi_l*_xlfn.SECH(psi_l*(Tabella3[[#This Row],[Day]]-pl)-phi_l)^2/(1+TANH(phi_l)),0)</f>
        <v>43.013891426841987</v>
      </c>
      <c r="AA83" s="72">
        <f>Tabella3[[#This Row],[region fit]]/y_l_peak</f>
        <v>0.31214889029971521</v>
      </c>
      <c r="AB83" s="72">
        <f>Tabella3[[#This Row],[region fit]]*NOT(ISBLANK(Tabella3[[#This Row],[region data]]))</f>
        <v>43.013891426841987</v>
      </c>
      <c r="AC83" s="166">
        <f>IFERROR(kl_m*psi_l_m*_xlfn.SECH(psi_l_m*(Tabella3[[#This Row],[Day]]-pl_m)-phi_l_m)^2/(1+TANH(phi_l_m)),0)</f>
        <v>43.013891426841987</v>
      </c>
      <c r="AD83" s="72">
        <f>Tabella3[[#This Row],[6-days moving avg fit]]*NOT(ISBLANK(Tabella3[[#This Row],[6-days moving avg]]))</f>
        <v>43.013891426841987</v>
      </c>
      <c r="AE83" s="72">
        <f>Tabella3[[#This Row],[region fit]]+CIl</f>
        <v>96.778731836390449</v>
      </c>
      <c r="AF83" s="72">
        <f>MAX(Tabella3[[#This Row],[region fit]]-CIl,0)</f>
        <v>0</v>
      </c>
      <c r="AG83" s="10">
        <f>Tabella8[[#This Row],[rest of Italy ]]</f>
        <v>4815</v>
      </c>
      <c r="AH83" s="10">
        <f>(Tabella3[[#This Row],[rest of Italy cum. data]]-AG82)</f>
        <v>737</v>
      </c>
      <c r="AI83" s="72">
        <f>Tabella3[[#This Row],[rest of Italy data]]*NOT(ISBLANK(Tabella3[[#This Row],[rest of Italy data]]))</f>
        <v>737</v>
      </c>
      <c r="AJ83" s="77">
        <f>Tabella8[[#This Row],[rest of Italy fit]]</f>
        <v>5695.6549595855777</v>
      </c>
      <c r="AK83" s="72">
        <f>Tabella3[[#This Row],[rest of Italy cumul. fit]]/Ka</f>
        <v>2.6365111140052667E-2</v>
      </c>
      <c r="AL83" s="72">
        <f>IFERROR(Ka*psi_a*_xlfn.SECH(psi_a*(Tabella3[[#This Row],[Day]]-pa)-phi_a)^2/(1+TANH(phi_a)),0)</f>
        <v>1022.5316685788226</v>
      </c>
      <c r="AM83" s="72">
        <f>Tabella3[[#This Row],[rest of Italy fit]]/y_a_peak</f>
        <v>0.35730476884352746</v>
      </c>
      <c r="AN83" s="72">
        <f>Tabella3[[#This Row],[rest of Italy fit]]*NOT(ISBLANK(Tabella3[[#This Row],[rest of Italy data]]))</f>
        <v>1022.5316685788226</v>
      </c>
      <c r="AO83" s="72">
        <f>Tabella3[[#This Row],[rest of Italy fit]]+CIa</f>
        <v>2717.1058634884052</v>
      </c>
      <c r="AP83" s="72">
        <f>MAX(Tabella3[[#This Row],[rest of Italy fit]]-CIa,0)</f>
        <v>0</v>
      </c>
      <c r="AR83"/>
      <c r="AS83"/>
    </row>
    <row r="84" spans="2:45" x14ac:dyDescent="0.3">
      <c r="B84" s="9">
        <v>43907</v>
      </c>
      <c r="C84" s="4">
        <v>77</v>
      </c>
      <c r="D84" s="72">
        <f>'dpc-covid19-ita-andamento-naz'!J24+'dpc-covid19-ita-andamento-naz'!K24</f>
        <v>5444</v>
      </c>
      <c r="E84" s="72">
        <f>(Tabella3[[#This Row],[Italy cumul. data]]-D83)</f>
        <v>537</v>
      </c>
      <c r="F84" s="72">
        <f>Tabella3[[#This Row],[Italy remov. rate data]]*NOT(ISBLANK(Tabella3[[#This Row],[Italy remov. rate data]]))</f>
        <v>537</v>
      </c>
      <c r="G84" s="77">
        <f>Tabella8[[#This Row],[Italy fit]]</f>
        <v>6872.8667783592682</v>
      </c>
      <c r="H84" s="77">
        <f>Tabella3[[#This Row],[Italy cumul. fit]]/Kf</f>
        <v>3.0546074570485637E-2</v>
      </c>
      <c r="I84" s="77">
        <f>Tabella3[[#This Row],[region fit]]+Tabella3[[#This Row],[rest of Italy fit]]</f>
        <v>1108.3530182652346</v>
      </c>
      <c r="J84" s="77">
        <f>Tabella3[[#This Row],[Italy (fit of selected region + fitted sum of the other regions)]]/(y_l_peak+y_a_peak)</f>
        <v>0.3695014371063986</v>
      </c>
      <c r="K84" s="72">
        <f>IFERROR(Kf*psi_f*_xlfn.SECH(psi_f*(Tabella3[[#This Row],[Day]]-pf)-phi_f)^2/(1+TANH(phi_f)),0)</f>
        <v>1105.358112298534</v>
      </c>
      <c r="L84" s="292">
        <f>Tabella3[[#This Row],[Italy remov. rate fit]]-Tabella3[[#This Row],[Italy remov. rate data]]</f>
        <v>568.35811229853402</v>
      </c>
      <c r="M84" s="293">
        <f>Tabella3[[#This Row],[rem. rate residuals]]*NOT(ISBLANK(Tabella3[[#This Row],[Italy remov. rate data]]))</f>
        <v>568.35811229853402</v>
      </c>
      <c r="N84" s="72">
        <f>Tabella3[[#This Row],[Italy remov. rate fit]]/y_f_peak</f>
        <v>0.368280102475675</v>
      </c>
      <c r="O84" s="72">
        <f>Tabella3[[#This Row],[Italy (fit of selected region + fitted sum of the other regions)]]*NOT(ISBLANK(Tabella3[[#This Row],[Italy remov. rate data]]))</f>
        <v>1108.3530182652346</v>
      </c>
      <c r="P84" s="72">
        <f>Tabella3[[#This Row],[Italy remov. rate fit]]*NOT(ISBLANK(Tabella3[[#This Row],[Italy remov. rate data]]))</f>
        <v>1105.358112298534</v>
      </c>
      <c r="Q84" s="72">
        <f>Tabella3[[#This Row],[Italy remov. rate fit]]+CIf</f>
        <v>2820.9729716330853</v>
      </c>
      <c r="R84" s="72">
        <f>MAX(Tabella3[[#This Row],[Italy remov. rate fit]]-CIf,0)</f>
        <v>0</v>
      </c>
      <c r="S84" s="4">
        <f>Tabella8[[#This Row],[region data]]</f>
        <v>117</v>
      </c>
      <c r="T84" s="72">
        <f>(Tabella3[[#This Row],[region cumul. data]]-S83)</f>
        <v>25</v>
      </c>
      <c r="U84" s="72">
        <f>Tabella3[[#This Row],[region data]]*NOT(ISBLANK(Tabella3[[#This Row],[region data]]))</f>
        <v>25</v>
      </c>
      <c r="V84">
        <f t="shared" si="1"/>
        <v>18.666666666666668</v>
      </c>
      <c r="W84" s="72">
        <f>Tabella3[[#This Row],[6-days moving avg]]*NOT(ISBLANK(Tabella3[[#This Row],[6-days moving avg]]))</f>
        <v>18.666666666666668</v>
      </c>
      <c r="X84" s="77">
        <f>Tabella8[[#This Row],[region fit]]</f>
        <v>76.133024300898043</v>
      </c>
      <c r="Y84" s="72">
        <f>Tabella3[[#This Row],[region cumul. fit]]/Kl</f>
        <v>8.4875166444702381E-3</v>
      </c>
      <c r="Z84" s="72">
        <f>IFERROR(Kl*psi_l*_xlfn.SECH(psi_l*(Tabella3[[#This Row],[Day]]-pl)-phi_l)^2/(1+TANH(phi_l)),0)</f>
        <v>45.062665559485005</v>
      </c>
      <c r="AA84" s="72">
        <f>Tabella3[[#This Row],[region fit]]/y_l_peak</f>
        <v>0.32701670510942565</v>
      </c>
      <c r="AB84" s="72">
        <f>Tabella3[[#This Row],[region fit]]*NOT(ISBLANK(Tabella3[[#This Row],[region data]]))</f>
        <v>45.062665559485005</v>
      </c>
      <c r="AC84" s="166">
        <f>IFERROR(kl_m*psi_l_m*_xlfn.SECH(psi_l_m*(Tabella3[[#This Row],[Day]]-pl_m)-phi_l_m)^2/(1+TANH(phi_l_m)),0)</f>
        <v>45.062665559485005</v>
      </c>
      <c r="AD84" s="72">
        <f>Tabella3[[#This Row],[6-days moving avg fit]]*NOT(ISBLANK(Tabella3[[#This Row],[6-days moving avg]]))</f>
        <v>45.062665559485005</v>
      </c>
      <c r="AE84" s="72">
        <f>Tabella3[[#This Row],[region fit]]+CIl</f>
        <v>98.827505969033467</v>
      </c>
      <c r="AF84" s="72">
        <f>MAX(Tabella3[[#This Row],[region fit]]-CIl,0)</f>
        <v>0</v>
      </c>
      <c r="AG84" s="10">
        <f>Tabella8[[#This Row],[rest of Italy ]]</f>
        <v>5327</v>
      </c>
      <c r="AH84" s="10">
        <f>(Tabella3[[#This Row],[rest of Italy cum. data]]-AG83)</f>
        <v>512</v>
      </c>
      <c r="AI84" s="72">
        <f>Tabella3[[#This Row],[rest of Italy data]]*NOT(ISBLANK(Tabella3[[#This Row],[rest of Italy data]]))</f>
        <v>512</v>
      </c>
      <c r="AJ84" s="77">
        <f>Tabella8[[#This Row],[rest of Italy fit]]</f>
        <v>6738.4712697600517</v>
      </c>
      <c r="AK84" s="72">
        <f>Tabella3[[#This Row],[rest of Italy cumul. fit]]/Ka</f>
        <v>3.1192293985835541E-2</v>
      </c>
      <c r="AL84" s="72">
        <f>IFERROR(Ka*psi_a*_xlfn.SECH(psi_a*(Tabella3[[#This Row],[Day]]-pa)-phi_a)^2/(1+TANH(phi_a)),0)</f>
        <v>1063.2903527057497</v>
      </c>
      <c r="AM84" s="72">
        <f>Tabella3[[#This Row],[rest of Italy fit]]/y_a_peak</f>
        <v>0.37154713674063028</v>
      </c>
      <c r="AN84" s="72">
        <f>Tabella3[[#This Row],[rest of Italy fit]]*NOT(ISBLANK(Tabella3[[#This Row],[rest of Italy data]]))</f>
        <v>1063.2903527057497</v>
      </c>
      <c r="AO84" s="72">
        <f>Tabella3[[#This Row],[rest of Italy fit]]+CIa</f>
        <v>2757.8645476153324</v>
      </c>
      <c r="AP84" s="72">
        <f>MAX(Tabella3[[#This Row],[rest of Italy fit]]-CIa,0)</f>
        <v>0</v>
      </c>
      <c r="AR84"/>
      <c r="AS84"/>
    </row>
    <row r="85" spans="2:45" x14ac:dyDescent="0.3">
      <c r="B85" s="9">
        <v>43908</v>
      </c>
      <c r="C85" s="4">
        <v>78</v>
      </c>
      <c r="D85" s="72">
        <f>'dpc-covid19-ita-andamento-naz'!J25+'dpc-covid19-ita-andamento-naz'!K25</f>
        <v>7003</v>
      </c>
      <c r="E85" s="72">
        <f>(Tabella3[[#This Row],[Italy cumul. data]]-D84)</f>
        <v>1559</v>
      </c>
      <c r="F85" s="72">
        <f>Tabella3[[#This Row],[Italy remov. rate data]]*NOT(ISBLANK(Tabella3[[#This Row],[Italy remov. rate data]]))</f>
        <v>1559</v>
      </c>
      <c r="G85" s="77">
        <f>Tabella8[[#This Row],[Italy fit]]</f>
        <v>8000.1224833371307</v>
      </c>
      <c r="H85" s="77">
        <f>Tabella3[[#This Row],[Italy cumul. fit]]/Kf</f>
        <v>3.5556099925942802E-2</v>
      </c>
      <c r="I85" s="77">
        <f>Tabella3[[#This Row],[region fit]]+Tabella3[[#This Row],[rest of Italy fit]]</f>
        <v>1152.3645103022191</v>
      </c>
      <c r="J85" s="77">
        <f>Tabella3[[#This Row],[Italy (fit of selected region + fitted sum of the other regions)]]/(y_l_peak+y_a_peak)</f>
        <v>0.38417393701289582</v>
      </c>
      <c r="K85" s="72">
        <f>IFERROR(Kf*psi_f*_xlfn.SECH(psi_f*(Tabella3[[#This Row],[Day]]-pf)-phi_f)^2/(1+TANH(phi_f)),0)</f>
        <v>1149.3534112579468</v>
      </c>
      <c r="L85" s="292">
        <f>Tabella3[[#This Row],[Italy remov. rate fit]]-Tabella3[[#This Row],[Italy remov. rate data]]</f>
        <v>-409.64658874205315</v>
      </c>
      <c r="M85" s="293">
        <f>Tabella3[[#This Row],[rem. rate residuals]]*NOT(ISBLANK(Tabella3[[#This Row],[Italy remov. rate data]]))</f>
        <v>-409.64658874205315</v>
      </c>
      <c r="N85" s="72">
        <f>Tabella3[[#This Row],[Italy remov. rate fit]]/y_f_peak</f>
        <v>0.3829383322646871</v>
      </c>
      <c r="O85" s="72">
        <f>Tabella3[[#This Row],[Italy (fit of selected region + fitted sum of the other regions)]]*NOT(ISBLANK(Tabella3[[#This Row],[Italy remov. rate data]]))</f>
        <v>1152.3645103022191</v>
      </c>
      <c r="P85" s="72">
        <f>Tabella3[[#This Row],[Italy remov. rate fit]]*NOT(ISBLANK(Tabella3[[#This Row],[Italy remov. rate data]]))</f>
        <v>1149.3534112579468</v>
      </c>
      <c r="Q85" s="72">
        <f>Tabella3[[#This Row],[Italy remov. rate fit]]+CIf</f>
        <v>2864.9682705924979</v>
      </c>
      <c r="R85" s="72">
        <f>MAX(Tabella3[[#This Row],[Italy remov. rate fit]]-CIf,0)</f>
        <v>0</v>
      </c>
      <c r="S85" s="4">
        <f>Tabella8[[#This Row],[region data]]</f>
        <v>143</v>
      </c>
      <c r="T85" s="72">
        <f>(Tabella3[[#This Row],[region cumul. data]]-S84)</f>
        <v>26</v>
      </c>
      <c r="U85" s="72">
        <f>Tabella3[[#This Row],[region data]]*NOT(ISBLANK(Tabella3[[#This Row],[region data]]))</f>
        <v>26</v>
      </c>
      <c r="V85">
        <f t="shared" si="1"/>
        <v>22.5</v>
      </c>
      <c r="W85" s="72">
        <f>Tabella3[[#This Row],[6-days moving avg]]*NOT(ISBLANK(Tabella3[[#This Row],[6-days moving avg]]))</f>
        <v>22.5</v>
      </c>
      <c r="X85" s="77">
        <f>Tabella8[[#This Row],[region fit]]</f>
        <v>122.25050093716941</v>
      </c>
      <c r="Y85" s="72">
        <f>Tabella3[[#This Row],[region cumul. fit]]/Kl</f>
        <v>1.3628818387644305E-2</v>
      </c>
      <c r="Z85" s="72">
        <f>IFERROR(Kl*psi_l*_xlfn.SECH(psi_l*(Tabella3[[#This Row],[Day]]-pl)-phi_l)^2/(1+TANH(phi_l)),0)</f>
        <v>47.184465721412373</v>
      </c>
      <c r="AA85" s="72">
        <f>Tabella3[[#This Row],[region fit]]/y_l_peak</f>
        <v>0.34241446485664251</v>
      </c>
      <c r="AB85" s="72">
        <f>Tabella3[[#This Row],[region fit]]*NOT(ISBLANK(Tabella3[[#This Row],[region data]]))</f>
        <v>47.184465721412373</v>
      </c>
      <c r="AC85" s="166">
        <f>IFERROR(kl_m*psi_l_m*_xlfn.SECH(psi_l_m*(Tabella3[[#This Row],[Day]]-pl_m)-phi_l_m)^2/(1+TANH(phi_l_m)),0)</f>
        <v>47.184465721412373</v>
      </c>
      <c r="AD85" s="72">
        <f>Tabella3[[#This Row],[6-days moving avg fit]]*NOT(ISBLANK(Tabella3[[#This Row],[6-days moving avg]]))</f>
        <v>47.184465721412373</v>
      </c>
      <c r="AE85" s="72">
        <f>Tabella3[[#This Row],[region fit]]+CIl</f>
        <v>100.94930613096082</v>
      </c>
      <c r="AF85" s="72">
        <f>MAX(Tabella3[[#This Row],[region fit]]-CIl,0)</f>
        <v>0</v>
      </c>
      <c r="AG85" s="10">
        <f>Tabella8[[#This Row],[rest of Italy ]]</f>
        <v>6860</v>
      </c>
      <c r="AH85" s="10">
        <f>(Tabella3[[#This Row],[rest of Italy cum. data]]-AG84)</f>
        <v>1533</v>
      </c>
      <c r="AI85" s="72">
        <f>Tabella3[[#This Row],[rest of Italy data]]*NOT(ISBLANK(Tabella3[[#This Row],[rest of Italy data]]))</f>
        <v>1533</v>
      </c>
      <c r="AJ85" s="77">
        <f>Tabella8[[#This Row],[rest of Italy fit]]</f>
        <v>7822.6127188605087</v>
      </c>
      <c r="AK85" s="72">
        <f>Tabella3[[#This Row],[rest of Italy cumul. fit]]/Ka</f>
        <v>3.6210770350694386E-2</v>
      </c>
      <c r="AL85" s="72">
        <f>IFERROR(Ka*psi_a*_xlfn.SECH(psi_a*(Tabella3[[#This Row],[Day]]-pa)-phi_a)^2/(1+TANH(phi_a)),0)</f>
        <v>1105.1800445808067</v>
      </c>
      <c r="AM85" s="72">
        <f>Tabella3[[#This Row],[rest of Italy fit]]/y_a_peak</f>
        <v>0.38618471436514185</v>
      </c>
      <c r="AN85" s="72">
        <f>Tabella3[[#This Row],[rest of Italy fit]]*NOT(ISBLANK(Tabella3[[#This Row],[rest of Italy data]]))</f>
        <v>1105.1800445808067</v>
      </c>
      <c r="AO85" s="72">
        <f>Tabella3[[#This Row],[rest of Italy fit]]+CIa</f>
        <v>2799.7542394903894</v>
      </c>
      <c r="AP85" s="72">
        <f>MAX(Tabella3[[#This Row],[rest of Italy fit]]-CIa,0)</f>
        <v>0</v>
      </c>
      <c r="AR85"/>
      <c r="AS85"/>
    </row>
    <row r="86" spans="2:45" x14ac:dyDescent="0.3">
      <c r="B86" s="9">
        <v>43909</v>
      </c>
      <c r="C86" s="4">
        <v>79</v>
      </c>
      <c r="D86" s="72">
        <f>'dpc-covid19-ita-andamento-naz'!J26+'dpc-covid19-ita-andamento-naz'!K26</f>
        <v>7845</v>
      </c>
      <c r="E86" s="72">
        <f>(Tabella3[[#This Row],[Italy cumul. data]]-D85)</f>
        <v>842</v>
      </c>
      <c r="F86" s="72">
        <f>Tabella3[[#This Row],[Italy remov. rate data]]*NOT(ISBLANK(Tabella3[[#This Row],[Italy remov. rate data]]))</f>
        <v>842</v>
      </c>
      <c r="G86" s="77">
        <f>Tabella8[[#This Row],[Italy fit]]</f>
        <v>9171.971301530506</v>
      </c>
      <c r="H86" s="77">
        <f>Tabella3[[#This Row],[Italy cumul. fit]]/Kf</f>
        <v>4.0764316895691141E-2</v>
      </c>
      <c r="I86" s="77">
        <f>Tabella3[[#This Row],[region fit]]+Tabella3[[#This Row],[rest of Italy fit]]</f>
        <v>1197.5662223337836</v>
      </c>
      <c r="J86" s="77">
        <f>Tabella3[[#This Row],[Italy (fit of selected region + fitted sum of the other regions)]]/(y_l_peak+y_a_peak)</f>
        <v>0.39924323107362242</v>
      </c>
      <c r="K86" s="72">
        <f>IFERROR(Kf*psi_f*_xlfn.SECH(psi_f*(Tabella3[[#This Row],[Day]]-pf)-phi_f)^2/(1+TANH(phi_f)),0)</f>
        <v>1194.54163609377</v>
      </c>
      <c r="L86" s="292">
        <f>Tabella3[[#This Row],[Italy remov. rate fit]]-Tabella3[[#This Row],[Italy remov. rate data]]</f>
        <v>352.54163609376997</v>
      </c>
      <c r="M86" s="293">
        <f>Tabella3[[#This Row],[rem. rate residuals]]*NOT(ISBLANK(Tabella3[[#This Row],[Italy remov. rate data]]))</f>
        <v>352.54163609376997</v>
      </c>
      <c r="N86" s="72">
        <f>Tabella3[[#This Row],[Italy remov. rate fit]]/y_f_peak</f>
        <v>0.39799401773717596</v>
      </c>
      <c r="O86" s="72">
        <f>Tabella3[[#This Row],[Italy (fit of selected region + fitted sum of the other regions)]]*NOT(ISBLANK(Tabella3[[#This Row],[Italy remov. rate data]]))</f>
        <v>1197.5662223337836</v>
      </c>
      <c r="P86" s="72">
        <f>Tabella3[[#This Row],[Italy remov. rate fit]]*NOT(ISBLANK(Tabella3[[#This Row],[Italy remov. rate data]]))</f>
        <v>1194.54163609377</v>
      </c>
      <c r="Q86" s="72">
        <f>Tabella3[[#This Row],[Italy remov. rate fit]]+CIf</f>
        <v>2910.1564954283213</v>
      </c>
      <c r="R86" s="72">
        <f>MAX(Tabella3[[#This Row],[Italy remov. rate fit]]-CIf,0)</f>
        <v>0</v>
      </c>
      <c r="S86" s="4">
        <f>Tabella8[[#This Row],[region data]]</f>
        <v>176</v>
      </c>
      <c r="T86" s="72">
        <f>(Tabella3[[#This Row],[region cumul. data]]-S85)</f>
        <v>33</v>
      </c>
      <c r="U86" s="72">
        <f>Tabella3[[#This Row],[region data]]*NOT(ISBLANK(Tabella3[[#This Row],[region data]]))</f>
        <v>33</v>
      </c>
      <c r="V86">
        <f t="shared" si="1"/>
        <v>23.5</v>
      </c>
      <c r="W86" s="72">
        <f>Tabella3[[#This Row],[6-days moving avg]]*NOT(ISBLANK(Tabella3[[#This Row],[6-days moving avg]]))</f>
        <v>23.5</v>
      </c>
      <c r="X86" s="77">
        <f>Tabella8[[#This Row],[region fit]]</f>
        <v>170.52629118323117</v>
      </c>
      <c r="Y86" s="72">
        <f>Tabella3[[#This Row],[region cumul. fit]]/Kl</f>
        <v>1.9010734803035806E-2</v>
      </c>
      <c r="Z86" s="72">
        <f>IFERROR(Kl*psi_l*_xlfn.SECH(psi_l*(Tabella3[[#This Row],[Day]]-pl)-phi_l)^2/(1+TANH(phi_l)),0)</f>
        <v>49.37926123276646</v>
      </c>
      <c r="AA86" s="72">
        <f>Tabella3[[#This Row],[region fit]]/y_l_peak</f>
        <v>0.35834194689972149</v>
      </c>
      <c r="AB86" s="72">
        <f>Tabella3[[#This Row],[region fit]]*NOT(ISBLANK(Tabella3[[#This Row],[region data]]))</f>
        <v>49.37926123276646</v>
      </c>
      <c r="AC86" s="166">
        <f>IFERROR(kl_m*psi_l_m*_xlfn.SECH(psi_l_m*(Tabella3[[#This Row],[Day]]-pl_m)-phi_l_m)^2/(1+TANH(phi_l_m)),0)</f>
        <v>49.37926123276646</v>
      </c>
      <c r="AD86" s="72">
        <f>Tabella3[[#This Row],[6-days moving avg fit]]*NOT(ISBLANK(Tabella3[[#This Row],[6-days moving avg]]))</f>
        <v>49.37926123276646</v>
      </c>
      <c r="AE86" s="72">
        <f>Tabella3[[#This Row],[region fit]]+CIl</f>
        <v>103.14410164231492</v>
      </c>
      <c r="AF86" s="72">
        <f>MAX(Tabella3[[#This Row],[region fit]]-CIl,0)</f>
        <v>0</v>
      </c>
      <c r="AG86" s="10">
        <f>Tabella8[[#This Row],[rest of Italy ]]</f>
        <v>7669</v>
      </c>
      <c r="AH86" s="10">
        <f>(Tabella3[[#This Row],[rest of Italy cum. data]]-AG85)</f>
        <v>809</v>
      </c>
      <c r="AI86" s="72">
        <f>Tabella3[[#This Row],[rest of Italy data]]*NOT(ISBLANK(Tabella3[[#This Row],[rest of Italy data]]))</f>
        <v>809</v>
      </c>
      <c r="AJ86" s="77">
        <f>Tabella8[[#This Row],[rest of Italy fit]]</f>
        <v>8949.2038223229501</v>
      </c>
      <c r="AK86" s="72">
        <f>Tabella3[[#This Row],[rest of Italy cumul. fit]]/Ka</f>
        <v>4.1425745601643062E-2</v>
      </c>
      <c r="AL86" s="72">
        <f>IFERROR(Ka*psi_a*_xlfn.SECH(psi_a*(Tabella3[[#This Row],[Day]]-pa)-phi_a)^2/(1+TANH(phi_a)),0)</f>
        <v>1148.186961101017</v>
      </c>
      <c r="AM86" s="72">
        <f>Tabella3[[#This Row],[rest of Italy fit]]/y_a_peak</f>
        <v>0.40121268546679389</v>
      </c>
      <c r="AN86" s="72">
        <f>Tabella3[[#This Row],[rest of Italy fit]]*NOT(ISBLANK(Tabella3[[#This Row],[rest of Italy data]]))</f>
        <v>1148.186961101017</v>
      </c>
      <c r="AO86" s="72">
        <f>Tabella3[[#This Row],[rest of Italy fit]]+CIa</f>
        <v>2842.7611560105997</v>
      </c>
      <c r="AP86" s="72">
        <f>MAX(Tabella3[[#This Row],[rest of Italy fit]]-CIa,0)</f>
        <v>0</v>
      </c>
      <c r="AR86"/>
      <c r="AS86"/>
    </row>
    <row r="87" spans="2:45" x14ac:dyDescent="0.3">
      <c r="B87" s="9">
        <v>43910</v>
      </c>
      <c r="C87" s="4">
        <v>80</v>
      </c>
      <c r="D87" s="72">
        <f>'dpc-covid19-ita-andamento-naz'!J27+'dpc-covid19-ita-andamento-naz'!K27</f>
        <v>9161</v>
      </c>
      <c r="E87" s="72">
        <f>(Tabella3[[#This Row],[Italy cumul. data]]-D86)</f>
        <v>1316</v>
      </c>
      <c r="F87" s="72">
        <f>Tabella3[[#This Row],[Italy remov. rate data]]*NOT(ISBLANK(Tabella3[[#This Row],[Italy remov. rate data]]))</f>
        <v>1316</v>
      </c>
      <c r="G87" s="77">
        <f>Tabella8[[#This Row],[Italy fit]]</f>
        <v>10389.597151287138</v>
      </c>
      <c r="H87" s="77">
        <f>Tabella3[[#This Row],[Italy cumul. fit]]/Kf</f>
        <v>4.6175987339053946E-2</v>
      </c>
      <c r="I87" s="77">
        <f>Tabella3[[#This Row],[region fit]]+Tabella3[[#This Row],[rest of Italy fit]]</f>
        <v>1243.9390445581514</v>
      </c>
      <c r="J87" s="77">
        <f>Tabella3[[#This Row],[Italy (fit of selected region + fitted sum of the other regions)]]/(y_l_peak+y_a_peak)</f>
        <v>0.41470294848514028</v>
      </c>
      <c r="K87" s="72">
        <f>IFERROR(Kf*psi_f*_xlfn.SECH(psi_f*(Tabella3[[#This Row],[Day]]-pf)-phi_f)^2/(1+TANH(phi_f)),0)</f>
        <v>1240.9038593478522</v>
      </c>
      <c r="L87" s="292">
        <f>Tabella3[[#This Row],[Italy remov. rate fit]]-Tabella3[[#This Row],[Italy remov. rate data]]</f>
        <v>-75.096140652147824</v>
      </c>
      <c r="M87" s="293">
        <f>Tabella3[[#This Row],[rem. rate residuals]]*NOT(ISBLANK(Tabella3[[#This Row],[Italy remov. rate data]]))</f>
        <v>-75.096140652147824</v>
      </c>
      <c r="N87" s="72">
        <f>Tabella3[[#This Row],[Italy remov. rate fit]]/y_f_peak</f>
        <v>0.41344085269594644</v>
      </c>
      <c r="O87" s="72">
        <f>Tabella3[[#This Row],[Italy (fit of selected region + fitted sum of the other regions)]]*NOT(ISBLANK(Tabella3[[#This Row],[Italy remov. rate data]]))</f>
        <v>1243.9390445581514</v>
      </c>
      <c r="P87" s="72">
        <f>Tabella3[[#This Row],[Italy remov. rate fit]]*NOT(ISBLANK(Tabella3[[#This Row],[Italy remov. rate data]]))</f>
        <v>1240.9038593478522</v>
      </c>
      <c r="Q87" s="72">
        <f>Tabella3[[#This Row],[Italy remov. rate fit]]+CIf</f>
        <v>2956.5187186824032</v>
      </c>
      <c r="R87" s="72">
        <f>MAX(Tabella3[[#This Row],[Italy remov. rate fit]]-CIf,0)</f>
        <v>0</v>
      </c>
      <c r="S87" s="4">
        <f>Tabella8[[#This Row],[region data]]</f>
        <v>220</v>
      </c>
      <c r="T87" s="72">
        <f>(Tabella3[[#This Row],[region cumul. data]]-S86)</f>
        <v>44</v>
      </c>
      <c r="U87" s="72">
        <f>Tabella3[[#This Row],[region data]]*NOT(ISBLANK(Tabella3[[#This Row],[region data]]))</f>
        <v>44</v>
      </c>
      <c r="V87">
        <f t="shared" si="1"/>
        <v>35.166666666666664</v>
      </c>
      <c r="W87" s="72">
        <f>Tabella3[[#This Row],[6-days moving avg]]*NOT(ISBLANK(Tabella3[[#This Row],[6-days moving avg]]))</f>
        <v>35.166666666666664</v>
      </c>
      <c r="X87" s="77">
        <f>Tabella8[[#This Row],[region fit]]</f>
        <v>221.03323925488343</v>
      </c>
      <c r="Y87" s="72">
        <f>Tabella3[[#This Row],[region cumul. fit]]/Kl</f>
        <v>2.4641386761971397E-2</v>
      </c>
      <c r="Z87" s="72">
        <f>IFERROR(Kl*psi_l*_xlfn.SECH(psi_l*(Tabella3[[#This Row],[Day]]-pl)-phi_l)^2/(1+TANH(phi_l)),0)</f>
        <v>51.646692226162791</v>
      </c>
      <c r="AA87" s="72">
        <f>Tabella3[[#This Row],[region fit]]/y_l_peak</f>
        <v>0.37479653970548127</v>
      </c>
      <c r="AB87" s="72">
        <f>Tabella3[[#This Row],[region fit]]*NOT(ISBLANK(Tabella3[[#This Row],[region data]]))</f>
        <v>51.646692226162791</v>
      </c>
      <c r="AC87" s="166">
        <f>IFERROR(kl_m*psi_l_m*_xlfn.SECH(psi_l_m*(Tabella3[[#This Row],[Day]]-pl_m)-phi_l_m)^2/(1+TANH(phi_l_m)),0)</f>
        <v>51.646692226162791</v>
      </c>
      <c r="AD87" s="72">
        <f>Tabella3[[#This Row],[6-days moving avg fit]]*NOT(ISBLANK(Tabella3[[#This Row],[6-days moving avg]]))</f>
        <v>51.646692226162791</v>
      </c>
      <c r="AE87" s="72">
        <f>Tabella3[[#This Row],[region fit]]+CIl</f>
        <v>105.41153263571124</v>
      </c>
      <c r="AF87" s="72">
        <f>MAX(Tabella3[[#This Row],[region fit]]-CIl,0)</f>
        <v>0</v>
      </c>
      <c r="AG87" s="10">
        <f>Tabella8[[#This Row],[rest of Italy ]]</f>
        <v>8941</v>
      </c>
      <c r="AH87" s="10">
        <f>(Tabella3[[#This Row],[rest of Italy cum. data]]-AG86)</f>
        <v>1272</v>
      </c>
      <c r="AI87" s="72">
        <f>Tabella3[[#This Row],[rest of Italy data]]*NOT(ISBLANK(Tabella3[[#This Row],[rest of Italy data]]))</f>
        <v>1272</v>
      </c>
      <c r="AJ87" s="77">
        <f>Tabella8[[#This Row],[rest of Italy fit]]</f>
        <v>10119.352858397595</v>
      </c>
      <c r="AK87" s="72">
        <f>Tabella3[[#This Row],[rest of Italy cumul. fit]]/Ka</f>
        <v>4.684234994397813E-2</v>
      </c>
      <c r="AL87" s="72">
        <f>IFERROR(Ka*psi_a*_xlfn.SECH(psi_a*(Tabella3[[#This Row],[Day]]-pa)-phi_a)^2/(1+TANH(phi_a)),0)</f>
        <v>1192.2923523319887</v>
      </c>
      <c r="AM87" s="72">
        <f>Tabella3[[#This Row],[rest of Italy fit]]/y_a_peak</f>
        <v>0.41662449822799535</v>
      </c>
      <c r="AN87" s="72">
        <f>Tabella3[[#This Row],[rest of Italy fit]]*NOT(ISBLANK(Tabella3[[#This Row],[rest of Italy data]]))</f>
        <v>1192.2923523319887</v>
      </c>
      <c r="AO87" s="72">
        <f>Tabella3[[#This Row],[rest of Italy fit]]+CIa</f>
        <v>2886.8665472415714</v>
      </c>
      <c r="AP87" s="72">
        <f>MAX(Tabella3[[#This Row],[rest of Italy fit]]-CIa,0)</f>
        <v>0</v>
      </c>
      <c r="AR87"/>
      <c r="AS87"/>
    </row>
    <row r="88" spans="2:45" x14ac:dyDescent="0.3">
      <c r="B88" s="9">
        <v>43911</v>
      </c>
      <c r="C88" s="4">
        <v>81</v>
      </c>
      <c r="D88" s="72">
        <f>'dpc-covid19-ita-andamento-naz'!J28+'dpc-covid19-ita-andamento-naz'!K28</f>
        <v>10897</v>
      </c>
      <c r="E88" s="72">
        <f>(Tabella3[[#This Row],[Italy cumul. data]]-D87)</f>
        <v>1736</v>
      </c>
      <c r="F88" s="72">
        <f>Tabella3[[#This Row],[Italy remov. rate data]]*NOT(ISBLANK(Tabella3[[#This Row],[Italy remov. rate data]]))</f>
        <v>1736</v>
      </c>
      <c r="G88" s="77">
        <f>Tabella8[[#This Row],[Italy fit]]</f>
        <v>11654.162222470273</v>
      </c>
      <c r="H88" s="77">
        <f>Tabella3[[#This Row],[Italy cumul. fit]]/Kf</f>
        <v>5.1796276544312327E-2</v>
      </c>
      <c r="I88" s="77">
        <f>Tabella3[[#This Row],[region fit]]+Tabella3[[#This Row],[rest of Italy fit]]</f>
        <v>1291.458186369058</v>
      </c>
      <c r="J88" s="77">
        <f>Tabella3[[#This Row],[Italy (fit of selected region + fitted sum of the other regions)]]/(y_l_peak+y_a_peak)</f>
        <v>0.43054482458403404</v>
      </c>
      <c r="K88" s="72">
        <f>IFERROR(Kf*psi_f*_xlfn.SECH(psi_f*(Tabella3[[#This Row],[Day]]-pf)-phi_f)^2/(1+TANH(phi_f)),0)</f>
        <v>1288.4154877630747</v>
      </c>
      <c r="L88" s="292">
        <f>Tabella3[[#This Row],[Italy remov. rate fit]]-Tabella3[[#This Row],[Italy remov. rate data]]</f>
        <v>-447.58451223692532</v>
      </c>
      <c r="M88" s="293">
        <f>Tabella3[[#This Row],[rem. rate residuals]]*NOT(ISBLANK(Tabella3[[#This Row],[Italy remov. rate data]]))</f>
        <v>-447.58451223692532</v>
      </c>
      <c r="N88" s="72">
        <f>Tabella3[[#This Row],[Italy remov. rate fit]]/y_f_peak</f>
        <v>0.4292706432288616</v>
      </c>
      <c r="O88" s="72">
        <f>Tabella3[[#This Row],[Italy (fit of selected region + fitted sum of the other regions)]]*NOT(ISBLANK(Tabella3[[#This Row],[Italy remov. rate data]]))</f>
        <v>1291.458186369058</v>
      </c>
      <c r="P88" s="72">
        <f>Tabella3[[#This Row],[Italy remov. rate fit]]*NOT(ISBLANK(Tabella3[[#This Row],[Italy remov. rate data]]))</f>
        <v>1288.4154877630747</v>
      </c>
      <c r="Q88" s="72">
        <f>Tabella3[[#This Row],[Italy remov. rate fit]]+CIf</f>
        <v>3004.030347097626</v>
      </c>
      <c r="R88" s="72">
        <f>MAX(Tabella3[[#This Row],[Italy remov. rate fit]]-CIf,0)</f>
        <v>0</v>
      </c>
      <c r="S88" s="4">
        <f>Tabella8[[#This Row],[region data]]</f>
        <v>277</v>
      </c>
      <c r="T88" s="72">
        <f>(Tabella3[[#This Row],[region cumul. data]]-S87)</f>
        <v>57</v>
      </c>
      <c r="U88" s="72">
        <f>Tabella3[[#This Row],[region data]]*NOT(ISBLANK(Tabella3[[#This Row],[region data]]))</f>
        <v>57</v>
      </c>
      <c r="V88">
        <f t="shared" si="1"/>
        <v>37</v>
      </c>
      <c r="W88" s="72">
        <f>Tabella3[[#This Row],[6-days moving avg]]*NOT(ISBLANK(Tabella3[[#This Row],[6-days moving avg]]))</f>
        <v>37</v>
      </c>
      <c r="X88" s="77">
        <f>Tabella8[[#This Row],[region fit]]</f>
        <v>273.84365113606447</v>
      </c>
      <c r="Y88" s="72">
        <f>Tabella3[[#This Row],[region cumul. fit]]/Kl</f>
        <v>3.0528835132225693E-2</v>
      </c>
      <c r="Z88" s="72">
        <f>IFERROR(Kl*psi_l*_xlfn.SECH(psi_l*(Tabella3[[#This Row],[Day]]-pl)-phi_l)^2/(1+TANH(phi_l)),0)</f>
        <v>53.986036518713341</v>
      </c>
      <c r="AA88" s="72">
        <f>Tabella3[[#This Row],[region fit]]/y_l_peak</f>
        <v>0.39177300244172519</v>
      </c>
      <c r="AB88" s="72">
        <f>Tabella3[[#This Row],[region fit]]*NOT(ISBLANK(Tabella3[[#This Row],[region data]]))</f>
        <v>53.986036518713341</v>
      </c>
      <c r="AC88" s="166">
        <f>IFERROR(kl_m*psi_l_m*_xlfn.SECH(psi_l_m*(Tabella3[[#This Row],[Day]]-pl_m)-phi_l_m)^2/(1+TANH(phi_l_m)),0)</f>
        <v>53.986036518713341</v>
      </c>
      <c r="AD88" s="72">
        <f>Tabella3[[#This Row],[6-days moving avg fit]]*NOT(ISBLANK(Tabella3[[#This Row],[6-days moving avg]]))</f>
        <v>53.986036518713341</v>
      </c>
      <c r="AE88" s="72">
        <f>Tabella3[[#This Row],[region fit]]+CIl</f>
        <v>107.75087692826179</v>
      </c>
      <c r="AF88" s="72">
        <f>MAX(Tabella3[[#This Row],[region fit]]-CIl,0)</f>
        <v>0.22119610916488597</v>
      </c>
      <c r="AG88" s="10">
        <f>Tabella8[[#This Row],[rest of Italy ]]</f>
        <v>10620</v>
      </c>
      <c r="AH88" s="10">
        <f>(Tabella3[[#This Row],[rest of Italy cum. data]]-AG87)</f>
        <v>1679</v>
      </c>
      <c r="AI88" s="72">
        <f>Tabella3[[#This Row],[rest of Italy data]]*NOT(ISBLANK(Tabella3[[#This Row],[rest of Italy data]]))</f>
        <v>1679</v>
      </c>
      <c r="AJ88" s="77">
        <f>Tabella8[[#This Row],[rest of Italy fit]]</f>
        <v>11334.146725393943</v>
      </c>
      <c r="AK88" s="72">
        <f>Tabella3[[#This Row],[rest of Italy cumul. fit]]/Ka</f>
        <v>5.2465614615534617E-2</v>
      </c>
      <c r="AL88" s="72">
        <f>IFERROR(Ka*psi_a*_xlfn.SECH(psi_a*(Tabella3[[#This Row],[Day]]-pa)-phi_a)^2/(1+TANH(phi_a)),0)</f>
        <v>1237.4721498503447</v>
      </c>
      <c r="AM88" s="72">
        <f>Tabella3[[#This Row],[rest of Italy fit]]/y_a_peak</f>
        <v>0.43241174238360186</v>
      </c>
      <c r="AN88" s="72">
        <f>Tabella3[[#This Row],[rest of Italy fit]]*NOT(ISBLANK(Tabella3[[#This Row],[rest of Italy data]]))</f>
        <v>1237.4721498503447</v>
      </c>
      <c r="AO88" s="72">
        <f>Tabella3[[#This Row],[rest of Italy fit]]+CIa</f>
        <v>2932.0463447599277</v>
      </c>
      <c r="AP88" s="72">
        <f>MAX(Tabella3[[#This Row],[rest of Italy fit]]-CIa,0)</f>
        <v>0</v>
      </c>
      <c r="AR88"/>
      <c r="AS88"/>
    </row>
    <row r="89" spans="2:45" x14ac:dyDescent="0.3">
      <c r="B89" s="9">
        <v>43912</v>
      </c>
      <c r="C89" s="4">
        <v>82</v>
      </c>
      <c r="D89" s="72">
        <f>'dpc-covid19-ita-andamento-naz'!J29+'dpc-covid19-ita-andamento-naz'!K29</f>
        <v>12500</v>
      </c>
      <c r="E89" s="72">
        <f>(Tabella3[[#This Row],[Italy cumul. data]]-D88)</f>
        <v>1603</v>
      </c>
      <c r="F89" s="72">
        <f>Tabella3[[#This Row],[Italy remov. rate data]]*NOT(ISBLANK(Tabella3[[#This Row],[Italy remov. rate data]]))</f>
        <v>1603</v>
      </c>
      <c r="G89" s="77">
        <f>Tabella8[[#This Row],[Italy fit]]</f>
        <v>12966.801120014454</v>
      </c>
      <c r="H89" s="77">
        <f>Tabella3[[#This Row],[Italy cumul. fit]]/Kf</f>
        <v>5.7630227200064242E-2</v>
      </c>
      <c r="I89" s="77">
        <f>Tabella3[[#This Row],[region fit]]+Tabella3[[#This Row],[rest of Italy fit]]</f>
        <v>1340.0927938485886</v>
      </c>
      <c r="J89" s="77">
        <f>Tabella3[[#This Row],[Italy (fit of selected region + fitted sum of the other regions)]]/(y_l_peak+y_a_peak)</f>
        <v>0.44675857332711877</v>
      </c>
      <c r="K89" s="72">
        <f>IFERROR(Kf*psi_f*_xlfn.SECH(psi_f*(Tabella3[[#This Row],[Day]]-pf)-phi_f)^2/(1+TANH(phi_f)),0)</f>
        <v>1337.0458817267242</v>
      </c>
      <c r="L89" s="292">
        <f>Tabella3[[#This Row],[Italy remov. rate fit]]-Tabella3[[#This Row],[Italy remov. rate data]]</f>
        <v>-265.95411827327575</v>
      </c>
      <c r="M89" s="293">
        <f>Tabella3[[#This Row],[rem. rate residuals]]*NOT(ISBLANK(Tabella3[[#This Row],[Italy remov. rate data]]))</f>
        <v>-265.95411827327575</v>
      </c>
      <c r="N89" s="72">
        <f>Tabella3[[#This Row],[Italy remov. rate fit]]/y_f_peak</f>
        <v>0.44547318091605809</v>
      </c>
      <c r="O89" s="72">
        <f>Tabella3[[#This Row],[Italy (fit of selected region + fitted sum of the other regions)]]*NOT(ISBLANK(Tabella3[[#This Row],[Italy remov. rate data]]))</f>
        <v>1340.0927938485886</v>
      </c>
      <c r="P89" s="72">
        <f>Tabella3[[#This Row],[Italy remov. rate fit]]*NOT(ISBLANK(Tabella3[[#This Row],[Italy remov. rate data]]))</f>
        <v>1337.0458817267242</v>
      </c>
      <c r="Q89" s="72">
        <f>Tabella3[[#This Row],[Italy remov. rate fit]]+CIf</f>
        <v>3052.6607410612755</v>
      </c>
      <c r="R89" s="72">
        <f>MAX(Tabella3[[#This Row],[Italy remov. rate fit]]-CIf,0)</f>
        <v>0</v>
      </c>
      <c r="S89" s="4">
        <f>Tabella8[[#This Row],[region data]]</f>
        <v>314</v>
      </c>
      <c r="T89" s="72">
        <f>(Tabella3[[#This Row],[region cumul. data]]-S88)</f>
        <v>37</v>
      </c>
      <c r="U89" s="72">
        <f>Tabella3[[#This Row],[region data]]*NOT(ISBLANK(Tabella3[[#This Row],[region data]]))</f>
        <v>37</v>
      </c>
      <c r="V89">
        <f t="shared" si="1"/>
        <v>42.333333333333336</v>
      </c>
      <c r="W89" s="72">
        <f>Tabella3[[#This Row],[6-days moving avg]]*NOT(ISBLANK(Tabella3[[#This Row],[6-days moving avg]]))</f>
        <v>42.333333333333336</v>
      </c>
      <c r="X89" s="77">
        <f>Tabella8[[#This Row],[region fit]]</f>
        <v>329.02891540797884</v>
      </c>
      <c r="Y89" s="72">
        <f>Tabella3[[#This Row],[region cumul. fit]]/Kl</f>
        <v>3.6681038507021049E-2</v>
      </c>
      <c r="Z89" s="72">
        <f>IFERROR(Kl*psi_l*_xlfn.SECH(psi_l*(Tabella3[[#This Row],[Day]]-pl)-phi_l)^2/(1+TANH(phi_l)),0)</f>
        <v>56.396175817072752</v>
      </c>
      <c r="AA89" s="72">
        <f>Tabella3[[#This Row],[region fit]]/y_l_peak</f>
        <v>0.40926321972955593</v>
      </c>
      <c r="AB89" s="72">
        <f>Tabella3[[#This Row],[region fit]]*NOT(ISBLANK(Tabella3[[#This Row],[region data]]))</f>
        <v>56.396175817072752</v>
      </c>
      <c r="AC89" s="166">
        <f>IFERROR(kl_m*psi_l_m*_xlfn.SECH(psi_l_m*(Tabella3[[#This Row],[Day]]-pl_m)-phi_l_m)^2/(1+TANH(phi_l_m)),0)</f>
        <v>56.396175817072752</v>
      </c>
      <c r="AD89" s="72">
        <f>Tabella3[[#This Row],[6-days moving avg fit]]*NOT(ISBLANK(Tabella3[[#This Row],[6-days moving avg]]))</f>
        <v>56.396175817072752</v>
      </c>
      <c r="AE89" s="72">
        <f>Tabella3[[#This Row],[region fit]]+CIl</f>
        <v>110.1610162266212</v>
      </c>
      <c r="AF89" s="72">
        <f>MAX(Tabella3[[#This Row],[region fit]]-CIl,0)</f>
        <v>2.631335407524297</v>
      </c>
      <c r="AG89" s="10">
        <f>Tabella8[[#This Row],[rest of Italy ]]</f>
        <v>12186</v>
      </c>
      <c r="AH89" s="10">
        <f>(Tabella3[[#This Row],[rest of Italy cum. data]]-AG88)</f>
        <v>1566</v>
      </c>
      <c r="AI89" s="72">
        <f>Tabella3[[#This Row],[rest of Italy data]]*NOT(ISBLANK(Tabella3[[#This Row],[rest of Italy data]]))</f>
        <v>1566</v>
      </c>
      <c r="AJ89" s="77">
        <f>Tabella8[[#This Row],[rest of Italy fit]]</f>
        <v>12594.645448434665</v>
      </c>
      <c r="AK89" s="72">
        <f>Tabella3[[#This Row],[rest of Italy cumul. fit]]/Ka</f>
        <v>5.8300446458522726E-2</v>
      </c>
      <c r="AL89" s="72">
        <f>IFERROR(Ka*psi_a*_xlfn.SECH(psi_a*(Tabella3[[#This Row],[Day]]-pa)-phi_a)^2/(1+TANH(phi_a)),0)</f>
        <v>1283.6966180315158</v>
      </c>
      <c r="AM89" s="72">
        <f>Tabella3[[#This Row],[rest of Italy fit]]/y_a_peak</f>
        <v>0.44856402736988843</v>
      </c>
      <c r="AN89" s="72">
        <f>Tabella3[[#This Row],[rest of Italy fit]]*NOT(ISBLANK(Tabella3[[#This Row],[rest of Italy data]]))</f>
        <v>1283.6966180315158</v>
      </c>
      <c r="AO89" s="72">
        <f>Tabella3[[#This Row],[rest of Italy fit]]+CIa</f>
        <v>2978.2708129410985</v>
      </c>
      <c r="AP89" s="72">
        <f>MAX(Tabella3[[#This Row],[rest of Italy fit]]-CIa,0)</f>
        <v>0</v>
      </c>
      <c r="AR89"/>
      <c r="AS89"/>
    </row>
    <row r="90" spans="2:45" x14ac:dyDescent="0.3">
      <c r="B90" s="15">
        <v>43913</v>
      </c>
      <c r="C90" s="4">
        <v>83</v>
      </c>
      <c r="D90" s="72">
        <f>'dpc-covid19-ita-andamento-naz'!J30+'dpc-covid19-ita-andamento-naz'!K30</f>
        <v>13509</v>
      </c>
      <c r="E90" s="72">
        <f>(Tabella3[[#This Row],[Italy cumul. data]]-D89)</f>
        <v>1009</v>
      </c>
      <c r="F90" s="72">
        <f>Tabella3[[#This Row],[Italy remov. rate data]]*NOT(ISBLANK(Tabella3[[#This Row],[Italy remov. rate data]]))</f>
        <v>1009</v>
      </c>
      <c r="G90" s="77">
        <f>Tabella8[[#This Row],[Italy fit]]</f>
        <v>14328.614629851865</v>
      </c>
      <c r="H90" s="77">
        <f>Tabella3[[#This Row],[Italy cumul. fit]]/Kf</f>
        <v>6.3682731688230507E-2</v>
      </c>
      <c r="I90" s="77">
        <f>Tabella3[[#This Row],[region fit]]+Tabella3[[#This Row],[rest of Italy fit]]</f>
        <v>1389.8055737863588</v>
      </c>
      <c r="J90" s="77">
        <f>Tabella3[[#This Row],[Italy (fit of selected region + fitted sum of the other regions)]]/(y_l_peak+y_a_peak)</f>
        <v>0.46333176194739323</v>
      </c>
      <c r="K90" s="72">
        <f>IFERROR(Kf*psi_f*_xlfn.SECH(psi_f*(Tabella3[[#This Row],[Day]]-pf)-phi_f)^2/(1+TANH(phi_f)),0)</f>
        <v>1386.7579813104051</v>
      </c>
      <c r="L90" s="292">
        <f>Tabella3[[#This Row],[Italy remov. rate fit]]-Tabella3[[#This Row],[Italy remov. rate data]]</f>
        <v>377.75798131040506</v>
      </c>
      <c r="M90" s="293">
        <f>Tabella3[[#This Row],[rem. rate residuals]]*NOT(ISBLANK(Tabella3[[#This Row],[Italy remov. rate data]]))</f>
        <v>377.75798131040506</v>
      </c>
      <c r="N90" s="72">
        <f>Tabella3[[#This Row],[Italy remov. rate fit]]/y_f_peak</f>
        <v>0.46203611823497676</v>
      </c>
      <c r="O90" s="72">
        <f>Tabella3[[#This Row],[Italy (fit of selected region + fitted sum of the other regions)]]*NOT(ISBLANK(Tabella3[[#This Row],[Italy remov. rate data]]))</f>
        <v>1389.8055737863588</v>
      </c>
      <c r="P90" s="72">
        <f>Tabella3[[#This Row],[Italy remov. rate fit]]*NOT(ISBLANK(Tabella3[[#This Row],[Italy remov. rate data]]))</f>
        <v>1386.7579813104051</v>
      </c>
      <c r="Q90" s="72">
        <f>Tabella3[[#This Row],[Italy remov. rate fit]]+CIf</f>
        <v>3102.3728406449563</v>
      </c>
      <c r="R90" s="72">
        <f>MAX(Tabella3[[#This Row],[Italy remov. rate fit]]-CIf,0)</f>
        <v>0</v>
      </c>
      <c r="S90" s="4">
        <f>Tabella8[[#This Row],[region data]]</f>
        <v>371</v>
      </c>
      <c r="T90" s="72">
        <f>(Tabella3[[#This Row],[region cumul. data]]-S89)</f>
        <v>57</v>
      </c>
      <c r="U90" s="72">
        <f>Tabella3[[#This Row],[region data]]*NOT(ISBLANK(Tabella3[[#This Row],[region data]]))</f>
        <v>57</v>
      </c>
      <c r="V90">
        <f t="shared" si="1"/>
        <v>46.833333333333336</v>
      </c>
      <c r="W90" s="72">
        <f>Tabella3[[#This Row],[6-days moving avg]]*NOT(ISBLANK(Tabella3[[#This Row],[6-days moving avg]]))</f>
        <v>46.833333333333336</v>
      </c>
      <c r="X90" s="77">
        <f>Tabella8[[#This Row],[region fit]]</f>
        <v>386.65909009117553</v>
      </c>
      <c r="Y90" s="72">
        <f>Tabella3[[#This Row],[region cumul. fit]]/Kl</f>
        <v>4.3105807145058586E-2</v>
      </c>
      <c r="Z90" s="72">
        <f>IFERROR(Kl*psi_l*_xlfn.SECH(psi_l*(Tabella3[[#This Row],[Day]]-pl)-phi_l)^2/(1+TANH(phi_l)),0)</f>
        <v>58.875561600888808</v>
      </c>
      <c r="AA90" s="72">
        <f>Tabella3[[#This Row],[region fit]]/y_l_peak</f>
        <v>0.42725595406189093</v>
      </c>
      <c r="AB90" s="72">
        <f>Tabella3[[#This Row],[region fit]]*NOT(ISBLANK(Tabella3[[#This Row],[region data]]))</f>
        <v>58.875561600888808</v>
      </c>
      <c r="AC90" s="166">
        <f>IFERROR(kl_m*psi_l_m*_xlfn.SECH(psi_l_m*(Tabella3[[#This Row],[Day]]-pl_m)-phi_l_m)^2/(1+TANH(phi_l_m)),0)</f>
        <v>58.875561600888808</v>
      </c>
      <c r="AD90" s="72">
        <f>Tabella3[[#This Row],[6-days moving avg fit]]*NOT(ISBLANK(Tabella3[[#This Row],[6-days moving avg]]))</f>
        <v>58.875561600888808</v>
      </c>
      <c r="AE90" s="72">
        <f>Tabella3[[#This Row],[region fit]]+CIl</f>
        <v>112.64040201043727</v>
      </c>
      <c r="AF90" s="72">
        <f>MAX(Tabella3[[#This Row],[region fit]]-CIl,0)</f>
        <v>5.1107211913403532</v>
      </c>
      <c r="AG90" s="10">
        <f>Tabella8[[#This Row],[rest of Italy ]]</f>
        <v>13138</v>
      </c>
      <c r="AH90" s="10">
        <f>(Tabella3[[#This Row],[rest of Italy cum. data]]-AG89)</f>
        <v>952</v>
      </c>
      <c r="AI90" s="72">
        <f>Tabella3[[#This Row],[rest of Italy data]]*NOT(ISBLANK(Tabella3[[#This Row],[rest of Italy data]]))</f>
        <v>952</v>
      </c>
      <c r="AJ90" s="77">
        <f>Tabella8[[#This Row],[rest of Italy fit]]</f>
        <v>13901.876340577151</v>
      </c>
      <c r="AK90" s="72">
        <f>Tabella3[[#This Row],[rest of Italy cumul. fit]]/Ka</f>
        <v>6.4351600891437072E-2</v>
      </c>
      <c r="AL90" s="72">
        <f>IFERROR(Ka*psi_a*_xlfn.SECH(psi_a*(Tabella3[[#This Row],[Day]]-pa)-phi_a)^2/(1+TANH(phi_a)),0)</f>
        <v>1330.9300121854699</v>
      </c>
      <c r="AM90" s="72">
        <f>Tabella3[[#This Row],[rest of Italy fit]]/y_a_peak</f>
        <v>0.4650688628664067</v>
      </c>
      <c r="AN90" s="72">
        <f>Tabella3[[#This Row],[rest of Italy fit]]*NOT(ISBLANK(Tabella3[[#This Row],[rest of Italy data]]))</f>
        <v>1330.9300121854699</v>
      </c>
      <c r="AO90" s="72">
        <f>Tabella3[[#This Row],[rest of Italy fit]]+CIa</f>
        <v>3025.5042070950526</v>
      </c>
      <c r="AP90" s="72">
        <f>MAX(Tabella3[[#This Row],[rest of Italy fit]]-CIa,0)</f>
        <v>0</v>
      </c>
      <c r="AR90"/>
      <c r="AS90"/>
    </row>
    <row r="91" spans="2:45" x14ac:dyDescent="0.3">
      <c r="B91" s="9">
        <v>43914</v>
      </c>
      <c r="C91" s="4">
        <v>84</v>
      </c>
      <c r="D91" s="72">
        <f>'dpc-covid19-ita-andamento-naz'!J31+'dpc-covid19-ita-andamento-naz'!K31</f>
        <v>15146</v>
      </c>
      <c r="E91" s="72">
        <f>(Tabella3[[#This Row],[Italy cumul. data]]-D90)</f>
        <v>1637</v>
      </c>
      <c r="F91" s="72">
        <f>Tabella3[[#This Row],[Italy remov. rate data]]*NOT(ISBLANK(Tabella3[[#This Row],[Italy remov. rate data]]))</f>
        <v>1637</v>
      </c>
      <c r="G91" s="77">
        <f>Tabella8[[#This Row],[Italy fit]]</f>
        <v>15740.663116114691</v>
      </c>
      <c r="H91" s="77">
        <f>Tabella3[[#This Row],[Italy cumul. fit]]/Kf</f>
        <v>6.995850273828752E-2</v>
      </c>
      <c r="I91" s="77">
        <f>Tabella3[[#This Row],[region fit]]+Tabella3[[#This Row],[rest of Italy fit]]</f>
        <v>1440.5524289736604</v>
      </c>
      <c r="J91" s="77">
        <f>Tabella3[[#This Row],[Italy (fit of selected region + fitted sum of the other regions)]]/(y_l_peak+y_a_peak)</f>
        <v>0.48024968936882695</v>
      </c>
      <c r="K91" s="72">
        <f>IFERROR(Kf*psi_f*_xlfn.SECH(psi_f*(Tabella3[[#This Row],[Day]]-pf)-phi_f)^2/(1+TANH(phi_f)),0)</f>
        <v>1437.5079436059846</v>
      </c>
      <c r="L91" s="292">
        <f>Tabella3[[#This Row],[Italy remov. rate fit]]-Tabella3[[#This Row],[Italy remov. rate data]]</f>
        <v>-199.49205639401544</v>
      </c>
      <c r="M91" s="293">
        <f>Tabella3[[#This Row],[rem. rate residuals]]*NOT(ISBLANK(Tabella3[[#This Row],[Italy remov. rate data]]))</f>
        <v>-199.49205639401544</v>
      </c>
      <c r="N91" s="72">
        <f>Tabella3[[#This Row],[Italy remov. rate fit]]/y_f_peak</f>
        <v>0.47894484772897522</v>
      </c>
      <c r="O91" s="72">
        <f>Tabella3[[#This Row],[Italy (fit of selected region + fitted sum of the other regions)]]*NOT(ISBLANK(Tabella3[[#This Row],[Italy remov. rate data]]))</f>
        <v>1440.5524289736604</v>
      </c>
      <c r="P91" s="72">
        <f>Tabella3[[#This Row],[Italy remov. rate fit]]*NOT(ISBLANK(Tabella3[[#This Row],[Italy remov. rate data]]))</f>
        <v>1437.5079436059846</v>
      </c>
      <c r="Q91" s="72">
        <f>Tabella3[[#This Row],[Italy remov. rate fit]]+CIf</f>
        <v>3153.1228029405356</v>
      </c>
      <c r="R91" s="72">
        <f>MAX(Tabella3[[#This Row],[Italy remov. rate fit]]-CIf,0)</f>
        <v>0</v>
      </c>
      <c r="S91" s="4">
        <f>Tabella8[[#This Row],[region data]]</f>
        <v>424</v>
      </c>
      <c r="T91" s="72">
        <f>(Tabella3[[#This Row],[region cumul. data]]-S90)</f>
        <v>53</v>
      </c>
      <c r="U91" s="72">
        <f>Tabella3[[#This Row],[region data]]*NOT(ISBLANK(Tabella3[[#This Row],[region data]]))</f>
        <v>53</v>
      </c>
      <c r="V91">
        <f t="shared" si="1"/>
        <v>50.5</v>
      </c>
      <c r="W91" s="72">
        <f>Tabella3[[#This Row],[6-days moving avg]]*NOT(ISBLANK(Tabella3[[#This Row],[6-days moving avg]]))</f>
        <v>50.5</v>
      </c>
      <c r="X91" s="77">
        <f>Tabella8[[#This Row],[region fit]]</f>
        <v>446.80245537716399</v>
      </c>
      <c r="Y91" s="72">
        <f>Tabella3[[#This Row],[region cumul. fit]]/Kl</f>
        <v>4.981075310782207E-2</v>
      </c>
      <c r="Z91" s="72">
        <f>IFERROR(Kl*psi_l*_xlfn.SECH(psi_l*(Tabella3[[#This Row],[Day]]-pl)-phi_l)^2/(1+TANH(phi_l)),0)</f>
        <v>61.422181091512115</v>
      </c>
      <c r="AA91" s="72">
        <f>Tabella3[[#This Row],[region fit]]/y_l_peak</f>
        <v>0.44573659884069916</v>
      </c>
      <c r="AB91" s="72">
        <f>Tabella3[[#This Row],[region fit]]*NOT(ISBLANK(Tabella3[[#This Row],[region data]]))</f>
        <v>61.422181091512115</v>
      </c>
      <c r="AC91" s="166">
        <f>IFERROR(kl_m*psi_l_m*_xlfn.SECH(psi_l_m*(Tabella3[[#This Row],[Day]]-pl_m)-phi_l_m)^2/(1+TANH(phi_l_m)),0)</f>
        <v>61.422181091512115</v>
      </c>
      <c r="AD91" s="72">
        <f>Tabella3[[#This Row],[6-days moving avg fit]]*NOT(ISBLANK(Tabella3[[#This Row],[6-days moving avg]]))</f>
        <v>61.422181091512115</v>
      </c>
      <c r="AE91" s="72">
        <f>Tabella3[[#This Row],[region fit]]+CIl</f>
        <v>115.18702150106057</v>
      </c>
      <c r="AF91" s="72">
        <f>MAX(Tabella3[[#This Row],[region fit]]-CIl,0)</f>
        <v>7.6573406819636602</v>
      </c>
      <c r="AG91" s="10">
        <f>Tabella8[[#This Row],[rest of Italy ]]</f>
        <v>14722</v>
      </c>
      <c r="AH91" s="10">
        <f>(Tabella3[[#This Row],[rest of Italy cum. data]]-AG90)</f>
        <v>1584</v>
      </c>
      <c r="AI91" s="72">
        <f>Tabella3[[#This Row],[rest of Italy data]]*NOT(ISBLANK(Tabella3[[#This Row],[rest of Italy data]]))</f>
        <v>1584</v>
      </c>
      <c r="AJ91" s="77">
        <f>Tabella8[[#This Row],[rest of Italy fit]]</f>
        <v>15256.827827286077</v>
      </c>
      <c r="AK91" s="72">
        <f>Tabella3[[#This Row],[rest of Italy cumul. fit]]/Ka</f>
        <v>7.0623653322622215E-2</v>
      </c>
      <c r="AL91" s="72">
        <f>IFERROR(Ka*psi_a*_xlfn.SECH(psi_a*(Tabella3[[#This Row],[Day]]-pa)-phi_a)^2/(1+TANH(phi_a)),0)</f>
        <v>1379.1302478821483</v>
      </c>
      <c r="AM91" s="72">
        <f>Tabella3[[#This Row],[rest of Italy fit]]/y_a_peak</f>
        <v>0.48191154324787755</v>
      </c>
      <c r="AN91" s="72">
        <f>Tabella3[[#This Row],[rest of Italy fit]]*NOT(ISBLANK(Tabella3[[#This Row],[rest of Italy data]]))</f>
        <v>1379.1302478821483</v>
      </c>
      <c r="AO91" s="72">
        <f>Tabella3[[#This Row],[rest of Italy fit]]+CIa</f>
        <v>3073.7044427917308</v>
      </c>
      <c r="AP91" s="72">
        <f>MAX(Tabella3[[#This Row],[rest of Italy fit]]-CIa,0)</f>
        <v>0</v>
      </c>
      <c r="AR91"/>
      <c r="AS91"/>
    </row>
    <row r="92" spans="2:45" x14ac:dyDescent="0.3">
      <c r="B92" s="9">
        <v>43915</v>
      </c>
      <c r="C92" s="4">
        <v>85</v>
      </c>
      <c r="D92" s="72">
        <f>'dpc-covid19-ita-andamento-naz'!J32+'dpc-covid19-ita-andamento-naz'!K32</f>
        <v>16865</v>
      </c>
      <c r="E92" s="72">
        <f>(Tabella3[[#This Row],[Italy cumul. data]]-D91)</f>
        <v>1719</v>
      </c>
      <c r="F92" s="72">
        <f>Tabella3[[#This Row],[Italy remov. rate data]]*NOT(ISBLANK(Tabella3[[#This Row],[Italy remov. rate data]]))</f>
        <v>1719</v>
      </c>
      <c r="G92" s="77">
        <f>Tabella8[[#This Row],[Italy fit]]</f>
        <v>17203.95956346106</v>
      </c>
      <c r="H92" s="77">
        <f>Tabella3[[#This Row],[Italy cumul. fit]]/Kf</f>
        <v>7.6462042504271382E-2</v>
      </c>
      <c r="I92" s="77">
        <f>Tabella3[[#This Row],[region fit]]+Tabella3[[#This Row],[rest of Italy fit]]</f>
        <v>1492.2821100177027</v>
      </c>
      <c r="J92" s="77">
        <f>Tabella3[[#This Row],[Italy (fit of selected region + fitted sum of the other regions)]]/(y_l_peak+y_a_peak)</f>
        <v>0.49749527012859818</v>
      </c>
      <c r="K92" s="72">
        <f>IFERROR(Kf*psi_f*_xlfn.SECH(psi_f*(Tabella3[[#This Row],[Day]]-pf)-phi_f)^2/(1+TANH(phi_f)),0)</f>
        <v>1489.2447965408717</v>
      </c>
      <c r="L92" s="292">
        <f>Tabella3[[#This Row],[Italy remov. rate fit]]-Tabella3[[#This Row],[Italy remov. rate data]]</f>
        <v>-229.75520345912832</v>
      </c>
      <c r="M92" s="293">
        <f>Tabella3[[#This Row],[rem. rate residuals]]*NOT(ISBLANK(Tabella3[[#This Row],[Italy remov. rate data]]))</f>
        <v>-229.75520345912832</v>
      </c>
      <c r="N92" s="72">
        <f>Tabella3[[#This Row],[Italy remov. rate fit]]/y_f_peak</f>
        <v>0.49618238666647674</v>
      </c>
      <c r="O92" s="72">
        <f>Tabella3[[#This Row],[Italy (fit of selected region + fitted sum of the other regions)]]*NOT(ISBLANK(Tabella3[[#This Row],[Italy remov. rate data]]))</f>
        <v>1492.2821100177027</v>
      </c>
      <c r="P92" s="72">
        <f>Tabella3[[#This Row],[Italy remov. rate fit]]*NOT(ISBLANK(Tabella3[[#This Row],[Italy remov. rate data]]))</f>
        <v>1489.2447965408717</v>
      </c>
      <c r="Q92" s="72">
        <f>Tabella3[[#This Row],[Italy remov. rate fit]]+CIf</f>
        <v>3204.859655875423</v>
      </c>
      <c r="R92" s="72">
        <f>MAX(Tabella3[[#This Row],[Italy remov. rate fit]]-CIf,0)</f>
        <v>0</v>
      </c>
      <c r="S92" s="4">
        <f>Tabella8[[#This Row],[region data]]</f>
        <v>479</v>
      </c>
      <c r="T92" s="72">
        <f>(Tabella3[[#This Row],[region cumul. data]]-S91)</f>
        <v>55</v>
      </c>
      <c r="U92" s="72">
        <f>Tabella3[[#This Row],[region data]]*NOT(ISBLANK(Tabella3[[#This Row],[region data]]))</f>
        <v>55</v>
      </c>
      <c r="V92">
        <f t="shared" si="1"/>
        <v>53.333333333333336</v>
      </c>
      <c r="W92" s="72">
        <f>Tabella3[[#This Row],[6-days moving avg]]*NOT(ISBLANK(Tabella3[[#This Row],[6-days moving avg]]))</f>
        <v>53.333333333333336</v>
      </c>
      <c r="X92" s="77">
        <f>Tabella8[[#This Row],[region fit]]</f>
        <v>509.5250325647749</v>
      </c>
      <c r="Y92" s="72">
        <f>Tabella3[[#This Row],[region cumul. fit]]/Kl</f>
        <v>5.6803236629294859E-2</v>
      </c>
      <c r="Z92" s="72">
        <f>IFERROR(Kl*psi_l*_xlfn.SECH(psi_l*(Tabella3[[#This Row],[Day]]-pl)-phi_l)^2/(1+TANH(phi_l)),0)</f>
        <v>64.033523776595501</v>
      </c>
      <c r="AA92" s="72">
        <f>Tabella3[[#This Row],[region fit]]/y_l_peak</f>
        <v>0.46468693544829082</v>
      </c>
      <c r="AB92" s="72">
        <f>Tabella3[[#This Row],[region fit]]*NOT(ISBLANK(Tabella3[[#This Row],[region data]]))</f>
        <v>64.033523776595501</v>
      </c>
      <c r="AC92" s="166">
        <f>IFERROR(kl_m*psi_l_m*_xlfn.SECH(psi_l_m*(Tabella3[[#This Row],[Day]]-pl_m)-phi_l_m)^2/(1+TANH(phi_l_m)),0)</f>
        <v>64.033523776595501</v>
      </c>
      <c r="AD92" s="72">
        <f>Tabella3[[#This Row],[6-days moving avg fit]]*NOT(ISBLANK(Tabella3[[#This Row],[6-days moving avg]]))</f>
        <v>64.033523776595501</v>
      </c>
      <c r="AE92" s="72">
        <f>Tabella3[[#This Row],[region fit]]+CIl</f>
        <v>117.79836418614396</v>
      </c>
      <c r="AF92" s="72">
        <f>MAX(Tabella3[[#This Row],[region fit]]-CIl,0)</f>
        <v>10.268683367047046</v>
      </c>
      <c r="AG92" s="10">
        <f>Tabella8[[#This Row],[rest of Italy ]]</f>
        <v>16386</v>
      </c>
      <c r="AH92" s="10">
        <f>(Tabella3[[#This Row],[rest of Italy cum. data]]-AG91)</f>
        <v>1664</v>
      </c>
      <c r="AI92" s="72">
        <f>Tabella3[[#This Row],[rest of Italy data]]*NOT(ISBLANK(Tabella3[[#This Row],[rest of Italy data]]))</f>
        <v>1664</v>
      </c>
      <c r="AJ92" s="77">
        <f>Tabella8[[#This Row],[rest of Italy fit]]</f>
        <v>16660.442947797565</v>
      </c>
      <c r="AK92" s="72">
        <f>Tabella3[[#This Row],[rest of Italy cumul. fit]]/Ka</f>
        <v>7.71209690681737E-2</v>
      </c>
      <c r="AL92" s="72">
        <f>IFERROR(Ka*psi_a*_xlfn.SECH(psi_a*(Tabella3[[#This Row],[Day]]-pa)-phi_a)^2/(1+TANH(phi_a)),0)</f>
        <v>1428.2485862411072</v>
      </c>
      <c r="AM92" s="72">
        <f>Tabella3[[#This Row],[rest of Italy fit]]/y_a_peak</f>
        <v>0.49907503761448074</v>
      </c>
      <c r="AN92" s="72">
        <f>Tabella3[[#This Row],[rest of Italy fit]]*NOT(ISBLANK(Tabella3[[#This Row],[rest of Italy data]]))</f>
        <v>1428.2485862411072</v>
      </c>
      <c r="AO92" s="72">
        <f>Tabella3[[#This Row],[rest of Italy fit]]+CIa</f>
        <v>3122.8227811506899</v>
      </c>
      <c r="AP92" s="72">
        <f>MAX(Tabella3[[#This Row],[rest of Italy fit]]-CIa,0)</f>
        <v>0</v>
      </c>
      <c r="AR92"/>
      <c r="AS92"/>
    </row>
    <row r="93" spans="2:45" x14ac:dyDescent="0.3">
      <c r="B93" s="164">
        <v>43916</v>
      </c>
      <c r="C93" s="165">
        <v>86</v>
      </c>
      <c r="D93" s="72">
        <f>'dpc-covid19-ita-andamento-naz'!J33+'dpc-covid19-ita-andamento-naz'!K33</f>
        <v>18526</v>
      </c>
      <c r="E93" s="72">
        <f>(Tabella3[[#This Row],[Italy cumul. data]]-D92)</f>
        <v>1661</v>
      </c>
      <c r="F93" s="166">
        <f>Tabella3[[#This Row],[Italy remov. rate data]]*NOT(ISBLANK(Tabella3[[#This Row],[Italy remov. rate data]]))</f>
        <v>1661</v>
      </c>
      <c r="G93" s="167">
        <f>Tabella8[[#This Row],[Italy fit]]</f>
        <v>18719.462283792105</v>
      </c>
      <c r="H93" s="167">
        <f>Tabella3[[#This Row],[Italy cumul. fit]]/Kf</f>
        <v>8.3197610150187132E-2</v>
      </c>
      <c r="I93" s="167">
        <f>Tabella3[[#This Row],[region fit]]+Tabella3[[#This Row],[rest of Italy fit]]</f>
        <v>1544.9358894020615</v>
      </c>
      <c r="J93" s="167">
        <f>Tabella3[[#This Row],[Italy (fit of selected region + fitted sum of the other regions)]]/(y_l_peak+y_a_peak)</f>
        <v>0.51504892571574612</v>
      </c>
      <c r="K93" s="72">
        <f>IFERROR(Kf*psi_f*_xlfn.SECH(psi_f*(Tabella3[[#This Row],[Day]]-pf)-phi_f)^2/(1+TANH(phi_f)),0)</f>
        <v>1541.9101148235152</v>
      </c>
      <c r="L93" s="292">
        <f>Tabella3[[#This Row],[Italy remov. rate fit]]-Tabella3[[#This Row],[Italy remov. rate data]]</f>
        <v>-119.08988517648481</v>
      </c>
      <c r="M93" s="293">
        <f>Tabella3[[#This Row],[rem. rate residuals]]*NOT(ISBLANK(Tabella3[[#This Row],[Italy remov. rate data]]))</f>
        <v>-119.08988517648481</v>
      </c>
      <c r="N93" s="166">
        <f>Tabella3[[#This Row],[Italy remov. rate fit]]/y_f_peak</f>
        <v>0.51372926907340444</v>
      </c>
      <c r="O93" s="166">
        <f>Tabella3[[#This Row],[Italy (fit of selected region + fitted sum of the other regions)]]*NOT(ISBLANK(Tabella3[[#This Row],[Italy remov. rate data]]))</f>
        <v>1544.9358894020615</v>
      </c>
      <c r="P93" s="166">
        <f>Tabella3[[#This Row],[Italy remov. rate fit]]*NOT(ISBLANK(Tabella3[[#This Row],[Italy remov. rate data]]))</f>
        <v>1541.9101148235152</v>
      </c>
      <c r="Q93" s="166">
        <f>Tabella3[[#This Row],[Italy remov. rate fit]]+CIf</f>
        <v>3257.5249741580665</v>
      </c>
      <c r="R93" s="166">
        <f>MAX(Tabella3[[#This Row],[Italy remov. rate fit]]-CIf,0)</f>
        <v>0</v>
      </c>
      <c r="S93" s="165">
        <f>Tabella8[[#This Row],[region data]]</f>
        <v>540</v>
      </c>
      <c r="T93" s="166">
        <f>(Tabella3[[#This Row],[region cumul. data]]-S92)</f>
        <v>61</v>
      </c>
      <c r="U93" s="166">
        <f>Tabella3[[#This Row],[region data]]*NOT(ISBLANK(Tabella3[[#This Row],[region data]]))</f>
        <v>61</v>
      </c>
      <c r="V93">
        <f t="shared" si="1"/>
        <v>59.833333333333336</v>
      </c>
      <c r="W93" s="72">
        <f>Tabella3[[#This Row],[6-days moving avg]]*NOT(ISBLANK(Tabella3[[#This Row],[6-days moving avg]]))</f>
        <v>59.833333333333336</v>
      </c>
      <c r="X93" s="167">
        <f>Tabella8[[#This Row],[region fit]]</f>
        <v>574.89007001946868</v>
      </c>
      <c r="Y93" s="166">
        <f>Tabella3[[#This Row],[region cumul. fit]]/Kl</f>
        <v>6.4090308809305316E-2</v>
      </c>
      <c r="Z93" s="72">
        <f>IFERROR(Kl*psi_l*_xlfn.SECH(psi_l*(Tabella3[[#This Row],[Day]]-pl)-phi_l)^2/(1+TANH(phi_l)),0)</f>
        <v>66.706549026027517</v>
      </c>
      <c r="AA93" s="166">
        <f>Tabella3[[#This Row],[region fit]]/y_l_peak</f>
        <v>0.48408489823834527</v>
      </c>
      <c r="AB93" s="166">
        <f>Tabella3[[#This Row],[region fit]]*NOT(ISBLANK(Tabella3[[#This Row],[region data]]))</f>
        <v>66.706549026027517</v>
      </c>
      <c r="AC93" s="166">
        <f>IFERROR(kl_m*psi_l_m*_xlfn.SECH(psi_l_m*(Tabella3[[#This Row],[Day]]-pl_m)-phi_l_m)^2/(1+TANH(phi_l_m)),0)</f>
        <v>66.706549026027517</v>
      </c>
      <c r="AD93" s="72">
        <f>Tabella3[[#This Row],[6-days moving avg fit]]*NOT(ISBLANK(Tabella3[[#This Row],[6-days moving avg]]))</f>
        <v>66.706549026027517</v>
      </c>
      <c r="AE93" s="166">
        <f>Tabella3[[#This Row],[region fit]]+CIl</f>
        <v>120.47138943557597</v>
      </c>
      <c r="AF93" s="166">
        <f>MAX(Tabella3[[#This Row],[region fit]]-CIl,0)</f>
        <v>12.941708616479062</v>
      </c>
      <c r="AG93" s="168">
        <f>Tabella8[[#This Row],[rest of Italy ]]</f>
        <v>17986</v>
      </c>
      <c r="AH93" s="168">
        <f>(Tabella3[[#This Row],[rest of Italy cum. data]]-AG92)</f>
        <v>1600</v>
      </c>
      <c r="AI93" s="166">
        <f>Tabella3[[#This Row],[rest of Italy data]]*NOT(ISBLANK(Tabella3[[#This Row],[rest of Italy data]]))</f>
        <v>1600</v>
      </c>
      <c r="AJ93" s="167">
        <f>Tabella8[[#This Row],[rest of Italy fit]]</f>
        <v>18113.612551901493</v>
      </c>
      <c r="AK93" s="166">
        <f>Tabella3[[#This Row],[rest of Italy cumul. fit]]/Ka</f>
        <v>8.3847671859933776E-2</v>
      </c>
      <c r="AL93" s="72">
        <f>IFERROR(Ka*psi_a*_xlfn.SECH(psi_a*(Tabella3[[#This Row],[Day]]-pa)-phi_a)^2/(1+TANH(phi_a)),0)</f>
        <v>1478.2293403760341</v>
      </c>
      <c r="AM93" s="166">
        <f>Tabella3[[#This Row],[rest of Italy fit]]/y_a_peak</f>
        <v>0.51653988721432331</v>
      </c>
      <c r="AN93" s="166">
        <f>Tabella3[[#This Row],[rest of Italy fit]]*NOT(ISBLANK(Tabella3[[#This Row],[rest of Italy data]]))</f>
        <v>1478.2293403760341</v>
      </c>
      <c r="AO93" s="166">
        <f>Tabella3[[#This Row],[rest of Italy fit]]+CIa</f>
        <v>3172.8035352856168</v>
      </c>
      <c r="AP93" s="166">
        <f>MAX(Tabella3[[#This Row],[rest of Italy fit]]-CIa,0)</f>
        <v>0</v>
      </c>
      <c r="AR93"/>
      <c r="AS93"/>
    </row>
    <row r="94" spans="2:45" x14ac:dyDescent="0.3">
      <c r="B94" s="9">
        <v>43917</v>
      </c>
      <c r="C94" s="4">
        <v>87</v>
      </c>
      <c r="D94" s="72">
        <f>'dpc-covid19-ita-andamento-naz'!J34+'dpc-covid19-ita-andamento-naz'!K34</f>
        <v>20084</v>
      </c>
      <c r="E94" s="72">
        <f>(Tabella3[[#This Row],[Italy cumul. data]]-D93)</f>
        <v>1558</v>
      </c>
      <c r="F94" s="72">
        <f>Tabella3[[#This Row],[Italy remov. rate data]]*NOT(ISBLANK(Tabella3[[#This Row],[Italy remov. rate data]]))</f>
        <v>1558</v>
      </c>
      <c r="G94" s="77">
        <f>Tabella8[[#This Row],[Italy fit]]</f>
        <v>20288.067312499181</v>
      </c>
      <c r="H94" s="77">
        <f>Tabella3[[#This Row],[Italy cumul. fit]]/Kf</f>
        <v>9.0169188055551922E-2</v>
      </c>
      <c r="I94" s="77">
        <f>Tabella3[[#This Row],[region fit]]+Tabella3[[#This Row],[rest of Italy fit]]</f>
        <v>1598.4472639718369</v>
      </c>
      <c r="J94" s="77">
        <f>Tabella3[[#This Row],[Italy (fit of selected region + fitted sum of the other regions)]]/(y_l_peak+y_a_peak)</f>
        <v>0.53288848538601996</v>
      </c>
      <c r="K94" s="72">
        <f>IFERROR(Kf*psi_f*_xlfn.SECH(psi_f*(Tabella3[[#This Row],[Day]]-pf)-phi_f)^2/(1+TANH(phi_f)),0)</f>
        <v>1595.4377241086045</v>
      </c>
      <c r="L94" s="292">
        <f>Tabella3[[#This Row],[Italy remov. rate fit]]-Tabella3[[#This Row],[Italy remov. rate data]]</f>
        <v>37.437724108604471</v>
      </c>
      <c r="M94" s="293">
        <f>Tabella3[[#This Row],[rem. rate residuals]]*NOT(ISBLANK(Tabella3[[#This Row],[Italy remov. rate data]]))</f>
        <v>37.437724108604471</v>
      </c>
      <c r="N94" s="72">
        <f>Tabella3[[#This Row],[Italy remov. rate fit]]/y_f_peak</f>
        <v>0.53156344716777615</v>
      </c>
      <c r="O94" s="72">
        <f>Tabella3[[#This Row],[Italy (fit of selected region + fitted sum of the other regions)]]*NOT(ISBLANK(Tabella3[[#This Row],[Italy remov. rate data]]))</f>
        <v>1598.4472639718369</v>
      </c>
      <c r="P94" s="72">
        <f>Tabella3[[#This Row],[Italy remov. rate fit]]*NOT(ISBLANK(Tabella3[[#This Row],[Italy remov. rate data]]))</f>
        <v>1595.4377241086045</v>
      </c>
      <c r="Q94" s="72">
        <f>Tabella3[[#This Row],[Italy remov. rate fit]]+CIf</f>
        <v>3311.0525834431555</v>
      </c>
      <c r="R94" s="72">
        <f>MAX(Tabella3[[#This Row],[Italy remov. rate fit]]-CIf,0)</f>
        <v>0</v>
      </c>
      <c r="S94" s="4">
        <f>Tabella8[[#This Row],[region data]]</f>
        <v>636</v>
      </c>
      <c r="T94" s="72">
        <f>(Tabella3[[#This Row],[region cumul. data]]-S93)</f>
        <v>96</v>
      </c>
      <c r="U94" s="72">
        <f>Tabella3[[#This Row],[region data]]*NOT(ISBLANK(Tabella3[[#This Row],[region data]]))</f>
        <v>96</v>
      </c>
      <c r="V94">
        <f t="shared" si="1"/>
        <v>70.333333333333329</v>
      </c>
      <c r="W94" s="72">
        <f>Tabella3[[#This Row],[6-days moving avg]]*NOT(ISBLANK(Tabella3[[#This Row],[6-days moving avg]]))</f>
        <v>70.333333333333329</v>
      </c>
      <c r="X94" s="77">
        <f>Tabella8[[#This Row],[region fit]]</f>
        <v>642.95749754149949</v>
      </c>
      <c r="Y94" s="72">
        <f>Tabella3[[#This Row],[region cumul. fit]]/Kl</f>
        <v>7.1678650785005515E-2</v>
      </c>
      <c r="Z94" s="72">
        <f>IFERROR(Kl*psi_l*_xlfn.SECH(psi_l*(Tabella3[[#This Row],[Day]]-pl)-phi_l)^2/(1+TANH(phi_l)),0)</f>
        <v>69.437655398940805</v>
      </c>
      <c r="AA94" s="72">
        <f>Tabella3[[#This Row],[region fit]]/y_l_peak</f>
        <v>0.5039043517989541</v>
      </c>
      <c r="AB94" s="72">
        <f>Tabella3[[#This Row],[region fit]]*NOT(ISBLANK(Tabella3[[#This Row],[region data]]))</f>
        <v>69.437655398940805</v>
      </c>
      <c r="AC94" s="166">
        <f>IFERROR(kl_m*psi_l_m*_xlfn.SECH(psi_l_m*(Tabella3[[#This Row],[Day]]-pl_m)-phi_l_m)^2/(1+TANH(phi_l_m)),0)</f>
        <v>69.437655398940805</v>
      </c>
      <c r="AD94" s="72">
        <f>Tabella3[[#This Row],[6-days moving avg fit]]*NOT(ISBLANK(Tabella3[[#This Row],[6-days moving avg]]))</f>
        <v>69.437655398940805</v>
      </c>
      <c r="AE94" s="72">
        <f>Tabella3[[#This Row],[region fit]]+CIl</f>
        <v>123.20249580848926</v>
      </c>
      <c r="AF94" s="72">
        <f>MAX(Tabella3[[#This Row],[region fit]]-CIl,0)</f>
        <v>15.67281498939235</v>
      </c>
      <c r="AG94" s="10">
        <f>Tabella8[[#This Row],[rest of Italy ]]</f>
        <v>19448</v>
      </c>
      <c r="AH94" s="10">
        <f>(Tabella3[[#This Row],[rest of Italy cum. data]]-AG93)</f>
        <v>1462</v>
      </c>
      <c r="AI94" s="72">
        <f>Tabella3[[#This Row],[rest of Italy data]]*NOT(ISBLANK(Tabella3[[#This Row],[rest of Italy data]]))</f>
        <v>1462</v>
      </c>
      <c r="AJ94" s="77">
        <f>Tabella8[[#This Row],[rest of Italy fit]]</f>
        <v>19617.16821605487</v>
      </c>
      <c r="AK94" s="72">
        <f>Tabella3[[#This Row],[rest of Italy cumul. fit]]/Ka</f>
        <v>9.0807611054274262E-2</v>
      </c>
      <c r="AL94" s="72">
        <f>IFERROR(Ka*psi_a*_xlfn.SECH(psi_a*(Tabella3[[#This Row],[Day]]-pa)-phi_a)^2/(1+TANH(phi_a)),0)</f>
        <v>1529.0096085728962</v>
      </c>
      <c r="AM94" s="72">
        <f>Tabella3[[#This Row],[rest of Italy fit]]/y_a_peak</f>
        <v>0.53428411220748162</v>
      </c>
      <c r="AN94" s="72">
        <f>Tabella3[[#This Row],[rest of Italy fit]]*NOT(ISBLANK(Tabella3[[#This Row],[rest of Italy data]]))</f>
        <v>1529.0096085728962</v>
      </c>
      <c r="AO94" s="72">
        <f>Tabella3[[#This Row],[rest of Italy fit]]+CIa</f>
        <v>3223.5838034824792</v>
      </c>
      <c r="AP94" s="72">
        <f>MAX(Tabella3[[#This Row],[rest of Italy fit]]-CIa,0)</f>
        <v>0</v>
      </c>
      <c r="AR94"/>
      <c r="AS94"/>
    </row>
    <row r="95" spans="2:45" x14ac:dyDescent="0.3">
      <c r="B95" s="9">
        <v>43918</v>
      </c>
      <c r="C95" s="4">
        <v>88</v>
      </c>
      <c r="D95" s="72">
        <f>'dpc-covid19-ita-andamento-naz'!J35+'dpc-covid19-ita-andamento-naz'!K35</f>
        <v>22407</v>
      </c>
      <c r="E95" s="72">
        <f>(Tabella3[[#This Row],[Italy cumul. data]]-D94)</f>
        <v>2323</v>
      </c>
      <c r="F95" s="72">
        <f>Tabella3[[#This Row],[Italy remov. rate data]]*NOT(ISBLANK(Tabella3[[#This Row],[Italy remov. rate data]]))</f>
        <v>2323</v>
      </c>
      <c r="G95" s="77">
        <f>Tabella8[[#This Row],[Italy fit]]</f>
        <v>21910.600525673406</v>
      </c>
      <c r="H95" s="77">
        <f>Tabella3[[#This Row],[Italy cumul. fit]]/Kf</f>
        <v>9.7380446780770694E-2</v>
      </c>
      <c r="I95" s="77">
        <f>Tabella3[[#This Row],[region fit]]+Tabella3[[#This Row],[rest of Italy fit]]</f>
        <v>1652.7416924311465</v>
      </c>
      <c r="J95" s="77">
        <f>Tabella3[[#This Row],[Italy (fit of selected region + fitted sum of the other regions)]]/(y_l_peak+y_a_peak)</f>
        <v>0.55098909864909906</v>
      </c>
      <c r="K95" s="72">
        <f>IFERROR(Kf*psi_f*_xlfn.SECH(psi_f*(Tabella3[[#This Row],[Day]]-pf)-phi_f)^2/(1+TANH(phi_f)),0)</f>
        <v>1649.753439866882</v>
      </c>
      <c r="L95" s="292">
        <f>Tabella3[[#This Row],[Italy remov. rate fit]]-Tabella3[[#This Row],[Italy remov. rate data]]</f>
        <v>-673.24656013311801</v>
      </c>
      <c r="M95" s="293">
        <f>Tabella3[[#This Row],[rem. rate residuals]]*NOT(ISBLANK(Tabella3[[#This Row],[Italy remov. rate data]]))</f>
        <v>-673.24656013311801</v>
      </c>
      <c r="N95" s="72">
        <f>Tabella3[[#This Row],[Italy remov. rate fit]]/y_f_peak</f>
        <v>0.54966020435708385</v>
      </c>
      <c r="O95" s="72">
        <f>Tabella3[[#This Row],[Italy (fit of selected region + fitted sum of the other regions)]]*NOT(ISBLANK(Tabella3[[#This Row],[Italy remov. rate data]]))</f>
        <v>1652.7416924311465</v>
      </c>
      <c r="P95" s="72">
        <f>Tabella3[[#This Row],[Italy remov. rate fit]]*NOT(ISBLANK(Tabella3[[#This Row],[Italy remov. rate data]]))</f>
        <v>1649.753439866882</v>
      </c>
      <c r="Q95" s="72">
        <f>Tabella3[[#This Row],[Italy remov. rate fit]]+CIf</f>
        <v>3365.3682992014333</v>
      </c>
      <c r="R95" s="72">
        <f>MAX(Tabella3[[#This Row],[Italy remov. rate fit]]-CIf,0)</f>
        <v>0</v>
      </c>
      <c r="S95" s="4">
        <f>Tabella8[[#This Row],[region data]]</f>
        <v>736</v>
      </c>
      <c r="T95" s="72">
        <f>(Tabella3[[#This Row],[region cumul. data]]-S94)</f>
        <v>100</v>
      </c>
      <c r="U95" s="72">
        <f>Tabella3[[#This Row],[region data]]*NOT(ISBLANK(Tabella3[[#This Row],[region data]]))</f>
        <v>100</v>
      </c>
      <c r="V95">
        <f t="shared" si="1"/>
        <v>71</v>
      </c>
      <c r="W95" s="72">
        <f>Tabella3[[#This Row],[6-days moving avg]]*NOT(ISBLANK(Tabella3[[#This Row],[6-days moving avg]]))</f>
        <v>71</v>
      </c>
      <c r="X95" s="77">
        <f>Tabella8[[#This Row],[region fit]]</f>
        <v>713.7833511598343</v>
      </c>
      <c r="Y95" s="72">
        <f>Tabella3[[#This Row],[region cumul. fit]]/Kl</f>
        <v>7.9574509605332702E-2</v>
      </c>
      <c r="Z95" s="72">
        <f>IFERROR(Kl*psi_l*_xlfn.SECH(psi_l*(Tabella3[[#This Row],[Day]]-pl)-phi_l)^2/(1+TANH(phi_l)),0)</f>
        <v>72.222652303432596</v>
      </c>
      <c r="AA95" s="72">
        <f>Tabella3[[#This Row],[region fit]]/y_l_peak</f>
        <v>0.52411488528913641</v>
      </c>
      <c r="AB95" s="72">
        <f>Tabella3[[#This Row],[region fit]]*NOT(ISBLANK(Tabella3[[#This Row],[region data]]))</f>
        <v>72.222652303432596</v>
      </c>
      <c r="AC95" s="166">
        <f>IFERROR(kl_m*psi_l_m*_xlfn.SECH(psi_l_m*(Tabella3[[#This Row],[Day]]-pl_m)-phi_l_m)^2/(1+TANH(phi_l_m)),0)</f>
        <v>72.222652303432596</v>
      </c>
      <c r="AD95" s="72">
        <f>Tabella3[[#This Row],[6-days moving avg fit]]*NOT(ISBLANK(Tabella3[[#This Row],[6-days moving avg]]))</f>
        <v>72.222652303432596</v>
      </c>
      <c r="AE95" s="72">
        <f>Tabella3[[#This Row],[region fit]]+CIl</f>
        <v>125.98749271298105</v>
      </c>
      <c r="AF95" s="72">
        <f>MAX(Tabella3[[#This Row],[region fit]]-CIl,0)</f>
        <v>18.457811893884141</v>
      </c>
      <c r="AG95" s="10">
        <f>Tabella8[[#This Row],[rest of Italy ]]</f>
        <v>21671</v>
      </c>
      <c r="AH95" s="10">
        <f>(Tabella3[[#This Row],[rest of Italy cum. data]]-AG94)</f>
        <v>2223</v>
      </c>
      <c r="AI95" s="72">
        <f>Tabella3[[#This Row],[rest of Italy data]]*NOT(ISBLANK(Tabella3[[#This Row],[rest of Italy data]]))</f>
        <v>2223</v>
      </c>
      <c r="AJ95" s="77">
        <f>Tabella8[[#This Row],[rest of Italy fit]]</f>
        <v>21171.874908496229</v>
      </c>
      <c r="AK95" s="72">
        <f>Tabella3[[#This Row],[rest of Italy cumul. fit]]/Ka</f>
        <v>9.8004327679008602E-2</v>
      </c>
      <c r="AL95" s="72">
        <f>IFERROR(Ka*psi_a*_xlfn.SECH(psi_a*(Tabella3[[#This Row],[Day]]-pa)-phi_a)^2/(1+TANH(phi_a)),0)</f>
        <v>1580.5190401277139</v>
      </c>
      <c r="AM95" s="72">
        <f>Tabella3[[#This Row],[rest of Italy fit]]/y_a_peak</f>
        <v>0.55228312984234407</v>
      </c>
      <c r="AN95" s="72">
        <f>Tabella3[[#This Row],[rest of Italy fit]]*NOT(ISBLANK(Tabella3[[#This Row],[rest of Italy data]]))</f>
        <v>1580.5190401277139</v>
      </c>
      <c r="AO95" s="72">
        <f>Tabella3[[#This Row],[rest of Italy fit]]+CIa</f>
        <v>3275.0932350372968</v>
      </c>
      <c r="AP95" s="72">
        <f>MAX(Tabella3[[#This Row],[rest of Italy fit]]-CIa,0)</f>
        <v>0</v>
      </c>
      <c r="AR95"/>
      <c r="AS95"/>
    </row>
    <row r="96" spans="2:45" x14ac:dyDescent="0.3">
      <c r="B96" s="159">
        <v>43919</v>
      </c>
      <c r="C96" s="160">
        <v>89</v>
      </c>
      <c r="D96" s="72">
        <f>'dpc-covid19-ita-andamento-naz'!J36+'dpc-covid19-ita-andamento-naz'!K36</f>
        <v>23809</v>
      </c>
      <c r="E96" s="72">
        <f>(Tabella3[[#This Row],[Italy cumul. data]]-D95)</f>
        <v>1402</v>
      </c>
      <c r="F96" s="161">
        <f>Tabella3[[#This Row],[Italy remov. rate data]]*NOT(ISBLANK(Tabella3[[#This Row],[Italy remov. rate data]]))</f>
        <v>1402</v>
      </c>
      <c r="G96" s="162">
        <f>Tabella8[[#This Row],[Italy fit]]</f>
        <v>23587.809516367521</v>
      </c>
      <c r="H96" s="162">
        <f>Tabella3[[#This Row],[Italy cumul. fit]]/Kf</f>
        <v>0.10483470896163342</v>
      </c>
      <c r="I96" s="162">
        <f>Tabella3[[#This Row],[region fit]]+Tabella3[[#This Row],[rest of Italy fit]]</f>
        <v>1707.7363747902223</v>
      </c>
      <c r="J96" s="162">
        <f>Tabella3[[#This Row],[Italy (fit of selected region + fitted sum of the other regions)]]/(y_l_peak+y_a_peak)</f>
        <v>0.56932316174092312</v>
      </c>
      <c r="K96" s="72">
        <f>IFERROR(Kf*psi_f*_xlfn.SECH(psi_f*(Tabella3[[#This Row],[Day]]-pf)-phi_f)^2/(1+TANH(phi_f)),0)</f>
        <v>1704.7748477811501</v>
      </c>
      <c r="L96" s="292">
        <f>Tabella3[[#This Row],[Italy remov. rate fit]]-Tabella3[[#This Row],[Italy remov. rate data]]</f>
        <v>302.77484778115013</v>
      </c>
      <c r="M96" s="293">
        <f>Tabella3[[#This Row],[rem. rate residuals]]*NOT(ISBLANK(Tabella3[[#This Row],[Italy remov. rate data]]))</f>
        <v>302.77484778115013</v>
      </c>
      <c r="N96" s="161">
        <f>Tabella3[[#This Row],[Italy remov. rate fit]]/y_f_peak</f>
        <v>0.56799208207125396</v>
      </c>
      <c r="O96" s="161">
        <f>Tabella3[[#This Row],[Italy (fit of selected region + fitted sum of the other regions)]]*NOT(ISBLANK(Tabella3[[#This Row],[Italy remov. rate data]]))</f>
        <v>1707.7363747902223</v>
      </c>
      <c r="P96" s="161">
        <f>Tabella3[[#This Row],[Italy remov. rate fit]]*NOT(ISBLANK(Tabella3[[#This Row],[Italy remov. rate data]]))</f>
        <v>1704.7748477811501</v>
      </c>
      <c r="Q96" s="161">
        <f>Tabella3[[#This Row],[Italy remov. rate fit]]+CIf</f>
        <v>3420.3897071157016</v>
      </c>
      <c r="R96" s="161">
        <f>MAX(Tabella3[[#This Row],[Italy remov. rate fit]]-CIf,0)</f>
        <v>0</v>
      </c>
      <c r="S96" s="160">
        <f>Tabella8[[#This Row],[region data]]</f>
        <v>797</v>
      </c>
      <c r="T96" s="161">
        <f>(Tabella3[[#This Row],[region cumul. data]]-S95)</f>
        <v>61</v>
      </c>
      <c r="U96" s="161">
        <f>Tabella3[[#This Row],[region data]]*NOT(ISBLANK(Tabella3[[#This Row],[region data]]))</f>
        <v>61</v>
      </c>
      <c r="V96">
        <f t="shared" si="1"/>
        <v>68.333333333333329</v>
      </c>
      <c r="W96" s="72">
        <f>Tabella3[[#This Row],[6-days moving avg]]*NOT(ISBLANK(Tabella3[[#This Row],[6-days moving avg]]))</f>
        <v>68.333333333333329</v>
      </c>
      <c r="X96" s="162">
        <f>Tabella8[[#This Row],[region fit]]</f>
        <v>787.41917105948437</v>
      </c>
      <c r="Y96" s="161">
        <f>Tabella3[[#This Row],[region cumul. fit]]/Kl</f>
        <v>8.7783631110310414E-2</v>
      </c>
      <c r="Z96" s="72">
        <f>IFERROR(Kl*psi_l*_xlfn.SECH(psi_l*(Tabella3[[#This Row],[Day]]-pl)-phi_l)^2/(1+TANH(phi_l)),0)</f>
        <v>75.056734727929353</v>
      </c>
      <c r="AA96" s="161">
        <f>Tabella3[[#This Row],[region fit]]/y_l_peak</f>
        <v>0.54468162906606743</v>
      </c>
      <c r="AB96" s="161">
        <f>Tabella3[[#This Row],[region fit]]*NOT(ISBLANK(Tabella3[[#This Row],[region data]]))</f>
        <v>75.056734727929353</v>
      </c>
      <c r="AC96" s="166">
        <f>IFERROR(kl_m*psi_l_m*_xlfn.SECH(psi_l_m*(Tabella3[[#This Row],[Day]]-pl_m)-phi_l_m)^2/(1+TANH(phi_l_m)),0)</f>
        <v>75.056734727929353</v>
      </c>
      <c r="AD96" s="72">
        <f>Tabella3[[#This Row],[6-days moving avg fit]]*NOT(ISBLANK(Tabella3[[#This Row],[6-days moving avg]]))</f>
        <v>75.056734727929353</v>
      </c>
      <c r="AE96" s="161">
        <f>Tabella3[[#This Row],[region fit]]+CIl</f>
        <v>128.82157513747779</v>
      </c>
      <c r="AF96" s="161">
        <f>MAX(Tabella3[[#This Row],[region fit]]-CIl,0)</f>
        <v>21.291894318380898</v>
      </c>
      <c r="AG96" s="163">
        <f>Tabella8[[#This Row],[rest of Italy ]]</f>
        <v>23012</v>
      </c>
      <c r="AH96" s="163">
        <f>(Tabella3[[#This Row],[rest of Italy cum. data]]-AG95)</f>
        <v>1341</v>
      </c>
      <c r="AI96" s="161">
        <f>Tabella3[[#This Row],[rest of Italy data]]*NOT(ISBLANK(Tabella3[[#This Row],[rest of Italy data]]))</f>
        <v>1341</v>
      </c>
      <c r="AJ96" s="162">
        <f>Tabella8[[#This Row],[rest of Italy fit]]</f>
        <v>22778.423439108195</v>
      </c>
      <c r="AK96" s="161">
        <f>Tabella3[[#This Row],[rest of Italy cumul. fit]]/Ka</f>
        <v>0.10544101948390591</v>
      </c>
      <c r="AL96" s="72">
        <f>IFERROR(Ka*psi_a*_xlfn.SECH(psi_a*(Tabella3[[#This Row],[Day]]-pa)-phi_a)^2/(1+TANH(phi_a)),0)</f>
        <v>1632.6796400622929</v>
      </c>
      <c r="AM96" s="161">
        <f>Tabella3[[#This Row],[rest of Italy fit]]/y_a_peak</f>
        <v>0.57050968621713849</v>
      </c>
      <c r="AN96" s="161">
        <f>Tabella3[[#This Row],[rest of Italy fit]]*NOT(ISBLANK(Tabella3[[#This Row],[rest of Italy data]]))</f>
        <v>1632.6796400622929</v>
      </c>
      <c r="AO96" s="161">
        <f>Tabella3[[#This Row],[rest of Italy fit]]+CIa</f>
        <v>3327.2538349718757</v>
      </c>
      <c r="AP96" s="161">
        <f>MAX(Tabella3[[#This Row],[rest of Italy fit]]-CIa,0)</f>
        <v>0</v>
      </c>
      <c r="AR96"/>
      <c r="AS96"/>
    </row>
    <row r="97" spans="2:45" x14ac:dyDescent="0.3">
      <c r="B97" s="9">
        <v>43920</v>
      </c>
      <c r="C97" s="4">
        <v>90</v>
      </c>
      <c r="D97" s="72">
        <f>'dpc-covid19-ita-andamento-naz'!J37+'dpc-covid19-ita-andamento-naz'!K37</f>
        <v>26211</v>
      </c>
      <c r="E97" s="72">
        <f>(Tabella3[[#This Row],[Italy cumul. data]]-D96)</f>
        <v>2402</v>
      </c>
      <c r="F97" s="72">
        <f>Tabella3[[#This Row],[Italy remov. rate data]]*NOT(ISBLANK(Tabella3[[#This Row],[Italy remov. rate data]]))</f>
        <v>2402</v>
      </c>
      <c r="G97" s="77">
        <f>Tabella8[[#This Row],[Italy fit]]</f>
        <v>25320.355274959162</v>
      </c>
      <c r="H97" s="77">
        <f>Tabella3[[#This Row],[Italy cumul. fit]]/Kf</f>
        <v>0.11253491233315183</v>
      </c>
      <c r="I97" s="77">
        <f>Tabella3[[#This Row],[region fit]]+Tabella3[[#This Row],[rest of Italy fit]]</f>
        <v>1763.3400809720029</v>
      </c>
      <c r="J97" s="77">
        <f>Tabella3[[#This Row],[Italy (fit of selected region + fitted sum of the other regions)]]/(y_l_peak+y_a_peak)</f>
        <v>0.58786026048475781</v>
      </c>
      <c r="K97" s="72">
        <f>IFERROR(Kf*psi_f*_xlfn.SECH(psi_f*(Tabella3[[#This Row],[Day]]-pf)-phi_f)^2/(1+TANH(phi_f)),0)</f>
        <v>1760.411132751115</v>
      </c>
      <c r="L97" s="292">
        <f>Tabella3[[#This Row],[Italy remov. rate fit]]-Tabella3[[#This Row],[Italy remov. rate data]]</f>
        <v>-641.58886724888498</v>
      </c>
      <c r="M97" s="293">
        <f>Tabella3[[#This Row],[rem. rate residuals]]*NOT(ISBLANK(Tabella3[[#This Row],[Italy remov. rate data]]))</f>
        <v>-641.58886724888498</v>
      </c>
      <c r="N97" s="72">
        <f>Tabella3[[#This Row],[Italy remov. rate fit]]/y_f_peak</f>
        <v>0.58652882279096263</v>
      </c>
      <c r="O97" s="72">
        <f>Tabella3[[#This Row],[Italy (fit of selected region + fitted sum of the other regions)]]*NOT(ISBLANK(Tabella3[[#This Row],[Italy remov. rate data]]))</f>
        <v>1763.3400809720029</v>
      </c>
      <c r="P97" s="72">
        <f>Tabella3[[#This Row],[Italy remov. rate fit]]*NOT(ISBLANK(Tabella3[[#This Row],[Italy remov. rate data]]))</f>
        <v>1760.411132751115</v>
      </c>
      <c r="Q97" s="72">
        <f>Tabella3[[#This Row],[Italy remov. rate fit]]+CIf</f>
        <v>3476.0259920856661</v>
      </c>
      <c r="R97" s="72">
        <f>MAX(Tabella3[[#This Row],[Italy remov. rate fit]]-CIf,0)</f>
        <v>44.796273416563736</v>
      </c>
      <c r="S97" s="4">
        <f>Tabella8[[#This Row],[region data]]</f>
        <v>834</v>
      </c>
      <c r="T97" s="72">
        <f>(Tabella3[[#This Row],[region cumul. data]]-S96)</f>
        <v>37</v>
      </c>
      <c r="U97" s="72">
        <f>Tabella3[[#This Row],[region data]]*NOT(ISBLANK(Tabella3[[#This Row],[region data]]))</f>
        <v>37</v>
      </c>
      <c r="V97">
        <f t="shared" si="1"/>
        <v>71.5</v>
      </c>
      <c r="W97" s="72">
        <f>Tabella3[[#This Row],[6-days moving avg]]*NOT(ISBLANK(Tabella3[[#This Row],[6-days moving avg]]))</f>
        <v>71.5</v>
      </c>
      <c r="X97" s="77">
        <f>Tabella8[[#This Row],[region fit]]</f>
        <v>863.9113760946401</v>
      </c>
      <c r="Y97" s="72">
        <f>Tabella3[[#This Row],[region cumul. fit]]/Kl</f>
        <v>9.6311190200071367E-2</v>
      </c>
      <c r="Z97" s="72">
        <f>IFERROR(Kl*psi_l*_xlfn.SECH(psi_l*(Tabella3[[#This Row],[Day]]-pl)-phi_l)^2/(1+TANH(phi_l)),0)</f>
        <v>77.934461813330699</v>
      </c>
      <c r="AA97" s="72">
        <f>Tabella3[[#This Row],[region fit]]/y_l_peak</f>
        <v>0.56556509918458142</v>
      </c>
      <c r="AB97" s="72">
        <f>Tabella3[[#This Row],[region fit]]*NOT(ISBLANK(Tabella3[[#This Row],[region data]]))</f>
        <v>77.934461813330699</v>
      </c>
      <c r="AC97" s="166">
        <f>IFERROR(kl_m*psi_l_m*_xlfn.SECH(psi_l_m*(Tabella3[[#This Row],[Day]]-pl_m)-phi_l_m)^2/(1+TANH(phi_l_m)),0)</f>
        <v>77.934461813330699</v>
      </c>
      <c r="AD97" s="72">
        <f>Tabella3[[#This Row],[6-days moving avg fit]]*NOT(ISBLANK(Tabella3[[#This Row],[6-days moving avg]]))</f>
        <v>77.934461813330699</v>
      </c>
      <c r="AE97" s="72">
        <f>Tabella3[[#This Row],[region fit]]+CIl</f>
        <v>131.69930222287917</v>
      </c>
      <c r="AF97" s="72">
        <f>MAX(Tabella3[[#This Row],[region fit]]-CIl,0)</f>
        <v>24.169621403782244</v>
      </c>
      <c r="AG97" s="10">
        <f>Tabella8[[#This Row],[rest of Italy ]]</f>
        <v>25377</v>
      </c>
      <c r="AH97" s="10">
        <f>(Tabella3[[#This Row],[rest of Italy cum. data]]-AG96)</f>
        <v>2365</v>
      </c>
      <c r="AI97" s="72">
        <f>Tabella3[[#This Row],[rest of Italy data]]*NOT(ISBLANK(Tabella3[[#This Row],[rest of Italy data]]))</f>
        <v>2365</v>
      </c>
      <c r="AJ97" s="77">
        <f>Tabella8[[#This Row],[rest of Italy fit]]</f>
        <v>24437.422736111159</v>
      </c>
      <c r="AK97" s="72">
        <f>Tabella3[[#This Row],[rest of Italy cumul. fit]]/Ka</f>
        <v>0.11312050518960866</v>
      </c>
      <c r="AL97" s="72">
        <f>IFERROR(Ka*psi_a*_xlfn.SECH(psi_a*(Tabella3[[#This Row],[Day]]-pa)-phi_a)^2/(1+TANH(phi_a)),0)</f>
        <v>1685.4056191586722</v>
      </c>
      <c r="AM97" s="72">
        <f>Tabella3[[#This Row],[rest of Italy fit]]/y_a_peak</f>
        <v>0.58893380387724426</v>
      </c>
      <c r="AN97" s="72">
        <f>Tabella3[[#This Row],[rest of Italy fit]]*NOT(ISBLANK(Tabella3[[#This Row],[rest of Italy data]]))</f>
        <v>1685.4056191586722</v>
      </c>
      <c r="AO97" s="72">
        <f>Tabella3[[#This Row],[rest of Italy fit]]+CIa</f>
        <v>3379.9798140682551</v>
      </c>
      <c r="AP97" s="72">
        <f>MAX(Tabella3[[#This Row],[rest of Italy fit]]-CIa,0)</f>
        <v>0</v>
      </c>
      <c r="AR97"/>
      <c r="AS97"/>
    </row>
    <row r="98" spans="2:45" x14ac:dyDescent="0.3">
      <c r="B98" s="9">
        <v>43921</v>
      </c>
      <c r="C98" s="4">
        <v>91</v>
      </c>
      <c r="D98" s="72">
        <f>'dpc-covid19-ita-andamento-naz'!J38+'dpc-covid19-ita-andamento-naz'!K38</f>
        <v>28157</v>
      </c>
      <c r="E98" s="72">
        <f>(Tabella3[[#This Row],[Italy cumul. data]]-D97)</f>
        <v>1946</v>
      </c>
      <c r="F98" s="72">
        <f>Tabella3[[#This Row],[Italy remov. rate data]]*NOT(ISBLANK(Tabella3[[#This Row],[Italy remov. rate data]]))</f>
        <v>1946</v>
      </c>
      <c r="G98" s="77">
        <f>Tabella8[[#This Row],[Italy fit]]</f>
        <v>27108.803725840477</v>
      </c>
      <c r="H98" s="77">
        <f>Tabella3[[#This Row],[Italy cumul. fit]]/Kf</f>
        <v>0.12048357211484656</v>
      </c>
      <c r="I98" s="77">
        <f>Tabella3[[#This Row],[region fit]]+Tabella3[[#This Row],[rest of Italy fit]]</f>
        <v>1819.4530359652488</v>
      </c>
      <c r="J98" s="77">
        <f>Tabella3[[#This Row],[Italy (fit of selected region + fitted sum of the other regions)]]/(y_l_peak+y_a_peak)</f>
        <v>0.60656713200367429</v>
      </c>
      <c r="K98" s="72">
        <f>IFERROR(Kf*psi_f*_xlfn.SECH(psi_f*(Tabella3[[#This Row],[Day]]-pf)-phi_f)^2/(1+TANH(phi_f)),0)</f>
        <v>1816.5629637575578</v>
      </c>
      <c r="L98" s="292">
        <f>Tabella3[[#This Row],[Italy remov. rate fit]]-Tabella3[[#This Row],[Italy remov. rate data]]</f>
        <v>-129.43703624244222</v>
      </c>
      <c r="M98" s="293">
        <f>Tabella3[[#This Row],[rem. rate residuals]]*NOT(ISBLANK(Tabella3[[#This Row],[Italy remov. rate data]]))</f>
        <v>-129.43703624244222</v>
      </c>
      <c r="N98" s="72">
        <f>Tabella3[[#This Row],[Italy remov. rate fit]]/y_f_peak</f>
        <v>0.60523733168700478</v>
      </c>
      <c r="O98" s="72">
        <f>Tabella3[[#This Row],[Italy (fit of selected region + fitted sum of the other regions)]]*NOT(ISBLANK(Tabella3[[#This Row],[Italy remov. rate data]]))</f>
        <v>1819.4530359652488</v>
      </c>
      <c r="P98" s="72">
        <f>Tabella3[[#This Row],[Italy remov. rate fit]]*NOT(ISBLANK(Tabella3[[#This Row],[Italy remov. rate data]]))</f>
        <v>1816.5629637575578</v>
      </c>
      <c r="Q98" s="72">
        <f>Tabella3[[#This Row],[Italy remov. rate fit]]+CIf</f>
        <v>3532.1778230921091</v>
      </c>
      <c r="R98" s="72">
        <f>MAX(Tabella3[[#This Row],[Italy remov. rate fit]]-CIf,0)</f>
        <v>100.9481044230065</v>
      </c>
      <c r="S98" s="4">
        <f>Tabella8[[#This Row],[region data]]</f>
        <v>908</v>
      </c>
      <c r="T98" s="72">
        <f>(Tabella3[[#This Row],[region cumul. data]]-S97)</f>
        <v>74</v>
      </c>
      <c r="U98" s="72">
        <f>Tabella3[[#This Row],[region data]]*NOT(ISBLANK(Tabella3[[#This Row],[region data]]))</f>
        <v>74</v>
      </c>
      <c r="V98">
        <f t="shared" si="1"/>
        <v>79.166666666666671</v>
      </c>
      <c r="W98" s="72">
        <f>Tabella3[[#This Row],[6-days moving avg]]*NOT(ISBLANK(Tabella3[[#This Row],[6-days moving avg]]))</f>
        <v>79.166666666666671</v>
      </c>
      <c r="X98" s="77">
        <f>Tabella8[[#This Row],[region fit]]</f>
        <v>943.30061913025622</v>
      </c>
      <c r="Y98" s="72">
        <f>Tabella3[[#This Row],[region cumul. fit]]/Kl</f>
        <v>0.10516171896658374</v>
      </c>
      <c r="Z98" s="72">
        <f>IFERROR(Kl*psi_l*_xlfn.SECH(psi_l*(Tabella3[[#This Row],[Day]]-pl)-phi_l)^2/(1+TANH(phi_l)),0)</f>
        <v>80.849740075400007</v>
      </c>
      <c r="AA98" s="72">
        <f>Tabella3[[#This Row],[region fit]]/y_l_peak</f>
        <v>0.58672107564319942</v>
      </c>
      <c r="AB98" s="72">
        <f>Tabella3[[#This Row],[region fit]]*NOT(ISBLANK(Tabella3[[#This Row],[region data]]))</f>
        <v>80.849740075400007</v>
      </c>
      <c r="AC98" s="166">
        <f>IFERROR(kl_m*psi_l_m*_xlfn.SECH(psi_l_m*(Tabella3[[#This Row],[Day]]-pl_m)-phi_l_m)^2/(1+TANH(phi_l_m)),0)</f>
        <v>80.849740075400007</v>
      </c>
      <c r="AD98" s="72">
        <f>Tabella3[[#This Row],[6-days moving avg fit]]*NOT(ISBLANK(Tabella3[[#This Row],[6-days moving avg]]))</f>
        <v>80.849740075400007</v>
      </c>
      <c r="AE98" s="72">
        <f>Tabella3[[#This Row],[region fit]]+CIl</f>
        <v>134.61458048494848</v>
      </c>
      <c r="AF98" s="72">
        <f>MAX(Tabella3[[#This Row],[region fit]]-CIl,0)</f>
        <v>27.084899665851552</v>
      </c>
      <c r="AG98" s="10">
        <f>Tabella8[[#This Row],[rest of Italy ]]</f>
        <v>27249</v>
      </c>
      <c r="AH98" s="10">
        <f>(Tabella3[[#This Row],[rest of Italy cum. data]]-AG97)</f>
        <v>1872</v>
      </c>
      <c r="AI98" s="72">
        <f>Tabella3[[#This Row],[rest of Italy data]]*NOT(ISBLANK(Tabella3[[#This Row],[rest of Italy data]]))</f>
        <v>1872</v>
      </c>
      <c r="AJ98" s="77">
        <f>Tabella8[[#This Row],[rest of Italy fit]]</f>
        <v>26149.391998188425</v>
      </c>
      <c r="AK98" s="72">
        <f>Tabella3[[#This Row],[rest of Italy cumul. fit]]/Ka</f>
        <v>0.1210451881599242</v>
      </c>
      <c r="AL98" s="72">
        <f>IFERROR(Ka*psi_a*_xlfn.SECH(psi_a*(Tabella3[[#This Row],[Day]]-pa)-phi_a)^2/(1+TANH(phi_a)),0)</f>
        <v>1738.6032958898488</v>
      </c>
      <c r="AM98" s="72">
        <f>Tabella3[[#This Row],[rest of Italy fit]]/y_a_peak</f>
        <v>0.60752274754669944</v>
      </c>
      <c r="AN98" s="72">
        <f>Tabella3[[#This Row],[rest of Italy fit]]*NOT(ISBLANK(Tabella3[[#This Row],[rest of Italy data]]))</f>
        <v>1738.6032958898488</v>
      </c>
      <c r="AO98" s="72">
        <f>Tabella3[[#This Row],[rest of Italy fit]]+CIa</f>
        <v>3433.1774907994313</v>
      </c>
      <c r="AP98" s="72">
        <f>MAX(Tabella3[[#This Row],[rest of Italy fit]]-CIa,0)</f>
        <v>44.029100980266094</v>
      </c>
      <c r="AR98"/>
      <c r="AS98"/>
    </row>
    <row r="99" spans="2:45" x14ac:dyDescent="0.3">
      <c r="B99" s="9">
        <v>43922</v>
      </c>
      <c r="C99" s="4">
        <v>92</v>
      </c>
      <c r="D99" s="72">
        <f>'dpc-covid19-ita-andamento-naz'!J39+'dpc-covid19-ita-andamento-naz'!K39</f>
        <v>30002</v>
      </c>
      <c r="E99" s="72">
        <f>(Tabella3[[#This Row],[Italy cumul. data]]-D98)</f>
        <v>1845</v>
      </c>
      <c r="F99" s="72">
        <f>Tabella3[[#This Row],[Italy remov. rate data]]*NOT(ISBLANK(Tabella3[[#This Row],[Italy remov. rate data]]))</f>
        <v>1845</v>
      </c>
      <c r="G99" s="77">
        <f>Tabella8[[#This Row],[Italy fit]]</f>
        <v>28953.617179946959</v>
      </c>
      <c r="H99" s="77">
        <f>Tabella3[[#This Row],[Italy cumul. fit]]/Kf</f>
        <v>0.12868274302198648</v>
      </c>
      <c r="I99" s="77">
        <f>Tabella3[[#This Row],[region fit]]+Tabella3[[#This Row],[rest of Italy fit]]</f>
        <v>1875.9668689736734</v>
      </c>
      <c r="J99" s="77">
        <f>Tabella3[[#This Row],[Italy (fit of selected region + fitted sum of the other regions)]]/(y_l_peak+y_a_peak)</f>
        <v>0.62540764776794566</v>
      </c>
      <c r="K99" s="72">
        <f>IFERROR(Kf*psi_f*_xlfn.SECH(psi_f*(Tabella3[[#This Row],[Day]]-pf)-phi_f)^2/(1+TANH(phi_f)),0)</f>
        <v>1873.1224418926947</v>
      </c>
      <c r="L99" s="292">
        <f>Tabella3[[#This Row],[Italy remov. rate fit]]-Tabella3[[#This Row],[Italy remov. rate data]]</f>
        <v>28.122441892694724</v>
      </c>
      <c r="M99" s="293">
        <f>Tabella3[[#This Row],[rem. rate residuals]]*NOT(ISBLANK(Tabella3[[#This Row],[Italy remov. rate data]]))</f>
        <v>28.122441892694724</v>
      </c>
      <c r="N99" s="72">
        <f>Tabella3[[#This Row],[Italy remov. rate fit]]/y_f_peak</f>
        <v>0.62408165930519599</v>
      </c>
      <c r="O99" s="72">
        <f>Tabella3[[#This Row],[Italy (fit of selected region + fitted sum of the other regions)]]*NOT(ISBLANK(Tabella3[[#This Row],[Italy remov. rate data]]))</f>
        <v>1875.9668689736734</v>
      </c>
      <c r="P99" s="72">
        <f>Tabella3[[#This Row],[Italy remov. rate fit]]*NOT(ISBLANK(Tabella3[[#This Row],[Italy remov. rate data]]))</f>
        <v>1873.1224418926947</v>
      </c>
      <c r="Q99" s="72">
        <f>Tabella3[[#This Row],[Italy remov. rate fit]]+CIf</f>
        <v>3588.737301227246</v>
      </c>
      <c r="R99" s="72">
        <f>MAX(Tabella3[[#This Row],[Italy remov. rate fit]]-CIf,0)</f>
        <v>157.50758255814344</v>
      </c>
      <c r="S99" s="4">
        <f>Tabella8[[#This Row],[region data]]</f>
        <v>1015</v>
      </c>
      <c r="T99" s="72">
        <f>(Tabella3[[#This Row],[region cumul. data]]-S98)</f>
        <v>107</v>
      </c>
      <c r="U99" s="72">
        <f>Tabella3[[#This Row],[region data]]*NOT(ISBLANK(Tabella3[[#This Row],[region data]]))</f>
        <v>107</v>
      </c>
      <c r="V99">
        <f t="shared" si="1"/>
        <v>81</v>
      </c>
      <c r="W99" s="72">
        <f>Tabella3[[#This Row],[6-days moving avg]]*NOT(ISBLANK(Tabella3[[#This Row],[6-days moving avg]]))</f>
        <v>81</v>
      </c>
      <c r="X99" s="77">
        <f>Tabella8[[#This Row],[region fit]]</f>
        <v>1025.6211282791292</v>
      </c>
      <c r="Y99" s="72">
        <f>Tabella3[[#This Row],[region cumul. fit]]/Kl</f>
        <v>0.11433903325296869</v>
      </c>
      <c r="Z99" s="72">
        <f>IFERROR(Kl*psi_l*_xlfn.SECH(psi_l*(Tabella3[[#This Row],[Day]]-pl)-phi_l)^2/(1+TANH(phi_l)),0)</f>
        <v>83.795812114364338</v>
      </c>
      <c r="AA99" s="72">
        <f>Tabella3[[#This Row],[region fit]]/y_l_peak</f>
        <v>0.60810052045046159</v>
      </c>
      <c r="AB99" s="72">
        <f>Tabella3[[#This Row],[region fit]]*NOT(ISBLANK(Tabella3[[#This Row],[region data]]))</f>
        <v>83.795812114364338</v>
      </c>
      <c r="AC99" s="166">
        <f>IFERROR(kl_m*psi_l_m*_xlfn.SECH(psi_l_m*(Tabella3[[#This Row],[Day]]-pl_m)-phi_l_m)^2/(1+TANH(phi_l_m)),0)</f>
        <v>83.795812114364338</v>
      </c>
      <c r="AD99" s="72">
        <f>Tabella3[[#This Row],[6-days moving avg fit]]*NOT(ISBLANK(Tabella3[[#This Row],[6-days moving avg]]))</f>
        <v>83.795812114364338</v>
      </c>
      <c r="AE99" s="72">
        <f>Tabella3[[#This Row],[region fit]]+CIl</f>
        <v>137.56065252391278</v>
      </c>
      <c r="AF99" s="72">
        <f>MAX(Tabella3[[#This Row],[region fit]]-CIl,0)</f>
        <v>30.030971704815883</v>
      </c>
      <c r="AG99" s="10">
        <f>Tabella8[[#This Row],[rest of Italy ]]</f>
        <v>28987</v>
      </c>
      <c r="AH99" s="10">
        <f>(Tabella3[[#This Row],[rest of Italy cum. data]]-AG98)</f>
        <v>1738</v>
      </c>
      <c r="AI99" s="72">
        <f>Tabella3[[#This Row],[rest of Italy data]]*NOT(ISBLANK(Tabella3[[#This Row],[rest of Italy data]]))</f>
        <v>1738</v>
      </c>
      <c r="AJ99" s="77">
        <f>Tabella8[[#This Row],[rest of Italy fit]]</f>
        <v>27914.752777246871</v>
      </c>
      <c r="AK99" s="72">
        <f>Tabella3[[#This Row],[rest of Italy cumul. fit]]/Ka</f>
        <v>0.12921701975302907</v>
      </c>
      <c r="AL99" s="72">
        <f>IFERROR(Ka*psi_a*_xlfn.SECH(psi_a*(Tabella3[[#This Row],[Day]]-pa)-phi_a)^2/(1+TANH(phi_a)),0)</f>
        <v>1792.1710568593091</v>
      </c>
      <c r="AM99" s="72">
        <f>Tabella3[[#This Row],[rest of Italy fit]]/y_a_peak</f>
        <v>0.62624101030452706</v>
      </c>
      <c r="AN99" s="72">
        <f>Tabella3[[#This Row],[rest of Italy fit]]*NOT(ISBLANK(Tabella3[[#This Row],[rest of Italy data]]))</f>
        <v>1792.1710568593091</v>
      </c>
      <c r="AO99" s="72">
        <f>Tabella3[[#This Row],[rest of Italy fit]]+CIa</f>
        <v>3486.7452517688916</v>
      </c>
      <c r="AP99" s="72">
        <f>MAX(Tabella3[[#This Row],[rest of Italy fit]]-CIa,0)</f>
        <v>97.596861949726417</v>
      </c>
      <c r="AR99"/>
      <c r="AS99"/>
    </row>
    <row r="100" spans="2:45" x14ac:dyDescent="0.3">
      <c r="B100" s="9">
        <v>43923</v>
      </c>
      <c r="C100" s="4">
        <v>93</v>
      </c>
      <c r="D100" s="72">
        <f>'dpc-covid19-ita-andamento-naz'!J40+'dpc-covid19-ita-andamento-naz'!K40</f>
        <v>32193</v>
      </c>
      <c r="E100" s="72">
        <f>(Tabella3[[#This Row],[Italy cumul. data]]-D99)</f>
        <v>2191</v>
      </c>
      <c r="F100" s="72">
        <f>Tabella3[[#This Row],[Italy remov. rate data]]*NOT(ISBLANK(Tabella3[[#This Row],[Italy remov. rate data]]))</f>
        <v>2191</v>
      </c>
      <c r="G100" s="77">
        <f>Tabella8[[#This Row],[Italy fit]]</f>
        <v>30855.145769920447</v>
      </c>
      <c r="H100" s="77">
        <f>Tabella3[[#This Row],[Italy cumul. fit]]/Kf</f>
        <v>0.13713398119964643</v>
      </c>
      <c r="I100" s="77">
        <f>Tabella3[[#This Row],[region fit]]+Tabella3[[#This Row],[rest of Italy fit]]</f>
        <v>1932.7646339394898</v>
      </c>
      <c r="J100" s="77">
        <f>Tabella3[[#This Row],[Italy (fit of selected region + fitted sum of the other regions)]]/(y_l_peak+y_a_peak)</f>
        <v>0.64434282043716318</v>
      </c>
      <c r="K100" s="72">
        <f>IFERROR(Kf*psi_f*_xlfn.SECH(psi_f*(Tabella3[[#This Row],[Day]]-pf)-phi_f)^2/(1+TANH(phi_f)),0)</f>
        <v>1929.9731187905627</v>
      </c>
      <c r="L100" s="292">
        <f>Tabella3[[#This Row],[Italy remov. rate fit]]-Tabella3[[#This Row],[Italy remov. rate data]]</f>
        <v>-261.02688120943731</v>
      </c>
      <c r="M100" s="293">
        <f>Tabella3[[#This Row],[rem. rate residuals]]*NOT(ISBLANK(Tabella3[[#This Row],[Italy remov. rate data]]))</f>
        <v>-261.02688120943731</v>
      </c>
      <c r="N100" s="72">
        <f>Tabella3[[#This Row],[Italy remov. rate fit]]/y_f_peak</f>
        <v>0.64302300770695597</v>
      </c>
      <c r="O100" s="72">
        <f>Tabella3[[#This Row],[Italy (fit of selected region + fitted sum of the other regions)]]*NOT(ISBLANK(Tabella3[[#This Row],[Italy remov. rate data]]))</f>
        <v>1932.7646339394898</v>
      </c>
      <c r="P100" s="72">
        <f>Tabella3[[#This Row],[Italy remov. rate fit]]*NOT(ISBLANK(Tabella3[[#This Row],[Italy remov. rate data]]))</f>
        <v>1929.9731187905627</v>
      </c>
      <c r="Q100" s="72">
        <f>Tabella3[[#This Row],[Italy remov. rate fit]]+CIf</f>
        <v>3645.5879781251142</v>
      </c>
      <c r="R100" s="72">
        <f>MAX(Tabella3[[#This Row],[Italy remov. rate fit]]-CIf,0)</f>
        <v>214.35825945601141</v>
      </c>
      <c r="S100" s="4">
        <f>Tabella8[[#This Row],[region data]]</f>
        <v>1122</v>
      </c>
      <c r="T100" s="72">
        <f>(Tabella3[[#This Row],[region cumul. data]]-S99)</f>
        <v>107</v>
      </c>
      <c r="U100" s="72">
        <f>Tabella3[[#This Row],[region data]]*NOT(ISBLANK(Tabella3[[#This Row],[region data]]))</f>
        <v>107</v>
      </c>
      <c r="V100">
        <f t="shared" si="1"/>
        <v>80.5</v>
      </c>
      <c r="W100" s="72">
        <f>Tabella3[[#This Row],[6-days moving avg]]*NOT(ISBLANK(Tabella3[[#This Row],[6-days moving avg]]))</f>
        <v>80.5</v>
      </c>
      <c r="X100" s="77">
        <f>Tabella8[[#This Row],[region fit]]</f>
        <v>1110.9000399457316</v>
      </c>
      <c r="Y100" s="72">
        <f>Tabella3[[#This Row],[region cumul. fit]]/Kl</f>
        <v>0.12384615829941266</v>
      </c>
      <c r="Z100" s="72">
        <f>IFERROR(Kl*psi_l*_xlfn.SECH(psi_l*(Tabella3[[#This Row],[Day]]-pl)-phi_l)^2/(1+TANH(phi_l)),0)</f>
        <v>86.765251660229168</v>
      </c>
      <c r="AA100" s="72">
        <f>Tabella3[[#This Row],[region fit]]/y_l_peak</f>
        <v>0.62964954166911324</v>
      </c>
      <c r="AB100" s="72">
        <f>Tabella3[[#This Row],[region fit]]*NOT(ISBLANK(Tabella3[[#This Row],[region data]]))</f>
        <v>86.765251660229168</v>
      </c>
      <c r="AC100" s="166">
        <f>IFERROR(kl_m*psi_l_m*_xlfn.SECH(psi_l_m*(Tabella3[[#This Row],[Day]]-pl_m)-phi_l_m)^2/(1+TANH(phi_l_m)),0)</f>
        <v>86.765251660229168</v>
      </c>
      <c r="AD100" s="72">
        <f>Tabella3[[#This Row],[6-days moving avg fit]]*NOT(ISBLANK(Tabella3[[#This Row],[6-days moving avg]]))</f>
        <v>86.765251660229168</v>
      </c>
      <c r="AE100" s="72">
        <f>Tabella3[[#This Row],[region fit]]+CIl</f>
        <v>140.53009206977762</v>
      </c>
      <c r="AF100" s="72">
        <f>MAX(Tabella3[[#This Row],[region fit]]-CIl,0)</f>
        <v>33.000411250680713</v>
      </c>
      <c r="AG100" s="10">
        <f>Tabella8[[#This Row],[rest of Italy ]]</f>
        <v>31071</v>
      </c>
      <c r="AH100" s="10">
        <f>(Tabella3[[#This Row],[rest of Italy cum. data]]-AG99)</f>
        <v>2084</v>
      </c>
      <c r="AI100" s="72">
        <f>Tabella3[[#This Row],[rest of Italy data]]*NOT(ISBLANK(Tabella3[[#This Row],[rest of Italy data]]))</f>
        <v>2084</v>
      </c>
      <c r="AJ100" s="77">
        <f>Tabella8[[#This Row],[rest of Italy fit]]</f>
        <v>29733.821053599138</v>
      </c>
      <c r="AK100" s="72">
        <f>Tabella3[[#This Row],[rest of Italy cumul. fit]]/Ka</f>
        <v>0.13763746263759263</v>
      </c>
      <c r="AL100" s="72">
        <f>IFERROR(Ka*psi_a*_xlfn.SECH(psi_a*(Tabella3[[#This Row],[Day]]-pa)-phi_a)^2/(1+TANH(phi_a)),0)</f>
        <v>1845.9993822792608</v>
      </c>
      <c r="AM100" s="72">
        <f>Tabella3[[#This Row],[rest of Italy fit]]/y_a_peak</f>
        <v>0.64505032248763172</v>
      </c>
      <c r="AN100" s="72">
        <f>Tabella3[[#This Row],[rest of Italy fit]]*NOT(ISBLANK(Tabella3[[#This Row],[rest of Italy data]]))</f>
        <v>1845.9993822792608</v>
      </c>
      <c r="AO100" s="72">
        <f>Tabella3[[#This Row],[rest of Italy fit]]+CIa</f>
        <v>3540.5735771888435</v>
      </c>
      <c r="AP100" s="72">
        <f>MAX(Tabella3[[#This Row],[rest of Italy fit]]-CIa,0)</f>
        <v>151.42518736967804</v>
      </c>
      <c r="AR100"/>
      <c r="AS100"/>
    </row>
    <row r="101" spans="2:45" x14ac:dyDescent="0.3">
      <c r="B101" s="9">
        <v>43924</v>
      </c>
      <c r="C101" s="4">
        <v>94</v>
      </c>
      <c r="D101" s="72">
        <f>'dpc-covid19-ita-andamento-naz'!J41+'dpc-covid19-ita-andamento-naz'!K41</f>
        <v>34439</v>
      </c>
      <c r="E101" s="72">
        <f>(Tabella3[[#This Row],[Italy cumul. data]]-D100)</f>
        <v>2246</v>
      </c>
      <c r="F101" s="72">
        <f>Tabella3[[#This Row],[Italy remov. rate data]]*NOT(ISBLANK(Tabella3[[#This Row],[Italy remov. rate data]]))</f>
        <v>2246</v>
      </c>
      <c r="G101" s="77">
        <f>Tabella8[[#This Row],[Italy fit]]</f>
        <v>32813.618941838598</v>
      </c>
      <c r="H101" s="77">
        <f>Tabella3[[#This Row],[Italy cumul. fit]]/Kf</f>
        <v>0.14583830640817155</v>
      </c>
      <c r="I101" s="77">
        <f>Tabella3[[#This Row],[region fit]]+Tabella3[[#This Row],[rest of Italy fit]]</f>
        <v>1989.7209085963345</v>
      </c>
      <c r="J101" s="77">
        <f>Tabella3[[#This Row],[Italy (fit of selected region + fitted sum of the other regions)]]/(y_l_peak+y_a_peak)</f>
        <v>0.66333083688238448</v>
      </c>
      <c r="K101" s="72">
        <f>IFERROR(Kf*psi_f*_xlfn.SECH(psi_f*(Tabella3[[#This Row],[Day]]-pf)-phi_f)^2/(1+TANH(phi_f)),0)</f>
        <v>1986.9900924710669</v>
      </c>
      <c r="L101" s="292">
        <f>Tabella3[[#This Row],[Italy remov. rate fit]]-Tabella3[[#This Row],[Italy remov. rate data]]</f>
        <v>-259.00990752893313</v>
      </c>
      <c r="M101" s="293">
        <f>Tabella3[[#This Row],[rem. rate residuals]]*NOT(ISBLANK(Tabella3[[#This Row],[Italy remov. rate data]]))</f>
        <v>-259.00990752893313</v>
      </c>
      <c r="N101" s="72">
        <f>Tabella3[[#This Row],[Italy remov. rate fit]]/y_f_peak</f>
        <v>0.66201976240235894</v>
      </c>
      <c r="O101" s="72">
        <f>Tabella3[[#This Row],[Italy (fit of selected region + fitted sum of the other regions)]]*NOT(ISBLANK(Tabella3[[#This Row],[Italy remov. rate data]]))</f>
        <v>1989.7209085963345</v>
      </c>
      <c r="P101" s="72">
        <f>Tabella3[[#This Row],[Italy remov. rate fit]]*NOT(ISBLANK(Tabella3[[#This Row],[Italy remov. rate data]]))</f>
        <v>1986.9900924710669</v>
      </c>
      <c r="Q101" s="72">
        <f>Tabella3[[#This Row],[Italy remov. rate fit]]+CIf</f>
        <v>3702.6049518056179</v>
      </c>
      <c r="R101" s="72">
        <f>MAX(Tabella3[[#This Row],[Italy remov. rate fit]]-CIf,0)</f>
        <v>271.37523313651559</v>
      </c>
      <c r="S101" s="4">
        <f>Tabella8[[#This Row],[region data]]</f>
        <v>1219</v>
      </c>
      <c r="T101" s="72">
        <f>(Tabella3[[#This Row],[region cumul. data]]-S100)</f>
        <v>97</v>
      </c>
      <c r="U101" s="72">
        <f>Tabella3[[#This Row],[region data]]*NOT(ISBLANK(Tabella3[[#This Row],[region data]]))</f>
        <v>97</v>
      </c>
      <c r="V101">
        <f t="shared" si="1"/>
        <v>85.333333333333329</v>
      </c>
      <c r="W101" s="72">
        <f>Tabella3[[#This Row],[6-days moving avg]]*NOT(ISBLANK(Tabella3[[#This Row],[6-days moving avg]]))</f>
        <v>85.333333333333329</v>
      </c>
      <c r="X101" s="77">
        <f>Tabella8[[#This Row],[region fit]]</f>
        <v>1199.1567304344867</v>
      </c>
      <c r="Y101" s="72">
        <f>Tabella3[[#This Row],[region cumul. fit]]/Kl</f>
        <v>0.13368525422903976</v>
      </c>
      <c r="Z101" s="72">
        <f>IFERROR(Kl*psi_l*_xlfn.SECH(psi_l*(Tabella3[[#This Row],[Day]]-pl)-phi_l)^2/(1+TANH(phi_l)),0)</f>
        <v>89.749965794764407</v>
      </c>
      <c r="AA101" s="72">
        <f>Tabella3[[#This Row],[region fit]]/y_l_peak</f>
        <v>0.65130940954090633</v>
      </c>
      <c r="AB101" s="72">
        <f>Tabella3[[#This Row],[region fit]]*NOT(ISBLANK(Tabella3[[#This Row],[region data]]))</f>
        <v>89.749965794764407</v>
      </c>
      <c r="AC101" s="166">
        <f>IFERROR(kl_m*psi_l_m*_xlfn.SECH(psi_l_m*(Tabella3[[#This Row],[Day]]-pl_m)-phi_l_m)^2/(1+TANH(phi_l_m)),0)</f>
        <v>89.749965794764407</v>
      </c>
      <c r="AD101" s="72">
        <f>Tabella3[[#This Row],[6-days moving avg fit]]*NOT(ISBLANK(Tabella3[[#This Row],[6-days moving avg]]))</f>
        <v>89.749965794764407</v>
      </c>
      <c r="AE101" s="72">
        <f>Tabella3[[#This Row],[region fit]]+CIl</f>
        <v>143.51480620431286</v>
      </c>
      <c r="AF101" s="72">
        <f>MAX(Tabella3[[#This Row],[region fit]]-CIl,0)</f>
        <v>35.985125385215952</v>
      </c>
      <c r="AG101" s="10">
        <f>Tabella8[[#This Row],[rest of Italy ]]</f>
        <v>33220</v>
      </c>
      <c r="AH101" s="10">
        <f>(Tabella3[[#This Row],[rest of Italy cum. data]]-AG100)</f>
        <v>2149</v>
      </c>
      <c r="AI101" s="72">
        <f>Tabella3[[#This Row],[rest of Italy data]]*NOT(ISBLANK(Tabella3[[#This Row],[rest of Italy data]]))</f>
        <v>2149</v>
      </c>
      <c r="AJ101" s="77">
        <f>Tabella8[[#This Row],[rest of Italy fit]]</f>
        <v>31606.799371787129</v>
      </c>
      <c r="AK101" s="72">
        <f>Tabella3[[#This Row],[rest of Italy cumul. fit]]/Ka</f>
        <v>0.14630745438960852</v>
      </c>
      <c r="AL101" s="72">
        <f>IFERROR(Ka*psi_a*_xlfn.SECH(psi_a*(Tabella3[[#This Row],[Day]]-pa)-phi_a)^2/(1+TANH(phi_a)),0)</f>
        <v>1899.9709428015701</v>
      </c>
      <c r="AM101" s="72">
        <f>Tabella3[[#This Row],[rest of Italy fit]]/y_a_peak</f>
        <v>0.6639096855265787</v>
      </c>
      <c r="AN101" s="72">
        <f>Tabella3[[#This Row],[rest of Italy fit]]*NOT(ISBLANK(Tabella3[[#This Row],[rest of Italy data]]))</f>
        <v>1899.9709428015701</v>
      </c>
      <c r="AO101" s="72">
        <f>Tabella3[[#This Row],[rest of Italy fit]]+CIa</f>
        <v>3594.5451377111531</v>
      </c>
      <c r="AP101" s="72">
        <f>MAX(Tabella3[[#This Row],[rest of Italy fit]]-CIa,0)</f>
        <v>205.39674789198739</v>
      </c>
      <c r="AR101"/>
      <c r="AS101"/>
    </row>
    <row r="102" spans="2:45" x14ac:dyDescent="0.3">
      <c r="B102" s="9">
        <v>43925</v>
      </c>
      <c r="C102" s="4">
        <v>95</v>
      </c>
      <c r="D102" s="72">
        <f>'dpc-covid19-ita-andamento-naz'!J42+'dpc-covid19-ita-andamento-naz'!K42</f>
        <v>36358</v>
      </c>
      <c r="E102" s="72">
        <f>(Tabella3[[#This Row],[Italy cumul. data]]-D101)</f>
        <v>1919</v>
      </c>
      <c r="F102" s="72">
        <f>Tabella3[[#This Row],[Italy remov. rate data]]*NOT(ISBLANK(Tabella3[[#This Row],[Italy remov. rate data]]))</f>
        <v>1919</v>
      </c>
      <c r="G102" s="77">
        <f>Tabella8[[#This Row],[Italy fit]]</f>
        <v>34829.137084278154</v>
      </c>
      <c r="H102" s="77">
        <f>Tabella3[[#This Row],[Italy cumul. fit]]/Kf</f>
        <v>0.15479616481901401</v>
      </c>
      <c r="I102" s="77">
        <f>Tabella3[[#This Row],[region fit]]+Tabella3[[#This Row],[rest of Italy fit]]</f>
        <v>2046.7019788138959</v>
      </c>
      <c r="J102" s="77">
        <f>Tabella3[[#This Row],[Italy (fit of selected region + fitted sum of the other regions)]]/(y_l_peak+y_a_peak)</f>
        <v>0.68232711964273063</v>
      </c>
      <c r="K102" s="72">
        <f>IFERROR(Kf*psi_f*_xlfn.SECH(psi_f*(Tabella3[[#This Row],[Day]]-pf)-phi_f)^2/(1+TANH(phi_f)),0)</f>
        <v>2044.0401872281732</v>
      </c>
      <c r="L102" s="292">
        <f>Tabella3[[#This Row],[Italy remov. rate fit]]-Tabella3[[#This Row],[Italy remov. rate data]]</f>
        <v>125.04018722817318</v>
      </c>
      <c r="M102" s="293">
        <f>Tabella3[[#This Row],[rem. rate residuals]]*NOT(ISBLANK(Tabella3[[#This Row],[Italy remov. rate data]]))</f>
        <v>125.04018722817318</v>
      </c>
      <c r="N102" s="72">
        <f>Tabella3[[#This Row],[Italy remov. rate fit]]/y_f_peak</f>
        <v>0.68102755228477452</v>
      </c>
      <c r="O102" s="72">
        <f>Tabella3[[#This Row],[Italy (fit of selected region + fitted sum of the other regions)]]*NOT(ISBLANK(Tabella3[[#This Row],[Italy remov. rate data]]))</f>
        <v>2046.7019788138959</v>
      </c>
      <c r="P102" s="72">
        <f>Tabella3[[#This Row],[Italy remov. rate fit]]*NOT(ISBLANK(Tabella3[[#This Row],[Italy remov. rate data]]))</f>
        <v>2044.0401872281732</v>
      </c>
      <c r="Q102" s="72">
        <f>Tabella3[[#This Row],[Italy remov. rate fit]]+CIf</f>
        <v>3759.6550465627242</v>
      </c>
      <c r="R102" s="72">
        <f>MAX(Tabella3[[#This Row],[Italy remov. rate fit]]-CIf,0)</f>
        <v>328.4253278936219</v>
      </c>
      <c r="S102" s="4">
        <f>Tabella8[[#This Row],[region data]]</f>
        <v>1309</v>
      </c>
      <c r="T102" s="72">
        <f>(Tabella3[[#This Row],[region cumul. data]]-S101)</f>
        <v>90</v>
      </c>
      <c r="U102" s="72">
        <f>Tabella3[[#This Row],[region data]]*NOT(ISBLANK(Tabella3[[#This Row],[region data]]))</f>
        <v>90</v>
      </c>
      <c r="V102">
        <f t="shared" si="1"/>
        <v>87</v>
      </c>
      <c r="W102" s="72">
        <f>Tabella3[[#This Row],[6-days moving avg]]*NOT(ISBLANK(Tabella3[[#This Row],[6-days moving avg]]))</f>
        <v>87</v>
      </c>
      <c r="X102" s="77">
        <f>Tabella8[[#This Row],[region fit]]</f>
        <v>1290.4021537082767</v>
      </c>
      <c r="Y102" s="72">
        <f>Tabella3[[#This Row],[region cumul. fit]]/Kl</f>
        <v>0.14385754221942884</v>
      </c>
      <c r="Z102" s="72">
        <f>IFERROR(Kl*psi_l*_xlfn.SECH(psi_l*(Tabella3[[#This Row],[Day]]-pl)-phi_l)^2/(1+TANH(phi_l)),0)</f>
        <v>92.741205161447823</v>
      </c>
      <c r="AA102" s="72">
        <f>Tabella3[[#This Row],[region fit]]/y_l_peak</f>
        <v>0.67301663057946559</v>
      </c>
      <c r="AB102" s="72">
        <f>Tabella3[[#This Row],[region fit]]*NOT(ISBLANK(Tabella3[[#This Row],[region data]]))</f>
        <v>92.741205161447823</v>
      </c>
      <c r="AC102" s="166">
        <f>IFERROR(kl_m*psi_l_m*_xlfn.SECH(psi_l_m*(Tabella3[[#This Row],[Day]]-pl_m)-phi_l_m)^2/(1+TANH(phi_l_m)),0)</f>
        <v>92.741205161447823</v>
      </c>
      <c r="AD102" s="72">
        <f>Tabella3[[#This Row],[6-days moving avg fit]]*NOT(ISBLANK(Tabella3[[#This Row],[6-days moving avg]]))</f>
        <v>92.741205161447823</v>
      </c>
      <c r="AE102" s="72">
        <f>Tabella3[[#This Row],[region fit]]+CIl</f>
        <v>146.50604557099626</v>
      </c>
      <c r="AF102" s="72">
        <f>MAX(Tabella3[[#This Row],[region fit]]-CIl,0)</f>
        <v>38.976364751899368</v>
      </c>
      <c r="AG102" s="10">
        <f>Tabella8[[#This Row],[rest of Italy ]]</f>
        <v>35049</v>
      </c>
      <c r="AH102" s="10">
        <f>(Tabella3[[#This Row],[rest of Italy cum. data]]-AG101)</f>
        <v>1829</v>
      </c>
      <c r="AI102" s="72">
        <f>Tabella3[[#This Row],[rest of Italy data]]*NOT(ISBLANK(Tabella3[[#This Row],[rest of Italy data]]))</f>
        <v>1829</v>
      </c>
      <c r="AJ102" s="77">
        <f>Tabella8[[#This Row],[rest of Italy fit]]</f>
        <v>33533.769111411661</v>
      </c>
      <c r="AK102" s="72">
        <f>Tabella3[[#This Row],[rest of Italy cumul. fit]]/Ka</f>
        <v>0.15522737171416776</v>
      </c>
      <c r="AL102" s="72">
        <f>IFERROR(Ka*psi_a*_xlfn.SECH(psi_a*(Tabella3[[#This Row],[Day]]-pa)-phi_a)^2/(1+TANH(phi_a)),0)</f>
        <v>1953.9607736524481</v>
      </c>
      <c r="AM102" s="72">
        <f>Tabella3[[#This Row],[rest of Italy fit]]/y_a_peak</f>
        <v>0.68277543279373731</v>
      </c>
      <c r="AN102" s="72">
        <f>Tabella3[[#This Row],[rest of Italy fit]]*NOT(ISBLANK(Tabella3[[#This Row],[rest of Italy data]]))</f>
        <v>1953.9607736524481</v>
      </c>
      <c r="AO102" s="72">
        <f>Tabella3[[#This Row],[rest of Italy fit]]+CIa</f>
        <v>3648.5349685620308</v>
      </c>
      <c r="AP102" s="72">
        <f>MAX(Tabella3[[#This Row],[rest of Italy fit]]-CIa,0)</f>
        <v>259.38657874286537</v>
      </c>
      <c r="AR102"/>
      <c r="AS102"/>
    </row>
    <row r="103" spans="2:45" x14ac:dyDescent="0.3">
      <c r="B103" s="9">
        <v>43926</v>
      </c>
      <c r="C103" s="4">
        <v>96</v>
      </c>
      <c r="D103" s="72">
        <f>'dpc-covid19-ita-andamento-naz'!J43+'dpc-covid19-ita-andamento-naz'!K43</f>
        <v>37702</v>
      </c>
      <c r="E103" s="72">
        <f>(Tabella3[[#This Row],[Italy cumul. data]]-D102)</f>
        <v>1344</v>
      </c>
      <c r="F103" s="72">
        <f>Tabella3[[#This Row],[Italy remov. rate data]]*NOT(ISBLANK(Tabella3[[#This Row],[Italy remov. rate data]]))</f>
        <v>1344</v>
      </c>
      <c r="G103" s="77">
        <f>Tabella8[[#This Row],[Italy fit]]</f>
        <v>36901.663381846025</v>
      </c>
      <c r="H103" s="77">
        <f>Tabella3[[#This Row],[Italy cumul. fit]]/Kf</f>
        <v>0.16400739280820456</v>
      </c>
      <c r="I103" s="77">
        <f>Tabella3[[#This Row],[region fit]]+Tabella3[[#This Row],[rest of Italy fit]]</f>
        <v>2103.5661144196006</v>
      </c>
      <c r="J103" s="77">
        <f>Tabella3[[#This Row],[Italy (fit of selected region + fitted sum of the other regions)]]/(y_l_peak+y_a_peak)</f>
        <v>0.70128441887849891</v>
      </c>
      <c r="K103" s="72">
        <f>IFERROR(Kf*psi_f*_xlfn.SECH(psi_f*(Tabella3[[#This Row],[Day]]-pf)-phi_f)^2/(1+TANH(phi_f)),0)</f>
        <v>2100.9822236321697</v>
      </c>
      <c r="L103" s="292">
        <f>Tabella3[[#This Row],[Italy remov. rate fit]]-Tabella3[[#This Row],[Italy remov. rate data]]</f>
        <v>756.98222363216973</v>
      </c>
      <c r="M103" s="293">
        <f>Tabella3[[#This Row],[rem. rate residuals]]*NOT(ISBLANK(Tabella3[[#This Row],[Italy remov. rate data]]))</f>
        <v>756.98222363216973</v>
      </c>
      <c r="N103" s="72">
        <f>Tabella3[[#This Row],[Italy remov. rate fit]]/y_f_peak</f>
        <v>0.69999933958946092</v>
      </c>
      <c r="O103" s="72">
        <f>Tabella3[[#This Row],[Italy (fit of selected region + fitted sum of the other regions)]]*NOT(ISBLANK(Tabella3[[#This Row],[Italy remov. rate data]]))</f>
        <v>2103.5661144196006</v>
      </c>
      <c r="P103" s="72">
        <f>Tabella3[[#This Row],[Italy remov. rate fit]]*NOT(ISBLANK(Tabella3[[#This Row],[Italy remov. rate data]]))</f>
        <v>2100.9822236321697</v>
      </c>
      <c r="Q103" s="72">
        <f>Tabella3[[#This Row],[Italy remov. rate fit]]+CIf</f>
        <v>3816.5970829667212</v>
      </c>
      <c r="R103" s="72">
        <f>MAX(Tabella3[[#This Row],[Italy remov. rate fit]]-CIf,0)</f>
        <v>385.36736429761845</v>
      </c>
      <c r="S103" s="4">
        <f>Tabella8[[#This Row],[region data]]</f>
        <v>1356</v>
      </c>
      <c r="T103" s="72">
        <f>(Tabella3[[#This Row],[region cumul. data]]-S102)</f>
        <v>47</v>
      </c>
      <c r="U103" s="72">
        <f>Tabella3[[#This Row],[region data]]*NOT(ISBLANK(Tabella3[[#This Row],[region data]]))</f>
        <v>47</v>
      </c>
      <c r="V103">
        <f t="shared" si="1"/>
        <v>87.333333333333329</v>
      </c>
      <c r="W103" s="72">
        <f>Tabella3[[#This Row],[6-days moving avg]]*NOT(ISBLANK(Tabella3[[#This Row],[6-days moving avg]]))</f>
        <v>87.333333333333329</v>
      </c>
      <c r="X103" s="77">
        <f>Tabella8[[#This Row],[region fit]]</f>
        <v>1384.6381936691487</v>
      </c>
      <c r="Y103" s="72">
        <f>Tabella3[[#This Row],[region cumul. fit]]/Kl</f>
        <v>0.15436323229310464</v>
      </c>
      <c r="Z103" s="72">
        <f>IFERROR(Kl*psi_l*_xlfn.SECH(psi_l*(Tabella3[[#This Row],[Day]]-pl)-phi_l)^2/(1+TANH(phi_l)),0)</f>
        <v>95.729582920078158</v>
      </c>
      <c r="AA103" s="72">
        <f>Tabella3[[#This Row],[region fit]]/y_l_peak</f>
        <v>0.69470308512262979</v>
      </c>
      <c r="AB103" s="72">
        <f>Tabella3[[#This Row],[region fit]]*NOT(ISBLANK(Tabella3[[#This Row],[region data]]))</f>
        <v>95.729582920078158</v>
      </c>
      <c r="AC103" s="166">
        <f>IFERROR(kl_m*psi_l_m*_xlfn.SECH(psi_l_m*(Tabella3[[#This Row],[Day]]-pl_m)-phi_l_m)^2/(1+TANH(phi_l_m)),0)</f>
        <v>95.729582920078158</v>
      </c>
      <c r="AD103" s="72">
        <f>Tabella3[[#This Row],[6-days moving avg fit]]*NOT(ISBLANK(Tabella3[[#This Row],[6-days moving avg]]))</f>
        <v>95.729582920078158</v>
      </c>
      <c r="AE103" s="72">
        <f>Tabella3[[#This Row],[region fit]]+CIl</f>
        <v>149.49442332962661</v>
      </c>
      <c r="AF103" s="72">
        <f>MAX(Tabella3[[#This Row],[region fit]]-CIl,0)</f>
        <v>41.964742510529703</v>
      </c>
      <c r="AG103" s="10">
        <f>Tabella8[[#This Row],[rest of Italy ]]</f>
        <v>36346</v>
      </c>
      <c r="AH103" s="10">
        <f>(Tabella3[[#This Row],[rest of Italy cum. data]]-AG102)</f>
        <v>1297</v>
      </c>
      <c r="AI103" s="72">
        <f>Tabella3[[#This Row],[rest of Italy data]]*NOT(ISBLANK(Tabella3[[#This Row],[rest of Italy data]]))</f>
        <v>1297</v>
      </c>
      <c r="AJ103" s="77">
        <f>Tabella8[[#This Row],[rest of Italy fit]]</f>
        <v>35514.682973036492</v>
      </c>
      <c r="AK103" s="72">
        <f>Tabella3[[#This Row],[rest of Italy cumul. fit]]/Ka</f>
        <v>0.16439699566280835</v>
      </c>
      <c r="AL103" s="72">
        <f>IFERROR(Ka*psi_a*_xlfn.SECH(psi_a*(Tabella3[[#This Row],[Day]]-pa)-phi_a)^2/(1+TANH(phi_a)),0)</f>
        <v>2007.8365314995226</v>
      </c>
      <c r="AM103" s="72">
        <f>Tabella3[[#This Row],[rest of Italy fit]]/y_a_peak</f>
        <v>0.70160131936072623</v>
      </c>
      <c r="AN103" s="72">
        <f>Tabella3[[#This Row],[rest of Italy fit]]*NOT(ISBLANK(Tabella3[[#This Row],[rest of Italy data]]))</f>
        <v>2007.8365314995226</v>
      </c>
      <c r="AO103" s="72">
        <f>Tabella3[[#This Row],[rest of Italy fit]]+CIa</f>
        <v>3702.4107264091053</v>
      </c>
      <c r="AP103" s="72">
        <f>MAX(Tabella3[[#This Row],[rest of Italy fit]]-CIa,0)</f>
        <v>313.26233658993988</v>
      </c>
      <c r="AR103"/>
      <c r="AS103"/>
    </row>
    <row r="104" spans="2:45" x14ac:dyDescent="0.3">
      <c r="B104" s="9">
        <v>43927</v>
      </c>
      <c r="C104" s="4">
        <v>97</v>
      </c>
      <c r="D104" s="72">
        <f>'dpc-covid19-ita-andamento-naz'!J44+'dpc-covid19-ita-andamento-naz'!K44</f>
        <v>39360</v>
      </c>
      <c r="E104" s="72">
        <f>(Tabella3[[#This Row],[Italy cumul. data]]-D103)</f>
        <v>1658</v>
      </c>
      <c r="F104" s="72">
        <f>Tabella3[[#This Row],[Italy remov. rate data]]*NOT(ISBLANK(Tabella3[[#This Row],[Italy remov. rate data]]))</f>
        <v>1658</v>
      </c>
      <c r="G104" s="77">
        <f>Tabella8[[#This Row],[Italy fit]]</f>
        <v>39031.015986023151</v>
      </c>
      <c r="H104" s="77">
        <f>Tabella3[[#This Row],[Italy cumul. fit]]/Kf</f>
        <v>0.1734711821601029</v>
      </c>
      <c r="I104" s="77">
        <f>Tabella3[[#This Row],[region fit]]+Tabella3[[#This Row],[rest of Italy fit]]</f>
        <v>2160.1639419095895</v>
      </c>
      <c r="J104" s="77">
        <f>Tabella3[[#This Row],[Italy (fit of selected region + fitted sum of the other regions)]]/(y_l_peak+y_a_peak)</f>
        <v>0.72015293662511304</v>
      </c>
      <c r="K104" s="72">
        <f>IFERROR(Kf*psi_f*_xlfn.SECH(psi_f*(Tabella3[[#This Row],[Day]]-pf)-phi_f)^2/(1+TANH(phi_f)),0)</f>
        <v>2157.6673839671794</v>
      </c>
      <c r="L104" s="292">
        <f>Tabella3[[#This Row],[Italy remov. rate fit]]-Tabella3[[#This Row],[Italy remov. rate data]]</f>
        <v>499.66738396717938</v>
      </c>
      <c r="M104" s="293">
        <f>Tabella3[[#This Row],[rem. rate residuals]]*NOT(ISBLANK(Tabella3[[#This Row],[Italy remov. rate data]]))</f>
        <v>499.66738396717938</v>
      </c>
      <c r="N104" s="72">
        <f>Tabella3[[#This Row],[Italy remov. rate fit]]/y_f_peak</f>
        <v>0.71888554164900598</v>
      </c>
      <c r="O104" s="72">
        <f>Tabella3[[#This Row],[Italy (fit of selected region + fitted sum of the other regions)]]*NOT(ISBLANK(Tabella3[[#This Row],[Italy remov. rate data]]))</f>
        <v>2160.1639419095895</v>
      </c>
      <c r="P104" s="72">
        <f>Tabella3[[#This Row],[Italy remov. rate fit]]*NOT(ISBLANK(Tabella3[[#This Row],[Italy remov. rate data]]))</f>
        <v>2157.6673839671794</v>
      </c>
      <c r="Q104" s="72">
        <f>Tabella3[[#This Row],[Italy remov. rate fit]]+CIf</f>
        <v>3873.2822433017309</v>
      </c>
      <c r="R104" s="72">
        <f>MAX(Tabella3[[#This Row],[Italy remov. rate fit]]-CIf,0)</f>
        <v>442.05252463262809</v>
      </c>
      <c r="S104" s="4">
        <f>Tabella8[[#This Row],[region data]]</f>
        <v>1432</v>
      </c>
      <c r="T104" s="72">
        <f>(Tabella3[[#This Row],[region cumul. data]]-S103)</f>
        <v>76</v>
      </c>
      <c r="U104" s="72">
        <f>Tabella3[[#This Row],[region data]]*NOT(ISBLANK(Tabella3[[#This Row],[region data]]))</f>
        <v>76</v>
      </c>
      <c r="V104">
        <f t="shared" si="1"/>
        <v>88.333333333333329</v>
      </c>
      <c r="W104" s="72">
        <f>Tabella3[[#This Row],[6-days moving avg]]*NOT(ISBLANK(Tabella3[[#This Row],[6-days moving avg]]))</f>
        <v>88.333333333333329</v>
      </c>
      <c r="X104" s="77">
        <f>Tabella8[[#This Row],[region fit]]</f>
        <v>1481.8570400513306</v>
      </c>
      <c r="Y104" s="72">
        <f>Tabella3[[#This Row],[region cumul. fit]]/Kl</f>
        <v>0.16520145374039361</v>
      </c>
      <c r="Z104" s="72">
        <f>IFERROR(Kl*psi_l*_xlfn.SECH(psi_l*(Tabella3[[#This Row],[Day]]-pl)-phi_l)^2/(1+TANH(phi_l)),0)</f>
        <v>98.705103120941359</v>
      </c>
      <c r="AA104" s="72">
        <f>Tabella3[[#This Row],[region fit]]/y_l_peak</f>
        <v>0.71629623324184954</v>
      </c>
      <c r="AB104" s="72">
        <f>Tabella3[[#This Row],[region fit]]*NOT(ISBLANK(Tabella3[[#This Row],[region data]]))</f>
        <v>98.705103120941359</v>
      </c>
      <c r="AC104" s="166">
        <f>IFERROR(kl_m*psi_l_m*_xlfn.SECH(psi_l_m*(Tabella3[[#This Row],[Day]]-pl_m)-phi_l_m)^2/(1+TANH(phi_l_m)),0)</f>
        <v>98.705103120941359</v>
      </c>
      <c r="AD104" s="72">
        <f>Tabella3[[#This Row],[6-days moving avg fit]]*NOT(ISBLANK(Tabella3[[#This Row],[6-days moving avg]]))</f>
        <v>98.705103120941359</v>
      </c>
      <c r="AE104" s="72">
        <f>Tabella3[[#This Row],[region fit]]+CIl</f>
        <v>152.46994353048981</v>
      </c>
      <c r="AF104" s="72">
        <f>MAX(Tabella3[[#This Row],[region fit]]-CIl,0)</f>
        <v>44.940262711392904</v>
      </c>
      <c r="AG104" s="10">
        <f>Tabella8[[#This Row],[rest of Italy ]]</f>
        <v>37928</v>
      </c>
      <c r="AH104" s="10">
        <f>(Tabella3[[#This Row],[rest of Italy cum. data]]-AG103)</f>
        <v>1582</v>
      </c>
      <c r="AI104" s="72">
        <f>Tabella3[[#This Row],[rest of Italy data]]*NOT(ISBLANK(Tabella3[[#This Row],[rest of Italy data]]))</f>
        <v>1582</v>
      </c>
      <c r="AJ104" s="77">
        <f>Tabella8[[#This Row],[rest of Italy fit]]</f>
        <v>37549.357764333334</v>
      </c>
      <c r="AK104" s="72">
        <f>Tabella3[[#This Row],[rest of Italy cumul. fit]]/Ka</f>
        <v>0.17381547824067645</v>
      </c>
      <c r="AL104" s="72">
        <f>IFERROR(Ka*psi_a*_xlfn.SECH(psi_a*(Tabella3[[#This Row],[Day]]-pa)-phi_a)^2/(1+TANH(phi_a)),0)</f>
        <v>2061.4588387886483</v>
      </c>
      <c r="AM104" s="72">
        <f>Tabella3[[#This Row],[rest of Italy fit]]/y_a_peak</f>
        <v>0.72033864232053901</v>
      </c>
      <c r="AN104" s="72">
        <f>Tabella3[[#This Row],[rest of Italy fit]]*NOT(ISBLANK(Tabella3[[#This Row],[rest of Italy data]]))</f>
        <v>2061.4588387886483</v>
      </c>
      <c r="AO104" s="72">
        <f>Tabella3[[#This Row],[rest of Italy fit]]+CIa</f>
        <v>3756.0330336982311</v>
      </c>
      <c r="AP104" s="72">
        <f>MAX(Tabella3[[#This Row],[rest of Italy fit]]-CIa,0)</f>
        <v>366.88464387906561</v>
      </c>
      <c r="AR104"/>
      <c r="AS104"/>
    </row>
    <row r="105" spans="2:45" x14ac:dyDescent="0.3">
      <c r="B105" s="9">
        <v>43928</v>
      </c>
      <c r="C105" s="4">
        <v>98</v>
      </c>
      <c r="D105" s="72">
        <f>'dpc-covid19-ita-andamento-naz'!J45+'dpc-covid19-ita-andamento-naz'!K45</f>
        <v>41519</v>
      </c>
      <c r="E105" s="72">
        <f>(Tabella3[[#This Row],[Italy cumul. data]]-D104)</f>
        <v>2159</v>
      </c>
      <c r="F105" s="72">
        <f>Tabella3[[#This Row],[Italy remov. rate data]]*NOT(ISBLANK(Tabella3[[#This Row],[Italy remov. rate data]]))</f>
        <v>2159</v>
      </c>
      <c r="G105" s="77">
        <f>Tabella8[[#This Row],[Italy fit]]</f>
        <v>41216.860601031651</v>
      </c>
      <c r="H105" s="77">
        <f>Tabella3[[#This Row],[Italy cumul. fit]]/Kf</f>
        <v>0.18318604711569622</v>
      </c>
      <c r="I105" s="77">
        <f>Tabella3[[#This Row],[region fit]]+Tabella3[[#This Row],[rest of Italy fit]]</f>
        <v>2216.3389184842026</v>
      </c>
      <c r="J105" s="77">
        <f>Tabella3[[#This Row],[Italy (fit of selected region + fitted sum of the other regions)]]/(y_l_peak+y_a_peak)</f>
        <v>0.73888048482652069</v>
      </c>
      <c r="K105" s="72">
        <f>IFERROR(Kf*psi_f*_xlfn.SECH(psi_f*(Tabella3[[#This Row],[Day]]-pf)-phi_f)^2/(1+TANH(phi_f)),0)</f>
        <v>2213.9396774805964</v>
      </c>
      <c r="L105" s="292">
        <f>Tabella3[[#This Row],[Italy remov. rate fit]]-Tabella3[[#This Row],[Italy remov. rate data]]</f>
        <v>54.939677480596401</v>
      </c>
      <c r="M105" s="293">
        <f>Tabella3[[#This Row],[rem. rate residuals]]*NOT(ISBLANK(Tabella3[[#This Row],[Italy remov. rate data]]))</f>
        <v>54.939677480596401</v>
      </c>
      <c r="N105" s="72">
        <f>Tabella3[[#This Row],[Italy remov. rate fit]]/y_f_peak</f>
        <v>0.73763418590382412</v>
      </c>
      <c r="O105" s="72">
        <f>Tabella3[[#This Row],[Italy (fit of selected region + fitted sum of the other regions)]]*NOT(ISBLANK(Tabella3[[#This Row],[Italy remov. rate data]]))</f>
        <v>2216.3389184842026</v>
      </c>
      <c r="P105" s="72">
        <f>Tabella3[[#This Row],[Italy remov. rate fit]]*NOT(ISBLANK(Tabella3[[#This Row],[Italy remov. rate data]]))</f>
        <v>2213.9396774805964</v>
      </c>
      <c r="Q105" s="72">
        <f>Tabella3[[#This Row],[Italy remov. rate fit]]+CIf</f>
        <v>3929.5545368151479</v>
      </c>
      <c r="R105" s="72">
        <f>MAX(Tabella3[[#This Row],[Italy remov. rate fit]]-CIf,0)</f>
        <v>498.32481814604512</v>
      </c>
      <c r="S105" s="4">
        <f>Tabella8[[#This Row],[region data]]</f>
        <v>1545</v>
      </c>
      <c r="T105" s="72">
        <f>(Tabella3[[#This Row],[region cumul. data]]-S104)</f>
        <v>113</v>
      </c>
      <c r="U105" s="72">
        <f>Tabella3[[#This Row],[region data]]*NOT(ISBLANK(Tabella3[[#This Row],[region data]]))</f>
        <v>113</v>
      </c>
      <c r="V105">
        <f t="shared" si="1"/>
        <v>89.833333333333329</v>
      </c>
      <c r="W105" s="72">
        <f>Tabella3[[#This Row],[6-days moving avg]]*NOT(ISBLANK(Tabella3[[#This Row],[6-days moving avg]]))</f>
        <v>89.833333333333329</v>
      </c>
      <c r="X105" s="77">
        <f>Tabella8[[#This Row],[region fit]]</f>
        <v>1582.0405976386276</v>
      </c>
      <c r="Y105" s="72">
        <f>Tabella3[[#This Row],[region cumul. fit]]/Kl</f>
        <v>0.17637018925737208</v>
      </c>
      <c r="Z105" s="72">
        <f>IFERROR(Kl*psi_l*_xlfn.SECH(psi_l*(Tabella3[[#This Row],[Day]]-pl)-phi_l)^2/(1+TANH(phi_l)),0)</f>
        <v>101.65719906260496</v>
      </c>
      <c r="AA105" s="72">
        <f>Tabella3[[#This Row],[region fit]]/y_l_peak</f>
        <v>0.73771939310209744</v>
      </c>
      <c r="AB105" s="72">
        <f>Tabella3[[#This Row],[region fit]]*NOT(ISBLANK(Tabella3[[#This Row],[region data]]))</f>
        <v>101.65719906260496</v>
      </c>
      <c r="AC105" s="166">
        <f>IFERROR(kl_m*psi_l_m*_xlfn.SECH(psi_l_m*(Tabella3[[#This Row],[Day]]-pl_m)-phi_l_m)^2/(1+TANH(phi_l_m)),0)</f>
        <v>101.65719906260496</v>
      </c>
      <c r="AD105" s="72">
        <f>Tabella3[[#This Row],[6-days moving avg fit]]*NOT(ISBLANK(Tabella3[[#This Row],[6-days moving avg]]))</f>
        <v>101.65719906260496</v>
      </c>
      <c r="AE105" s="72">
        <f>Tabella3[[#This Row],[region fit]]+CIl</f>
        <v>155.42203947215341</v>
      </c>
      <c r="AF105" s="72">
        <f>MAX(Tabella3[[#This Row],[region fit]]-CIl,0)</f>
        <v>47.892358653056505</v>
      </c>
      <c r="AG105" s="10">
        <f>Tabella8[[#This Row],[rest of Italy ]]</f>
        <v>39974</v>
      </c>
      <c r="AH105" s="10">
        <f>(Tabella3[[#This Row],[rest of Italy cum. data]]-AG104)</f>
        <v>2046</v>
      </c>
      <c r="AI105" s="72">
        <f>Tabella3[[#This Row],[rest of Italy data]]*NOT(ISBLANK(Tabella3[[#This Row],[rest of Italy data]]))</f>
        <v>2046</v>
      </c>
      <c r="AJ105" s="77">
        <f>Tabella8[[#This Row],[rest of Italy fit]]</f>
        <v>39637.467575952011</v>
      </c>
      <c r="AK105" s="72">
        <f>Tabella3[[#This Row],[rest of Italy cumul. fit]]/Ka</f>
        <v>0.18348131081771982</v>
      </c>
      <c r="AL105" s="72">
        <f>IFERROR(Ka*psi_a*_xlfn.SECH(psi_a*(Tabella3[[#This Row],[Day]]-pa)-phi_a)^2/(1+TANH(phi_a)),0)</f>
        <v>2114.6817194215978</v>
      </c>
      <c r="AM105" s="72">
        <f>Tabella3[[#This Row],[rest of Italy fit]]/y_a_peak</f>
        <v>0.73893639302705105</v>
      </c>
      <c r="AN105" s="72">
        <f>Tabella3[[#This Row],[rest of Italy fit]]*NOT(ISBLANK(Tabella3[[#This Row],[rest of Italy data]]))</f>
        <v>2114.6817194215978</v>
      </c>
      <c r="AO105" s="72">
        <f>Tabella3[[#This Row],[rest of Italy fit]]+CIa</f>
        <v>3809.2559143311805</v>
      </c>
      <c r="AP105" s="72">
        <f>MAX(Tabella3[[#This Row],[rest of Italy fit]]-CIa,0)</f>
        <v>420.10752451201506</v>
      </c>
      <c r="AR105"/>
      <c r="AS105"/>
    </row>
    <row r="106" spans="2:45" x14ac:dyDescent="0.3">
      <c r="B106" s="9">
        <v>43929</v>
      </c>
      <c r="C106" s="4">
        <v>99</v>
      </c>
      <c r="D106" s="72">
        <f>'dpc-covid19-ita-andamento-naz'!J46+'dpc-covid19-ita-andamento-naz'!K46</f>
        <v>44160</v>
      </c>
      <c r="E106" s="72">
        <f>(Tabella3[[#This Row],[Italy cumul. data]]-D105)</f>
        <v>2641</v>
      </c>
      <c r="F106" s="72">
        <f>Tabella3[[#This Row],[Italy remov. rate data]]*NOT(ISBLANK(Tabella3[[#This Row],[Italy remov. rate data]]))</f>
        <v>2641</v>
      </c>
      <c r="G106" s="77">
        <f>Tabella8[[#This Row],[Italy fit]]</f>
        <v>43458.703586257718</v>
      </c>
      <c r="H106" s="77">
        <f>Tabella3[[#This Row],[Italy cumul. fit]]/Kf</f>
        <v>0.19314979371670096</v>
      </c>
      <c r="I106" s="77">
        <f>Tabella3[[#This Row],[region fit]]+Tabella3[[#This Row],[rest of Italy fit]]</f>
        <v>2271.9279106594058</v>
      </c>
      <c r="J106" s="77">
        <f>Tabella3[[#This Row],[Italy (fit of selected region + fitted sum of the other regions)]]/(y_l_peak+y_a_peak)</f>
        <v>0.75741267823199632</v>
      </c>
      <c r="K106" s="72">
        <f>IFERROR(Kf*psi_f*_xlfn.SECH(psi_f*(Tabella3[[#This Row],[Day]]-pf)-phi_f)^2/(1+TANH(phi_f)),0)</f>
        <v>2269.6365086784022</v>
      </c>
      <c r="L106" s="292">
        <f>Tabella3[[#This Row],[Italy remov. rate fit]]-Tabella3[[#This Row],[Italy remov. rate data]]</f>
        <v>-371.36349132159785</v>
      </c>
      <c r="M106" s="293">
        <f>Tabella3[[#This Row],[rem. rate residuals]]*NOT(ISBLANK(Tabella3[[#This Row],[Italy remov. rate data]]))</f>
        <v>-371.36349132159785</v>
      </c>
      <c r="N106" s="72">
        <f>Tabella3[[#This Row],[Italy remov. rate fit]]/y_f_peak</f>
        <v>0.75619109924518879</v>
      </c>
      <c r="O106" s="72">
        <f>Tabella3[[#This Row],[Italy (fit of selected region + fitted sum of the other regions)]]*NOT(ISBLANK(Tabella3[[#This Row],[Italy remov. rate data]]))</f>
        <v>2271.9279106594058</v>
      </c>
      <c r="P106" s="72">
        <f>Tabella3[[#This Row],[Italy remov. rate fit]]*NOT(ISBLANK(Tabella3[[#This Row],[Italy remov. rate data]]))</f>
        <v>2269.6365086784022</v>
      </c>
      <c r="Q106" s="72">
        <f>Tabella3[[#This Row],[Italy remov. rate fit]]+CIf</f>
        <v>3985.2513680129532</v>
      </c>
      <c r="R106" s="72">
        <f>MAX(Tabella3[[#This Row],[Italy remov. rate fit]]-CIf,0)</f>
        <v>554.02164934385087</v>
      </c>
      <c r="S106" s="4">
        <f>Tabella8[[#This Row],[region data]]</f>
        <v>1661</v>
      </c>
      <c r="T106" s="72">
        <f>(Tabella3[[#This Row],[region cumul. data]]-S105)</f>
        <v>116</v>
      </c>
      <c r="U106" s="72">
        <f>Tabella3[[#This Row],[region data]]*NOT(ISBLANK(Tabella3[[#This Row],[region data]]))</f>
        <v>116</v>
      </c>
      <c r="V106">
        <f t="shared" si="1"/>
        <v>91.333333333333329</v>
      </c>
      <c r="W106" s="72">
        <f>Tabella3[[#This Row],[6-days moving avg]]*NOT(ISBLANK(Tabella3[[#This Row],[6-days moving avg]]))</f>
        <v>91.333333333333329</v>
      </c>
      <c r="X106" s="77">
        <f>Tabella8[[#This Row],[region fit]]</f>
        <v>1685.1599390144866</v>
      </c>
      <c r="Y106" s="72">
        <f>Tabella3[[#This Row],[region cumul. fit]]/Kl</f>
        <v>0.18786621393695502</v>
      </c>
      <c r="Z106" s="72">
        <f>IFERROR(Kl*psi_l*_xlfn.SECH(psi_l*(Tabella3[[#This Row],[Day]]-pl)-phi_l)^2/(1+TANH(phi_l)),0)</f>
        <v>104.57478205671082</v>
      </c>
      <c r="AA106" s="72">
        <f>Tabella3[[#This Row],[region fit]]/y_l_peak</f>
        <v>0.75889209484465936</v>
      </c>
      <c r="AB106" s="72">
        <f>Tabella3[[#This Row],[region fit]]*NOT(ISBLANK(Tabella3[[#This Row],[region data]]))</f>
        <v>104.57478205671082</v>
      </c>
      <c r="AC106" s="166">
        <f>IFERROR(kl_m*psi_l_m*_xlfn.SECH(psi_l_m*(Tabella3[[#This Row],[Day]]-pl_m)-phi_l_m)^2/(1+TANH(phi_l_m)),0)</f>
        <v>104.57478205671082</v>
      </c>
      <c r="AD106" s="72">
        <f>Tabella3[[#This Row],[6-days moving avg fit]]*NOT(ISBLANK(Tabella3[[#This Row],[6-days moving avg]]))</f>
        <v>104.57478205671082</v>
      </c>
      <c r="AE106" s="72">
        <f>Tabella3[[#This Row],[region fit]]+CIl</f>
        <v>158.33962246625927</v>
      </c>
      <c r="AF106" s="72">
        <f>MAX(Tabella3[[#This Row],[region fit]]-CIl,0)</f>
        <v>50.809941647162361</v>
      </c>
      <c r="AG106" s="10">
        <f>Tabella8[[#This Row],[rest of Italy ]]</f>
        <v>42499</v>
      </c>
      <c r="AH106" s="10">
        <f>(Tabella3[[#This Row],[rest of Italy cum. data]]-AG105)</f>
        <v>2525</v>
      </c>
      <c r="AI106" s="72">
        <f>Tabella3[[#This Row],[rest of Italy data]]*NOT(ISBLANK(Tabella3[[#This Row],[rest of Italy data]]))</f>
        <v>2525</v>
      </c>
      <c r="AJ106" s="77">
        <f>Tabella8[[#This Row],[rest of Italy fit]]</f>
        <v>41778.537439965126</v>
      </c>
      <c r="AK106" s="72">
        <f>Tabella3[[#This Row],[rest of Italy cumul. fit]]/Ka</f>
        <v>0.19339229477371256</v>
      </c>
      <c r="AL106" s="72">
        <f>IFERROR(Ka*psi_a*_xlfn.SECH(psi_a*(Tabella3[[#This Row],[Day]]-pa)-phi_a)^2/(1+TANH(phi_a)),0)</f>
        <v>2167.3531286026951</v>
      </c>
      <c r="AM106" s="72">
        <f>Tabella3[[#This Row],[rest of Italy fit]]/y_a_peak</f>
        <v>0.75734144224012001</v>
      </c>
      <c r="AN106" s="72">
        <f>Tabella3[[#This Row],[rest of Italy fit]]*NOT(ISBLANK(Tabella3[[#This Row],[rest of Italy data]]))</f>
        <v>2167.3531286026951</v>
      </c>
      <c r="AO106" s="72">
        <f>Tabella3[[#This Row],[rest of Italy fit]]+CIa</f>
        <v>3861.9273235122778</v>
      </c>
      <c r="AP106" s="72">
        <f>MAX(Tabella3[[#This Row],[rest of Italy fit]]-CIa,0)</f>
        <v>472.77893369311232</v>
      </c>
      <c r="AR106"/>
      <c r="AS106"/>
    </row>
    <row r="107" spans="2:45" x14ac:dyDescent="0.3">
      <c r="B107" s="9">
        <v>43930</v>
      </c>
      <c r="C107" s="4">
        <v>100</v>
      </c>
      <c r="D107" s="72">
        <f>'dpc-covid19-ita-andamento-naz'!J47+'dpc-covid19-ita-andamento-naz'!K47</f>
        <v>46749</v>
      </c>
      <c r="E107" s="72">
        <f>(Tabella3[[#This Row],[Italy cumul. data]]-D106)</f>
        <v>2589</v>
      </c>
      <c r="F107" s="72">
        <f>Tabella3[[#This Row],[Italy remov. rate data]]*NOT(ISBLANK(Tabella3[[#This Row],[Italy remov. rate data]]))</f>
        <v>2589</v>
      </c>
      <c r="G107" s="77">
        <f>Tabella8[[#This Row],[Italy fit]]</f>
        <v>45755.885679343373</v>
      </c>
      <c r="H107" s="77">
        <f>Tabella3[[#This Row],[Italy cumul. fit]]/Kf</f>
        <v>0.20335949190819277</v>
      </c>
      <c r="I107" s="77">
        <f>Tabella3[[#This Row],[region fit]]+Tabella3[[#This Row],[rest of Italy fit]]</f>
        <v>2326.7618793180641</v>
      </c>
      <c r="J107" s="77">
        <f>Tabella3[[#This Row],[Italy (fit of selected region + fitted sum of the other regions)]]/(y_l_peak+y_a_peak)</f>
        <v>0.77569316277773581</v>
      </c>
      <c r="K107" s="72">
        <f>IFERROR(Kf*psi_f*_xlfn.SECH(psi_f*(Tabella3[[#This Row],[Day]]-pf)-phi_f)^2/(1+TANH(phi_f)),0)</f>
        <v>2324.5893505620138</v>
      </c>
      <c r="L107" s="292">
        <f>Tabella3[[#This Row],[Italy remov. rate fit]]-Tabella3[[#This Row],[Italy remov. rate data]]</f>
        <v>-264.41064943798619</v>
      </c>
      <c r="M107" s="293">
        <f>Tabella3[[#This Row],[rem. rate residuals]]*NOT(ISBLANK(Tabella3[[#This Row],[Italy remov. rate data]]))</f>
        <v>-264.41064943798619</v>
      </c>
      <c r="N107" s="72">
        <f>Tabella3[[#This Row],[Italy remov. rate fit]]/y_f_peak</f>
        <v>0.77450013232238957</v>
      </c>
      <c r="O107" s="72">
        <f>Tabella3[[#This Row],[Italy (fit of selected region + fitted sum of the other regions)]]*NOT(ISBLANK(Tabella3[[#This Row],[Italy remov. rate data]]))</f>
        <v>2326.7618793180641</v>
      </c>
      <c r="P107" s="72">
        <f>Tabella3[[#This Row],[Italy remov. rate fit]]*NOT(ISBLANK(Tabella3[[#This Row],[Italy remov. rate data]]))</f>
        <v>2324.5893505620138</v>
      </c>
      <c r="Q107" s="72">
        <f>Tabella3[[#This Row],[Italy remov. rate fit]]+CIf</f>
        <v>4040.2042098965649</v>
      </c>
      <c r="R107" s="72">
        <f>MAX(Tabella3[[#This Row],[Italy remov. rate fit]]-CIf,0)</f>
        <v>608.97449122746252</v>
      </c>
      <c r="S107" s="4">
        <f>Tabella8[[#This Row],[region data]]</f>
        <v>1767</v>
      </c>
      <c r="T107" s="72">
        <f>(Tabella3[[#This Row],[region cumul. data]]-S106)</f>
        <v>106</v>
      </c>
      <c r="U107" s="72">
        <f>Tabella3[[#This Row],[region data]]*NOT(ISBLANK(Tabella3[[#This Row],[region data]]))</f>
        <v>106</v>
      </c>
      <c r="V107">
        <f t="shared" si="1"/>
        <v>96.833333333333329</v>
      </c>
      <c r="W107" s="72">
        <f>Tabella3[[#This Row],[6-days moving avg]]*NOT(ISBLANK(Tabella3[[#This Row],[6-days moving avg]]))</f>
        <v>96.833333333333329</v>
      </c>
      <c r="X107" s="77">
        <f>Tabella8[[#This Row],[region fit]]</f>
        <v>1791.1748113935785</v>
      </c>
      <c r="Y107" s="72">
        <f>Tabella3[[#This Row],[region cumul. fit]]/Kl</f>
        <v>0.19968504028913919</v>
      </c>
      <c r="Z107" s="72">
        <f>IFERROR(Kl*psi_l*_xlfn.SECH(psi_l*(Tabella3[[#This Row],[Day]]-pl)-phi_l)^2/(1+TANH(phi_l)),0)</f>
        <v>107.44630085262033</v>
      </c>
      <c r="AA107" s="72">
        <f>Tabella3[[#This Row],[region fit]]/y_l_peak</f>
        <v>0.77973051182775011</v>
      </c>
      <c r="AB107" s="72">
        <f>Tabella3[[#This Row],[region fit]]*NOT(ISBLANK(Tabella3[[#This Row],[region data]]))</f>
        <v>107.44630085262033</v>
      </c>
      <c r="AC107" s="166">
        <f>IFERROR(kl_m*psi_l_m*_xlfn.SECH(psi_l_m*(Tabella3[[#This Row],[Day]]-pl_m)-phi_l_m)^2/(1+TANH(phi_l_m)),0)</f>
        <v>107.44630085262033</v>
      </c>
      <c r="AD107" s="72">
        <f>Tabella3[[#This Row],[6-days moving avg fit]]*NOT(ISBLANK(Tabella3[[#This Row],[6-days moving avg]]))</f>
        <v>107.44630085262033</v>
      </c>
      <c r="AE107" s="72">
        <f>Tabella3[[#This Row],[region fit]]+CIl</f>
        <v>161.21114126216878</v>
      </c>
      <c r="AF107" s="72">
        <f>MAX(Tabella3[[#This Row],[region fit]]-CIl,0)</f>
        <v>53.68146044307187</v>
      </c>
      <c r="AG107" s="10">
        <f>Tabella8[[#This Row],[rest of Italy ]]</f>
        <v>44982</v>
      </c>
      <c r="AH107" s="10">
        <f>(Tabella3[[#This Row],[rest of Italy cum. data]]-AG106)</f>
        <v>2483</v>
      </c>
      <c r="AI107" s="72">
        <f>Tabella3[[#This Row],[rest of Italy data]]*NOT(ISBLANK(Tabella3[[#This Row],[rest of Italy data]]))</f>
        <v>2483</v>
      </c>
      <c r="AJ107" s="77">
        <f>Tabella8[[#This Row],[rest of Italy fit]]</f>
        <v>43971.937565970635</v>
      </c>
      <c r="AK107" s="72">
        <f>Tabella3[[#This Row],[rest of Italy cumul. fit]]/Ka</f>
        <v>0.20354551481725056</v>
      </c>
      <c r="AL107" s="72">
        <f>IFERROR(Ka*psi_a*_xlfn.SECH(psi_a*(Tabella3[[#This Row],[Day]]-pa)-phi_a)^2/(1+TANH(phi_a)),0)</f>
        <v>2219.3155784654437</v>
      </c>
      <c r="AM107" s="72">
        <f>Tabella3[[#This Row],[rest of Italy fit]]/y_a_peak</f>
        <v>0.77549875873923402</v>
      </c>
      <c r="AN107" s="72">
        <f>Tabella3[[#This Row],[rest of Italy fit]]*NOT(ISBLANK(Tabella3[[#This Row],[rest of Italy data]]))</f>
        <v>2219.3155784654437</v>
      </c>
      <c r="AO107" s="72">
        <f>Tabella3[[#This Row],[rest of Italy fit]]+CIa</f>
        <v>3913.8897733750264</v>
      </c>
      <c r="AP107" s="72">
        <f>MAX(Tabella3[[#This Row],[rest of Italy fit]]-CIa,0)</f>
        <v>524.74138355586092</v>
      </c>
      <c r="AR107"/>
      <c r="AS107"/>
    </row>
    <row r="108" spans="2:45" x14ac:dyDescent="0.3">
      <c r="B108" s="9">
        <v>43931</v>
      </c>
      <c r="C108" s="4">
        <v>101</v>
      </c>
      <c r="D108" s="72">
        <f>'dpc-covid19-ita-andamento-naz'!J48+'dpc-covid19-ita-andamento-naz'!K48</f>
        <v>49304</v>
      </c>
      <c r="E108" s="72">
        <f>(Tabella3[[#This Row],[Italy cumul. data]]-D107)</f>
        <v>2555</v>
      </c>
      <c r="F108" s="72">
        <f>Tabella3[[#This Row],[Italy remov. rate data]]*NOT(ISBLANK(Tabella3[[#This Row],[Italy remov. rate data]]))</f>
        <v>2555</v>
      </c>
      <c r="G108" s="77">
        <f>Tabella8[[#This Row],[Italy fit]]</f>
        <v>48107.576445208608</v>
      </c>
      <c r="H108" s="77">
        <f>Tabella3[[#This Row],[Italy cumul. fit]]/Kf</f>
        <v>0.21381145086759382</v>
      </c>
      <c r="I108" s="77">
        <f>Tabella3[[#This Row],[region fit]]+Tabella3[[#This Row],[rest of Italy fit]]</f>
        <v>2380.6666714836479</v>
      </c>
      <c r="J108" s="77">
        <f>Tabella3[[#This Row],[Italy (fit of selected region + fitted sum of the other regions)]]/(y_l_peak+y_a_peak)</f>
        <v>0.79366387954745232</v>
      </c>
      <c r="K108" s="72">
        <f>IFERROR(Kf*psi_f*_xlfn.SECH(psi_f*(Tabella3[[#This Row],[Day]]-pf)-phi_f)^2/(1+TANH(phi_f)),0)</f>
        <v>2378.6245231777166</v>
      </c>
      <c r="L108" s="292">
        <f>Tabella3[[#This Row],[Italy remov. rate fit]]-Tabella3[[#This Row],[Italy remov. rate data]]</f>
        <v>-176.37547682228342</v>
      </c>
      <c r="M108" s="293">
        <f>Tabella3[[#This Row],[rem. rate residuals]]*NOT(ISBLANK(Tabella3[[#This Row],[Italy remov. rate data]]))</f>
        <v>-176.37547682228342</v>
      </c>
      <c r="N108" s="72">
        <f>Tabella3[[#This Row],[Italy remov. rate fit]]/y_f_peak</f>
        <v>0.7925034189376392</v>
      </c>
      <c r="O108" s="72">
        <f>Tabella3[[#This Row],[Italy (fit of selected region + fitted sum of the other regions)]]*NOT(ISBLANK(Tabella3[[#This Row],[Italy remov. rate data]]))</f>
        <v>2380.6666714836479</v>
      </c>
      <c r="P108" s="72">
        <f>Tabella3[[#This Row],[Italy remov. rate fit]]*NOT(ISBLANK(Tabella3[[#This Row],[Italy remov. rate data]]))</f>
        <v>2378.6245231777166</v>
      </c>
      <c r="Q108" s="72">
        <f>Tabella3[[#This Row],[Italy remov. rate fit]]+CIf</f>
        <v>4094.2393825122681</v>
      </c>
      <c r="R108" s="72">
        <f>MAX(Tabella3[[#This Row],[Italy remov. rate fit]]-CIf,0)</f>
        <v>663.0096638431653</v>
      </c>
      <c r="S108" s="4">
        <f>Tabella8[[#This Row],[region data]]</f>
        <v>1890</v>
      </c>
      <c r="T108" s="72">
        <f>(Tabella3[[#This Row],[region cumul. data]]-S107)</f>
        <v>123</v>
      </c>
      <c r="U108" s="72">
        <f>Tabella3[[#This Row],[region data]]*NOT(ISBLANK(Tabella3[[#This Row],[region data]]))</f>
        <v>123</v>
      </c>
      <c r="V108">
        <f t="shared" si="1"/>
        <v>114.5</v>
      </c>
      <c r="W108" s="72">
        <f>Tabella3[[#This Row],[6-days moving avg]]*NOT(ISBLANK(Tabella3[[#This Row],[6-days moving avg]]))</f>
        <v>114.5</v>
      </c>
      <c r="X108" s="77">
        <f>Tabella8[[#This Row],[region fit]]</f>
        <v>1900.0332082393834</v>
      </c>
      <c r="Y108" s="72">
        <f>Tabella3[[#This Row],[region cumul. fit]]/Kl</f>
        <v>0.21182087048376627</v>
      </c>
      <c r="Z108" s="72">
        <f>IFERROR(Kl*psi_l*_xlfn.SECH(psi_l*(Tabella3[[#This Row],[Day]]-pl)-phi_l)^2/(1+TANH(phi_l)),0)</f>
        <v>110.25981177572147</v>
      </c>
      <c r="AA108" s="72">
        <f>Tabella3[[#This Row],[region fit]]/y_l_peak</f>
        <v>0.80014796961544765</v>
      </c>
      <c r="AB108" s="72">
        <f>Tabella3[[#This Row],[region fit]]*NOT(ISBLANK(Tabella3[[#This Row],[region data]]))</f>
        <v>110.25981177572147</v>
      </c>
      <c r="AC108" s="166">
        <f>IFERROR(kl_m*psi_l_m*_xlfn.SECH(psi_l_m*(Tabella3[[#This Row],[Day]]-pl_m)-phi_l_m)^2/(1+TANH(phi_l_m)),0)</f>
        <v>110.25981177572147</v>
      </c>
      <c r="AD108" s="72">
        <f>Tabella3[[#This Row],[6-days moving avg fit]]*NOT(ISBLANK(Tabella3[[#This Row],[6-days moving avg]]))</f>
        <v>110.25981177572147</v>
      </c>
      <c r="AE108" s="72">
        <f>Tabella3[[#This Row],[region fit]]+CIl</f>
        <v>164.02465218526993</v>
      </c>
      <c r="AF108" s="72">
        <f>MAX(Tabella3[[#This Row],[region fit]]-CIl,0)</f>
        <v>56.494971366173019</v>
      </c>
      <c r="AG108" s="10">
        <f>Tabella8[[#This Row],[rest of Italy ]]</f>
        <v>47414</v>
      </c>
      <c r="AH108" s="10">
        <f>(Tabella3[[#This Row],[rest of Italy cum. data]]-AG107)</f>
        <v>2432</v>
      </c>
      <c r="AI108" s="72">
        <f>Tabella3[[#This Row],[rest of Italy data]]*NOT(ISBLANK(Tabella3[[#This Row],[rest of Italy data]]))</f>
        <v>2432</v>
      </c>
      <c r="AJ108" s="77">
        <f>Tabella8[[#This Row],[rest of Italy fit]]</f>
        <v>46216.878250867601</v>
      </c>
      <c r="AK108" s="72">
        <f>Tabella3[[#This Row],[rest of Italy cumul. fit]]/Ka</f>
        <v>0.21393731542317085</v>
      </c>
      <c r="AL108" s="72">
        <f>IFERROR(Ka*psi_a*_xlfn.SECH(psi_a*(Tabella3[[#This Row],[Day]]-pa)-phi_a)^2/(1+TANH(phi_a)),0)</f>
        <v>2270.4068597079263</v>
      </c>
      <c r="AM108" s="72">
        <f>Tabella3[[#This Row],[rest of Italy fit]]/y_a_peak</f>
        <v>0.79335166148564673</v>
      </c>
      <c r="AN108" s="72">
        <f>Tabella3[[#This Row],[rest of Italy fit]]*NOT(ISBLANK(Tabella3[[#This Row],[rest of Italy data]]))</f>
        <v>2270.4068597079263</v>
      </c>
      <c r="AO108" s="72">
        <f>Tabella3[[#This Row],[rest of Italy fit]]+CIa</f>
        <v>3964.981054617509</v>
      </c>
      <c r="AP108" s="72">
        <f>MAX(Tabella3[[#This Row],[rest of Italy fit]]-CIa,0)</f>
        <v>575.83266479834356</v>
      </c>
      <c r="AR108"/>
      <c r="AS108"/>
    </row>
    <row r="109" spans="2:45" x14ac:dyDescent="0.3">
      <c r="B109" s="9">
        <v>43932</v>
      </c>
      <c r="C109" s="4">
        <v>102</v>
      </c>
      <c r="D109" s="72">
        <f>'dpc-covid19-ita-andamento-naz'!J49+'dpc-covid19-ita-andamento-naz'!K49</f>
        <v>52002</v>
      </c>
      <c r="E109" s="72">
        <f>(Tabella3[[#This Row],[Italy cumul. data]]-D108)</f>
        <v>2698</v>
      </c>
      <c r="F109" s="72">
        <f>Tabella3[[#This Row],[Italy remov. rate data]]*NOT(ISBLANK(Tabella3[[#This Row],[Italy remov. rate data]]))</f>
        <v>2698</v>
      </c>
      <c r="G109" s="77">
        <f>Tabella8[[#This Row],[Italy fit]]</f>
        <v>50512.769555802355</v>
      </c>
      <c r="H109" s="77">
        <f>Tabella3[[#This Row],[Italy cumul. fit]]/Kf</f>
        <v>0.22450119802578825</v>
      </c>
      <c r="I109" s="77">
        <f>Tabella3[[#This Row],[region fit]]+Tabella3[[#This Row],[rest of Italy fit]]</f>
        <v>2433.4639173407995</v>
      </c>
      <c r="J109" s="77">
        <f>Tabella3[[#This Row],[Italy (fit of selected region + fitted sum of the other regions)]]/(y_l_peak+y_a_peak)</f>
        <v>0.8112653638200461</v>
      </c>
      <c r="K109" s="72">
        <f>IFERROR(Kf*psi_f*_xlfn.SECH(psi_f*(Tabella3[[#This Row],[Day]]-pf)-phi_f)^2/(1+TANH(phi_f)),0)</f>
        <v>2431.5640761545164</v>
      </c>
      <c r="L109" s="292">
        <f>Tabella3[[#This Row],[Italy remov. rate fit]]-Tabella3[[#This Row],[Italy remov. rate data]]</f>
        <v>-266.43592384548356</v>
      </c>
      <c r="M109" s="293">
        <f>Tabella3[[#This Row],[rem. rate residuals]]*NOT(ISBLANK(Tabella3[[#This Row],[Italy remov. rate data]]))</f>
        <v>-266.43592384548356</v>
      </c>
      <c r="N109" s="72">
        <f>Tabella3[[#This Row],[Italy remov. rate fit]]/y_f_peak</f>
        <v>0.81014167008754945</v>
      </c>
      <c r="O109" s="72">
        <f>Tabella3[[#This Row],[Italy (fit of selected region + fitted sum of the other regions)]]*NOT(ISBLANK(Tabella3[[#This Row],[Italy remov. rate data]]))</f>
        <v>2433.4639173407995</v>
      </c>
      <c r="P109" s="72">
        <f>Tabella3[[#This Row],[Italy remov. rate fit]]*NOT(ISBLANK(Tabella3[[#This Row],[Italy remov. rate data]]))</f>
        <v>2431.5640761545164</v>
      </c>
      <c r="Q109" s="72">
        <f>Tabella3[[#This Row],[Italy remov. rate fit]]+CIf</f>
        <v>4147.178935489068</v>
      </c>
      <c r="R109" s="72">
        <f>MAX(Tabella3[[#This Row],[Italy remov. rate fit]]-CIf,0)</f>
        <v>715.94921681996516</v>
      </c>
      <c r="S109" s="4">
        <f>Tabella8[[#This Row],[region data]]</f>
        <v>2043</v>
      </c>
      <c r="T109" s="72">
        <f>(Tabella3[[#This Row],[region cumul. data]]-S108)</f>
        <v>153</v>
      </c>
      <c r="U109" s="72">
        <f>Tabella3[[#This Row],[region data]]*NOT(ISBLANK(Tabella3[[#This Row],[region data]]))</f>
        <v>153</v>
      </c>
      <c r="V109">
        <f t="shared" si="1"/>
        <v>121.5</v>
      </c>
      <c r="W109" s="72">
        <f>Tabella3[[#This Row],[6-days moving avg]]*NOT(ISBLANK(Tabella3[[#This Row],[6-days moving avg]]))</f>
        <v>121.5</v>
      </c>
      <c r="X109" s="77">
        <f>Tabella8[[#This Row],[region fit]]</f>
        <v>2011.6710163155669</v>
      </c>
      <c r="Y109" s="72">
        <f>Tabella3[[#This Row],[region cumul. fit]]/Kl</f>
        <v>0.22426655700285028</v>
      </c>
      <c r="Z109" s="72">
        <f>IFERROR(Kl*psi_l*_xlfn.SECH(psi_l*(Tabella3[[#This Row],[Day]]-pl)-phi_l)^2/(1+TANH(phi_l)),0)</f>
        <v>113.00305940821912</v>
      </c>
      <c r="AA109" s="72">
        <f>Tabella3[[#This Row],[region fit]]/y_l_peak</f>
        <v>0.82005553147271082</v>
      </c>
      <c r="AB109" s="72">
        <f>Tabella3[[#This Row],[region fit]]*NOT(ISBLANK(Tabella3[[#This Row],[region data]]))</f>
        <v>113.00305940821912</v>
      </c>
      <c r="AC109" s="166">
        <f>IFERROR(kl_m*psi_l_m*_xlfn.SECH(psi_l_m*(Tabella3[[#This Row],[Day]]-pl_m)-phi_l_m)^2/(1+TANH(phi_l_m)),0)</f>
        <v>113.00305940821912</v>
      </c>
      <c r="AD109" s="72">
        <f>Tabella3[[#This Row],[6-days moving avg fit]]*NOT(ISBLANK(Tabella3[[#This Row],[6-days moving avg]]))</f>
        <v>113.00305940821912</v>
      </c>
      <c r="AE109" s="72">
        <f>Tabella3[[#This Row],[region fit]]+CIl</f>
        <v>166.76789981776756</v>
      </c>
      <c r="AF109" s="72">
        <f>MAX(Tabella3[[#This Row],[region fit]]-CIl,0)</f>
        <v>59.238218998670661</v>
      </c>
      <c r="AG109" s="10">
        <f>Tabella8[[#This Row],[rest of Italy ]]</f>
        <v>49959</v>
      </c>
      <c r="AH109" s="10">
        <f>(Tabella3[[#This Row],[rest of Italy cum. data]]-AG108)</f>
        <v>2545</v>
      </c>
      <c r="AI109" s="72">
        <f>Tabella3[[#This Row],[rest of Italy data]]*NOT(ISBLANK(Tabella3[[#This Row],[rest of Italy data]]))</f>
        <v>2545</v>
      </c>
      <c r="AJ109" s="77">
        <f>Tabella8[[#This Row],[rest of Italy fit]]</f>
        <v>48512.405557796192</v>
      </c>
      <c r="AK109" s="72">
        <f>Tabella3[[#This Row],[rest of Italy cumul. fit]]/Ka</f>
        <v>0.2245632808304226</v>
      </c>
      <c r="AL109" s="72">
        <f>IFERROR(Ka*psi_a*_xlfn.SECH(psi_a*(Tabella3[[#This Row],[Day]]-pa)-phi_a)^2/(1+TANH(phi_a)),0)</f>
        <v>2320.4608579325804</v>
      </c>
      <c r="AM109" s="72">
        <f>Tabella3[[#This Row],[rest of Italy fit]]/y_a_peak</f>
        <v>0.81084210487720587</v>
      </c>
      <c r="AN109" s="72">
        <f>Tabella3[[#This Row],[rest of Italy fit]]*NOT(ISBLANK(Tabella3[[#This Row],[rest of Italy data]]))</f>
        <v>2320.4608579325804</v>
      </c>
      <c r="AO109" s="72">
        <f>Tabella3[[#This Row],[rest of Italy fit]]+CIa</f>
        <v>4015.0350528421632</v>
      </c>
      <c r="AP109" s="72">
        <f>MAX(Tabella3[[#This Row],[rest of Italy fit]]-CIa,0)</f>
        <v>625.88666302299771</v>
      </c>
      <c r="AR109"/>
      <c r="AS109"/>
    </row>
    <row r="110" spans="2:45" x14ac:dyDescent="0.3">
      <c r="B110" s="9">
        <v>43933</v>
      </c>
      <c r="C110" s="4">
        <v>103</v>
      </c>
      <c r="D110" s="72">
        <f>'dpc-covid19-ita-andamento-naz'!J50+'dpc-covid19-ita-andamento-naz'!K50</f>
        <v>54110</v>
      </c>
      <c r="E110" s="72">
        <f>(Tabella3[[#This Row],[Italy cumul. data]]-D109)</f>
        <v>2108</v>
      </c>
      <c r="F110" s="72">
        <f>Tabella3[[#This Row],[Italy remov. rate data]]*NOT(ISBLANK(Tabella3[[#This Row],[Italy remov. rate data]]))</f>
        <v>2108</v>
      </c>
      <c r="G110" s="77">
        <f>Tabella8[[#This Row],[Italy fit]]</f>
        <v>52970.279003145995</v>
      </c>
      <c r="H110" s="77">
        <f>Tabella3[[#This Row],[Italy cumul. fit]]/Kf</f>
        <v>0.23542346223620442</v>
      </c>
      <c r="I110" s="77">
        <f>Tabella3[[#This Row],[region fit]]+Tabella3[[#This Row],[rest of Italy fit]]</f>
        <v>2484.972029117238</v>
      </c>
      <c r="J110" s="77">
        <f>Tabella3[[#This Row],[Italy (fit of selected region + fitted sum of the other regions)]]/(y_l_peak+y_a_peak)</f>
        <v>0.82843707807569</v>
      </c>
      <c r="K110" s="72">
        <f>IFERROR(Kf*psi_f*_xlfn.SECH(psi_f*(Tabella3[[#This Row],[Day]]-pf)-phi_f)^2/(1+TANH(phi_f)),0)</f>
        <v>2483.2267720637014</v>
      </c>
      <c r="L110" s="292">
        <f>Tabella3[[#This Row],[Italy remov. rate fit]]-Tabella3[[#This Row],[Italy remov. rate data]]</f>
        <v>375.22677206370145</v>
      </c>
      <c r="M110" s="293">
        <f>Tabella3[[#This Row],[rem. rate residuals]]*NOT(ISBLANK(Tabella3[[#This Row],[Italy remov. rate data]]))</f>
        <v>375.22677206370145</v>
      </c>
      <c r="N110" s="72">
        <f>Tabella3[[#This Row],[Italy remov. rate fit]]/y_f_peak</f>
        <v>0.82735450159610013</v>
      </c>
      <c r="O110" s="72">
        <f>Tabella3[[#This Row],[Italy (fit of selected region + fitted sum of the other regions)]]*NOT(ISBLANK(Tabella3[[#This Row],[Italy remov. rate data]]))</f>
        <v>2484.972029117238</v>
      </c>
      <c r="P110" s="72">
        <f>Tabella3[[#This Row],[Italy remov. rate fit]]*NOT(ISBLANK(Tabella3[[#This Row],[Italy remov. rate data]]))</f>
        <v>2483.2267720637014</v>
      </c>
      <c r="Q110" s="72">
        <f>Tabella3[[#This Row],[Italy remov. rate fit]]+CIf</f>
        <v>4198.8416313982525</v>
      </c>
      <c r="R110" s="72">
        <f>MAX(Tabella3[[#This Row],[Italy remov. rate fit]]-CIf,0)</f>
        <v>767.61191272915016</v>
      </c>
      <c r="S110" s="4">
        <f>Tabella8[[#This Row],[region data]]</f>
        <v>2161</v>
      </c>
      <c r="T110" s="72">
        <f>(Tabella3[[#This Row],[region cumul. data]]-S109)</f>
        <v>118</v>
      </c>
      <c r="U110" s="72">
        <f>Tabella3[[#This Row],[region data]]*NOT(ISBLANK(Tabella3[[#This Row],[region data]]))</f>
        <v>118</v>
      </c>
      <c r="V110">
        <f t="shared" si="1"/>
        <v>114.33333333333333</v>
      </c>
      <c r="W110" s="72">
        <f>Tabella3[[#This Row],[6-days moving avg]]*NOT(ISBLANK(Tabella3[[#This Row],[6-days moving avg]]))</f>
        <v>114.33333333333333</v>
      </c>
      <c r="X110" s="77">
        <f>Tabella8[[#This Row],[region fit]]</f>
        <v>2126.0117485259707</v>
      </c>
      <c r="Y110" s="72">
        <f>Tabella3[[#This Row],[region cumul. fit]]/Kl</f>
        <v>0.23701357285685293</v>
      </c>
      <c r="Z110" s="72">
        <f>IFERROR(Kl*psi_l*_xlfn.SECH(psi_l*(Tabella3[[#This Row],[Day]]-pl)-phi_l)^2/(1+TANH(phi_l)),0)</f>
        <v>115.663567394317</v>
      </c>
      <c r="AA110" s="72">
        <f>Tabella3[[#This Row],[region fit]]/y_l_peak</f>
        <v>0.83936265733242188</v>
      </c>
      <c r="AB110" s="72">
        <f>Tabella3[[#This Row],[region fit]]*NOT(ISBLANK(Tabella3[[#This Row],[region data]]))</f>
        <v>115.663567394317</v>
      </c>
      <c r="AC110" s="166">
        <f>IFERROR(kl_m*psi_l_m*_xlfn.SECH(psi_l_m*(Tabella3[[#This Row],[Day]]-pl_m)-phi_l_m)^2/(1+TANH(phi_l_m)),0)</f>
        <v>115.663567394317</v>
      </c>
      <c r="AD110" s="72">
        <f>Tabella3[[#This Row],[6-days moving avg fit]]*NOT(ISBLANK(Tabella3[[#This Row],[6-days moving avg]]))</f>
        <v>115.663567394317</v>
      </c>
      <c r="AE110" s="72">
        <f>Tabella3[[#This Row],[region fit]]+CIl</f>
        <v>169.42840780386547</v>
      </c>
      <c r="AF110" s="72">
        <f>MAX(Tabella3[[#This Row],[region fit]]-CIl,0)</f>
        <v>61.898726984768544</v>
      </c>
      <c r="AG110" s="10">
        <f>Tabella8[[#This Row],[rest of Italy ]]</f>
        <v>51949</v>
      </c>
      <c r="AH110" s="10">
        <f>(Tabella3[[#This Row],[rest of Italy cum. data]]-AG109)</f>
        <v>1990</v>
      </c>
      <c r="AI110" s="72">
        <f>Tabella3[[#This Row],[rest of Italy data]]*NOT(ISBLANK(Tabella3[[#This Row],[rest of Italy data]]))</f>
        <v>1990</v>
      </c>
      <c r="AJ110" s="77">
        <f>Tabella8[[#This Row],[rest of Italy fit]]</f>
        <v>50857.397857605189</v>
      </c>
      <c r="AK110" s="72">
        <f>Tabella3[[#This Row],[rest of Italy cumul. fit]]/Ka</f>
        <v>0.2354182190325658</v>
      </c>
      <c r="AL110" s="72">
        <f>IFERROR(Ka*psi_a*_xlfn.SECH(psi_a*(Tabella3[[#This Row],[Day]]-pa)-phi_a)^2/(1+TANH(phi_a)),0)</f>
        <v>2369.308461722921</v>
      </c>
      <c r="AM110" s="72">
        <f>Tabella3[[#This Row],[rest of Italy fit]]/y_a_peak</f>
        <v>0.82791099605895846</v>
      </c>
      <c r="AN110" s="72">
        <f>Tabella3[[#This Row],[rest of Italy fit]]*NOT(ISBLANK(Tabella3[[#This Row],[rest of Italy data]]))</f>
        <v>2369.308461722921</v>
      </c>
      <c r="AO110" s="72">
        <f>Tabella3[[#This Row],[rest of Italy fit]]+CIa</f>
        <v>4063.8826566325038</v>
      </c>
      <c r="AP110" s="72">
        <f>MAX(Tabella3[[#This Row],[rest of Italy fit]]-CIa,0)</f>
        <v>674.73426681333831</v>
      </c>
      <c r="AR110"/>
      <c r="AS110"/>
    </row>
    <row r="111" spans="2:45" x14ac:dyDescent="0.3">
      <c r="B111" s="9">
        <v>43934</v>
      </c>
      <c r="C111" s="4">
        <v>104</v>
      </c>
      <c r="D111" s="72">
        <f>'dpc-covid19-ita-andamento-naz'!J51+'dpc-covid19-ita-andamento-naz'!K51</f>
        <v>55900</v>
      </c>
      <c r="E111" s="72">
        <f>(Tabella3[[#This Row],[Italy cumul. data]]-D110)</f>
        <v>1790</v>
      </c>
      <c r="F111" s="72">
        <f>Tabella3[[#This Row],[Italy remov. rate data]]*NOT(ISBLANK(Tabella3[[#This Row],[Italy remov. rate data]]))</f>
        <v>1790</v>
      </c>
      <c r="G111" s="77">
        <f>Tabella8[[#This Row],[Italy fit]]</f>
        <v>55478.736344095603</v>
      </c>
      <c r="H111" s="77">
        <f>Tabella3[[#This Row],[Italy cumul. fit]]/Kf</f>
        <v>0.2465721615293138</v>
      </c>
      <c r="I111" s="77">
        <f>Tabella3[[#This Row],[region fit]]+Tabella3[[#This Row],[rest of Italy fit]]</f>
        <v>2535.0072964126421</v>
      </c>
      <c r="J111" s="77">
        <f>Tabella3[[#This Row],[Italy (fit of selected region + fitted sum of the other regions)]]/(y_l_peak+y_a_peak)</f>
        <v>0.84511777715529524</v>
      </c>
      <c r="K111" s="72">
        <f>IFERROR(Kf*psi_f*_xlfn.SECH(psi_f*(Tabella3[[#This Row],[Day]]-pf)-phi_f)^2/(1+TANH(phi_f)),0)</f>
        <v>2533.4291654739427</v>
      </c>
      <c r="L111" s="292">
        <f>Tabella3[[#This Row],[Italy remov. rate fit]]-Tabella3[[#This Row],[Italy remov. rate data]]</f>
        <v>743.4291654739427</v>
      </c>
      <c r="M111" s="293">
        <f>Tabella3[[#This Row],[rem. rate residuals]]*NOT(ISBLANK(Tabella3[[#This Row],[Italy remov. rate data]]))</f>
        <v>743.4291654739427</v>
      </c>
      <c r="N111" s="72">
        <f>Tabella3[[#This Row],[Italy remov. rate fit]]/y_f_peak</f>
        <v>0.84408079363117805</v>
      </c>
      <c r="O111" s="72">
        <f>Tabella3[[#This Row],[Italy (fit of selected region + fitted sum of the other regions)]]*NOT(ISBLANK(Tabella3[[#This Row],[Italy remov. rate data]]))</f>
        <v>2535.0072964126421</v>
      </c>
      <c r="P111" s="72">
        <f>Tabella3[[#This Row],[Italy remov. rate fit]]*NOT(ISBLANK(Tabella3[[#This Row],[Italy remov. rate data]]))</f>
        <v>2533.4291654739427</v>
      </c>
      <c r="Q111" s="72">
        <f>Tabella3[[#This Row],[Italy remov. rate fit]]+CIf</f>
        <v>4249.0440248084942</v>
      </c>
      <c r="R111" s="72">
        <f>MAX(Tabella3[[#This Row],[Italy remov. rate fit]]-CIf,0)</f>
        <v>817.81430613939142</v>
      </c>
      <c r="S111" s="4">
        <f>Tabella8[[#This Row],[region data]]</f>
        <v>2231</v>
      </c>
      <c r="T111" s="72">
        <f>(Tabella3[[#This Row],[region cumul. data]]-S110)</f>
        <v>70</v>
      </c>
      <c r="U111" s="72">
        <f>Tabella3[[#This Row],[region data]]*NOT(ISBLANK(Tabella3[[#This Row],[region data]]))</f>
        <v>70</v>
      </c>
      <c r="V111">
        <f t="shared" si="1"/>
        <v>113.5</v>
      </c>
      <c r="W111" s="72">
        <f>Tabella3[[#This Row],[6-days moving avg]]*NOT(ISBLANK(Tabella3[[#This Row],[6-days moving avg]]))</f>
        <v>113.5</v>
      </c>
      <c r="X111" s="77">
        <f>Tabella8[[#This Row],[region fit]]</f>
        <v>2242.9663723493127</v>
      </c>
      <c r="Y111" s="72">
        <f>Tabella3[[#This Row],[region cumul. fit]]/Kl</f>
        <v>0.25005199245811738</v>
      </c>
      <c r="Z111" s="72">
        <f>IFERROR(Kl*psi_l*_xlfn.SECH(psi_l*(Tabella3[[#This Row],[Day]]-pl)-phi_l)^2/(1+TANH(phi_l)),0)</f>
        <v>118.22873868833913</v>
      </c>
      <c r="AA111" s="72">
        <f>Tabella3[[#This Row],[region fit]]/y_l_peak</f>
        <v>0.85797793128919819</v>
      </c>
      <c r="AB111" s="72">
        <f>Tabella3[[#This Row],[region fit]]*NOT(ISBLANK(Tabella3[[#This Row],[region data]]))</f>
        <v>118.22873868833913</v>
      </c>
      <c r="AC111" s="166">
        <f>IFERROR(kl_m*psi_l_m*_xlfn.SECH(psi_l_m*(Tabella3[[#This Row],[Day]]-pl_m)-phi_l_m)^2/(1+TANH(phi_l_m)),0)</f>
        <v>118.22873868833913</v>
      </c>
      <c r="AD111" s="72">
        <f>Tabella3[[#This Row],[6-days moving avg fit]]*NOT(ISBLANK(Tabella3[[#This Row],[6-days moving avg]]))</f>
        <v>118.22873868833913</v>
      </c>
      <c r="AE111" s="72">
        <f>Tabella3[[#This Row],[region fit]]+CIl</f>
        <v>171.99357909788759</v>
      </c>
      <c r="AF111" s="72">
        <f>MAX(Tabella3[[#This Row],[region fit]]-CIl,0)</f>
        <v>64.46389827879068</v>
      </c>
      <c r="AG111" s="10">
        <f>Tabella8[[#This Row],[rest of Italy ]]</f>
        <v>53669</v>
      </c>
      <c r="AH111" s="10">
        <f>(Tabella3[[#This Row],[rest of Italy cum. data]]-AG110)</f>
        <v>1720</v>
      </c>
      <c r="AI111" s="72">
        <f>Tabella3[[#This Row],[rest of Italy data]]*NOT(ISBLANK(Tabella3[[#This Row],[rest of Italy data]]))</f>
        <v>1720</v>
      </c>
      <c r="AJ111" s="77">
        <f>Tabella8[[#This Row],[rest of Italy fit]]</f>
        <v>53250.563322368253</v>
      </c>
      <c r="AK111" s="72">
        <f>Tabella3[[#This Row],[rest of Italy cumul. fit]]/Ka</f>
        <v>0.24649615017529164</v>
      </c>
      <c r="AL111" s="72">
        <f>IFERROR(Ka*psi_a*_xlfn.SECH(psi_a*(Tabella3[[#This Row],[Day]]-pa)-phi_a)^2/(1+TANH(phi_a)),0)</f>
        <v>2416.778557724303</v>
      </c>
      <c r="AM111" s="72">
        <f>Tabella3[[#This Row],[rest of Italy fit]]/y_a_peak</f>
        <v>0.84449854263570923</v>
      </c>
      <c r="AN111" s="72">
        <f>Tabella3[[#This Row],[rest of Italy fit]]*NOT(ISBLANK(Tabella3[[#This Row],[rest of Italy data]]))</f>
        <v>2416.778557724303</v>
      </c>
      <c r="AO111" s="72">
        <f>Tabella3[[#This Row],[rest of Italy fit]]+CIa</f>
        <v>4111.3527526338858</v>
      </c>
      <c r="AP111" s="72">
        <f>MAX(Tabella3[[#This Row],[rest of Italy fit]]-CIa,0)</f>
        <v>722.2043628147203</v>
      </c>
      <c r="AR111"/>
      <c r="AS111"/>
    </row>
    <row r="112" spans="2:45" x14ac:dyDescent="0.3">
      <c r="B112" s="9">
        <v>43935</v>
      </c>
      <c r="C112" s="4">
        <v>105</v>
      </c>
      <c r="D112" s="72">
        <f>'dpc-covid19-ita-andamento-naz'!J52+'dpc-covid19-ita-andamento-naz'!K52</f>
        <v>58197</v>
      </c>
      <c r="E112" s="72">
        <f>(Tabella3[[#This Row],[Italy cumul. data]]-D111)</f>
        <v>2297</v>
      </c>
      <c r="F112" s="72">
        <f>Tabella3[[#This Row],[Italy remov. rate data]]*NOT(ISBLANK(Tabella3[[#This Row],[Italy remov. rate data]]))</f>
        <v>2297</v>
      </c>
      <c r="G112" s="77">
        <f>Tabella8[[#This Row],[Italy fit]]</f>
        <v>58036.589069107889</v>
      </c>
      <c r="H112" s="77">
        <f>Tabella3[[#This Row],[Italy cumul. fit]]/Kf</f>
        <v>0.25794039586270173</v>
      </c>
      <c r="I112" s="77">
        <f>Tabella3[[#This Row],[region fit]]+Tabella3[[#This Row],[rest of Italy fit]]</f>
        <v>2583.3850704530373</v>
      </c>
      <c r="J112" s="77">
        <f>Tabella3[[#This Row],[Italy (fit of selected region + fitted sum of the other regions)]]/(y_l_peak+y_a_peak)</f>
        <v>0.86124590306585869</v>
      </c>
      <c r="K112" s="72">
        <f>IFERROR(Kf*psi_f*_xlfn.SECH(psi_f*(Tabella3[[#This Row],[Day]]-pf)-phi_f)^2/(1+TANH(phi_f)),0)</f>
        <v>2581.9867705372199</v>
      </c>
      <c r="L112" s="292">
        <f>Tabella3[[#This Row],[Italy remov. rate fit]]-Tabella3[[#This Row],[Italy remov. rate data]]</f>
        <v>284.98677053721985</v>
      </c>
      <c r="M112" s="293">
        <f>Tabella3[[#This Row],[rem. rate residuals]]*NOT(ISBLANK(Tabella3[[#This Row],[Italy remov. rate data]]))</f>
        <v>284.98677053721985</v>
      </c>
      <c r="N112" s="72">
        <f>Tabella3[[#This Row],[Italy remov. rate fit]]/y_f_peak</f>
        <v>0.86025907971756754</v>
      </c>
      <c r="O112" s="72">
        <f>Tabella3[[#This Row],[Italy (fit of selected region + fitted sum of the other regions)]]*NOT(ISBLANK(Tabella3[[#This Row],[Italy remov. rate data]]))</f>
        <v>2583.3850704530373</v>
      </c>
      <c r="P112" s="72">
        <f>Tabella3[[#This Row],[Italy remov. rate fit]]*NOT(ISBLANK(Tabella3[[#This Row],[Italy remov. rate data]]))</f>
        <v>2581.9867705372199</v>
      </c>
      <c r="Q112" s="72">
        <f>Tabella3[[#This Row],[Italy remov. rate fit]]+CIf</f>
        <v>4297.6016298717714</v>
      </c>
      <c r="R112" s="72">
        <f>MAX(Tabella3[[#This Row],[Italy remov. rate fit]]-CIf,0)</f>
        <v>866.37191120266857</v>
      </c>
      <c r="S112" s="4">
        <f>Tabella8[[#This Row],[region data]]</f>
        <v>2342</v>
      </c>
      <c r="T112" s="72">
        <f>(Tabella3[[#This Row],[region cumul. data]]-S111)</f>
        <v>111</v>
      </c>
      <c r="U112" s="72">
        <f>Tabella3[[#This Row],[region data]]*NOT(ISBLANK(Tabella3[[#This Row],[region data]]))</f>
        <v>111</v>
      </c>
      <c r="V112">
        <f t="shared" si="1"/>
        <v>117.5</v>
      </c>
      <c r="W112" s="72">
        <f>Tabella3[[#This Row],[6-days moving avg]]*NOT(ISBLANK(Tabella3[[#This Row],[6-days moving avg]]))</f>
        <v>117.5</v>
      </c>
      <c r="X112" s="77">
        <f>Tabella8[[#This Row],[region fit]]</f>
        <v>2362.4332428573034</v>
      </c>
      <c r="Y112" s="72">
        <f>Tabella3[[#This Row],[region cumul. fit]]/Kl</f>
        <v>0.26337048415354553</v>
      </c>
      <c r="Z112" s="72">
        <f>IFERROR(Kl*psi_l*_xlfn.SECH(psi_l*(Tabella3[[#This Row],[Day]]-pl)-phi_l)^2/(1+TANH(phi_l)),0)</f>
        <v>120.68596429140617</v>
      </c>
      <c r="AA112" s="72">
        <f>Tabella3[[#This Row],[region fit]]/y_l_peak</f>
        <v>0.87580985069407158</v>
      </c>
      <c r="AB112" s="72">
        <f>Tabella3[[#This Row],[region fit]]*NOT(ISBLANK(Tabella3[[#This Row],[region data]]))</f>
        <v>120.68596429140617</v>
      </c>
      <c r="AC112" s="166">
        <f>IFERROR(kl_m*psi_l_m*_xlfn.SECH(psi_l_m*(Tabella3[[#This Row],[Day]]-pl_m)-phi_l_m)^2/(1+TANH(phi_l_m)),0)</f>
        <v>120.68596429140617</v>
      </c>
      <c r="AD112" s="72">
        <f>Tabella3[[#This Row],[6-days moving avg fit]]*NOT(ISBLANK(Tabella3[[#This Row],[6-days moving avg]]))</f>
        <v>120.68596429140617</v>
      </c>
      <c r="AE112" s="72">
        <f>Tabella3[[#This Row],[region fit]]+CIl</f>
        <v>174.45080470095462</v>
      </c>
      <c r="AF112" s="72">
        <f>MAX(Tabella3[[#This Row],[region fit]]-CIl,0)</f>
        <v>66.92112388185771</v>
      </c>
      <c r="AG112" s="10">
        <f>Tabella8[[#This Row],[rest of Italy ]]</f>
        <v>55855</v>
      </c>
      <c r="AH112" s="10">
        <f>(Tabella3[[#This Row],[rest of Italy cum. data]]-AG111)</f>
        <v>2186</v>
      </c>
      <c r="AI112" s="72">
        <f>Tabella3[[#This Row],[rest of Italy data]]*NOT(ISBLANK(Tabella3[[#This Row],[rest of Italy data]]))</f>
        <v>2186</v>
      </c>
      <c r="AJ112" s="77">
        <f>Tabella8[[#This Row],[rest of Italy fit]]</f>
        <v>55690.438454824405</v>
      </c>
      <c r="AK112" s="72">
        <f>Tabella3[[#This Row],[rest of Italy cumul. fit]]/Ka</f>
        <v>0.25779029974922191</v>
      </c>
      <c r="AL112" s="72">
        <f>IFERROR(Ka*psi_a*_xlfn.SECH(psi_a*(Tabella3[[#This Row],[Day]]-pa)-phi_a)^2/(1+TANH(phi_a)),0)</f>
        <v>2462.6991061616313</v>
      </c>
      <c r="AM112" s="72">
        <f>Tabella3[[#This Row],[rest of Italy fit]]/y_a_peak</f>
        <v>0.86054462849178048</v>
      </c>
      <c r="AN112" s="72">
        <f>Tabella3[[#This Row],[rest of Italy fit]]*NOT(ISBLANK(Tabella3[[#This Row],[rest of Italy data]]))</f>
        <v>2462.6991061616313</v>
      </c>
      <c r="AO112" s="72">
        <f>Tabella3[[#This Row],[rest of Italy fit]]+CIa</f>
        <v>4157.2733010712145</v>
      </c>
      <c r="AP112" s="72">
        <f>MAX(Tabella3[[#This Row],[rest of Italy fit]]-CIa,0)</f>
        <v>768.12491125204861</v>
      </c>
      <c r="AR112"/>
      <c r="AS112"/>
    </row>
    <row r="113" spans="2:45" x14ac:dyDescent="0.3">
      <c r="B113" s="9">
        <v>43936</v>
      </c>
      <c r="C113" s="4">
        <v>106</v>
      </c>
      <c r="D113" s="72">
        <f>'dpc-covid19-ita-andamento-naz'!J53+'dpc-covid19-ita-andamento-naz'!K53</f>
        <v>59737</v>
      </c>
      <c r="E113" s="72">
        <f>(Tabella3[[#This Row],[Italy cumul. data]]-D112)</f>
        <v>1540</v>
      </c>
      <c r="F113" s="72">
        <f>Tabella3[[#This Row],[Italy remov. rate data]]*NOT(ISBLANK(Tabella3[[#This Row],[Italy remov. rate data]]))</f>
        <v>1540</v>
      </c>
      <c r="G113" s="77">
        <f>Tabella8[[#This Row],[Italy fit]]</f>
        <v>60642.100179094807</v>
      </c>
      <c r="H113" s="77">
        <f>Tabella3[[#This Row],[Italy cumul. fit]]/Kf</f>
        <v>0.26952044524042135</v>
      </c>
      <c r="I113" s="77">
        <f>Tabella3[[#This Row],[region fit]]+Tabella3[[#This Row],[rest of Italy fit]]</f>
        <v>2629.9210276117838</v>
      </c>
      <c r="J113" s="77">
        <f>Tabella3[[#This Row],[Italy (fit of selected region + fitted sum of the other regions)]]/(y_l_peak+y_a_peak)</f>
        <v>0.87676000621161621</v>
      </c>
      <c r="K113" s="72">
        <f>IFERROR(Kf*psi_f*_xlfn.SECH(psi_f*(Tabella3[[#This Row],[Day]]-pf)-phi_f)^2/(1+TANH(phi_f)),0)</f>
        <v>2628.7153078678161</v>
      </c>
      <c r="L113" s="292">
        <f>Tabella3[[#This Row],[Italy remov. rate fit]]-Tabella3[[#This Row],[Italy remov. rate data]]</f>
        <v>1088.7153078678161</v>
      </c>
      <c r="M113" s="293">
        <f>Tabella3[[#This Row],[rem. rate residuals]]*NOT(ISBLANK(Tabella3[[#This Row],[Italy remov. rate data]]))</f>
        <v>1088.7153078678161</v>
      </c>
      <c r="N113" s="72">
        <f>Tabella3[[#This Row],[Italy remov. rate fit]]/y_f_peak</f>
        <v>0.87582796216858139</v>
      </c>
      <c r="O113" s="72">
        <f>Tabella3[[#This Row],[Italy (fit of selected region + fitted sum of the other regions)]]*NOT(ISBLANK(Tabella3[[#This Row],[Italy remov. rate data]]))</f>
        <v>2629.9210276117838</v>
      </c>
      <c r="P113" s="72">
        <f>Tabella3[[#This Row],[Italy remov. rate fit]]*NOT(ISBLANK(Tabella3[[#This Row],[Italy remov. rate data]]))</f>
        <v>2628.7153078678161</v>
      </c>
      <c r="Q113" s="72">
        <f>Tabella3[[#This Row],[Italy remov. rate fit]]+CIf</f>
        <v>4344.3301672023672</v>
      </c>
      <c r="R113" s="72">
        <f>MAX(Tabella3[[#This Row],[Italy remov. rate fit]]-CIf,0)</f>
        <v>913.10044853326485</v>
      </c>
      <c r="S113" s="4">
        <f>Tabella8[[#This Row],[region data]]</f>
        <v>2472</v>
      </c>
      <c r="T113" s="72">
        <f>(Tabella3[[#This Row],[region cumul. data]]-S112)</f>
        <v>130</v>
      </c>
      <c r="U113" s="72">
        <f>Tabella3[[#This Row],[region data]]*NOT(ISBLANK(Tabella3[[#This Row],[region data]]))</f>
        <v>130</v>
      </c>
      <c r="V113">
        <f t="shared" si="1"/>
        <v>118.66666666666667</v>
      </c>
      <c r="W113" s="72">
        <f>Tabella3[[#This Row],[6-days moving avg]]*NOT(ISBLANK(Tabella3[[#This Row],[6-days moving avg]]))</f>
        <v>118.66666666666667</v>
      </c>
      <c r="X113" s="77">
        <f>Tabella8[[#This Row],[region fit]]</f>
        <v>2484.2981482130458</v>
      </c>
      <c r="Y113" s="72">
        <f>Tabella3[[#This Row],[region cumul. fit]]/Kl</f>
        <v>0.27695631529688358</v>
      </c>
      <c r="Z113" s="72">
        <f>IFERROR(Kl*psi_l*_xlfn.SECH(psi_l*(Tabella3[[#This Row],[Day]]-pl)-phi_l)^2/(1+TANH(phi_l)),0)</f>
        <v>123.02273924795995</v>
      </c>
      <c r="AA113" s="72">
        <f>Tabella3[[#This Row],[region fit]]/y_l_peak</f>
        <v>0.89276766793339368</v>
      </c>
      <c r="AB113" s="72">
        <f>Tabella3[[#This Row],[region fit]]*NOT(ISBLANK(Tabella3[[#This Row],[region data]]))</f>
        <v>123.02273924795995</v>
      </c>
      <c r="AC113" s="166">
        <f>IFERROR(kl_m*psi_l_m*_xlfn.SECH(psi_l_m*(Tabella3[[#This Row],[Day]]-pl_m)-phi_l_m)^2/(1+TANH(phi_l_m)),0)</f>
        <v>123.02273924795995</v>
      </c>
      <c r="AD113" s="72">
        <f>Tabella3[[#This Row],[6-days moving avg fit]]*NOT(ISBLANK(Tabella3[[#This Row],[6-days moving avg]]))</f>
        <v>123.02273924795995</v>
      </c>
      <c r="AE113" s="72">
        <f>Tabella3[[#This Row],[region fit]]+CIl</f>
        <v>176.78757965750839</v>
      </c>
      <c r="AF113" s="72">
        <f>MAX(Tabella3[[#This Row],[region fit]]-CIl,0)</f>
        <v>69.257898838411492</v>
      </c>
      <c r="AG113" s="10">
        <f>Tabella8[[#This Row],[rest of Italy ]]</f>
        <v>57265</v>
      </c>
      <c r="AH113" s="10">
        <f>(Tabella3[[#This Row],[rest of Italy cum. data]]-AG112)</f>
        <v>1410</v>
      </c>
      <c r="AI113" s="72">
        <f>Tabella3[[#This Row],[rest of Italy data]]*NOT(ISBLANK(Tabella3[[#This Row],[rest of Italy data]]))</f>
        <v>1410</v>
      </c>
      <c r="AJ113" s="77">
        <f>Tabella8[[#This Row],[rest of Italy fit]]</f>
        <v>58175.387730119633</v>
      </c>
      <c r="AK113" s="72">
        <f>Tabella3[[#This Row],[rest of Italy cumul. fit]]/Ka</f>
        <v>0.26929309693153558</v>
      </c>
      <c r="AL113" s="72">
        <f>IFERROR(Ka*psi_a*_xlfn.SECH(psi_a*(Tabella3[[#This Row],[Day]]-pa)-phi_a)^2/(1+TANH(phi_a)),0)</f>
        <v>2506.8982883638237</v>
      </c>
      <c r="AM113" s="72">
        <f>Tabella3[[#This Row],[rest of Italy fit]]/y_a_peak</f>
        <v>0.87598921477220026</v>
      </c>
      <c r="AN113" s="72">
        <f>Tabella3[[#This Row],[rest of Italy fit]]*NOT(ISBLANK(Tabella3[[#This Row],[rest of Italy data]]))</f>
        <v>2506.8982883638237</v>
      </c>
      <c r="AO113" s="72">
        <f>Tabella3[[#This Row],[rest of Italy fit]]+CIa</f>
        <v>4201.4724832734064</v>
      </c>
      <c r="AP113" s="72">
        <f>MAX(Tabella3[[#This Row],[rest of Italy fit]]-CIa,0)</f>
        <v>812.32409345424094</v>
      </c>
      <c r="AR113"/>
      <c r="AS113"/>
    </row>
    <row r="114" spans="2:45" x14ac:dyDescent="0.3">
      <c r="B114" s="9">
        <v>43937</v>
      </c>
      <c r="C114" s="4">
        <v>107</v>
      </c>
      <c r="D114" s="72">
        <f>'dpc-covid19-ita-andamento-naz'!J54+'dpc-covid19-ita-andamento-naz'!K54</f>
        <v>62334</v>
      </c>
      <c r="E114" s="72">
        <f>(Tabella3[[#This Row],[Italy cumul. data]]-D113)</f>
        <v>2597</v>
      </c>
      <c r="F114" s="72">
        <f>Tabella3[[#This Row],[Italy remov. rate data]]*NOT(ISBLANK(Tabella3[[#This Row],[Italy remov. rate data]]))</f>
        <v>2597</v>
      </c>
      <c r="G114" s="77">
        <f>Tabella8[[#This Row],[Italy fit]]</f>
        <v>63293.349044181807</v>
      </c>
      <c r="H114" s="77">
        <f>Tabella3[[#This Row],[Italy cumul. fit]]/Kf</f>
        <v>0.28130377352969693</v>
      </c>
      <c r="I114" s="77">
        <f>Tabella3[[#This Row],[region fit]]+Tabella3[[#This Row],[rest of Italy fit]]</f>
        <v>2674.4325004247889</v>
      </c>
      <c r="J114" s="77">
        <f>Tabella3[[#This Row],[Italy (fit of selected region + fitted sum of the other regions)]]/(y_l_peak+y_a_peak)</f>
        <v>0.89159918912634351</v>
      </c>
      <c r="K114" s="72">
        <f>IFERROR(Kf*psi_f*_xlfn.SECH(psi_f*(Tabella3[[#This Row],[Day]]-pf)-phi_f)^2/(1+TANH(phi_f)),0)</f>
        <v>2673.4320194196857</v>
      </c>
      <c r="L114" s="292">
        <f>Tabella3[[#This Row],[Italy remov. rate fit]]-Tabella3[[#This Row],[Italy remov. rate data]]</f>
        <v>76.43201941968573</v>
      </c>
      <c r="M114" s="293">
        <f>Tabella3[[#This Row],[rem. rate residuals]]*NOT(ISBLANK(Tabella3[[#This Row],[Italy remov. rate data]]))</f>
        <v>76.43201941968573</v>
      </c>
      <c r="N114" s="72">
        <f>Tabella3[[#This Row],[Italy remov. rate fit]]/y_f_peak</f>
        <v>0.89072655017319902</v>
      </c>
      <c r="O114" s="72">
        <f>Tabella3[[#This Row],[Italy (fit of selected region + fitted sum of the other regions)]]*NOT(ISBLANK(Tabella3[[#This Row],[Italy remov. rate data]]))</f>
        <v>2674.4325004247889</v>
      </c>
      <c r="P114" s="72">
        <f>Tabella3[[#This Row],[Italy remov. rate fit]]*NOT(ISBLANK(Tabella3[[#This Row],[Italy remov. rate data]]))</f>
        <v>2673.4320194196857</v>
      </c>
      <c r="Q114" s="72">
        <f>Tabella3[[#This Row],[Italy remov. rate fit]]+CIf</f>
        <v>4389.0468787542368</v>
      </c>
      <c r="R114" s="72">
        <f>MAX(Tabella3[[#This Row],[Italy remov. rate fit]]-CIf,0)</f>
        <v>957.81716008513445</v>
      </c>
      <c r="S114" s="4">
        <f>Tabella8[[#This Row],[region data]]</f>
        <v>2602</v>
      </c>
      <c r="T114" s="72">
        <f>(Tabella3[[#This Row],[region cumul. data]]-S113)</f>
        <v>130</v>
      </c>
      <c r="U114" s="72">
        <f>Tabella3[[#This Row],[region data]]*NOT(ISBLANK(Tabella3[[#This Row],[region data]]))</f>
        <v>130</v>
      </c>
      <c r="V114">
        <f t="shared" si="1"/>
        <v>114.33333333333333</v>
      </c>
      <c r="W114" s="72">
        <f>Tabella3[[#This Row],[6-days moving avg]]*NOT(ISBLANK(Tabella3[[#This Row],[6-days moving avg]]))</f>
        <v>114.33333333333333</v>
      </c>
      <c r="X114" s="77">
        <f>Tabella8[[#This Row],[region fit]]</f>
        <v>2608.4344741836117</v>
      </c>
      <c r="Y114" s="72">
        <f>Tabella3[[#This Row],[region cumul. fit]]/Kl</f>
        <v>0.29079537058903138</v>
      </c>
      <c r="Z114" s="72">
        <f>IFERROR(Kl*psi_l*_xlfn.SECH(psi_l*(Tabella3[[#This Row],[Day]]-pl)-phi_l)^2/(1+TANH(phi_l)),0)</f>
        <v>125.2267844069582</v>
      </c>
      <c r="AA114" s="72">
        <f>Tabella3[[#This Row],[region fit]]/y_l_peak</f>
        <v>0.90876227404155985</v>
      </c>
      <c r="AB114" s="72">
        <f>Tabella3[[#This Row],[region fit]]*NOT(ISBLANK(Tabella3[[#This Row],[region data]]))</f>
        <v>125.2267844069582</v>
      </c>
      <c r="AC114" s="166">
        <f>IFERROR(kl_m*psi_l_m*_xlfn.SECH(psi_l_m*(Tabella3[[#This Row],[Day]]-pl_m)-phi_l_m)^2/(1+TANH(phi_l_m)),0)</f>
        <v>125.2267844069582</v>
      </c>
      <c r="AD114" s="72">
        <f>Tabella3[[#This Row],[6-days moving avg fit]]*NOT(ISBLANK(Tabella3[[#This Row],[6-days moving avg]]))</f>
        <v>125.2267844069582</v>
      </c>
      <c r="AE114" s="72">
        <f>Tabella3[[#This Row],[region fit]]+CIl</f>
        <v>178.99162481650666</v>
      </c>
      <c r="AF114" s="72">
        <f>MAX(Tabella3[[#This Row],[region fit]]-CIl,0)</f>
        <v>71.461943997409747</v>
      </c>
      <c r="AG114" s="10">
        <f>Tabella8[[#This Row],[rest of Italy ]]</f>
        <v>59732</v>
      </c>
      <c r="AH114" s="10">
        <f>(Tabella3[[#This Row],[rest of Italy cum. data]]-AG113)</f>
        <v>2467</v>
      </c>
      <c r="AI114" s="72">
        <f>Tabella3[[#This Row],[rest of Italy data]]*NOT(ISBLANK(Tabella3[[#This Row],[rest of Italy data]]))</f>
        <v>2467</v>
      </c>
      <c r="AJ114" s="77">
        <f>Tabella8[[#This Row],[rest of Italy fit]]</f>
        <v>60703.604416869603</v>
      </c>
      <c r="AK114" s="72">
        <f>Tabella3[[#This Row],[rest of Italy cumul. fit]]/Ka</f>
        <v>0.28099617838665741</v>
      </c>
      <c r="AL114" s="72">
        <f>IFERROR(Ka*psi_a*_xlfn.SECH(psi_a*(Tabella3[[#This Row],[Day]]-pa)-phi_a)^2/(1+TANH(phi_a)),0)</f>
        <v>2549.2057160178306</v>
      </c>
      <c r="AM114" s="72">
        <f>Tabella3[[#This Row],[rest of Italy fit]]/y_a_peak</f>
        <v>0.89077276243414139</v>
      </c>
      <c r="AN114" s="72">
        <f>Tabella3[[#This Row],[rest of Italy fit]]*NOT(ISBLANK(Tabella3[[#This Row],[rest of Italy data]]))</f>
        <v>2549.2057160178306</v>
      </c>
      <c r="AO114" s="72">
        <f>Tabella3[[#This Row],[rest of Italy fit]]+CIa</f>
        <v>4243.7799109274129</v>
      </c>
      <c r="AP114" s="72">
        <f>MAX(Tabella3[[#This Row],[rest of Italy fit]]-CIa,0)</f>
        <v>854.63152110824785</v>
      </c>
    </row>
    <row r="115" spans="2:45" x14ac:dyDescent="0.3">
      <c r="B115" s="9">
        <v>43938</v>
      </c>
      <c r="C115" s="4">
        <v>108</v>
      </c>
      <c r="D115" s="72">
        <f>'dpc-covid19-ita-andamento-naz'!J55+'dpc-covid19-ita-andamento-naz'!K55</f>
        <v>65472</v>
      </c>
      <c r="E115" s="72">
        <f>(Tabella3[[#This Row],[Italy cumul. data]]-D114)</f>
        <v>3138</v>
      </c>
      <c r="F115" s="72">
        <f>Tabella3[[#This Row],[Italy remov. rate data]]*NOT(ISBLANK(Tabella3[[#This Row],[Italy remov. rate data]]))</f>
        <v>3138</v>
      </c>
      <c r="G115" s="77">
        <f>Tabella8[[#This Row],[Italy fit]]</f>
        <v>65988.233605889051</v>
      </c>
      <c r="H115" s="77">
        <f>Tabella3[[#This Row],[Italy cumul. fit]]/Kf</f>
        <v>0.2932810382483958</v>
      </c>
      <c r="I115" s="77">
        <f>Tabella3[[#This Row],[region fit]]+Tabella3[[#This Row],[rest of Italy fit]]</f>
        <v>2716.7398622971236</v>
      </c>
      <c r="J115" s="77">
        <f>Tabella3[[#This Row],[Italy (fit of selected region + fitted sum of the other regions)]]/(y_l_peak+y_a_peak)</f>
        <v>0.90570356810523223</v>
      </c>
      <c r="K115" s="72">
        <f>IFERROR(Kf*psi_f*_xlfn.SECH(psi_f*(Tabella3[[#This Row],[Day]]-pf)-phi_f)^2/(1+TANH(phi_f)),0)</f>
        <v>2715.9570380820237</v>
      </c>
      <c r="L115" s="292">
        <f>Tabella3[[#This Row],[Italy remov. rate fit]]-Tabella3[[#This Row],[Italy remov. rate data]]</f>
        <v>-422.0429619179763</v>
      </c>
      <c r="M115" s="293">
        <f>Tabella3[[#This Row],[rem. rate residuals]]*NOT(ISBLANK(Tabella3[[#This Row],[Italy remov. rate data]]))</f>
        <v>-422.0429619179763</v>
      </c>
      <c r="N115" s="72">
        <f>Tabella3[[#This Row],[Italy remov. rate fit]]/y_f_peak</f>
        <v>0.90489491611406081</v>
      </c>
      <c r="O115" s="72">
        <f>Tabella3[[#This Row],[Italy (fit of selected region + fitted sum of the other regions)]]*NOT(ISBLANK(Tabella3[[#This Row],[Italy remov. rate data]]))</f>
        <v>2716.7398622971236</v>
      </c>
      <c r="P115" s="72">
        <f>Tabella3[[#This Row],[Italy remov. rate fit]]*NOT(ISBLANK(Tabella3[[#This Row],[Italy remov. rate data]]))</f>
        <v>2715.9570380820237</v>
      </c>
      <c r="Q115" s="72">
        <f>Tabella3[[#This Row],[Italy remov. rate fit]]+CIf</f>
        <v>4431.5718974165748</v>
      </c>
      <c r="R115" s="72">
        <f>MAX(Tabella3[[#This Row],[Italy remov. rate fit]]-CIf,0)</f>
        <v>1000.3421787474724</v>
      </c>
      <c r="S115" s="4">
        <f>Tabella8[[#This Row],[region data]]</f>
        <v>2729</v>
      </c>
      <c r="T115" s="72">
        <f>(Tabella3[[#This Row],[region cumul. data]]-S114)</f>
        <v>127</v>
      </c>
      <c r="U115" s="72">
        <f>Tabella3[[#This Row],[region data]]*NOT(ISBLANK(Tabella3[[#This Row],[region data]]))</f>
        <v>127</v>
      </c>
      <c r="V115">
        <f t="shared" si="1"/>
        <v>121.33333333333333</v>
      </c>
      <c r="W115" s="72">
        <f>Tabella3[[#This Row],[6-days moving avg]]*NOT(ISBLANK(Tabella3[[#This Row],[6-days moving avg]]))</f>
        <v>121.33333333333333</v>
      </c>
      <c r="X115" s="77">
        <f>Tabella8[[#This Row],[region fit]]</f>
        <v>2734.70349257925</v>
      </c>
      <c r="Y115" s="72">
        <f>Tabella3[[#This Row],[region cumul. fit]]/Kl</f>
        <v>0.30487218423403012</v>
      </c>
      <c r="Z115" s="72">
        <f>IFERROR(Kl*psi_l*_xlfn.SECH(psi_l*(Tabella3[[#This Row],[Day]]-pl)-phi_l)^2/(1+TANH(phi_l)),0)</f>
        <v>127.28617220393699</v>
      </c>
      <c r="AA115" s="72">
        <f>Tabella3[[#This Row],[region fit]]/y_l_peak</f>
        <v>0.92370711149289897</v>
      </c>
      <c r="AB115" s="72">
        <f>Tabella3[[#This Row],[region fit]]*NOT(ISBLANK(Tabella3[[#This Row],[region data]]))</f>
        <v>127.28617220393699</v>
      </c>
      <c r="AC115" s="166">
        <f>IFERROR(kl_m*psi_l_m*_xlfn.SECH(psi_l_m*(Tabella3[[#This Row],[Day]]-pl_m)-phi_l_m)^2/(1+TANH(phi_l_m)),0)</f>
        <v>127.28617220393699</v>
      </c>
      <c r="AD115" s="72">
        <f>Tabella3[[#This Row],[6-days moving avg fit]]*NOT(ISBLANK(Tabella3[[#This Row],[6-days moving avg]]))</f>
        <v>127.28617220393699</v>
      </c>
      <c r="AE115" s="72">
        <f>Tabella3[[#This Row],[region fit]]+CIl</f>
        <v>181.05101261348545</v>
      </c>
      <c r="AF115" s="72">
        <f>MAX(Tabella3[[#This Row],[region fit]]-CIl,0)</f>
        <v>73.52133179438853</v>
      </c>
      <c r="AG115" s="10">
        <f>Tabella8[[#This Row],[rest of Italy ]]</f>
        <v>62743</v>
      </c>
      <c r="AH115" s="10">
        <f>(Tabella3[[#This Row],[rest of Italy cum. data]]-AG114)</f>
        <v>3011</v>
      </c>
      <c r="AI115" s="72">
        <f>Tabella3[[#This Row],[rest of Italy data]]*NOT(ISBLANK(Tabella3[[#This Row],[rest of Italy data]]))</f>
        <v>3011</v>
      </c>
      <c r="AJ115" s="77">
        <f>Tabella8[[#This Row],[rest of Italy fit]]</f>
        <v>63273.11263338838</v>
      </c>
      <c r="AK115" s="72">
        <f>Tabella3[[#This Row],[rest of Italy cumul. fit]]/Ka</f>
        <v>0.29289039778451315</v>
      </c>
      <c r="AL115" s="72">
        <f>IFERROR(Ka*psi_a*_xlfn.SECH(psi_a*(Tabella3[[#This Row],[Day]]-pa)-phi_a)^2/(1+TANH(phi_a)),0)</f>
        <v>2589.4536900931867</v>
      </c>
      <c r="AM115" s="72">
        <f>Tabella3[[#This Row],[rest of Italy fit]]/y_a_peak</f>
        <v>0.90483667215480823</v>
      </c>
      <c r="AN115" s="72">
        <f>Tabella3[[#This Row],[rest of Italy fit]]*NOT(ISBLANK(Tabella3[[#This Row],[rest of Italy data]]))</f>
        <v>2589.4536900931867</v>
      </c>
      <c r="AO115" s="72">
        <f>Tabella3[[#This Row],[rest of Italy fit]]+CIa</f>
        <v>4284.0278850027698</v>
      </c>
      <c r="AP115" s="72">
        <f>MAX(Tabella3[[#This Row],[rest of Italy fit]]-CIa,0)</f>
        <v>894.87949518360392</v>
      </c>
    </row>
    <row r="116" spans="2:45" x14ac:dyDescent="0.3">
      <c r="B116" s="9">
        <v>43939</v>
      </c>
      <c r="C116" s="4">
        <v>109</v>
      </c>
      <c r="D116" s="72">
        <f>'dpc-covid19-ita-andamento-naz'!J56+'dpc-covid19-ita-andamento-naz'!K56</f>
        <v>68154</v>
      </c>
      <c r="E116" s="72">
        <f>(Tabella3[[#This Row],[Italy cumul. data]]-D115)</f>
        <v>2682</v>
      </c>
      <c r="F116" s="72">
        <f>Tabella3[[#This Row],[Italy remov. rate data]]*NOT(ISBLANK(Tabella3[[#This Row],[Italy remov. rate data]]))</f>
        <v>2682</v>
      </c>
      <c r="G116" s="77">
        <f>Tabella8[[#This Row],[Italy fit]]</f>
        <v>68724.47397003349</v>
      </c>
      <c r="H116" s="77">
        <f>Tabella3[[#This Row],[Italy cumul. fit]]/Kf</f>
        <v>0.30544210653348219</v>
      </c>
      <c r="I116" s="77">
        <f>Tabella3[[#This Row],[region fit]]+Tabella3[[#This Row],[rest of Italy fit]]</f>
        <v>2756.6679502133011</v>
      </c>
      <c r="J116" s="77">
        <f>Tabella3[[#This Row],[Italy (fit of selected region + fitted sum of the other regions)]]/(y_l_peak+y_a_peak)</f>
        <v>0.91901474750638545</v>
      </c>
      <c r="K116" s="72">
        <f>IFERROR(Kf*psi_f*_xlfn.SECH(psi_f*(Tabella3[[#This Row],[Day]]-pf)-phi_f)^2/(1+TANH(phi_f)),0)</f>
        <v>2756.1147968576543</v>
      </c>
      <c r="L116" s="292">
        <f>Tabella3[[#This Row],[Italy remov. rate fit]]-Tabella3[[#This Row],[Italy remov. rate data]]</f>
        <v>74.114796857654255</v>
      </c>
      <c r="M116" s="293">
        <f>Tabella3[[#This Row],[rem. rate residuals]]*NOT(ISBLANK(Tabella3[[#This Row],[Italy remov. rate data]]))</f>
        <v>74.114796857654255</v>
      </c>
      <c r="N116" s="72">
        <f>Tabella3[[#This Row],[Italy remov. rate fit]]/y_f_peak</f>
        <v>0.91827456507355409</v>
      </c>
      <c r="O116" s="72">
        <f>Tabella3[[#This Row],[Italy (fit of selected region + fitted sum of the other regions)]]*NOT(ISBLANK(Tabella3[[#This Row],[Italy remov. rate data]]))</f>
        <v>2756.6679502133011</v>
      </c>
      <c r="P116" s="72">
        <f>Tabella3[[#This Row],[Italy remov. rate fit]]*NOT(ISBLANK(Tabella3[[#This Row],[Italy remov. rate data]]))</f>
        <v>2756.1147968576543</v>
      </c>
      <c r="Q116" s="72">
        <f>Tabella3[[#This Row],[Italy remov. rate fit]]+CIf</f>
        <v>4471.7296561922058</v>
      </c>
      <c r="R116" s="72">
        <f>MAX(Tabella3[[#This Row],[Italy remov. rate fit]]-CIf,0)</f>
        <v>1040.499937523103</v>
      </c>
      <c r="S116" s="4">
        <f>Tabella8[[#This Row],[region data]]</f>
        <v>2889</v>
      </c>
      <c r="T116" s="72">
        <f>(Tabella3[[#This Row],[region cumul. data]]-S115)</f>
        <v>160</v>
      </c>
      <c r="U116" s="72">
        <f>Tabella3[[#This Row],[region data]]*NOT(ISBLANK(Tabella3[[#This Row],[region data]]))</f>
        <v>160</v>
      </c>
      <c r="V116">
        <f t="shared" si="1"/>
        <v>134.5</v>
      </c>
      <c r="W116" s="72">
        <f>Tabella3[[#This Row],[6-days moving avg]]*NOT(ISBLANK(Tabella3[[#This Row],[6-days moving avg]]))</f>
        <v>134.5</v>
      </c>
      <c r="X116" s="77">
        <f>Tabella8[[#This Row],[region fit]]</f>
        <v>2862.954776674921</v>
      </c>
      <c r="Y116" s="72">
        <f>Tabella3[[#This Row],[region cumul. fit]]/Kl</f>
        <v>0.31916998625138471</v>
      </c>
      <c r="Z116" s="72">
        <f>IFERROR(Kl*psi_l*_xlfn.SECH(psi_l*(Tabella3[[#This Row],[Day]]-pl)-phi_l)^2/(1+TANH(phi_l)),0)</f>
        <v>129.18945449972719</v>
      </c>
      <c r="AA116" s="72">
        <f>Tabella3[[#This Row],[region fit]]/y_l_peak</f>
        <v>0.93751910191856103</v>
      </c>
      <c r="AB116" s="72">
        <f>Tabella3[[#This Row],[region fit]]*NOT(ISBLANK(Tabella3[[#This Row],[region data]]))</f>
        <v>129.18945449972719</v>
      </c>
      <c r="AC116" s="166">
        <f>IFERROR(kl_m*psi_l_m*_xlfn.SECH(psi_l_m*(Tabella3[[#This Row],[Day]]-pl_m)-phi_l_m)^2/(1+TANH(phi_l_m)),0)</f>
        <v>129.18945449972719</v>
      </c>
      <c r="AD116" s="72">
        <f>Tabella3[[#This Row],[6-days moving avg fit]]*NOT(ISBLANK(Tabella3[[#This Row],[6-days moving avg]]))</f>
        <v>129.18945449972719</v>
      </c>
      <c r="AE116" s="72">
        <f>Tabella3[[#This Row],[region fit]]+CIl</f>
        <v>182.95429490927563</v>
      </c>
      <c r="AF116" s="72">
        <f>MAX(Tabella3[[#This Row],[region fit]]-CIl,0)</f>
        <v>75.424614090178736</v>
      </c>
      <c r="AG116" s="10">
        <f>Tabella8[[#This Row],[rest of Italy ]]</f>
        <v>65265</v>
      </c>
      <c r="AH116" s="10">
        <f>(Tabella3[[#This Row],[rest of Italy cum. data]]-AG115)</f>
        <v>2522</v>
      </c>
      <c r="AI116" s="72">
        <f>Tabella3[[#This Row],[rest of Italy data]]*NOT(ISBLANK(Tabella3[[#This Row],[rest of Italy data]]))</f>
        <v>2522</v>
      </c>
      <c r="AJ116" s="77">
        <f>Tabella8[[#This Row],[rest of Italy fit]]</f>
        <v>65881.770682023955</v>
      </c>
      <c r="AK116" s="72">
        <f>Tabella3[[#This Row],[rest of Italy cumul. fit]]/Ka</f>
        <v>0.30496584123512455</v>
      </c>
      <c r="AL116" s="72">
        <f>IFERROR(Ka*psi_a*_xlfn.SECH(psi_a*(Tabella3[[#This Row],[Day]]-pa)-phi_a)^2/(1+TANH(phi_a)),0)</f>
        <v>2627.4784957135739</v>
      </c>
      <c r="AM116" s="72">
        <f>Tabella3[[#This Row],[rest of Italy fit]]/y_a_peak</f>
        <v>0.91812373680034221</v>
      </c>
      <c r="AN116" s="72">
        <f>Tabella3[[#This Row],[rest of Italy fit]]*NOT(ISBLANK(Tabella3[[#This Row],[rest of Italy data]]))</f>
        <v>2627.4784957135739</v>
      </c>
      <c r="AO116" s="72">
        <f>Tabella3[[#This Row],[rest of Italy fit]]+CIa</f>
        <v>4322.0526906231571</v>
      </c>
      <c r="AP116" s="72">
        <f>MAX(Tabella3[[#This Row],[rest of Italy fit]]-CIa,0)</f>
        <v>932.90430080399119</v>
      </c>
    </row>
    <row r="117" spans="2:45" x14ac:dyDescent="0.3">
      <c r="B117" s="9">
        <v>43940</v>
      </c>
      <c r="C117" s="4">
        <v>110</v>
      </c>
      <c r="D117" s="72">
        <f>'dpc-covid19-ita-andamento-naz'!J57+'dpc-covid19-ita-andamento-naz'!K57</f>
        <v>70715</v>
      </c>
      <c r="E117" s="72">
        <f>(Tabella3[[#This Row],[Italy cumul. data]]-D116)</f>
        <v>2561</v>
      </c>
      <c r="F117" s="72">
        <f>Tabella3[[#This Row],[Italy remov. rate data]]*NOT(ISBLANK(Tabella3[[#This Row],[Italy remov. rate data]]))</f>
        <v>2561</v>
      </c>
      <c r="G117" s="77">
        <f>Tabella8[[#This Row],[Italy fit]]</f>
        <v>71499.617421664065</v>
      </c>
      <c r="H117" s="77">
        <f>Tabella3[[#This Row],[Italy cumul. fit]]/Kf</f>
        <v>0.31777607742961805</v>
      </c>
      <c r="I117" s="77">
        <f>Tabella3[[#This Row],[region fit]]+Tabella3[[#This Row],[rest of Italy fit]]</f>
        <v>2794.0475080875103</v>
      </c>
      <c r="J117" s="77">
        <f>Tabella3[[#This Row],[Italy (fit of selected region + fitted sum of the other regions)]]/(y_l_peak+y_a_peak)</f>
        <v>0.93147630093323497</v>
      </c>
      <c r="K117" s="72">
        <f>IFERROR(Kf*psi_f*_xlfn.SECH(psi_f*(Tabella3[[#This Row],[Day]]-pf)-phi_f)^2/(1+TANH(phi_f)),0)</f>
        <v>2793.7354608239434</v>
      </c>
      <c r="L117" s="292">
        <f>Tabella3[[#This Row],[Italy remov. rate fit]]-Tabella3[[#This Row],[Italy remov. rate data]]</f>
        <v>232.73546082394341</v>
      </c>
      <c r="M117" s="293">
        <f>Tabella3[[#This Row],[rem. rate residuals]]*NOT(ISBLANK(Tabella3[[#This Row],[Italy remov. rate data]]))</f>
        <v>232.73546082394341</v>
      </c>
      <c r="N117" s="72">
        <f>Tabella3[[#This Row],[Italy remov. rate fit]]/y_f_peak</f>
        <v>0.9308089119305174</v>
      </c>
      <c r="O117" s="72">
        <f>Tabella3[[#This Row],[Italy (fit of selected region + fitted sum of the other regions)]]*NOT(ISBLANK(Tabella3[[#This Row],[Italy remov. rate data]]))</f>
        <v>2794.0475080875103</v>
      </c>
      <c r="P117" s="72">
        <f>Tabella3[[#This Row],[Italy remov. rate fit]]*NOT(ISBLANK(Tabella3[[#This Row],[Italy remov. rate data]]))</f>
        <v>2793.7354608239434</v>
      </c>
      <c r="Q117" s="72">
        <f>Tabella3[[#This Row],[Italy remov. rate fit]]+CIf</f>
        <v>4509.3503201584945</v>
      </c>
      <c r="R117" s="72">
        <f>MAX(Tabella3[[#This Row],[Italy remov. rate fit]]-CIf,0)</f>
        <v>1078.1206014893921</v>
      </c>
      <c r="S117" s="4">
        <f>Tabella8[[#This Row],[region data]]</f>
        <v>3038</v>
      </c>
      <c r="T117" s="72">
        <f>(Tabella3[[#This Row],[region cumul. data]]-S116)</f>
        <v>149</v>
      </c>
      <c r="U117" s="72">
        <f>Tabella3[[#This Row],[region data]]*NOT(ISBLANK(Tabella3[[#This Row],[region data]]))</f>
        <v>149</v>
      </c>
      <c r="V117">
        <f t="shared" si="1"/>
        <v>138.5</v>
      </c>
      <c r="W117" s="72">
        <f>Tabella3[[#This Row],[6-days moving avg]]*NOT(ISBLANK(Tabella3[[#This Row],[6-days moving avg]]))</f>
        <v>138.5</v>
      </c>
      <c r="X117" s="77">
        <f>Tabella8[[#This Row],[region fit]]</f>
        <v>2993.0267446110092</v>
      </c>
      <c r="Y117" s="72">
        <f>Tabella3[[#This Row],[region cumul. fit]]/Kl</f>
        <v>0.33367076305585386</v>
      </c>
      <c r="Z117" s="72">
        <f>IFERROR(Kl*psi_l*_xlfn.SECH(psi_l*(Tabella3[[#This Row],[Day]]-pl)-phi_l)^2/(1+TANH(phi_l)),0)</f>
        <v>130.92579032964943</v>
      </c>
      <c r="AA117" s="72">
        <f>Tabella3[[#This Row],[region fit]]/y_l_peak</f>
        <v>0.95011957317375273</v>
      </c>
      <c r="AB117" s="72">
        <f>Tabella3[[#This Row],[region fit]]*NOT(ISBLANK(Tabella3[[#This Row],[region data]]))</f>
        <v>130.92579032964943</v>
      </c>
      <c r="AC117" s="166">
        <f>IFERROR(kl_m*psi_l_m*_xlfn.SECH(psi_l_m*(Tabella3[[#This Row],[Day]]-pl_m)-phi_l_m)^2/(1+TANH(phi_l_m)),0)</f>
        <v>130.92579032964943</v>
      </c>
      <c r="AD117" s="72">
        <f>Tabella3[[#This Row],[6-days moving avg fit]]*NOT(ISBLANK(Tabella3[[#This Row],[6-days moving avg]]))</f>
        <v>130.92579032964943</v>
      </c>
      <c r="AE117" s="72">
        <f>Tabella3[[#This Row],[region fit]]+CIl</f>
        <v>184.6906307391979</v>
      </c>
      <c r="AF117" s="72">
        <f>MAX(Tabella3[[#This Row],[region fit]]-CIl,0)</f>
        <v>77.160949920100975</v>
      </c>
      <c r="AG117" s="10">
        <f>Tabella8[[#This Row],[rest of Italy ]]</f>
        <v>67677</v>
      </c>
      <c r="AH117" s="10">
        <f>(Tabella3[[#This Row],[rest of Italy cum. data]]-AG116)</f>
        <v>2412</v>
      </c>
      <c r="AI117" s="72">
        <f>Tabella3[[#This Row],[rest of Italy data]]*NOT(ISBLANK(Tabella3[[#This Row],[rest of Italy data]]))</f>
        <v>2412</v>
      </c>
      <c r="AJ117" s="77">
        <f>Tabella8[[#This Row],[rest of Italy fit]]</f>
        <v>68527.27569005503</v>
      </c>
      <c r="AK117" s="72">
        <f>Tabella3[[#This Row],[rest of Italy cumul. fit]]/Ka</f>
        <v>0.31721184877125874</v>
      </c>
      <c r="AL117" s="72">
        <f>IFERROR(Ka*psi_a*_xlfn.SECH(psi_a*(Tabella3[[#This Row],[Day]]-pa)-phi_a)^2/(1+TANH(phi_a)),0)</f>
        <v>2663.121717757861</v>
      </c>
      <c r="AM117" s="72">
        <f>Tabella3[[#This Row],[rest of Italy fit]]/y_a_peak</f>
        <v>0.93057860113825863</v>
      </c>
      <c r="AN117" s="72">
        <f>Tabella3[[#This Row],[rest of Italy fit]]*NOT(ISBLANK(Tabella3[[#This Row],[rest of Italy data]]))</f>
        <v>2663.121717757861</v>
      </c>
      <c r="AO117" s="72">
        <f>Tabella3[[#This Row],[rest of Italy fit]]+CIa</f>
        <v>4357.6959126674437</v>
      </c>
      <c r="AP117" s="72">
        <f>MAX(Tabella3[[#This Row],[rest of Italy fit]]-CIa,0)</f>
        <v>968.54752284827828</v>
      </c>
    </row>
    <row r="118" spans="2:45" x14ac:dyDescent="0.3">
      <c r="B118" s="9">
        <v>43941</v>
      </c>
      <c r="C118" s="4">
        <v>111</v>
      </c>
      <c r="D118" s="72">
        <f>'dpc-covid19-ita-andamento-naz'!J58+'dpc-covid19-ita-andamento-naz'!K58</f>
        <v>72991</v>
      </c>
      <c r="E118" s="72">
        <f>(Tabella3[[#This Row],[Italy cumul. data]]-D117)</f>
        <v>2276</v>
      </c>
      <c r="F118" s="72">
        <f>Tabella3[[#This Row],[Italy remov. rate data]]*NOT(ISBLANK(Tabella3[[#This Row],[Italy remov. rate data]]))</f>
        <v>2276</v>
      </c>
      <c r="G118" s="77">
        <f>Tabella8[[#This Row],[Italy fit]]</f>
        <v>74311.044875810316</v>
      </c>
      <c r="H118" s="77">
        <f>Tabella3[[#This Row],[Italy cumul. fit]]/Kf</f>
        <v>0.33027131055915698</v>
      </c>
      <c r="I118" s="77">
        <f>Tabella3[[#This Row],[region fit]]+Tabella3[[#This Row],[rest of Italy fit]]</f>
        <v>2828.7166319852677</v>
      </c>
      <c r="J118" s="77">
        <f>Tabella3[[#This Row],[Italy (fit of selected region + fitted sum of the other regions)]]/(y_l_peak+y_a_peak)</f>
        <v>0.94303425304085087</v>
      </c>
      <c r="K118" s="72">
        <f>IFERROR(Kf*psi_f*_xlfn.SECH(psi_f*(Tabella3[[#This Row],[Day]]-pf)-phi_f)^2/(1+TANH(phi_f)),0)</f>
        <v>2828.6563636607611</v>
      </c>
      <c r="L118" s="292">
        <f>Tabella3[[#This Row],[Italy remov. rate fit]]-Tabella3[[#This Row],[Italy remov. rate data]]</f>
        <v>552.65636366076114</v>
      </c>
      <c r="M118" s="293">
        <f>Tabella3[[#This Row],[rem. rate residuals]]*NOT(ISBLANK(Tabella3[[#This Row],[Italy remov. rate data]]))</f>
        <v>552.65636366076114</v>
      </c>
      <c r="N118" s="72">
        <f>Tabella3[[#This Row],[Italy remov. rate fit]]/y_f_peak</f>
        <v>0.94244375997857954</v>
      </c>
      <c r="O118" s="72">
        <f>Tabella3[[#This Row],[Italy (fit of selected region + fitted sum of the other regions)]]*NOT(ISBLANK(Tabella3[[#This Row],[Italy remov. rate data]]))</f>
        <v>2828.7166319852677</v>
      </c>
      <c r="P118" s="72">
        <f>Tabella3[[#This Row],[Italy remov. rate fit]]*NOT(ISBLANK(Tabella3[[#This Row],[Italy remov. rate data]]))</f>
        <v>2828.6563636607611</v>
      </c>
      <c r="Q118" s="72">
        <f>Tabella3[[#This Row],[Italy remov. rate fit]]+CIf</f>
        <v>4544.2712229953122</v>
      </c>
      <c r="R118" s="72">
        <f>MAX(Tabella3[[#This Row],[Italy remov. rate fit]]-CIf,0)</f>
        <v>1113.0415043262099</v>
      </c>
      <c r="S118" s="4">
        <f>Tabella8[[#This Row],[region data]]</f>
        <v>3173</v>
      </c>
      <c r="T118" s="72">
        <f>(Tabella3[[#This Row],[region cumul. data]]-S117)</f>
        <v>135</v>
      </c>
      <c r="U118" s="72">
        <f>Tabella3[[#This Row],[region data]]*NOT(ISBLANK(Tabella3[[#This Row],[region data]]))</f>
        <v>135</v>
      </c>
      <c r="V118">
        <f t="shared" si="1"/>
        <v>138.16666666666666</v>
      </c>
      <c r="W118" s="72">
        <f>Tabella3[[#This Row],[6-days moving avg]]*NOT(ISBLANK(Tabella3[[#This Row],[6-days moving avg]]))</f>
        <v>138.16666666666666</v>
      </c>
      <c r="X118" s="77">
        <f>Tabella8[[#This Row],[region fit]]</f>
        <v>3124.7473295525961</v>
      </c>
      <c r="Y118" s="72">
        <f>Tabella3[[#This Row],[region cumul. fit]]/Kl</f>
        <v>0.3483553321686283</v>
      </c>
      <c r="Z118" s="72">
        <f>IFERROR(Kl*psi_l*_xlfn.SECH(psi_l*(Tabella3[[#This Row],[Day]]-pl)-phi_l)^2/(1+TANH(phi_l)),0)</f>
        <v>132.48507128312363</v>
      </c>
      <c r="AA118" s="72">
        <f>Tabella3[[#This Row],[region fit]]/y_l_peak</f>
        <v>0.96143516920905403</v>
      </c>
      <c r="AB118" s="72">
        <f>Tabella3[[#This Row],[region fit]]*NOT(ISBLANK(Tabella3[[#This Row],[region data]]))</f>
        <v>132.48507128312363</v>
      </c>
      <c r="AC118" s="166">
        <f>IFERROR(kl_m*psi_l_m*_xlfn.SECH(psi_l_m*(Tabella3[[#This Row],[Day]]-pl_m)-phi_l_m)^2/(1+TANH(phi_l_m)),0)</f>
        <v>132.48507128312363</v>
      </c>
      <c r="AD118" s="72">
        <f>Tabella3[[#This Row],[6-days moving avg fit]]*NOT(ISBLANK(Tabella3[[#This Row],[6-days moving avg]]))</f>
        <v>132.48507128312363</v>
      </c>
      <c r="AE118" s="72">
        <f>Tabella3[[#This Row],[region fit]]+CIl</f>
        <v>186.24991169267207</v>
      </c>
      <c r="AF118" s="72">
        <f>MAX(Tabella3[[#This Row],[region fit]]-CIl,0)</f>
        <v>78.720230873575176</v>
      </c>
      <c r="AG118" s="10">
        <f>Tabella8[[#This Row],[rest of Italy ]]</f>
        <v>69818</v>
      </c>
      <c r="AH118" s="10">
        <f>(Tabella3[[#This Row],[rest of Italy cum. data]]-AG117)</f>
        <v>2141</v>
      </c>
      <c r="AI118" s="72">
        <f>Tabella3[[#This Row],[rest of Italy data]]*NOT(ISBLANK(Tabella3[[#This Row],[rest of Italy data]]))</f>
        <v>2141</v>
      </c>
      <c r="AJ118" s="77">
        <f>Tabella8[[#This Row],[rest of Italy fit]]</f>
        <v>71207.169569729391</v>
      </c>
      <c r="AK118" s="72">
        <f>Tabella3[[#This Row],[rest of Italy cumul. fit]]/Ka</f>
        <v>0.32961704193736702</v>
      </c>
      <c r="AL118" s="72">
        <f>IFERROR(Ka*psi_a*_xlfn.SECH(psi_a*(Tabella3[[#This Row],[Day]]-pa)-phi_a)^2/(1+TANH(phi_a)),0)</f>
        <v>2696.2315607021442</v>
      </c>
      <c r="AM118" s="72">
        <f>Tabella3[[#This Row],[rest of Italy fit]]/y_a_peak</f>
        <v>0.94214822303182311</v>
      </c>
      <c r="AN118" s="72">
        <f>Tabella3[[#This Row],[rest of Italy fit]]*NOT(ISBLANK(Tabella3[[#This Row],[rest of Italy data]]))</f>
        <v>2696.2315607021442</v>
      </c>
      <c r="AO118" s="72">
        <f>Tabella3[[#This Row],[rest of Italy fit]]+CIa</f>
        <v>4390.8057556117274</v>
      </c>
      <c r="AP118" s="72">
        <f>MAX(Tabella3[[#This Row],[rest of Italy fit]]-CIa,0)</f>
        <v>1001.6573657925614</v>
      </c>
    </row>
    <row r="119" spans="2:45" x14ac:dyDescent="0.3">
      <c r="B119" s="9">
        <v>43942</v>
      </c>
      <c r="C119" s="4">
        <v>112</v>
      </c>
      <c r="D119" s="72">
        <f>'dpc-covid19-ita-andamento-naz'!J59+'dpc-covid19-ita-andamento-naz'!K59</f>
        <v>76248</v>
      </c>
      <c r="E119" s="72">
        <f>(Tabella3[[#This Row],[Italy cumul. data]]-D118)</f>
        <v>3257</v>
      </c>
      <c r="F119" s="72">
        <f>Tabella3[[#This Row],[Italy remov. rate data]]*NOT(ISBLANK(Tabella3[[#This Row],[Italy remov. rate data]]))</f>
        <v>3257</v>
      </c>
      <c r="G119" s="77">
        <f>Tabella8[[#This Row],[Italy fit]]</f>
        <v>77155.978759027974</v>
      </c>
      <c r="H119" s="77">
        <f>Tabella3[[#This Row],[Italy cumul. fit]]/Kf</f>
        <v>0.34291546115123545</v>
      </c>
      <c r="I119" s="77">
        <f>Tabella3[[#This Row],[region fit]]+Tabella3[[#This Row],[rest of Italy fit]]</f>
        <v>2860.5221973727485</v>
      </c>
      <c r="J119" s="77">
        <f>Tabella3[[#This Row],[Italy (fit of selected region + fitted sum of the other regions)]]/(y_l_peak+y_a_peak)</f>
        <v>0.95363755535065997</v>
      </c>
      <c r="K119" s="72">
        <f>IFERROR(Kf*psi_f*_xlfn.SECH(psi_f*(Tabella3[[#This Row],[Day]]-pf)-phi_f)^2/(1+TANH(phi_f)),0)</f>
        <v>2860.7234294210716</v>
      </c>
      <c r="L119" s="292">
        <f>Tabella3[[#This Row],[Italy remov. rate fit]]-Tabella3[[#This Row],[Italy remov. rate data]]</f>
        <v>-396.27657057892839</v>
      </c>
      <c r="M119" s="293">
        <f>Tabella3[[#This Row],[rem. rate residuals]]*NOT(ISBLANK(Tabella3[[#This Row],[Italy remov. rate data]]))</f>
        <v>-396.27657057892839</v>
      </c>
      <c r="N119" s="72">
        <f>Tabella3[[#This Row],[Italy remov. rate fit]]/y_f_peak</f>
        <v>0.95312777462768161</v>
      </c>
      <c r="O119" s="72">
        <f>Tabella3[[#This Row],[Italy (fit of selected region + fitted sum of the other regions)]]*NOT(ISBLANK(Tabella3[[#This Row],[Italy remov. rate data]]))</f>
        <v>2860.5221973727485</v>
      </c>
      <c r="P119" s="72">
        <f>Tabella3[[#This Row],[Italy remov. rate fit]]*NOT(ISBLANK(Tabella3[[#This Row],[Italy remov. rate data]]))</f>
        <v>2860.7234294210716</v>
      </c>
      <c r="Q119" s="72">
        <f>Tabella3[[#This Row],[Italy remov. rate fit]]+CIf</f>
        <v>4576.3382887556227</v>
      </c>
      <c r="R119" s="72">
        <f>MAX(Tabella3[[#This Row],[Italy remov. rate fit]]-CIf,0)</f>
        <v>1145.1085700865203</v>
      </c>
      <c r="S119" s="4">
        <f>Tabella8[[#This Row],[region data]]</f>
        <v>3301</v>
      </c>
      <c r="T119" s="72">
        <f>(Tabella3[[#This Row],[region cumul. data]]-S118)</f>
        <v>128</v>
      </c>
      <c r="U119" s="72">
        <f>Tabella3[[#This Row],[region data]]*NOT(ISBLANK(Tabella3[[#This Row],[region data]]))</f>
        <v>128</v>
      </c>
      <c r="V119">
        <f t="shared" si="1"/>
        <v>140</v>
      </c>
      <c r="W119" s="72">
        <f>Tabella3[[#This Row],[6-days moving avg]]*NOT(ISBLANK(Tabella3[[#This Row],[6-days moving avg]]))</f>
        <v>140</v>
      </c>
      <c r="X119" s="77">
        <f>Tabella8[[#This Row],[region fit]]</f>
        <v>3257.9347730628738</v>
      </c>
      <c r="Y119" s="72">
        <f>Tabella3[[#This Row],[region cumul. fit]]/Kl</f>
        <v>0.36320343066475741</v>
      </c>
      <c r="Z119" s="72">
        <f>IFERROR(Kl*psi_l*_xlfn.SECH(psi_l*(Tabella3[[#This Row],[Day]]-pl)-phi_l)^2/(1+TANH(phi_l)),0)</f>
        <v>133.85804215624799</v>
      </c>
      <c r="AA119" s="72">
        <f>Tabella3[[#This Row],[region fit]]/y_l_peak</f>
        <v>0.97139872563799312</v>
      </c>
      <c r="AB119" s="72">
        <f>Tabella3[[#This Row],[region fit]]*NOT(ISBLANK(Tabella3[[#This Row],[region data]]))</f>
        <v>133.85804215624799</v>
      </c>
      <c r="AC119" s="166">
        <f>IFERROR(kl_m*psi_l_m*_xlfn.SECH(psi_l_m*(Tabella3[[#This Row],[Day]]-pl_m)-phi_l_m)^2/(1+TANH(phi_l_m)),0)</f>
        <v>133.85804215624799</v>
      </c>
      <c r="AD119" s="72">
        <f>Tabella3[[#This Row],[6-days moving avg fit]]*NOT(ISBLANK(Tabella3[[#This Row],[6-days moving avg]]))</f>
        <v>133.85804215624799</v>
      </c>
      <c r="AE119" s="72">
        <f>Tabella3[[#This Row],[region fit]]+CIl</f>
        <v>187.62288256579643</v>
      </c>
      <c r="AF119" s="72">
        <f>MAX(Tabella3[[#This Row],[region fit]]-CIl,0)</f>
        <v>80.093201746699535</v>
      </c>
      <c r="AG119" s="10">
        <f>Tabella8[[#This Row],[rest of Italy ]]</f>
        <v>72947</v>
      </c>
      <c r="AH119" s="10">
        <f>(Tabella3[[#This Row],[rest of Italy cum. data]]-AG118)</f>
        <v>3129</v>
      </c>
      <c r="AI119" s="72">
        <f>Tabella3[[#This Row],[rest of Italy data]]*NOT(ISBLANK(Tabella3[[#This Row],[rest of Italy data]]))</f>
        <v>3129</v>
      </c>
      <c r="AJ119" s="77">
        <f>Tabella8[[#This Row],[rest of Italy fit]]</f>
        <v>73918.846293012437</v>
      </c>
      <c r="AK119" s="72">
        <f>Tabella3[[#This Row],[rest of Italy cumul. fit]]/Ka</f>
        <v>0.34216935746429866</v>
      </c>
      <c r="AL119" s="72">
        <f>IFERROR(Ka*psi_a*_xlfn.SECH(psi_a*(Tabella3[[#This Row],[Day]]-pa)-phi_a)^2/(1+TANH(phi_a)),0)</f>
        <v>2726.6641552165006</v>
      </c>
      <c r="AM119" s="72">
        <f>Tabella3[[#This Row],[rest of Italy fit]]/y_a_peak</f>
        <v>0.95278233000610779</v>
      </c>
      <c r="AN119" s="72">
        <f>Tabella3[[#This Row],[rest of Italy fit]]*NOT(ISBLANK(Tabella3[[#This Row],[rest of Italy data]]))</f>
        <v>2726.6641552165006</v>
      </c>
      <c r="AO119" s="72">
        <f>Tabella3[[#This Row],[rest of Italy fit]]+CIa</f>
        <v>4421.2383501260829</v>
      </c>
      <c r="AP119" s="72">
        <f>MAX(Tabella3[[#This Row],[rest of Italy fit]]-CIa,0)</f>
        <v>1032.0899603069179</v>
      </c>
    </row>
    <row r="120" spans="2:45" x14ac:dyDescent="0.3">
      <c r="B120" s="9">
        <v>43943</v>
      </c>
      <c r="C120" s="4">
        <v>113</v>
      </c>
      <c r="D120" s="72">
        <f>'dpc-covid19-ita-andamento-naz'!J60+'dpc-covid19-ita-andamento-naz'!K60</f>
        <v>79628</v>
      </c>
      <c r="E120" s="72">
        <f>(Tabella3[[#This Row],[Italy cumul. data]]-D119)</f>
        <v>3380</v>
      </c>
      <c r="F120" s="72">
        <f>Tabella3[[#This Row],[Italy remov. rate data]]*NOT(ISBLANK(Tabella3[[#This Row],[Italy remov. rate data]]))</f>
        <v>3380</v>
      </c>
      <c r="G120" s="77">
        <f>Tabella8[[#This Row],[Italy fit]]</f>
        <v>80031.492296992452</v>
      </c>
      <c r="H120" s="77">
        <f>Tabella3[[#This Row],[Italy cumul. fit]]/Kf</f>
        <v>0.35569552131996646</v>
      </c>
      <c r="I120" s="77">
        <f>Tabella3[[#This Row],[region fit]]+Tabella3[[#This Row],[rest of Italy fit]]</f>
        <v>2889.3212478562637</v>
      </c>
      <c r="J120" s="77">
        <f>Tabella3[[#This Row],[Italy (fit of selected region + fitted sum of the other regions)]]/(y_l_peak+y_a_peak)</f>
        <v>0.96323854922679353</v>
      </c>
      <c r="K120" s="72">
        <f>IFERROR(Kf*psi_f*_xlfn.SECH(psi_f*(Tabella3[[#This Row],[Day]]-pf)-phi_f)^2/(1+TANH(phi_f)),0)</f>
        <v>2889.7925594679014</v>
      </c>
      <c r="L120" s="292">
        <f>Tabella3[[#This Row],[Italy remov. rate fit]]-Tabella3[[#This Row],[Italy remov. rate data]]</f>
        <v>-490.20744053209864</v>
      </c>
      <c r="M120" s="293">
        <f>Tabella3[[#This Row],[rem. rate residuals]]*NOT(ISBLANK(Tabella3[[#This Row],[Italy remov. rate data]]))</f>
        <v>-490.20744053209864</v>
      </c>
      <c r="N120" s="72">
        <f>Tabella3[[#This Row],[Italy remov. rate fit]]/y_f_peak</f>
        <v>0.96281294549982865</v>
      </c>
      <c r="O120" s="72">
        <f>Tabella3[[#This Row],[Italy (fit of selected region + fitted sum of the other regions)]]*NOT(ISBLANK(Tabella3[[#This Row],[Italy remov. rate data]]))</f>
        <v>2889.3212478562637</v>
      </c>
      <c r="P120" s="72">
        <f>Tabella3[[#This Row],[Italy remov. rate fit]]*NOT(ISBLANK(Tabella3[[#This Row],[Italy remov. rate data]]))</f>
        <v>2889.7925594679014</v>
      </c>
      <c r="Q120" s="72">
        <f>Tabella3[[#This Row],[Italy remov. rate fit]]+CIf</f>
        <v>4605.4074188024524</v>
      </c>
      <c r="R120" s="72">
        <f>MAX(Tabella3[[#This Row],[Italy remov. rate fit]]-CIf,0)</f>
        <v>1174.1777001333501</v>
      </c>
      <c r="S120" s="4">
        <f>Tabella8[[#This Row],[region data]]</f>
        <v>3442</v>
      </c>
      <c r="T120" s="72">
        <f>(Tabella3[[#This Row],[region cumul. data]]-S119)</f>
        <v>141</v>
      </c>
      <c r="U120" s="72">
        <f>Tabella3[[#This Row],[region data]]*NOT(ISBLANK(Tabella3[[#This Row],[region data]]))</f>
        <v>141</v>
      </c>
      <c r="V120">
        <f t="shared" si="1"/>
        <v>142.33333333333334</v>
      </c>
      <c r="W120" s="72">
        <f>Tabella3[[#This Row],[6-days moving avg]]*NOT(ISBLANK(Tabella3[[#This Row],[6-days moving avg]]))</f>
        <v>142.33333333333334</v>
      </c>
      <c r="X120" s="77">
        <f>Tabella8[[#This Row],[region fit]]</f>
        <v>3392.3985357762895</v>
      </c>
      <c r="Y120" s="72">
        <f>Tabella3[[#This Row],[region cumul. fit]]/Kl</f>
        <v>0.37819381669746815</v>
      </c>
      <c r="Z120" s="72">
        <f>IFERROR(Kl*psi_l*_xlfn.SECH(psi_l*(Tabella3[[#This Row],[Day]]-pl)-phi_l)^2/(1+TANH(phi_l)),0)</f>
        <v>135.03641450576106</v>
      </c>
      <c r="AA120" s="72">
        <f>Tabella3[[#This Row],[region fit]]/y_l_peak</f>
        <v>0.97995009379044162</v>
      </c>
      <c r="AB120" s="72">
        <f>Tabella3[[#This Row],[region fit]]*NOT(ISBLANK(Tabella3[[#This Row],[region data]]))</f>
        <v>135.03641450576106</v>
      </c>
      <c r="AC120" s="166">
        <f>IFERROR(kl_m*psi_l_m*_xlfn.SECH(psi_l_m*(Tabella3[[#This Row],[Day]]-pl_m)-phi_l_m)^2/(1+TANH(phi_l_m)),0)</f>
        <v>135.03641450576106</v>
      </c>
      <c r="AD120" s="72">
        <f>Tabella3[[#This Row],[6-days moving avg fit]]*NOT(ISBLANK(Tabella3[[#This Row],[6-days moving avg]]))</f>
        <v>135.03641450576106</v>
      </c>
      <c r="AE120" s="72">
        <f>Tabella3[[#This Row],[region fit]]+CIl</f>
        <v>188.80125491530953</v>
      </c>
      <c r="AF120" s="72">
        <f>MAX(Tabella3[[#This Row],[region fit]]-CIl,0)</f>
        <v>81.271574096212603</v>
      </c>
      <c r="AG120" s="10">
        <f>Tabella8[[#This Row],[rest of Italy ]]</f>
        <v>76186</v>
      </c>
      <c r="AH120" s="10">
        <f>(Tabella3[[#This Row],[rest of Italy cum. data]]-AG119)</f>
        <v>3239</v>
      </c>
      <c r="AI120" s="72">
        <f>Tabella3[[#This Row],[rest of Italy data]]*NOT(ISBLANK(Tabella3[[#This Row],[rest of Italy data]]))</f>
        <v>3239</v>
      </c>
      <c r="AJ120" s="77">
        <f>Tabella8[[#This Row],[rest of Italy fit]]</f>
        <v>76659.560458759966</v>
      </c>
      <c r="AK120" s="72">
        <f>Tabella3[[#This Row],[rest of Italy cumul. fit]]/Ka</f>
        <v>0.3548560869266304</v>
      </c>
      <c r="AL120" s="72">
        <f>IFERROR(Ka*psi_a*_xlfn.SECH(psi_a*(Tabella3[[#This Row],[Day]]-pa)-phi_a)^2/(1+TANH(phi_a)),0)</f>
        <v>2754.2848333505026</v>
      </c>
      <c r="AM120" s="72">
        <f>Tabella3[[#This Row],[rest of Italy fit]]/y_a_peak</f>
        <v>0.96243386483797033</v>
      </c>
      <c r="AN120" s="72">
        <f>Tabella3[[#This Row],[rest of Italy fit]]*NOT(ISBLANK(Tabella3[[#This Row],[rest of Italy data]]))</f>
        <v>2754.2848333505026</v>
      </c>
      <c r="AO120" s="72">
        <f>Tabella3[[#This Row],[rest of Italy fit]]+CIa</f>
        <v>4448.8590282600853</v>
      </c>
      <c r="AP120" s="72">
        <f>MAX(Tabella3[[#This Row],[rest of Italy fit]]-CIa,0)</f>
        <v>1059.7106384409199</v>
      </c>
    </row>
    <row r="121" spans="2:45" x14ac:dyDescent="0.3">
      <c r="B121" s="9">
        <v>43944</v>
      </c>
      <c r="C121" s="4">
        <v>114</v>
      </c>
      <c r="D121" s="72">
        <f>'dpc-covid19-ita-andamento-naz'!J61+'dpc-covid19-ita-andamento-naz'!K61</f>
        <v>83125</v>
      </c>
      <c r="E121" s="72">
        <f>(Tabella3[[#This Row],[Italy cumul. data]]-D120)</f>
        <v>3497</v>
      </c>
      <c r="F121" s="72">
        <f>Tabella3[[#This Row],[Italy remov. rate data]]*NOT(ISBLANK(Tabella3[[#This Row],[Italy remov. rate data]]))</f>
        <v>3497</v>
      </c>
      <c r="G121" s="77">
        <f>Tabella8[[#This Row],[Italy fit]]</f>
        <v>82934.520163104055</v>
      </c>
      <c r="H121" s="77">
        <f>Tabella3[[#This Row],[Italy cumul. fit]]/Kf</f>
        <v>0.36859786739157357</v>
      </c>
      <c r="I121" s="77">
        <f>Tabella3[[#This Row],[region fit]]+Tabella3[[#This Row],[rest of Italy fit]]</f>
        <v>2914.9823246048686</v>
      </c>
      <c r="J121" s="77">
        <f>Tabella3[[#This Row],[Italy (fit of selected region + fitted sum of the other regions)]]/(y_l_peak+y_a_peak)</f>
        <v>0.97179340907744627</v>
      </c>
      <c r="K121" s="72">
        <f>IFERROR(Kf*psi_f*_xlfn.SECH(psi_f*(Tabella3[[#This Row],[Day]]-pf)-phi_f)^2/(1+TANH(phi_f)),0)</f>
        <v>2915.7309641499155</v>
      </c>
      <c r="L121" s="292">
        <f>Tabella3[[#This Row],[Italy remov. rate fit]]-Tabella3[[#This Row],[Italy remov. rate data]]</f>
        <v>-581.26903585008449</v>
      </c>
      <c r="M121" s="293">
        <f>Tabella3[[#This Row],[rem. rate residuals]]*NOT(ISBLANK(Tabella3[[#This Row],[Italy remov. rate data]]))</f>
        <v>-581.26903585008449</v>
      </c>
      <c r="N121" s="72">
        <f>Tabella3[[#This Row],[Italy remov. rate fit]]/y_f_peak</f>
        <v>0.9714550301130076</v>
      </c>
      <c r="O121" s="72">
        <f>Tabella3[[#This Row],[Italy (fit of selected region + fitted sum of the other regions)]]*NOT(ISBLANK(Tabella3[[#This Row],[Italy remov. rate data]]))</f>
        <v>2914.9823246048686</v>
      </c>
      <c r="P121" s="72">
        <f>Tabella3[[#This Row],[Italy remov. rate fit]]*NOT(ISBLANK(Tabella3[[#This Row],[Italy remov. rate data]]))</f>
        <v>2915.7309641499155</v>
      </c>
      <c r="Q121" s="72">
        <f>Tabella3[[#This Row],[Italy remov. rate fit]]+CIf</f>
        <v>4631.3458234844666</v>
      </c>
      <c r="R121" s="72">
        <f>MAX(Tabella3[[#This Row],[Italy remov. rate fit]]-CIf,0)</f>
        <v>1200.1161048153642</v>
      </c>
      <c r="S121" s="4">
        <f>Tabella8[[#This Row],[region data]]</f>
        <v>3583</v>
      </c>
      <c r="T121" s="72">
        <f>(Tabella3[[#This Row],[region cumul. data]]-S120)</f>
        <v>141</v>
      </c>
      <c r="U121" s="72">
        <f>Tabella3[[#This Row],[region data]]*NOT(ISBLANK(Tabella3[[#This Row],[region data]]))</f>
        <v>141</v>
      </c>
      <c r="V121">
        <f t="shared" si="1"/>
        <v>141.16666666666666</v>
      </c>
      <c r="W121" s="72">
        <f>Tabella3[[#This Row],[6-days moving avg]]*NOT(ISBLANK(Tabella3[[#This Row],[6-days moving avg]]))</f>
        <v>141.16666666666666</v>
      </c>
      <c r="X121" s="77">
        <f>Tabella8[[#This Row],[region fit]]</f>
        <v>3527.9403171064591</v>
      </c>
      <c r="Y121" s="72">
        <f>Tabella3[[#This Row],[region cumul. fit]]/Kl</f>
        <v>0.39330438317797761</v>
      </c>
      <c r="Z121" s="72">
        <f>IFERROR(Kl*psi_l*_xlfn.SECH(psi_l*(Tabella3[[#This Row],[Day]]-pl)-phi_l)^2/(1+TANH(phi_l)),0)</f>
        <v>136.01297078645584</v>
      </c>
      <c r="AA121" s="72">
        <f>Tabella3[[#This Row],[region fit]]/y_l_peak</f>
        <v>0.98703689643075954</v>
      </c>
      <c r="AB121" s="72">
        <f>Tabella3[[#This Row],[region fit]]*NOT(ISBLANK(Tabella3[[#This Row],[region data]]))</f>
        <v>136.01297078645584</v>
      </c>
      <c r="AC121" s="166">
        <f>IFERROR(kl_m*psi_l_m*_xlfn.SECH(psi_l_m*(Tabella3[[#This Row],[Day]]-pl_m)-phi_l_m)^2/(1+TANH(phi_l_m)),0)</f>
        <v>136.01297078645584</v>
      </c>
      <c r="AD121" s="72">
        <f>Tabella3[[#This Row],[6-days moving avg fit]]*NOT(ISBLANK(Tabella3[[#This Row],[6-days moving avg]]))</f>
        <v>136.01297078645584</v>
      </c>
      <c r="AE121" s="72">
        <f>Tabella3[[#This Row],[region fit]]+CIl</f>
        <v>189.77781119600428</v>
      </c>
      <c r="AF121" s="72">
        <f>MAX(Tabella3[[#This Row],[region fit]]-CIl,0)</f>
        <v>82.248130376907383</v>
      </c>
      <c r="AG121" s="10">
        <f>Tabella8[[#This Row],[rest of Italy ]]</f>
        <v>79542</v>
      </c>
      <c r="AH121" s="10">
        <f>(Tabella3[[#This Row],[rest of Italy cum. data]]-AG120)</f>
        <v>3356</v>
      </c>
      <c r="AI121" s="72">
        <f>Tabella3[[#This Row],[rest of Italy data]]*NOT(ISBLANK(Tabella3[[#This Row],[rest of Italy data]]))</f>
        <v>3356</v>
      </c>
      <c r="AJ121" s="77">
        <f>Tabella8[[#This Row],[rest of Italy fit]]</f>
        <v>79426.437111670166</v>
      </c>
      <c r="AK121" s="72">
        <f>Tabella3[[#This Row],[rest of Italy cumul. fit]]/Ka</f>
        <v>0.36766392219446448</v>
      </c>
      <c r="AL121" s="72">
        <f>IFERROR(Ka*psi_a*_xlfn.SECH(psi_a*(Tabella3[[#This Row],[Day]]-pa)-phi_a)^2/(1+TANH(phi_a)),0)</f>
        <v>2778.9693538184129</v>
      </c>
      <c r="AM121" s="72">
        <f>Tabella3[[#This Row],[rest of Italy fit]]/y_a_peak</f>
        <v>0.97105941370929127</v>
      </c>
      <c r="AN121" s="72">
        <f>Tabella3[[#This Row],[rest of Italy fit]]*NOT(ISBLANK(Tabella3[[#This Row],[rest of Italy data]]))</f>
        <v>2778.9693538184129</v>
      </c>
      <c r="AO121" s="72">
        <f>Tabella3[[#This Row],[rest of Italy fit]]+CIa</f>
        <v>4473.5435487279956</v>
      </c>
      <c r="AP121" s="72">
        <f>MAX(Tabella3[[#This Row],[rest of Italy fit]]-CIa,0)</f>
        <v>1084.3951589088301</v>
      </c>
    </row>
    <row r="122" spans="2:45" x14ac:dyDescent="0.3">
      <c r="B122" s="9">
        <v>43945</v>
      </c>
      <c r="C122" s="4">
        <v>115</v>
      </c>
      <c r="D122" s="72">
        <f>'dpc-covid19-ita-andamento-naz'!J62+'dpc-covid19-ita-andamento-naz'!K62</f>
        <v>86467</v>
      </c>
      <c r="E122" s="72">
        <f>(Tabella3[[#This Row],[Italy cumul. data]]-D121)</f>
        <v>3342</v>
      </c>
      <c r="F122" s="72">
        <f>Tabella3[[#This Row],[Italy remov. rate data]]*NOT(ISBLANK(Tabella3[[#This Row],[Italy remov. rate data]]))</f>
        <v>3342</v>
      </c>
      <c r="G122" s="77">
        <f>Tabella8[[#This Row],[Italy fit]]</f>
        <v>85861.870422645647</v>
      </c>
      <c r="H122" s="77">
        <f>Tabella3[[#This Row],[Italy cumul. fit]]/Kf</f>
        <v>0.38160831298953618</v>
      </c>
      <c r="I122" s="77">
        <f>Tabella3[[#This Row],[region fit]]+Tabella3[[#This Row],[rest of Italy fit]]</f>
        <v>2937.3867158354187</v>
      </c>
      <c r="J122" s="77">
        <f>Tabella3[[#This Row],[Italy (fit of selected region + fitted sum of the other regions)]]/(y_l_peak+y_a_peak)</f>
        <v>0.9792625589067484</v>
      </c>
      <c r="K122" s="72">
        <f>IFERROR(Kf*psi_f*_xlfn.SECH(psi_f*(Tabella3[[#This Row],[Day]]-pf)-phi_f)^2/(1+TANH(phi_f)),0)</f>
        <v>2938.4184188697382</v>
      </c>
      <c r="L122" s="292">
        <f>Tabella3[[#This Row],[Italy remov. rate fit]]-Tabella3[[#This Row],[Italy remov. rate data]]</f>
        <v>-403.58158113026184</v>
      </c>
      <c r="M122" s="293">
        <f>Tabella3[[#This Row],[rem. rate residuals]]*NOT(ISBLANK(Tabella3[[#This Row],[Italy remov. rate data]]))</f>
        <v>-403.58158113026184</v>
      </c>
      <c r="N122" s="72">
        <f>Tabella3[[#This Row],[Italy remov. rate fit]]/y_f_peak</f>
        <v>0.9790139723744925</v>
      </c>
      <c r="O122" s="72">
        <f>Tabella3[[#This Row],[Italy (fit of selected region + fitted sum of the other regions)]]*NOT(ISBLANK(Tabella3[[#This Row],[Italy remov. rate data]]))</f>
        <v>2937.3867158354187</v>
      </c>
      <c r="P122" s="72">
        <f>Tabella3[[#This Row],[Italy remov. rate fit]]*NOT(ISBLANK(Tabella3[[#This Row],[Italy remov. rate data]]))</f>
        <v>2938.4184188697382</v>
      </c>
      <c r="Q122" s="72">
        <f>Tabella3[[#This Row],[Italy remov. rate fit]]+CIf</f>
        <v>4654.0332782042897</v>
      </c>
      <c r="R122" s="72">
        <f>MAX(Tabella3[[#This Row],[Italy remov. rate fit]]-CIf,0)</f>
        <v>1222.8035595351869</v>
      </c>
      <c r="S122" s="4">
        <f>Tabella8[[#This Row],[region data]]</f>
        <v>3736</v>
      </c>
      <c r="T122" s="72">
        <f>(Tabella3[[#This Row],[region cumul. data]]-S121)</f>
        <v>153</v>
      </c>
      <c r="U122" s="72">
        <f>Tabella3[[#This Row],[region data]]*NOT(ISBLANK(Tabella3[[#This Row],[region data]]))</f>
        <v>153</v>
      </c>
      <c r="V122">
        <f t="shared" si="1"/>
        <v>138.33333333333334</v>
      </c>
      <c r="W122" s="72">
        <f>Tabella3[[#This Row],[6-days moving avg]]*NOT(ISBLANK(Tabella3[[#This Row],[6-days moving avg]]))</f>
        <v>138.33333333333334</v>
      </c>
      <c r="X122" s="77">
        <f>Tabella8[[#This Row],[region fit]]</f>
        <v>3664.3551734618636</v>
      </c>
      <c r="Y122" s="72">
        <f>Tabella3[[#This Row],[region cumul. fit]]/Kl</f>
        <v>0.40851228243722004</v>
      </c>
      <c r="Z122" s="72">
        <f>IFERROR(Kl*psi_l*_xlfn.SECH(psi_l*(Tabella3[[#This Row],[Day]]-pl)-phi_l)^2/(1+TANH(phi_l)),0)</f>
        <v>136.78165687752391</v>
      </c>
      <c r="AA122" s="72">
        <f>Tabella3[[#This Row],[region fit]]/y_l_peak</f>
        <v>0.99261519921519425</v>
      </c>
      <c r="AB122" s="72">
        <f>Tabella3[[#This Row],[region fit]]*NOT(ISBLANK(Tabella3[[#This Row],[region data]]))</f>
        <v>136.78165687752391</v>
      </c>
      <c r="AC122" s="166">
        <f>IFERROR(kl_m*psi_l_m*_xlfn.SECH(psi_l_m*(Tabella3[[#This Row],[Day]]-pl_m)-phi_l_m)^2/(1+TANH(phi_l_m)),0)</f>
        <v>136.78165687752391</v>
      </c>
      <c r="AD122" s="72">
        <f>Tabella3[[#This Row],[6-days moving avg fit]]*NOT(ISBLANK(Tabella3[[#This Row],[6-days moving avg]]))</f>
        <v>136.78165687752391</v>
      </c>
      <c r="AE122" s="72">
        <f>Tabella3[[#This Row],[region fit]]+CIl</f>
        <v>190.54649728707238</v>
      </c>
      <c r="AF122" s="72">
        <f>MAX(Tabella3[[#This Row],[region fit]]-CIl,0)</f>
        <v>83.01681646797546</v>
      </c>
      <c r="AG122" s="10">
        <f>Tabella8[[#This Row],[rest of Italy ]]</f>
        <v>82731</v>
      </c>
      <c r="AH122" s="10">
        <f>(Tabella3[[#This Row],[rest of Italy cum. data]]-AG121)</f>
        <v>3189</v>
      </c>
      <c r="AI122" s="72">
        <f>Tabella3[[#This Row],[rest of Italy data]]*NOT(ISBLANK(Tabella3[[#This Row],[rest of Italy data]]))</f>
        <v>3189</v>
      </c>
      <c r="AJ122" s="77">
        <f>Tabella8[[#This Row],[rest of Italy fit]]</f>
        <v>82216.482753880366</v>
      </c>
      <c r="AK122" s="72">
        <f>Tabella3[[#This Row],[rest of Italy cumul. fit]]/Ka</f>
        <v>0.38057900640596382</v>
      </c>
      <c r="AL122" s="72">
        <f>IFERROR(Ka*psi_a*_xlfn.SECH(psi_a*(Tabella3[[#This Row],[Day]]-pa)-phi_a)^2/(1+TANH(phi_a)),0)</f>
        <v>2800.6050589578949</v>
      </c>
      <c r="AM122" s="72">
        <f>Tabella3[[#This Row],[rest of Italy fit]]/y_a_peak</f>
        <v>0.97861961048478452</v>
      </c>
      <c r="AN122" s="72">
        <f>Tabella3[[#This Row],[rest of Italy fit]]*NOT(ISBLANK(Tabella3[[#This Row],[rest of Italy data]]))</f>
        <v>2800.6050589578949</v>
      </c>
      <c r="AO122" s="72">
        <f>Tabella3[[#This Row],[rest of Italy fit]]+CIa</f>
        <v>4495.1792538674781</v>
      </c>
      <c r="AP122" s="72">
        <f>MAX(Tabella3[[#This Row],[rest of Italy fit]]-CIa,0)</f>
        <v>1106.0308640483122</v>
      </c>
    </row>
    <row r="123" spans="2:45" x14ac:dyDescent="0.3">
      <c r="B123" s="9">
        <v>43946</v>
      </c>
      <c r="C123" s="4">
        <v>116</v>
      </c>
      <c r="D123" s="72">
        <f>'dpc-covid19-ita-andamento-naz'!J63+'dpc-covid19-ita-andamento-naz'!K63</f>
        <v>89504</v>
      </c>
      <c r="E123" s="72">
        <f>(Tabella3[[#This Row],[Italy cumul. data]]-D122)</f>
        <v>3037</v>
      </c>
      <c r="F123" s="72">
        <f>Tabella3[[#This Row],[Italy remov. rate data]]*NOT(ISBLANK(Tabella3[[#This Row],[Italy remov. rate data]]))</f>
        <v>3037</v>
      </c>
      <c r="G123" s="77">
        <f>Tabella8[[#This Row],[Italy fit]]</f>
        <v>88810.237686916284</v>
      </c>
      <c r="H123" s="77">
        <f>Tabella3[[#This Row],[Italy cumul. fit]]/Kf</f>
        <v>0.39471216749740573</v>
      </c>
      <c r="I123" s="77">
        <f>Tabella3[[#This Row],[region fit]]+Tabella3[[#This Row],[rest of Italy fit]]</f>
        <v>2956.429606399498</v>
      </c>
      <c r="J123" s="77">
        <f>Tabella3[[#This Row],[Italy (fit of selected region + fitted sum of the other regions)]]/(y_l_peak+y_a_peak)</f>
        <v>0.98561105556271489</v>
      </c>
      <c r="K123" s="72">
        <f>IFERROR(Kf*psi_f*_xlfn.SECH(psi_f*(Tabella3[[#This Row],[Day]]-pf)-phi_f)^2/(1+TANH(phi_f)),0)</f>
        <v>2957.7484247354641</v>
      </c>
      <c r="L123" s="292">
        <f>Tabella3[[#This Row],[Italy remov. rate fit]]-Tabella3[[#This Row],[Italy remov. rate data]]</f>
        <v>-79.251575264535859</v>
      </c>
      <c r="M123" s="293">
        <f>Tabella3[[#This Row],[rem. rate residuals]]*NOT(ISBLANK(Tabella3[[#This Row],[Italy remov. rate data]]))</f>
        <v>-79.251575264535859</v>
      </c>
      <c r="N123" s="72">
        <f>Tabella3[[#This Row],[Italy remov. rate fit]]/y_f_peak</f>
        <v>0.98545428928344581</v>
      </c>
      <c r="O123" s="72">
        <f>Tabella3[[#This Row],[Italy (fit of selected region + fitted sum of the other regions)]]*NOT(ISBLANK(Tabella3[[#This Row],[Italy remov. rate data]]))</f>
        <v>2956.429606399498</v>
      </c>
      <c r="P123" s="72">
        <f>Tabella3[[#This Row],[Italy remov. rate fit]]*NOT(ISBLANK(Tabella3[[#This Row],[Italy remov. rate data]]))</f>
        <v>2957.7484247354641</v>
      </c>
      <c r="Q123" s="72">
        <f>Tabella3[[#This Row],[Italy remov. rate fit]]+CIf</f>
        <v>4673.3632840700157</v>
      </c>
      <c r="R123" s="72">
        <f>MAX(Tabella3[[#This Row],[Italy remov. rate fit]]-CIf,0)</f>
        <v>1242.1335654009129</v>
      </c>
      <c r="S123" s="4">
        <f>Tabella8[[#This Row],[region data]]</f>
        <v>3868</v>
      </c>
      <c r="T123" s="72">
        <f>(Tabella3[[#This Row],[region cumul. data]]-S122)</f>
        <v>132</v>
      </c>
      <c r="U123" s="72">
        <f>Tabella3[[#This Row],[region data]]*NOT(ISBLANK(Tabella3[[#This Row],[region data]]))</f>
        <v>132</v>
      </c>
      <c r="V123">
        <f t="shared" si="1"/>
        <v>139.16666666666666</v>
      </c>
      <c r="W123" s="72">
        <f>Tabella3[[#This Row],[6-days moving avg]]*NOT(ISBLANK(Tabella3[[#This Row],[6-days moving avg]]))</f>
        <v>139.16666666666666</v>
      </c>
      <c r="X123" s="77">
        <f>Tabella8[[#This Row],[region fit]]</f>
        <v>3801.4327223383148</v>
      </c>
      <c r="Y123" s="72">
        <f>Tabella3[[#This Row],[region cumul. fit]]/Kl</f>
        <v>0.4237940604613506</v>
      </c>
      <c r="Z123" s="72">
        <f>IFERROR(Kl*psi_l*_xlfn.SECH(psi_l*(Tabella3[[#This Row],[Day]]-pl)-phi_l)^2/(1+TANH(phi_l)),0)</f>
        <v>137.33766099559634</v>
      </c>
      <c r="AA123" s="72">
        <f>Tabella3[[#This Row],[region fit]]/y_l_peak</f>
        <v>0.99665008335846139</v>
      </c>
      <c r="AB123" s="72">
        <f>Tabella3[[#This Row],[region fit]]*NOT(ISBLANK(Tabella3[[#This Row],[region data]]))</f>
        <v>137.33766099559634</v>
      </c>
      <c r="AC123" s="166">
        <f>IFERROR(kl_m*psi_l_m*_xlfn.SECH(psi_l_m*(Tabella3[[#This Row],[Day]]-pl_m)-phi_l_m)^2/(1+TANH(phi_l_m)),0)</f>
        <v>137.33766099559634</v>
      </c>
      <c r="AD123" s="72">
        <f>Tabella3[[#This Row],[6-days moving avg fit]]*NOT(ISBLANK(Tabella3[[#This Row],[6-days moving avg]]))</f>
        <v>137.33766099559634</v>
      </c>
      <c r="AE123" s="72">
        <f>Tabella3[[#This Row],[region fit]]+CIl</f>
        <v>191.10250140514478</v>
      </c>
      <c r="AF123" s="72">
        <f>MAX(Tabella3[[#This Row],[region fit]]-CIl,0)</f>
        <v>83.572820586047882</v>
      </c>
      <c r="AG123" s="10">
        <f>Tabella8[[#This Row],[rest of Italy ]]</f>
        <v>85636</v>
      </c>
      <c r="AH123" s="10">
        <f>(Tabella3[[#This Row],[rest of Italy cum. data]]-AG122)</f>
        <v>2905</v>
      </c>
      <c r="AI123" s="72">
        <f>Tabella3[[#This Row],[rest of Italy data]]*NOT(ISBLANK(Tabella3[[#This Row],[rest of Italy data]]))</f>
        <v>2905</v>
      </c>
      <c r="AJ123" s="77">
        <f>Tabella8[[#This Row],[rest of Italy fit]]</f>
        <v>85026.597471845656</v>
      </c>
      <c r="AK123" s="72">
        <f>Tabella3[[#This Row],[rest of Italy cumul. fit]]/Ka</f>
        <v>0.39358699010251197</v>
      </c>
      <c r="AL123" s="72">
        <f>IFERROR(Ka*psi_a*_xlfn.SECH(psi_a*(Tabella3[[#This Row],[Day]]-pa)-phi_a)^2/(1+TANH(phi_a)),0)</f>
        <v>2819.0919454039017</v>
      </c>
      <c r="AM123" s="72">
        <f>Tabella3[[#This Row],[rest of Italy fit]]/y_a_peak</f>
        <v>0.98507951083917422</v>
      </c>
      <c r="AN123" s="72">
        <f>Tabella3[[#This Row],[rest of Italy fit]]*NOT(ISBLANK(Tabella3[[#This Row],[rest of Italy data]]))</f>
        <v>2819.0919454039017</v>
      </c>
      <c r="AO123" s="72">
        <f>Tabella3[[#This Row],[rest of Italy fit]]+CIa</f>
        <v>4513.666140313484</v>
      </c>
      <c r="AP123" s="72">
        <f>MAX(Tabella3[[#This Row],[rest of Italy fit]]-CIa,0)</f>
        <v>1124.517750494319</v>
      </c>
    </row>
    <row r="124" spans="2:45" x14ac:dyDescent="0.3">
      <c r="B124" s="9">
        <v>43947</v>
      </c>
      <c r="C124" s="4">
        <v>117</v>
      </c>
      <c r="D124" s="72">
        <f>'dpc-covid19-ita-andamento-naz'!J64+'dpc-covid19-ita-andamento-naz'!K64</f>
        <v>91572</v>
      </c>
      <c r="E124" s="72">
        <f>(Tabella3[[#This Row],[Italy cumul. data]]-D123)</f>
        <v>2068</v>
      </c>
      <c r="F124" s="72">
        <f>Tabella3[[#This Row],[Italy remov. rate data]]*NOT(ISBLANK(Tabella3[[#This Row],[Italy remov. rate data]]))</f>
        <v>2068</v>
      </c>
      <c r="G124" s="77">
        <f>Tabella8[[#This Row],[Italy fit]]</f>
        <v>91776.217372416228</v>
      </c>
      <c r="H124" s="77">
        <f>Tabella3[[#This Row],[Italy cumul. fit]]/Kf</f>
        <v>0.40789429943296102</v>
      </c>
      <c r="I124" s="77">
        <f>Tabella3[[#This Row],[region fit]]+Tabella3[[#This Row],[rest of Italy fit]]</f>
        <v>2972.0211086487084</v>
      </c>
      <c r="J124" s="77">
        <f>Tabella3[[#This Row],[Italy (fit of selected region + fitted sum of the other regions)]]/(y_l_peak+y_a_peak)</f>
        <v>0.99080893240591417</v>
      </c>
      <c r="K124" s="72">
        <f>IFERROR(Kf*psi_f*_xlfn.SECH(psi_f*(Tabella3[[#This Row],[Day]]-pf)-phi_f)^2/(1+TANH(phi_f)),0)</f>
        <v>2973.6292549839927</v>
      </c>
      <c r="L124" s="292">
        <f>Tabella3[[#This Row],[Italy remov. rate fit]]-Tabella3[[#This Row],[Italy remov. rate data]]</f>
        <v>905.62925498399272</v>
      </c>
      <c r="M124" s="293">
        <f>Tabella3[[#This Row],[rem. rate residuals]]*NOT(ISBLANK(Tabella3[[#This Row],[Italy remov. rate data]]))</f>
        <v>905.62925498399272</v>
      </c>
      <c r="N124" s="72">
        <f>Tabella3[[#This Row],[Italy remov. rate fit]]/y_f_peak</f>
        <v>0.9907454195752976</v>
      </c>
      <c r="O124" s="72">
        <f>Tabella3[[#This Row],[Italy (fit of selected region + fitted sum of the other regions)]]*NOT(ISBLANK(Tabella3[[#This Row],[Italy remov. rate data]]))</f>
        <v>2972.0211086487084</v>
      </c>
      <c r="P124" s="72">
        <f>Tabella3[[#This Row],[Italy remov. rate fit]]*NOT(ISBLANK(Tabella3[[#This Row],[Italy remov. rate data]]))</f>
        <v>2973.6292549839927</v>
      </c>
      <c r="Q124" s="72">
        <f>Tabella3[[#This Row],[Italy remov. rate fit]]+CIf</f>
        <v>4689.2441143185442</v>
      </c>
      <c r="R124" s="72">
        <f>MAX(Tabella3[[#This Row],[Italy remov. rate fit]]-CIf,0)</f>
        <v>1258.0143956494414</v>
      </c>
      <c r="S124" s="4">
        <f>Tabella8[[#This Row],[region data]]</f>
        <v>4008</v>
      </c>
      <c r="T124" s="72">
        <f>(Tabella3[[#This Row],[region cumul. data]]-S123)</f>
        <v>140</v>
      </c>
      <c r="U124" s="72">
        <f>Tabella3[[#This Row],[region data]]*NOT(ISBLANK(Tabella3[[#This Row],[region data]]))</f>
        <v>140</v>
      </c>
      <c r="V124">
        <f t="shared" si="1"/>
        <v>126.83333333333333</v>
      </c>
      <c r="W124" s="72">
        <f>Tabella3[[#This Row],[6-days moving avg]]*NOT(ISBLANK(Tabella3[[#This Row],[6-days moving avg]]))</f>
        <v>126.83333333333333</v>
      </c>
      <c r="X124" s="77">
        <f>Tabella8[[#This Row],[region fit]]</f>
        <v>3938.9584177784354</v>
      </c>
      <c r="Y124" s="72">
        <f>Tabella3[[#This Row],[region cumul. fit]]/Kl</f>
        <v>0.43912579908343763</v>
      </c>
      <c r="Z124" s="72">
        <f>IFERROR(Kl*psi_l*_xlfn.SECH(psi_l*(Tabella3[[#This Row],[Day]]-pl)-phi_l)^2/(1+TANH(phi_l)),0)</f>
        <v>137.67747724954512</v>
      </c>
      <c r="AA124" s="72">
        <f>Tabella3[[#This Row],[region fit]]/y_l_peak</f>
        <v>0.99911610684662522</v>
      </c>
      <c r="AB124" s="72">
        <f>Tabella3[[#This Row],[region fit]]*NOT(ISBLANK(Tabella3[[#This Row],[region data]]))</f>
        <v>137.67747724954512</v>
      </c>
      <c r="AC124" s="166">
        <f>IFERROR(kl_m*psi_l_m*_xlfn.SECH(psi_l_m*(Tabella3[[#This Row],[Day]]-pl_m)-phi_l_m)^2/(1+TANH(phi_l_m)),0)</f>
        <v>137.67747724954512</v>
      </c>
      <c r="AD124" s="72">
        <f>Tabella3[[#This Row],[6-days moving avg fit]]*NOT(ISBLANK(Tabella3[[#This Row],[6-days moving avg]]))</f>
        <v>137.67747724954512</v>
      </c>
      <c r="AE124" s="72">
        <f>Tabella3[[#This Row],[region fit]]+CIl</f>
        <v>191.44231765909359</v>
      </c>
      <c r="AF124" s="72">
        <f>MAX(Tabella3[[#This Row],[region fit]]-CIl,0)</f>
        <v>83.912636839996665</v>
      </c>
      <c r="AG124" s="10">
        <f>Tabella8[[#This Row],[rest of Italy ]]</f>
        <v>87564</v>
      </c>
      <c r="AH124" s="10">
        <f>(Tabella3[[#This Row],[rest of Italy cum. data]]-AG123)</f>
        <v>1928</v>
      </c>
      <c r="AI124" s="72">
        <f>Tabella3[[#This Row],[rest of Italy data]]*NOT(ISBLANK(Tabella3[[#This Row],[rest of Italy data]]))</f>
        <v>1928</v>
      </c>
      <c r="AJ124" s="77">
        <f>Tabella8[[#This Row],[rest of Italy fit]]</f>
        <v>87853.588083586059</v>
      </c>
      <c r="AK124" s="72">
        <f>Tabella3[[#This Row],[rest of Italy cumul. fit]]/Ka</f>
        <v>0.40667309208714558</v>
      </c>
      <c r="AL124" s="72">
        <f>IFERROR(Ka*psi_a*_xlfn.SECH(psi_a*(Tabella3[[#This Row],[Day]]-pa)-phi_a)^2/(1+TANH(phi_a)),0)</f>
        <v>2834.3436313991633</v>
      </c>
      <c r="AM124" s="72">
        <f>Tabella3[[#This Row],[rest of Italy fit]]/y_a_peak</f>
        <v>0.99040893026594368</v>
      </c>
      <c r="AN124" s="72">
        <f>Tabella3[[#This Row],[rest of Italy fit]]*NOT(ISBLANK(Tabella3[[#This Row],[rest of Italy data]]))</f>
        <v>2834.3436313991633</v>
      </c>
      <c r="AO124" s="72">
        <f>Tabella3[[#This Row],[rest of Italy fit]]+CIa</f>
        <v>4528.917826308746</v>
      </c>
      <c r="AP124" s="72">
        <f>MAX(Tabella3[[#This Row],[rest of Italy fit]]-CIa,0)</f>
        <v>1139.7694364895806</v>
      </c>
    </row>
    <row r="125" spans="2:45" x14ac:dyDescent="0.3">
      <c r="B125" s="9">
        <v>43948</v>
      </c>
      <c r="C125" s="4">
        <v>118</v>
      </c>
      <c r="D125" s="72">
        <f>'dpc-covid19-ita-andamento-naz'!J65+'dpc-covid19-ita-andamento-naz'!K65</f>
        <v>93601</v>
      </c>
      <c r="E125" s="72">
        <f>(Tabella3[[#This Row],[Italy cumul. data]]-D124)</f>
        <v>2029</v>
      </c>
      <c r="F125" s="72">
        <f>Tabella3[[#This Row],[Italy remov. rate data]]*NOT(ISBLANK(Tabella3[[#This Row],[Italy remov. rate data]]))</f>
        <v>2029</v>
      </c>
      <c r="G125" s="77">
        <f>Tabella8[[#This Row],[Italy fit]]</f>
        <v>94756.320942036313</v>
      </c>
      <c r="H125" s="77">
        <f>Tabella3[[#This Row],[Italy cumul. fit]]/Kf</f>
        <v>0.42113920418682804</v>
      </c>
      <c r="I125" s="77">
        <f>Tabella3[[#This Row],[region fit]]+Tabella3[[#This Row],[rest of Italy fit]]</f>
        <v>2984.0871573561863</v>
      </c>
      <c r="J125" s="77">
        <f>Tabella3[[#This Row],[Italy (fit of selected region + fitted sum of the other regions)]]/(y_l_peak+y_a_peak)</f>
        <v>0.99483149765736001</v>
      </c>
      <c r="K125" s="72">
        <f>IFERROR(Kf*psi_f*_xlfn.SECH(psi_f*(Tabella3[[#This Row],[Day]]-pf)-phi_f)^2/(1+TANH(phi_f)),0)</f>
        <v>2985.9848698176015</v>
      </c>
      <c r="L125" s="292">
        <f>Tabella3[[#This Row],[Italy remov. rate fit]]-Tabella3[[#This Row],[Italy remov. rate data]]</f>
        <v>956.98486981760152</v>
      </c>
      <c r="M125" s="293">
        <f>Tabella3[[#This Row],[rem. rate residuals]]*NOT(ISBLANK(Tabella3[[#This Row],[Italy remov. rate data]]))</f>
        <v>956.98486981760152</v>
      </c>
      <c r="N125" s="72">
        <f>Tabella3[[#This Row],[Italy remov. rate fit]]/y_f_peak</f>
        <v>0.99486202852441841</v>
      </c>
      <c r="O125" s="72">
        <f>Tabella3[[#This Row],[Italy (fit of selected region + fitted sum of the other regions)]]*NOT(ISBLANK(Tabella3[[#This Row],[Italy remov. rate data]]))</f>
        <v>2984.0871573561863</v>
      </c>
      <c r="P125" s="72">
        <f>Tabella3[[#This Row],[Italy remov. rate fit]]*NOT(ISBLANK(Tabella3[[#This Row],[Italy remov. rate data]]))</f>
        <v>2985.9848698176015</v>
      </c>
      <c r="Q125" s="72">
        <f>Tabella3[[#This Row],[Italy remov. rate fit]]+CIf</f>
        <v>4701.5997291521526</v>
      </c>
      <c r="R125" s="72">
        <f>MAX(Tabella3[[#This Row],[Italy remov. rate fit]]-CIf,0)</f>
        <v>1270.3700104830502</v>
      </c>
      <c r="S125" s="4">
        <f>Tabella8[[#This Row],[region data]]</f>
        <v>4062</v>
      </c>
      <c r="T125" s="72">
        <f>(Tabella3[[#This Row],[region cumul. data]]-S124)</f>
        <v>54</v>
      </c>
      <c r="U125" s="72">
        <f>Tabella3[[#This Row],[region data]]*NOT(ISBLANK(Tabella3[[#This Row],[region data]]))</f>
        <v>54</v>
      </c>
      <c r="V125">
        <f t="shared" si="1"/>
        <v>126.5</v>
      </c>
      <c r="W125" s="72">
        <f>Tabella3[[#This Row],[6-days moving avg]]*NOT(ISBLANK(Tabella3[[#This Row],[6-days moving avg]]))</f>
        <v>126.5</v>
      </c>
      <c r="X125" s="77">
        <f>Tabella8[[#This Row],[region fit]]</f>
        <v>4076.7148810967178</v>
      </c>
      <c r="Y125" s="72">
        <f>Tabella3[[#This Row],[region cumul. fit]]/Kl</f>
        <v>0.45448326433631192</v>
      </c>
      <c r="Z125" s="72">
        <f>IFERROR(Kl*psi_l*_xlfn.SECH(psi_l*(Tabella3[[#This Row],[Day]]-pl)-phi_l)^2/(1+TANH(phi_l)),0)</f>
        <v>137.79895240762775</v>
      </c>
      <c r="AA125" s="72">
        <f>Tabella3[[#This Row],[region fit]]/y_l_peak</f>
        <v>0.99999764382309164</v>
      </c>
      <c r="AB125" s="72">
        <f>Tabella3[[#This Row],[region fit]]*NOT(ISBLANK(Tabella3[[#This Row],[region data]]))</f>
        <v>137.79895240762775</v>
      </c>
      <c r="AC125" s="166">
        <f>IFERROR(kl_m*psi_l_m*_xlfn.SECH(psi_l_m*(Tabella3[[#This Row],[Day]]-pl_m)-phi_l_m)^2/(1+TANH(phi_l_m)),0)</f>
        <v>137.79895240762775</v>
      </c>
      <c r="AD125" s="72">
        <f>Tabella3[[#This Row],[6-days moving avg fit]]*NOT(ISBLANK(Tabella3[[#This Row],[6-days moving avg]]))</f>
        <v>137.79895240762775</v>
      </c>
      <c r="AE125" s="72">
        <f>Tabella3[[#This Row],[region fit]]+CIl</f>
        <v>191.56379281717619</v>
      </c>
      <c r="AF125" s="72">
        <f>MAX(Tabella3[[#This Row],[region fit]]-CIl,0)</f>
        <v>84.034111998079297</v>
      </c>
      <c r="AG125" s="10">
        <f>Tabella8[[#This Row],[rest of Italy ]]</f>
        <v>89539</v>
      </c>
      <c r="AH125" s="10">
        <f>(Tabella3[[#This Row],[rest of Italy cum. data]]-AG124)</f>
        <v>1975</v>
      </c>
      <c r="AI125" s="72">
        <f>Tabella3[[#This Row],[rest of Italy data]]*NOT(ISBLANK(Tabella3[[#This Row],[rest of Italy data]]))</f>
        <v>1975</v>
      </c>
      <c r="AJ125" s="77">
        <f>Tabella8[[#This Row],[rest of Italy fit]]</f>
        <v>90694.18219491771</v>
      </c>
      <c r="AK125" s="72">
        <f>Tabella3[[#This Row],[rest of Italy cumul. fit]]/Ka</f>
        <v>0.41982216449066201</v>
      </c>
      <c r="AL125" s="72">
        <f>IFERROR(Ka*psi_a*_xlfn.SECH(psi_a*(Tabella3[[#This Row],[Day]]-pa)-phi_a)^2/(1+TANH(phi_a)),0)</f>
        <v>2846.2882049485584</v>
      </c>
      <c r="AM125" s="72">
        <f>Tabella3[[#This Row],[rest of Italy fit]]/y_a_peak</f>
        <v>0.99458274044918504</v>
      </c>
      <c r="AN125" s="72">
        <f>Tabella3[[#This Row],[rest of Italy fit]]*NOT(ISBLANK(Tabella3[[#This Row],[rest of Italy data]]))</f>
        <v>2846.2882049485584</v>
      </c>
      <c r="AO125" s="72">
        <f>Tabella3[[#This Row],[rest of Italy fit]]+CIa</f>
        <v>4540.8623998581406</v>
      </c>
      <c r="AP125" s="72">
        <f>MAX(Tabella3[[#This Row],[rest of Italy fit]]-CIa,0)</f>
        <v>1151.7140100389756</v>
      </c>
    </row>
    <row r="126" spans="2:45" x14ac:dyDescent="0.3">
      <c r="B126" s="9">
        <v>43949</v>
      </c>
      <c r="C126" s="4">
        <v>119</v>
      </c>
      <c r="D126" s="72">
        <f>'dpc-covid19-ita-andamento-naz'!J66+'dpc-covid19-ita-andamento-naz'!K66</f>
        <v>96300</v>
      </c>
      <c r="E126" s="72">
        <f>(Tabella3[[#This Row],[Italy cumul. data]]-D125)</f>
        <v>2699</v>
      </c>
      <c r="F126" s="72">
        <f>Tabella3[[#This Row],[Italy remov. rate data]]*NOT(ISBLANK(Tabella3[[#This Row],[Italy remov. rate data]]))</f>
        <v>2699</v>
      </c>
      <c r="G126" s="77">
        <f>Tabella8[[#This Row],[Italy fit]]</f>
        <v>97746.991988753813</v>
      </c>
      <c r="H126" s="77">
        <f>Tabella3[[#This Row],[Italy cumul. fit]]/Kf</f>
        <v>0.43443107550557253</v>
      </c>
      <c r="I126" s="77">
        <f>Tabella3[[#This Row],[region fit]]+Tabella3[[#This Row],[rest of Italy fit]]</f>
        <v>2992.5702535090927</v>
      </c>
      <c r="J126" s="77">
        <f>Tabella3[[#This Row],[Italy (fit of selected region + fitted sum of the other regions)]]/(y_l_peak+y_a_peak)</f>
        <v>0.99765958236318486</v>
      </c>
      <c r="K126" s="72">
        <f>IFERROR(Kf*psi_f*_xlfn.SECH(psi_f*(Tabella3[[#This Row],[Day]]-pf)-phi_f)^2/(1+TANH(phi_f)),0)</f>
        <v>2994.7556841800938</v>
      </c>
      <c r="L126" s="292">
        <f>Tabella3[[#This Row],[Italy remov. rate fit]]-Tabella3[[#This Row],[Italy remov. rate data]]</f>
        <v>295.75568418009379</v>
      </c>
      <c r="M126" s="293">
        <f>Tabella3[[#This Row],[rem. rate residuals]]*NOT(ISBLANK(Tabella3[[#This Row],[Italy remov. rate data]]))</f>
        <v>295.75568418009379</v>
      </c>
      <c r="N126" s="72">
        <f>Tabella3[[#This Row],[Italy remov. rate fit]]/y_f_peak</f>
        <v>0.99778426374961338</v>
      </c>
      <c r="O126" s="72">
        <f>Tabella3[[#This Row],[Italy (fit of selected region + fitted sum of the other regions)]]*NOT(ISBLANK(Tabella3[[#This Row],[Italy remov. rate data]]))</f>
        <v>2992.5702535090927</v>
      </c>
      <c r="P126" s="72">
        <f>Tabella3[[#This Row],[Italy remov. rate fit]]*NOT(ISBLANK(Tabella3[[#This Row],[Italy remov. rate data]]))</f>
        <v>2994.7556841800938</v>
      </c>
      <c r="Q126" s="72">
        <f>Tabella3[[#This Row],[Italy remov. rate fit]]+CIf</f>
        <v>4710.3705435146449</v>
      </c>
      <c r="R126" s="72">
        <f>MAX(Tabella3[[#This Row],[Italy remov. rate fit]]-CIf,0)</f>
        <v>1279.1408248455425</v>
      </c>
      <c r="S126" s="4">
        <f>Tabella8[[#This Row],[region data]]</f>
        <v>4201</v>
      </c>
      <c r="T126" s="72">
        <f>(Tabella3[[#This Row],[region cumul. data]]-S125)</f>
        <v>139</v>
      </c>
      <c r="U126" s="72">
        <f>Tabella3[[#This Row],[region data]]*NOT(ISBLANK(Tabella3[[#This Row],[region data]]))</f>
        <v>139</v>
      </c>
      <c r="V126">
        <f t="shared" si="1"/>
        <v>121.66666666666667</v>
      </c>
      <c r="W126" s="72">
        <f>Tabella3[[#This Row],[6-days moving avg]]*NOT(ISBLANK(Tabella3[[#This Row],[6-days moving avg]]))</f>
        <v>121.66666666666667</v>
      </c>
      <c r="X126" s="77">
        <f>Tabella8[[#This Row],[region fit]]</f>
        <v>4214.483269517802</v>
      </c>
      <c r="Y126" s="72">
        <f>Tabella3[[#This Row],[region cumul. fit]]/Kl</f>
        <v>0.46984205903208492</v>
      </c>
      <c r="Z126" s="72">
        <f>IFERROR(Kl*psi_l*_xlfn.SECH(psi_l*(Tabella3[[#This Row],[Day]]-pl)-phi_l)^2/(1+TANH(phi_l)),0)</f>
        <v>137.70131481176921</v>
      </c>
      <c r="AA126" s="72">
        <f>Tabella3[[#This Row],[region fit]]/y_l_peak</f>
        <v>0.99928909441759062</v>
      </c>
      <c r="AB126" s="72">
        <f>Tabella3[[#This Row],[region fit]]*NOT(ISBLANK(Tabella3[[#This Row],[region data]]))</f>
        <v>137.70131481176921</v>
      </c>
      <c r="AC126" s="166">
        <f>IFERROR(kl_m*psi_l_m*_xlfn.SECH(psi_l_m*(Tabella3[[#This Row],[Day]]-pl_m)-phi_l_m)^2/(1+TANH(phi_l_m)),0)</f>
        <v>137.70131481176921</v>
      </c>
      <c r="AD126" s="72">
        <f>Tabella3[[#This Row],[6-days moving avg fit]]*NOT(ISBLANK(Tabella3[[#This Row],[6-days moving avg]]))</f>
        <v>137.70131481176921</v>
      </c>
      <c r="AE126" s="72">
        <f>Tabella3[[#This Row],[region fit]]+CIl</f>
        <v>191.46615522131765</v>
      </c>
      <c r="AF126" s="72">
        <f>MAX(Tabella3[[#This Row],[region fit]]-CIl,0)</f>
        <v>83.936474402220753</v>
      </c>
      <c r="AG126" s="10">
        <f>Tabella8[[#This Row],[rest of Italy ]]</f>
        <v>92099</v>
      </c>
      <c r="AH126" s="10">
        <f>(Tabella3[[#This Row],[rest of Italy cum. data]]-AG125)</f>
        <v>2560</v>
      </c>
      <c r="AI126" s="72">
        <f>Tabella3[[#This Row],[rest of Italy data]]*NOT(ISBLANK(Tabella3[[#This Row],[rest of Italy data]]))</f>
        <v>2560</v>
      </c>
      <c r="AJ126" s="77">
        <f>Tabella8[[#This Row],[rest of Italy fit]]</f>
        <v>93545.043038297808</v>
      </c>
      <c r="AK126" s="72">
        <f>Tabella3[[#This Row],[rest of Italy cumul. fit]]/Ka</f>
        <v>0.43301876146043516</v>
      </c>
      <c r="AL126" s="72">
        <f>IFERROR(Ka*psi_a*_xlfn.SECH(psi_a*(Tabella3[[#This Row],[Day]]-pa)-phi_a)^2/(1+TANH(phi_a)),0)</f>
        <v>2854.8689386973233</v>
      </c>
      <c r="AM126" s="72">
        <f>Tabella3[[#This Row],[rest of Italy fit]]/y_a_peak</f>
        <v>0.99758111906455993</v>
      </c>
      <c r="AN126" s="72">
        <f>Tabella3[[#This Row],[rest of Italy fit]]*NOT(ISBLANK(Tabella3[[#This Row],[rest of Italy data]]))</f>
        <v>2854.8689386973233</v>
      </c>
      <c r="AO126" s="72">
        <f>Tabella3[[#This Row],[rest of Italy fit]]+CIa</f>
        <v>4549.4431336069065</v>
      </c>
      <c r="AP126" s="72">
        <f>MAX(Tabella3[[#This Row],[rest of Italy fit]]-CIa,0)</f>
        <v>1160.2947437877406</v>
      </c>
    </row>
    <row r="127" spans="2:45" x14ac:dyDescent="0.3">
      <c r="B127" s="9">
        <v>43950</v>
      </c>
      <c r="C127" s="4">
        <v>120</v>
      </c>
      <c r="D127" s="72">
        <f>'dpc-covid19-ita-andamento-naz'!J67+'dpc-covid19-ita-andamento-naz'!K67</f>
        <v>98934</v>
      </c>
      <c r="E127" s="72">
        <f>(Tabella3[[#This Row],[Italy cumul. data]]-D126)</f>
        <v>2634</v>
      </c>
      <c r="F127" s="72">
        <f>Tabella3[[#This Row],[Italy remov. rate data]]*NOT(ISBLANK(Tabella3[[#This Row],[Italy remov. rate data]]))</f>
        <v>2634</v>
      </c>
      <c r="G127" s="77">
        <f>Tabella8[[#This Row],[Italy fit]]</f>
        <v>100744.62300797222</v>
      </c>
      <c r="H127" s="77">
        <f>Tabella3[[#This Row],[Italy cumul. fit]]/Kf</f>
        <v>0.44775388003543209</v>
      </c>
      <c r="I127" s="77">
        <f>Tabella3[[#This Row],[region fit]]+Tabella3[[#This Row],[rest of Italy fit]]</f>
        <v>2997.4300442151489</v>
      </c>
      <c r="J127" s="77">
        <f>Tabella3[[#This Row],[Italy (fit of selected region + fitted sum of the other regions)]]/(y_l_peak+y_a_peak)</f>
        <v>0.99927973372320433</v>
      </c>
      <c r="K127" s="72">
        <f>IFERROR(Kf*psi_f*_xlfn.SECH(psi_f*(Tabella3[[#This Row],[Day]]-pf)-phi_f)^2/(1+TANH(phi_f)),0)</f>
        <v>2999.8991752785728</v>
      </c>
      <c r="L127" s="292">
        <f>Tabella3[[#This Row],[Italy remov. rate fit]]-Tabella3[[#This Row],[Italy remov. rate data]]</f>
        <v>365.89917527857278</v>
      </c>
      <c r="M127" s="293">
        <f>Tabella3[[#This Row],[rem. rate residuals]]*NOT(ISBLANK(Tabella3[[#This Row],[Italy remov. rate data]]))</f>
        <v>365.89917527857278</v>
      </c>
      <c r="N127" s="72">
        <f>Tabella3[[#This Row],[Italy remov. rate fit]]/y_f_peak</f>
        <v>0.99949795762651594</v>
      </c>
      <c r="O127" s="72">
        <f>Tabella3[[#This Row],[Italy (fit of selected region + fitted sum of the other regions)]]*NOT(ISBLANK(Tabella3[[#This Row],[Italy remov. rate data]]))</f>
        <v>2997.4300442151489</v>
      </c>
      <c r="P127" s="72">
        <f>Tabella3[[#This Row],[Italy remov. rate fit]]*NOT(ISBLANK(Tabella3[[#This Row],[Italy remov. rate data]]))</f>
        <v>2999.8991752785728</v>
      </c>
      <c r="Q127" s="72">
        <f>Tabella3[[#This Row],[Italy remov. rate fit]]+CIf</f>
        <v>4715.5140346131238</v>
      </c>
      <c r="R127" s="72">
        <f>MAX(Tabella3[[#This Row],[Italy remov. rate fit]]-CIf,0)</f>
        <v>1284.2843159440215</v>
      </c>
      <c r="S127" s="4">
        <f>Tabella8[[#This Row],[region data]]</f>
        <v>4313</v>
      </c>
      <c r="T127" s="72">
        <f>(Tabella3[[#This Row],[region cumul. data]]-S126)</f>
        <v>112</v>
      </c>
      <c r="U127" s="72">
        <f>Tabella3[[#This Row],[region data]]*NOT(ISBLANK(Tabella3[[#This Row],[region data]]))</f>
        <v>112</v>
      </c>
      <c r="V127">
        <f t="shared" si="1"/>
        <v>117.66666666666667</v>
      </c>
      <c r="W127" s="72">
        <f>Tabella3[[#This Row],[6-days moving avg]]*NOT(ISBLANK(Tabella3[[#This Row],[6-days moving avg]]))</f>
        <v>117.66666666666667</v>
      </c>
      <c r="X127" s="77">
        <f>Tabella8[[#This Row],[region fit]]</f>
        <v>4352.0446645084685</v>
      </c>
      <c r="Y127" s="72">
        <f>Tabella3[[#This Row],[region cumul. fit]]/Kl</f>
        <v>0.48517777753717595</v>
      </c>
      <c r="Z127" s="72">
        <f>IFERROR(Kl*psi_l*_xlfn.SECH(psi_l*(Tabella3[[#This Row],[Day]]-pl)-phi_l)^2/(1+TANH(phi_l)),0)</f>
        <v>137.38518477485567</v>
      </c>
      <c r="AA127" s="72">
        <f>Tabella3[[#This Row],[region fit]]/y_l_peak</f>
        <v>0.9969949601986301</v>
      </c>
      <c r="AB127" s="72">
        <f>Tabella3[[#This Row],[region fit]]*NOT(ISBLANK(Tabella3[[#This Row],[region data]]))</f>
        <v>137.38518477485567</v>
      </c>
      <c r="AC127" s="166">
        <f>IFERROR(kl_m*psi_l_m*_xlfn.SECH(psi_l_m*(Tabella3[[#This Row],[Day]]-pl_m)-phi_l_m)^2/(1+TANH(phi_l_m)),0)</f>
        <v>137.38518477485567</v>
      </c>
      <c r="AD127" s="72">
        <f>Tabella3[[#This Row],[6-days moving avg fit]]*NOT(ISBLANK(Tabella3[[#This Row],[6-days moving avg]]))</f>
        <v>137.38518477485567</v>
      </c>
      <c r="AE127" s="72">
        <f>Tabella3[[#This Row],[region fit]]+CIl</f>
        <v>191.15002518440411</v>
      </c>
      <c r="AF127" s="72">
        <f>MAX(Tabella3[[#This Row],[region fit]]-CIl,0)</f>
        <v>83.620344365307218</v>
      </c>
      <c r="AG127" s="10">
        <f>Tabella8[[#This Row],[rest of Italy ]]</f>
        <v>94621</v>
      </c>
      <c r="AH127" s="10">
        <f>(Tabella3[[#This Row],[rest of Italy cum. data]]-AG126)</f>
        <v>2522</v>
      </c>
      <c r="AI127" s="72">
        <f>Tabella3[[#This Row],[rest of Italy data]]*NOT(ISBLANK(Tabella3[[#This Row],[rest of Italy data]]))</f>
        <v>2522</v>
      </c>
      <c r="AJ127" s="77">
        <f>Tabella8[[#This Row],[rest of Italy fit]]</f>
        <v>96402.784954778152</v>
      </c>
      <c r="AK127" s="72">
        <f>Tabella3[[#This Row],[rest of Italy cumul. fit]]/Ka</f>
        <v>0.44624721082617297</v>
      </c>
      <c r="AL127" s="72">
        <f>IFERROR(Ka*psi_a*_xlfn.SECH(psi_a*(Tabella3[[#This Row],[Day]]-pa)-phi_a)^2/(1+TANH(phi_a)),0)</f>
        <v>2860.0448594402933</v>
      </c>
      <c r="AM127" s="72">
        <f>Tabella3[[#This Row],[rest of Italy fit]]/y_a_peak</f>
        <v>0.9993897487837643</v>
      </c>
      <c r="AN127" s="72">
        <f>Tabella3[[#This Row],[rest of Italy fit]]*NOT(ISBLANK(Tabella3[[#This Row],[rest of Italy data]]))</f>
        <v>2860.0448594402933</v>
      </c>
      <c r="AO127" s="72">
        <f>Tabella3[[#This Row],[rest of Italy fit]]+CIa</f>
        <v>4554.619054349876</v>
      </c>
      <c r="AP127" s="72">
        <f>MAX(Tabella3[[#This Row],[rest of Italy fit]]-CIa,0)</f>
        <v>1165.4706645307106</v>
      </c>
    </row>
    <row r="128" spans="2:45" x14ac:dyDescent="0.3">
      <c r="B128" s="9">
        <v>43951</v>
      </c>
      <c r="C128" s="4">
        <v>121</v>
      </c>
      <c r="D128" s="72">
        <f>'dpc-covid19-ita-andamento-naz'!J68+'dpc-covid19-ita-andamento-naz'!K68</f>
        <v>103912</v>
      </c>
      <c r="E128" s="72">
        <f>(Tabella3[[#This Row],[Italy cumul. data]]-D127)</f>
        <v>4978</v>
      </c>
      <c r="F128" s="72">
        <f>Tabella3[[#This Row],[Italy remov. rate data]]*NOT(ISBLANK(Tabella3[[#This Row],[Italy remov. rate data]]))</f>
        <v>4978</v>
      </c>
      <c r="G128" s="77">
        <f>Tabella8[[#This Row],[Italy fit]]</f>
        <v>103745.57269273401</v>
      </c>
      <c r="H128" s="77">
        <f>Tabella3[[#This Row],[Italy cumul. fit]]/Kf</f>
        <v>0.46109143418992893</v>
      </c>
      <c r="I128" s="77">
        <f>Tabella3[[#This Row],[region fit]]+Tabella3[[#This Row],[rest of Italy fit]]</f>
        <v>2998.6437287274002</v>
      </c>
      <c r="J128" s="77">
        <f>Tabella3[[#This Row],[Italy (fit of selected region + fitted sum of the other regions)]]/(y_l_peak+y_a_peak)</f>
        <v>0.99968435045097981</v>
      </c>
      <c r="K128" s="72">
        <f>IFERROR(Kf*psi_f*_xlfn.SECH(psi_f*(Tabella3[[#This Row],[Day]]-pf)-phi_f)^2/(1+TANH(phi_f)),0)</f>
        <v>3001.3903192799853</v>
      </c>
      <c r="L128" s="292">
        <f>Tabella3[[#This Row],[Italy remov. rate fit]]-Tabella3[[#This Row],[Italy remov. rate data]]</f>
        <v>-1976.6096807200147</v>
      </c>
      <c r="M128" s="293">
        <f>Tabella3[[#This Row],[rem. rate residuals]]*NOT(ISBLANK(Tabella3[[#This Row],[Italy remov. rate data]]))</f>
        <v>-1976.6096807200147</v>
      </c>
      <c r="N128" s="72">
        <f>Tabella3[[#This Row],[Italy remov. rate fit]]/y_f_peak</f>
        <v>0.99999477278491222</v>
      </c>
      <c r="O128" s="72">
        <f>Tabella3[[#This Row],[Italy (fit of selected region + fitted sum of the other regions)]]*NOT(ISBLANK(Tabella3[[#This Row],[Italy remov. rate data]]))</f>
        <v>2998.6437287274002</v>
      </c>
      <c r="P128" s="72">
        <f>Tabella3[[#This Row],[Italy remov. rate fit]]*NOT(ISBLANK(Tabella3[[#This Row],[Italy remov. rate data]]))</f>
        <v>3001.3903192799853</v>
      </c>
      <c r="Q128" s="72">
        <f>Tabella3[[#This Row],[Italy remov. rate fit]]+CIf</f>
        <v>4717.0051786145368</v>
      </c>
      <c r="R128" s="72">
        <f>MAX(Tabella3[[#This Row],[Italy remov. rate fit]]-CIf,0)</f>
        <v>1285.775459945434</v>
      </c>
      <c r="S128" s="4">
        <f>Tabella8[[#This Row],[region data]]</f>
        <v>4442</v>
      </c>
      <c r="T128" s="72">
        <f>(Tabella3[[#This Row],[region cumul. data]]-S127)</f>
        <v>129</v>
      </c>
      <c r="U128" s="72">
        <f>Tabella3[[#This Row],[region data]]*NOT(ISBLANK(Tabella3[[#This Row],[region data]]))</f>
        <v>129</v>
      </c>
      <c r="V128">
        <f t="shared" si="1"/>
        <v>123.33333333333333</v>
      </c>
      <c r="W128" s="72">
        <f>Tabella3[[#This Row],[6-days moving avg]]*NOT(ISBLANK(Tabella3[[#This Row],[6-days moving avg]]))</f>
        <v>123.33333333333333</v>
      </c>
      <c r="X128" s="77">
        <f>Tabella8[[#This Row],[region fit]]</f>
        <v>4489.181461130469</v>
      </c>
      <c r="Y128" s="72">
        <f>Tabella3[[#This Row],[region cumul. fit]]/Kl</f>
        <v>0.5004661606611448</v>
      </c>
      <c r="Z128" s="72">
        <f>IFERROR(Kl*psi_l*_xlfn.SECH(psi_l*(Tabella3[[#This Row],[Day]]-pl)-phi_l)^2/(1+TANH(phi_l)),0)</f>
        <v>136.85256622119792</v>
      </c>
      <c r="AA128" s="72">
        <f>Tabella3[[#This Row],[region fit]]/y_l_peak</f>
        <v>0.99312978350890713</v>
      </c>
      <c r="AB128" s="72">
        <f>Tabella3[[#This Row],[region fit]]*NOT(ISBLANK(Tabella3[[#This Row],[region data]]))</f>
        <v>136.85256622119792</v>
      </c>
      <c r="AC128" s="166">
        <f>IFERROR(kl_m*psi_l_m*_xlfn.SECH(psi_l_m*(Tabella3[[#This Row],[Day]]-pl_m)-phi_l_m)^2/(1+TANH(phi_l_m)),0)</f>
        <v>136.85256622119792</v>
      </c>
      <c r="AD128" s="72">
        <f>Tabella3[[#This Row],[6-days moving avg fit]]*NOT(ISBLANK(Tabella3[[#This Row],[6-days moving avg]]))</f>
        <v>136.85256622119792</v>
      </c>
      <c r="AE128" s="72">
        <f>Tabella3[[#This Row],[region fit]]+CIl</f>
        <v>190.61740663074636</v>
      </c>
      <c r="AF128" s="72">
        <f>MAX(Tabella3[[#This Row],[region fit]]-CIl,0)</f>
        <v>83.087725811649463</v>
      </c>
      <c r="AG128" s="10">
        <f>Tabella8[[#This Row],[rest of Italy ]]</f>
        <v>99470</v>
      </c>
      <c r="AH128" s="10">
        <f>(Tabella3[[#This Row],[rest of Italy cum. data]]-AG127)</f>
        <v>4849</v>
      </c>
      <c r="AI128" s="72">
        <f>Tabella3[[#This Row],[rest of Italy data]]*NOT(ISBLANK(Tabella3[[#This Row],[rest of Italy data]]))</f>
        <v>4849</v>
      </c>
      <c r="AJ128" s="77">
        <f>Tabella8[[#This Row],[rest of Italy fit]]</f>
        <v>99263.989368613577</v>
      </c>
      <c r="AK128" s="72">
        <f>Tabella3[[#This Row],[rest of Italy cumul. fit]]/Ka</f>
        <v>0.45949168804616758</v>
      </c>
      <c r="AL128" s="72">
        <f>IFERROR(Ka*psi_a*_xlfn.SECH(psi_a*(Tabella3[[#This Row],[Day]]-pa)-phi_a)^2/(1+TANH(phi_a)),0)</f>
        <v>2861.7911625062025</v>
      </c>
      <c r="AM128" s="72">
        <f>Tabella3[[#This Row],[rest of Italy fit]]/y_a_peak</f>
        <v>0.9999999620734541</v>
      </c>
      <c r="AN128" s="72">
        <f>Tabella3[[#This Row],[rest of Italy fit]]*NOT(ISBLANK(Tabella3[[#This Row],[rest of Italy data]]))</f>
        <v>2861.7911625062025</v>
      </c>
      <c r="AO128" s="72">
        <f>Tabella3[[#This Row],[rest of Italy fit]]+CIa</f>
        <v>4556.3653574157852</v>
      </c>
      <c r="AP128" s="72">
        <f>MAX(Tabella3[[#This Row],[rest of Italy fit]]-CIa,0)</f>
        <v>1167.2169675966197</v>
      </c>
    </row>
    <row r="129" spans="2:73" x14ac:dyDescent="0.3">
      <c r="B129" s="9">
        <v>43952</v>
      </c>
      <c r="C129" s="4">
        <v>122</v>
      </c>
      <c r="D129" s="72">
        <f>'dpc-covid19-ita-andamento-naz'!J69+'dpc-covid19-ita-andamento-naz'!K69</f>
        <v>106485</v>
      </c>
      <c r="E129" s="72">
        <f>(Tabella3[[#This Row],[Italy cumul. data]]-D128)</f>
        <v>2573</v>
      </c>
      <c r="F129" s="72">
        <f>Tabella3[[#This Row],[Italy remov. rate data]]*NOT(ISBLANK(Tabella3[[#This Row],[Italy remov. rate data]]))</f>
        <v>2573</v>
      </c>
      <c r="G129" s="77">
        <f>Tabella8[[#This Row],[Italy fit]]</f>
        <v>106746.18357689501</v>
      </c>
      <c r="H129" s="77">
        <f>Tabella3[[#This Row],[Italy cumul. fit]]/Kf</f>
        <v>0.47442748256397782</v>
      </c>
      <c r="I129" s="77">
        <f>Tabella3[[#This Row],[region fit]]+Tabella3[[#This Row],[rest of Italy fit]]</f>
        <v>2996.2062836147975</v>
      </c>
      <c r="J129" s="77">
        <f>Tabella3[[#This Row],[Italy (fit of selected region + fitted sum of the other regions)]]/(y_l_peak+y_a_peak)</f>
        <v>0.99887175784092463</v>
      </c>
      <c r="K129" s="72">
        <f>IFERROR(Kf*psi_f*_xlfn.SECH(psi_f*(Tabella3[[#This Row],[Day]]-pf)-phi_f)^2/(1+TANH(phi_f)),0)</f>
        <v>2999.2218495138472</v>
      </c>
      <c r="L129" s="292">
        <f>Tabella3[[#This Row],[Italy remov. rate fit]]-Tabella3[[#This Row],[Italy remov. rate data]]</f>
        <v>426.22184951384725</v>
      </c>
      <c r="M129" s="293">
        <f>Tabella3[[#This Row],[rem. rate residuals]]*NOT(ISBLANK(Tabella3[[#This Row],[Italy remov. rate data]]))</f>
        <v>426.22184951384725</v>
      </c>
      <c r="N129" s="72">
        <f>Tabella3[[#This Row],[Italy remov. rate fit]]/y_f_peak</f>
        <v>0.99927228813599778</v>
      </c>
      <c r="O129" s="72">
        <f>Tabella3[[#This Row],[Italy (fit of selected region + fitted sum of the other regions)]]*NOT(ISBLANK(Tabella3[[#This Row],[Italy remov. rate data]]))</f>
        <v>2996.2062836147975</v>
      </c>
      <c r="P129" s="72">
        <f>Tabella3[[#This Row],[Italy remov. rate fit]]*NOT(ISBLANK(Tabella3[[#This Row],[Italy remov. rate data]]))</f>
        <v>2999.2218495138472</v>
      </c>
      <c r="Q129" s="72">
        <f>Tabella3[[#This Row],[Italy remov. rate fit]]+CIf</f>
        <v>4714.8367088483983</v>
      </c>
      <c r="R129" s="72">
        <f>MAX(Tabella3[[#This Row],[Italy remov. rate fit]]-CIf,0)</f>
        <v>1283.606990179296</v>
      </c>
      <c r="S129" s="4">
        <f>Tabella8[[#This Row],[region data]]</f>
        <v>4608</v>
      </c>
      <c r="T129" s="72">
        <f>(Tabella3[[#This Row],[region cumul. data]]-S128)</f>
        <v>166</v>
      </c>
      <c r="U129" s="72">
        <f>Tabella3[[#This Row],[region data]]*NOT(ISBLANK(Tabella3[[#This Row],[region data]]))</f>
        <v>166</v>
      </c>
      <c r="V129">
        <f t="shared" si="1"/>
        <v>117.66666666666667</v>
      </c>
      <c r="W129" s="72">
        <f>Tabella3[[#This Row],[6-days moving avg]]*NOT(ISBLANK(Tabella3[[#This Row],[6-days moving avg]]))</f>
        <v>117.66666666666667</v>
      </c>
      <c r="X129" s="77">
        <f>Tabella8[[#This Row],[region fit]]</f>
        <v>4625.6787397178032</v>
      </c>
      <c r="Y129" s="72">
        <f>Tabella3[[#This Row],[region cumul. fit]]/Kl</f>
        <v>0.51568324857500591</v>
      </c>
      <c r="Z129" s="72">
        <f>IFERROR(Kl*psi_l*_xlfn.SECH(psi_l*(Tabella3[[#This Row],[Day]]-pl)-phi_l)^2/(1+TANH(phi_l)),0)</f>
        <v>136.10681976304252</v>
      </c>
      <c r="AA129" s="72">
        <f>Tabella3[[#This Row],[region fit]]/y_l_peak</f>
        <v>0.98771795208337643</v>
      </c>
      <c r="AB129" s="72">
        <f>Tabella3[[#This Row],[region fit]]*NOT(ISBLANK(Tabella3[[#This Row],[region data]]))</f>
        <v>136.10681976304252</v>
      </c>
      <c r="AC129" s="166">
        <f>IFERROR(kl_m*psi_l_m*_xlfn.SECH(psi_l_m*(Tabella3[[#This Row],[Day]]-pl_m)-phi_l_m)^2/(1+TANH(phi_l_m)),0)</f>
        <v>136.10681976304252</v>
      </c>
      <c r="AD129" s="72">
        <f>Tabella3[[#This Row],[6-days moving avg fit]]*NOT(ISBLANK(Tabella3[[#This Row],[6-days moving avg]]))</f>
        <v>136.10681976304252</v>
      </c>
      <c r="AE129" s="72">
        <f>Tabella3[[#This Row],[region fit]]+CIl</f>
        <v>189.87166017259096</v>
      </c>
      <c r="AF129" s="72">
        <f>MAX(Tabella3[[#This Row],[region fit]]-CIl,0)</f>
        <v>82.341979353494068</v>
      </c>
      <c r="AG129" s="10">
        <f>Tabella8[[#This Row],[rest of Italy ]]</f>
        <v>101877</v>
      </c>
      <c r="AH129" s="10">
        <f>(Tabella3[[#This Row],[rest of Italy cum. data]]-AG128)</f>
        <v>2407</v>
      </c>
      <c r="AI129" s="72">
        <f>Tabella3[[#This Row],[rest of Italy data]]*NOT(ISBLANK(Tabella3[[#This Row],[rest of Italy data]]))</f>
        <v>2407</v>
      </c>
      <c r="AJ129" s="77">
        <f>Tabella8[[#This Row],[rest of Italy fit]]</f>
        <v>102125.22109559356</v>
      </c>
      <c r="AK129" s="72">
        <f>Tabella3[[#This Row],[rest of Italy cumul. fit]]/Ka</f>
        <v>0.47273629169834541</v>
      </c>
      <c r="AL129" s="72">
        <f>IFERROR(Ka*psi_a*_xlfn.SECH(psi_a*(Tabella3[[#This Row],[Day]]-pa)-phi_a)^2/(1+TANH(phi_a)),0)</f>
        <v>2860.099463851755</v>
      </c>
      <c r="AM129" s="72">
        <f>Tabella3[[#This Row],[rest of Italy fit]]/y_a_peak</f>
        <v>0.99940882928485264</v>
      </c>
      <c r="AN129" s="72">
        <f>Tabella3[[#This Row],[rest of Italy fit]]*NOT(ISBLANK(Tabella3[[#This Row],[rest of Italy data]]))</f>
        <v>2860.099463851755</v>
      </c>
      <c r="AO129" s="72">
        <f>Tabella3[[#This Row],[rest of Italy fit]]+CIa</f>
        <v>4554.6736587613377</v>
      </c>
      <c r="AP129" s="72">
        <f>MAX(Tabella3[[#This Row],[rest of Italy fit]]-CIa,0)</f>
        <v>1165.5252689421723</v>
      </c>
    </row>
    <row r="130" spans="2:73" x14ac:dyDescent="0.3">
      <c r="B130" s="9">
        <v>43953</v>
      </c>
      <c r="C130" s="4">
        <v>123</v>
      </c>
      <c r="D130" s="72">
        <f>'dpc-covid19-ita-andamento-naz'!J70+'dpc-covid19-ita-andamento-naz'!K70</f>
        <v>108624</v>
      </c>
      <c r="E130" s="72">
        <f>(Tabella3[[#This Row],[Italy cumul. data]]-D129)</f>
        <v>2139</v>
      </c>
      <c r="F130" s="72">
        <f>Tabella3[[#This Row],[Italy remov. rate data]]*NOT(ISBLANK(Tabella3[[#This Row],[Italy remov. rate data]]))</f>
        <v>2139</v>
      </c>
      <c r="G130" s="77">
        <f>Tabella8[[#This Row],[Italy fit]]</f>
        <v>109742.79984522074</v>
      </c>
      <c r="H130" s="77">
        <f>Tabella3[[#This Row],[Italy cumul. fit]]/Kf</f>
        <v>0.48774577708986994</v>
      </c>
      <c r="I130" s="77">
        <f>Tabella3[[#This Row],[region fit]]+Tabella3[[#This Row],[rest of Italy fit]]</f>
        <v>2990.130503311233</v>
      </c>
      <c r="J130" s="77">
        <f>Tabella3[[#This Row],[Italy (fit of selected region + fitted sum of the other regions)]]/(y_l_peak+y_a_peak)</f>
        <v>0.99684622128649403</v>
      </c>
      <c r="K130" s="72">
        <f>IFERROR(Kf*psi_f*_xlfn.SECH(psi_f*(Tabella3[[#This Row],[Day]]-pf)-phi_f)^2/(1+TANH(phi_f)),0)</f>
        <v>2993.4043316199136</v>
      </c>
      <c r="L130" s="292">
        <f>Tabella3[[#This Row],[Italy remov. rate fit]]-Tabella3[[#This Row],[Italy remov. rate data]]</f>
        <v>854.40433161991359</v>
      </c>
      <c r="M130" s="293">
        <f>Tabella3[[#This Row],[rem. rate residuals]]*NOT(ISBLANK(Tabella3[[#This Row],[Italy remov. rate data]]))</f>
        <v>854.40433161991359</v>
      </c>
      <c r="N130" s="72">
        <f>Tabella3[[#This Row],[Italy remov. rate fit]]/y_f_peak</f>
        <v>0.9973340239098667</v>
      </c>
      <c r="O130" s="72">
        <f>Tabella3[[#This Row],[Italy (fit of selected region + fitted sum of the other regions)]]*NOT(ISBLANK(Tabella3[[#This Row],[Italy remov. rate data]]))</f>
        <v>2990.130503311233</v>
      </c>
      <c r="P130" s="72">
        <f>Tabella3[[#This Row],[Italy remov. rate fit]]*NOT(ISBLANK(Tabella3[[#This Row],[Italy remov. rate data]]))</f>
        <v>2993.4043316199136</v>
      </c>
      <c r="Q130" s="72">
        <f>Tabella3[[#This Row],[Italy remov. rate fit]]+CIf</f>
        <v>4709.0191909544646</v>
      </c>
      <c r="R130" s="72">
        <f>MAX(Tabella3[[#This Row],[Italy remov. rate fit]]-CIf,0)</f>
        <v>1277.7894722853623</v>
      </c>
      <c r="S130" s="4">
        <f>Tabella8[[#This Row],[region data]]</f>
        <v>4714</v>
      </c>
      <c r="T130" s="72">
        <f>(Tabella3[[#This Row],[region cumul. data]]-S129)</f>
        <v>106</v>
      </c>
      <c r="U130" s="72">
        <f>Tabella3[[#This Row],[region data]]*NOT(ISBLANK(Tabella3[[#This Row],[region data]]))</f>
        <v>106</v>
      </c>
      <c r="V130">
        <f t="shared" si="1"/>
        <v>124.33333333333333</v>
      </c>
      <c r="W130" s="72">
        <f>Tabella3[[#This Row],[6-days moving avg]]*NOT(ISBLANK(Tabella3[[#This Row],[6-days moving avg]]))</f>
        <v>124.33333333333333</v>
      </c>
      <c r="X130" s="77">
        <f>Tabella8[[#This Row],[region fit]]</f>
        <v>4761.3256015890902</v>
      </c>
      <c r="Y130" s="72">
        <f>Tabella3[[#This Row],[region cumul. fit]]/Kl</f>
        <v>0.530805529720077</v>
      </c>
      <c r="Z130" s="72">
        <f>IFERROR(Kl*psi_l*_xlfn.SECH(psi_l*(Tabella3[[#This Row],[Day]]-pl)-phi_l)^2/(1+TANH(phi_l)),0)</f>
        <v>135.15261783194293</v>
      </c>
      <c r="AA130" s="72">
        <f>Tabella3[[#This Row],[region fit]]/y_l_peak</f>
        <v>0.98079337344065654</v>
      </c>
      <c r="AB130" s="72">
        <f>Tabella3[[#This Row],[region fit]]*NOT(ISBLANK(Tabella3[[#This Row],[region data]]))</f>
        <v>135.15261783194293</v>
      </c>
      <c r="AC130" s="166">
        <f>IFERROR(kl_m*psi_l_m*_xlfn.SECH(psi_l_m*(Tabella3[[#This Row],[Day]]-pl_m)-phi_l_m)^2/(1+TANH(phi_l_m)),0)</f>
        <v>135.15261783194293</v>
      </c>
      <c r="AD130" s="72">
        <f>Tabella3[[#This Row],[6-days moving avg fit]]*NOT(ISBLANK(Tabella3[[#This Row],[6-days moving avg]]))</f>
        <v>135.15261783194293</v>
      </c>
      <c r="AE130" s="72">
        <f>Tabella3[[#This Row],[region fit]]+CIl</f>
        <v>188.91745824149137</v>
      </c>
      <c r="AF130" s="72">
        <f>MAX(Tabella3[[#This Row],[region fit]]-CIl,0)</f>
        <v>81.387777422394478</v>
      </c>
      <c r="AG130" s="10">
        <f>Tabella8[[#This Row],[rest of Italy ]]</f>
        <v>103910</v>
      </c>
      <c r="AH130" s="10">
        <f>(Tabella3[[#This Row],[rest of Italy cum. data]]-AG129)</f>
        <v>2033</v>
      </c>
      <c r="AI130" s="72">
        <f>Tabella3[[#This Row],[rest of Italy data]]*NOT(ISBLANK(Tabella3[[#This Row],[rest of Italy data]]))</f>
        <v>2033</v>
      </c>
      <c r="AJ130" s="77">
        <f>Tabella8[[#This Row],[rest of Italy fit]]</f>
        <v>104983.04482037554</v>
      </c>
      <c r="AK130" s="72">
        <f>Tabella3[[#This Row],[rest of Italy cumul. fit]]/Ka</f>
        <v>0.48596511975362466</v>
      </c>
      <c r="AL130" s="72">
        <f>IFERROR(Ka*psi_a*_xlfn.SECH(psi_a*(Tabella3[[#This Row],[Day]]-pa)-phi_a)^2/(1+TANH(phi_a)),0)</f>
        <v>2854.9778854792903</v>
      </c>
      <c r="AM130" s="72">
        <f>Tabella3[[#This Row],[rest of Italy fit]]/y_a_peak</f>
        <v>0.99761918850137365</v>
      </c>
      <c r="AN130" s="72">
        <f>Tabella3[[#This Row],[rest of Italy fit]]*NOT(ISBLANK(Tabella3[[#This Row],[rest of Italy data]]))</f>
        <v>2854.9778854792903</v>
      </c>
      <c r="AO130" s="72">
        <f>Tabella3[[#This Row],[rest of Italy fit]]+CIa</f>
        <v>4549.552080388873</v>
      </c>
      <c r="AP130" s="72">
        <f>MAX(Tabella3[[#This Row],[rest of Italy fit]]-CIa,0)</f>
        <v>1160.4036905697076</v>
      </c>
    </row>
    <row r="131" spans="2:73" x14ac:dyDescent="0.3">
      <c r="B131" s="9">
        <v>43954</v>
      </c>
      <c r="C131" s="4">
        <v>124</v>
      </c>
      <c r="D131" s="72">
        <f>'dpc-covid19-ita-andamento-naz'!J71+'dpc-covid19-ita-andamento-naz'!K71</f>
        <v>110538</v>
      </c>
      <c r="E131" s="72">
        <f>(Tabella3[[#This Row],[Italy cumul. data]]-D130)</f>
        <v>1914</v>
      </c>
      <c r="F131" s="72">
        <f>Tabella3[[#This Row],[Italy remov. rate data]]*NOT(ISBLANK(Tabella3[[#This Row],[Italy remov. rate data]]))</f>
        <v>1914</v>
      </c>
      <c r="G131" s="77">
        <f>Tabella8[[#This Row],[Italy fit]]</f>
        <v>112731.78512641216</v>
      </c>
      <c r="H131" s="77">
        <f>Tabella3[[#This Row],[Italy cumul. fit]]/Kf</f>
        <v>0.50103015611738733</v>
      </c>
      <c r="I131" s="77">
        <f>Tabella3[[#This Row],[region fit]]+Tabella3[[#This Row],[rest of Italy fit]]</f>
        <v>2980.4468555753224</v>
      </c>
      <c r="J131" s="77">
        <f>Tabella3[[#This Row],[Italy (fit of selected region + fitted sum of the other regions)]]/(y_l_peak+y_a_peak)</f>
        <v>0.99361789809353562</v>
      </c>
      <c r="K131" s="72">
        <f>IFERROR(Kf*psi_f*_xlfn.SECH(psi_f*(Tabella3[[#This Row],[Day]]-pf)-phi_f)^2/(1+TANH(phi_f)),0)</f>
        <v>2983.9660543094578</v>
      </c>
      <c r="L131" s="292">
        <f>Tabella3[[#This Row],[Italy remov. rate fit]]-Tabella3[[#This Row],[Italy remov. rate data]]</f>
        <v>1069.9660543094578</v>
      </c>
      <c r="M131" s="293">
        <f>Tabella3[[#This Row],[rem. rate residuals]]*NOT(ISBLANK(Tabella3[[#This Row],[Italy remov. rate data]]))</f>
        <v>1069.9660543094578</v>
      </c>
      <c r="N131" s="72">
        <f>Tabella3[[#This Row],[Italy remov. rate fit]]/y_f_peak</f>
        <v>0.99418940525966248</v>
      </c>
      <c r="O131" s="72">
        <f>Tabella3[[#This Row],[Italy (fit of selected region + fitted sum of the other regions)]]*NOT(ISBLANK(Tabella3[[#This Row],[Italy remov. rate data]]))</f>
        <v>2980.4468555753224</v>
      </c>
      <c r="P131" s="72">
        <f>Tabella3[[#This Row],[Italy remov. rate fit]]*NOT(ISBLANK(Tabella3[[#This Row],[Italy remov. rate data]]))</f>
        <v>2983.9660543094578</v>
      </c>
      <c r="Q131" s="72">
        <f>Tabella3[[#This Row],[Italy remov. rate fit]]+CIf</f>
        <v>4699.5809136440093</v>
      </c>
      <c r="R131" s="72">
        <f>MAX(Tabella3[[#This Row],[Italy remov. rate fit]]-CIf,0)</f>
        <v>1268.3511949749065</v>
      </c>
      <c r="S131" s="4">
        <f>Tabella8[[#This Row],[region data]]</f>
        <v>4808</v>
      </c>
      <c r="T131" s="72">
        <f>(Tabella3[[#This Row],[region cumul. data]]-S130)</f>
        <v>94</v>
      </c>
      <c r="U131" s="72">
        <f>Tabella3[[#This Row],[region data]]*NOT(ISBLANK(Tabella3[[#This Row],[region data]]))</f>
        <v>94</v>
      </c>
      <c r="V131">
        <f t="shared" si="1"/>
        <v>117.16666666666667</v>
      </c>
      <c r="W131" s="72">
        <f>Tabella3[[#This Row],[6-days moving avg]]*NOT(ISBLANK(Tabella3[[#This Row],[6-days moving avg]]))</f>
        <v>117.16666666666667</v>
      </c>
      <c r="X131" s="77">
        <f>Tabella8[[#This Row],[region fit]]</f>
        <v>4895.9164513290225</v>
      </c>
      <c r="Y131" s="72">
        <f>Tabella3[[#This Row],[region cumul. fit]]/Kl</f>
        <v>0.54581008376020312</v>
      </c>
      <c r="Z131" s="72">
        <f>IFERROR(Kl*psi_l*_xlfn.SECH(psi_l*(Tabella3[[#This Row],[Day]]-pl)-phi_l)^2/(1+TANH(phi_l)),0)</f>
        <v>133.99588288809386</v>
      </c>
      <c r="AA131" s="72">
        <f>Tabella3[[#This Row],[region fit]]/y_l_peak</f>
        <v>0.97239902647236354</v>
      </c>
      <c r="AB131" s="72">
        <f>Tabella3[[#This Row],[region fit]]*NOT(ISBLANK(Tabella3[[#This Row],[region data]]))</f>
        <v>133.99588288809386</v>
      </c>
      <c r="AC131" s="166">
        <f>IFERROR(kl_m*psi_l_m*_xlfn.SECH(psi_l_m*(Tabella3[[#This Row],[Day]]-pl_m)-phi_l_m)^2/(1+TANH(phi_l_m)),0)</f>
        <v>133.99588288809386</v>
      </c>
      <c r="AD131" s="72">
        <f>Tabella3[[#This Row],[6-days moving avg fit]]*NOT(ISBLANK(Tabella3[[#This Row],[6-days moving avg]]))</f>
        <v>133.99588288809386</v>
      </c>
      <c r="AE131" s="72">
        <f>Tabella3[[#This Row],[region fit]]+CIl</f>
        <v>187.7607232976423</v>
      </c>
      <c r="AF131" s="72">
        <f>MAX(Tabella3[[#This Row],[region fit]]-CIl,0)</f>
        <v>80.231042478545405</v>
      </c>
      <c r="AG131" s="10">
        <f>Tabella8[[#This Row],[rest of Italy ]]</f>
        <v>105730</v>
      </c>
      <c r="AH131" s="10">
        <f>(Tabella3[[#This Row],[rest of Italy cum. data]]-AG130)</f>
        <v>1820</v>
      </c>
      <c r="AI131" s="72">
        <f>Tabella3[[#This Row],[rest of Italy data]]*NOT(ISBLANK(Tabella3[[#This Row],[rest of Italy data]]))</f>
        <v>1820</v>
      </c>
      <c r="AJ131" s="77">
        <f>Tabella8[[#This Row],[rest of Italy fit]]</f>
        <v>107834.04157515442</v>
      </c>
      <c r="AK131" s="72">
        <f>Tabella3[[#This Row],[rest of Italy cumul. fit]]/Ka</f>
        <v>0.49916234585545721</v>
      </c>
      <c r="AL131" s="72">
        <f>IFERROR(Ka*psi_a*_xlfn.SECH(psi_a*(Tabella3[[#This Row],[Day]]-pa)-phi_a)^2/(1+TANH(phi_a)),0)</f>
        <v>2846.4509726872284</v>
      </c>
      <c r="AM131" s="72">
        <f>Tabella3[[#This Row],[rest of Italy fit]]/y_a_peak</f>
        <v>0.99463961662332012</v>
      </c>
      <c r="AN131" s="72">
        <f>Tabella3[[#This Row],[rest of Italy fit]]*NOT(ISBLANK(Tabella3[[#This Row],[rest of Italy data]]))</f>
        <v>2846.4509726872284</v>
      </c>
      <c r="AO131" s="72">
        <f>Tabella3[[#This Row],[rest of Italy fit]]+CIa</f>
        <v>4541.0251675968111</v>
      </c>
      <c r="AP131" s="72">
        <f>MAX(Tabella3[[#This Row],[rest of Italy fit]]-CIa,0)</f>
        <v>1151.8767777776457</v>
      </c>
      <c r="BU131" s="287"/>
    </row>
    <row r="132" spans="2:73" x14ac:dyDescent="0.3">
      <c r="B132" s="9">
        <v>43955</v>
      </c>
      <c r="C132" s="4">
        <v>125</v>
      </c>
      <c r="D132" s="72">
        <f>'dpc-covid19-ita-andamento-naz'!J72+'dpc-covid19-ita-andamento-naz'!K72</f>
        <v>111958</v>
      </c>
      <c r="E132" s="72">
        <f>(Tabella3[[#This Row],[Italy cumul. data]]-D131)</f>
        <v>1420</v>
      </c>
      <c r="F132" s="72">
        <f>Tabella3[[#This Row],[Italy remov. rate data]]*NOT(ISBLANK(Tabella3[[#This Row],[Italy remov. rate data]]))</f>
        <v>1420</v>
      </c>
      <c r="G132" s="77">
        <f>Tabella8[[#This Row],[Italy fit]]</f>
        <v>115709.54008536975</v>
      </c>
      <c r="H132" s="77">
        <f>Tabella3[[#This Row],[Italy cumul. fit]]/Kf</f>
        <v>0.5142646226016433</v>
      </c>
      <c r="I132" s="77">
        <f>Tabella3[[#This Row],[region fit]]+Tabella3[[#This Row],[rest of Italy fit]]</f>
        <v>2967.203154697143</v>
      </c>
      <c r="J132" s="77">
        <f>Tabella3[[#This Row],[Italy (fit of selected region + fitted sum of the other regions)]]/(y_l_peak+y_a_peak)</f>
        <v>0.98920272853433333</v>
      </c>
      <c r="K132" s="72">
        <f>IFERROR(Kf*psi_f*_xlfn.SECH(psi_f*(Tabella3[[#This Row],[Day]]-pf)-phi_f)^2/(1+TANH(phi_f)),0)</f>
        <v>2970.9527376748715</v>
      </c>
      <c r="L132" s="292">
        <f>Tabella3[[#This Row],[Italy remov. rate fit]]-Tabella3[[#This Row],[Italy remov. rate data]]</f>
        <v>1550.9527376748715</v>
      </c>
      <c r="M132" s="293">
        <f>Tabella3[[#This Row],[rem. rate residuals]]*NOT(ISBLANK(Tabella3[[#This Row],[Italy remov. rate data]]))</f>
        <v>1550.9527376748715</v>
      </c>
      <c r="N132" s="72">
        <f>Tabella3[[#This Row],[Italy remov. rate fit]]/y_f_peak</f>
        <v>0.9898536650769918</v>
      </c>
      <c r="O132" s="72">
        <f>Tabella3[[#This Row],[Italy (fit of selected region + fitted sum of the other regions)]]*NOT(ISBLANK(Tabella3[[#This Row],[Italy remov. rate data]]))</f>
        <v>2967.203154697143</v>
      </c>
      <c r="P132" s="72">
        <f>Tabella3[[#This Row],[Italy remov. rate fit]]*NOT(ISBLANK(Tabella3[[#This Row],[Italy remov. rate data]]))</f>
        <v>2970.9527376748715</v>
      </c>
      <c r="Q132" s="72">
        <f>Tabella3[[#This Row],[Italy remov. rate fit]]+CIf</f>
        <v>4686.5675970094226</v>
      </c>
      <c r="R132" s="72">
        <f>MAX(Tabella3[[#This Row],[Italy remov. rate fit]]-CIf,0)</f>
        <v>1255.3378783403202</v>
      </c>
      <c r="S132" s="4">
        <f>Tabella8[[#This Row],[region data]]</f>
        <v>4904</v>
      </c>
      <c r="T132" s="72">
        <f>(Tabella3[[#This Row],[region cumul. data]]-S131)</f>
        <v>96</v>
      </c>
      <c r="U132" s="72">
        <f>Tabella3[[#This Row],[region data]]*NOT(ISBLANK(Tabella3[[#This Row],[region data]]))</f>
        <v>96</v>
      </c>
      <c r="V132">
        <f t="shared" si="1"/>
        <v>122.5</v>
      </c>
      <c r="W132" s="72">
        <f>Tabella3[[#This Row],[6-days moving avg]]*NOT(ISBLANK(Tabella3[[#This Row],[6-days moving avg]]))</f>
        <v>122.5</v>
      </c>
      <c r="X132" s="77">
        <f>Tabella8[[#This Row],[region fit]]</f>
        <v>5029.2522093839034</v>
      </c>
      <c r="Y132" s="72">
        <f>Tabella3[[#This Row],[region cumul. fit]]/Kl</f>
        <v>0.56067471676520664</v>
      </c>
      <c r="Z132" s="72">
        <f>IFERROR(Kl*psi_l*_xlfn.SECH(psi_l*(Tabella3[[#This Row],[Day]]-pl)-phi_l)^2/(1+TANH(phi_l)),0)</f>
        <v>132.64371009957173</v>
      </c>
      <c r="AA132" s="72">
        <f>Tabella3[[#This Row],[region fit]]/y_l_peak</f>
        <v>0.96258640033160792</v>
      </c>
      <c r="AB132" s="72">
        <f>Tabella3[[#This Row],[region fit]]*NOT(ISBLANK(Tabella3[[#This Row],[region data]]))</f>
        <v>132.64371009957173</v>
      </c>
      <c r="AC132" s="166">
        <f>IFERROR(kl_m*psi_l_m*_xlfn.SECH(psi_l_m*(Tabella3[[#This Row],[Day]]-pl_m)-phi_l_m)^2/(1+TANH(phi_l_m)),0)</f>
        <v>132.64371009957173</v>
      </c>
      <c r="AD132" s="72">
        <f>Tabella3[[#This Row],[6-days moving avg fit]]*NOT(ISBLANK(Tabella3[[#This Row],[6-days moving avg]]))</f>
        <v>132.64371009957173</v>
      </c>
      <c r="AE132" s="72">
        <f>Tabella3[[#This Row],[region fit]]+CIl</f>
        <v>186.40855050912018</v>
      </c>
      <c r="AF132" s="72">
        <f>MAX(Tabella3[[#This Row],[region fit]]-CIl,0)</f>
        <v>78.878869690023279</v>
      </c>
      <c r="AG132" s="10">
        <f>Tabella8[[#This Row],[rest of Italy ]]</f>
        <v>107054</v>
      </c>
      <c r="AH132" s="10">
        <f>(Tabella3[[#This Row],[rest of Italy cum. data]]-AG131)</f>
        <v>1324</v>
      </c>
      <c r="AI132" s="72">
        <f>Tabella3[[#This Row],[rest of Italy data]]*NOT(ISBLANK(Tabella3[[#This Row],[rest of Italy data]]))</f>
        <v>1324</v>
      </c>
      <c r="AJ132" s="77">
        <f>Tabella8[[#This Row],[rest of Italy fit]]</f>
        <v>110674.82505197858</v>
      </c>
      <c r="AK132" s="72">
        <f>Tabella3[[#This Row],[rest of Italy cumul. fit]]/Ka</f>
        <v>0.51231229482932272</v>
      </c>
      <c r="AL132" s="72">
        <f>IFERROR(Ka*psi_a*_xlfn.SECH(psi_a*(Tabella3[[#This Row],[Day]]-pa)-phi_a)^2/(1+TANH(phi_a)),0)</f>
        <v>2834.5594445975712</v>
      </c>
      <c r="AM132" s="72">
        <f>Tabella3[[#This Row],[rest of Italy fit]]/y_a_peak</f>
        <v>0.99048434219433679</v>
      </c>
      <c r="AN132" s="72">
        <f>Tabella3[[#This Row],[rest of Italy fit]]*NOT(ISBLANK(Tabella3[[#This Row],[rest of Italy data]]))</f>
        <v>2834.5594445975712</v>
      </c>
      <c r="AO132" s="72">
        <f>Tabella3[[#This Row],[rest of Italy fit]]+CIa</f>
        <v>4529.1336395071539</v>
      </c>
      <c r="AP132" s="72">
        <f>MAX(Tabella3[[#This Row],[rest of Italy fit]]-CIa,0)</f>
        <v>1139.9852496879885</v>
      </c>
      <c r="BU132" s="287"/>
    </row>
    <row r="133" spans="2:73" x14ac:dyDescent="0.3">
      <c r="B133" s="9">
        <v>43956</v>
      </c>
      <c r="C133" s="4">
        <v>126</v>
      </c>
      <c r="D133" s="72">
        <f>'dpc-covid19-ita-andamento-naz'!J73+'dpc-covid19-ita-andamento-naz'!K73</f>
        <v>114546</v>
      </c>
      <c r="E133" s="72">
        <f>(Tabella3[[#This Row],[Italy cumul. data]]-D132)</f>
        <v>2588</v>
      </c>
      <c r="F133" s="10">
        <f>Tabella3[[#This Row],[Italy remov. rate data]]*NOT(ISBLANK(Tabella3[[#This Row],[Italy remov. rate data]]))</f>
        <v>2588</v>
      </c>
      <c r="G133" s="77">
        <f>Tabella8[[#This Row],[Italy fit]]</f>
        <v>118672.51963455633</v>
      </c>
      <c r="H133" s="77">
        <f>Tabella3[[#This Row],[Italy cumul. fit]]/Kf</f>
        <v>0.52743342059802811</v>
      </c>
      <c r="I133" s="77">
        <f>Tabella3[[#This Row],[region fit]]+Tabella3[[#This Row],[rest of Italy fit]]</f>
        <v>2950.4640585060947</v>
      </c>
      <c r="J133" s="77">
        <f>Tabella3[[#This Row],[Italy (fit of selected region + fitted sum of the other regions)]]/(y_l_peak+y_a_peak)</f>
        <v>0.98362226816067433</v>
      </c>
      <c r="K133" s="72">
        <f>IFERROR(Kf*psi_f*_xlfn.SECH(psi_f*(Tabella3[[#This Row],[Day]]-pf)-phi_f)^2/(1+TANH(phi_f)),0)</f>
        <v>2954.427064195952</v>
      </c>
      <c r="L133" s="292">
        <f>Tabella3[[#This Row],[Italy remov. rate fit]]-Tabella3[[#This Row],[Italy remov. rate data]]</f>
        <v>366.42706419595197</v>
      </c>
      <c r="M133" s="293">
        <f>Tabella3[[#This Row],[rem. rate residuals]]*NOT(ISBLANK(Tabella3[[#This Row],[Italy remov. rate data]]))</f>
        <v>366.42706419595197</v>
      </c>
      <c r="N133" s="72">
        <f>Tabella3[[#This Row],[Italy remov. rate fit]]/y_f_peak</f>
        <v>0.98434768773392023</v>
      </c>
      <c r="O133" s="72">
        <f>Tabella3[[#This Row],[Italy (fit of selected region + fitted sum of the other regions)]]*NOT(ISBLANK(Tabella3[[#This Row],[Italy remov. rate data]]))</f>
        <v>2950.4640585060947</v>
      </c>
      <c r="P133" s="72">
        <f>Tabella3[[#This Row],[Italy remov. rate fit]]*NOT(ISBLANK(Tabella3[[#This Row],[Italy remov. rate data]]))</f>
        <v>2954.427064195952</v>
      </c>
      <c r="Q133" s="72">
        <f>Tabella3[[#This Row],[Italy remov. rate fit]]+CIf</f>
        <v>4670.0419235305035</v>
      </c>
      <c r="R133" s="72">
        <f>MAX(Tabella3[[#This Row],[Italy remov. rate fit]]-CIf,0)</f>
        <v>1238.8122048614007</v>
      </c>
      <c r="S133" s="4">
        <f>Tabella8[[#This Row],[region data]]</f>
        <v>5048</v>
      </c>
      <c r="T133" s="72">
        <f>(Tabella3[[#This Row],[region cumul. data]]-S132)</f>
        <v>144</v>
      </c>
      <c r="U133" s="10">
        <f>Tabella3[[#This Row],[region data]]*NOT(ISBLANK(Tabella3[[#This Row],[region data]]))</f>
        <v>144</v>
      </c>
      <c r="V133">
        <f t="shared" si="1"/>
        <v>133.83333333333334</v>
      </c>
      <c r="W133" s="72">
        <f>Tabella3[[#This Row],[6-days moving avg]]*NOT(ISBLANK(Tabella3[[#This Row],[6-days moving avg]]))</f>
        <v>133.83333333333334</v>
      </c>
      <c r="X133" s="77">
        <f>Tabella8[[#This Row],[region fit]]</f>
        <v>5161.1414402733317</v>
      </c>
      <c r="Y133" s="72">
        <f>Tabella3[[#This Row],[region cumul. fit]]/Kl</f>
        <v>0.57537808698699355</v>
      </c>
      <c r="Z133" s="72">
        <f>IFERROR(Kl*psi_l*_xlfn.SECH(psi_l*(Tabella3[[#This Row],[Day]]-pl)-phi_l)^2/(1+TANH(phi_l)),0)</f>
        <v>131.1042762047478</v>
      </c>
      <c r="AA133" s="72">
        <f>Tabella3[[#This Row],[region fit]]/y_l_peak</f>
        <v>0.95141483305371244</v>
      </c>
      <c r="AB133" s="72">
        <f>Tabella3[[#This Row],[region fit]]*NOT(ISBLANK(Tabella3[[#This Row],[region data]]))</f>
        <v>131.1042762047478</v>
      </c>
      <c r="AC133" s="166">
        <f>IFERROR(kl_m*psi_l_m*_xlfn.SECH(psi_l_m*(Tabella3[[#This Row],[Day]]-pl_m)-phi_l_m)^2/(1+TANH(phi_l_m)),0)</f>
        <v>131.1042762047478</v>
      </c>
      <c r="AD133" s="72">
        <f>Tabella3[[#This Row],[6-days moving avg fit]]*NOT(ISBLANK(Tabella3[[#This Row],[6-days moving avg]]))</f>
        <v>131.1042762047478</v>
      </c>
      <c r="AE133" s="72">
        <f>Tabella3[[#This Row],[region fit]]+CIl</f>
        <v>184.86911661429627</v>
      </c>
      <c r="AF133" s="72">
        <f>MAX(Tabella3[[#This Row],[region fit]]-CIl,0)</f>
        <v>77.33943579519935</v>
      </c>
      <c r="AG133" s="10">
        <f>Tabella8[[#This Row],[rest of Italy ]]</f>
        <v>109498</v>
      </c>
      <c r="AH133" s="10">
        <f>(Tabella3[[#This Row],[rest of Italy cum. data]]-AG132)</f>
        <v>2444</v>
      </c>
      <c r="AI133" s="72">
        <f>Tabella3[[#This Row],[rest of Italy data]]*NOT(ISBLANK(Tabella3[[#This Row],[rest of Italy data]]))</f>
        <v>2444</v>
      </c>
      <c r="AJ133" s="77">
        <f>Tabella8[[#This Row],[rest of Italy fit]]</f>
        <v>113502.05758392267</v>
      </c>
      <c r="AK133" s="72">
        <f>Tabella3[[#This Row],[rest of Italy cumul. fit]]/Ka</f>
        <v>0.52539951665936524</v>
      </c>
      <c r="AL133" s="72">
        <f>IFERROR(Ka*psi_a*_xlfn.SECH(psi_a*(Tabella3[[#This Row],[Day]]-pa)-phi_a)^2/(1+TANH(phi_a)),0)</f>
        <v>2819.359782301347</v>
      </c>
      <c r="AM133" s="72">
        <f>Tabella3[[#This Row],[rest of Italy fit]]/y_a_peak</f>
        <v>0.98517310148645698</v>
      </c>
      <c r="AN133" s="72">
        <f>Tabella3[[#This Row],[rest of Italy fit]]*NOT(ISBLANK(Tabella3[[#This Row],[rest of Italy data]]))</f>
        <v>2819.359782301347</v>
      </c>
      <c r="AO133" s="72">
        <f>Tabella3[[#This Row],[rest of Italy fit]]+CIa</f>
        <v>4513.9339772109297</v>
      </c>
      <c r="AP133" s="72">
        <f>MAX(Tabella3[[#This Row],[rest of Italy fit]]-CIa,0)</f>
        <v>1124.7855873917642</v>
      </c>
    </row>
    <row r="134" spans="2:73" x14ac:dyDescent="0.3">
      <c r="B134" s="9">
        <v>43957</v>
      </c>
      <c r="C134" s="4">
        <v>127</v>
      </c>
      <c r="D134" s="72">
        <f>'dpc-covid19-ita-andamento-naz'!J74+'dpc-covid19-ita-andamento-naz'!K74</f>
        <v>122929</v>
      </c>
      <c r="E134" s="72">
        <f>(Tabella3[[#This Row],[Italy cumul. data]]-D133)</f>
        <v>8383</v>
      </c>
      <c r="F134" s="10">
        <f>Tabella3[[#This Row],[Italy remov. rate data]]*NOT(ISBLANK(Tabella3[[#This Row],[Italy remov. rate data]]))</f>
        <v>8383</v>
      </c>
      <c r="G134" s="77">
        <f>Tabella8[[#This Row],[Italy fit]]</f>
        <v>121617.24959101743</v>
      </c>
      <c r="H134" s="77">
        <f>Tabella3[[#This Row],[Italy cumul. fit]]/Kf</f>
        <v>0.5405211092934108</v>
      </c>
      <c r="I134" s="77">
        <f>Tabella3[[#This Row],[region fit]]+Tabella3[[#This Row],[rest of Italy fit]]</f>
        <v>2930.310398279596</v>
      </c>
      <c r="J134" s="77">
        <f>Tabella3[[#This Row],[Italy (fit of selected region + fitted sum of the other regions)]]/(y_l_peak+y_a_peak)</f>
        <v>0.97690346440959064</v>
      </c>
      <c r="K134" s="72">
        <f>IFERROR(Kf*psi_f*_xlfn.SECH(psi_f*(Tabella3[[#This Row],[Day]]-pf)-phi_f)^2/(1+TANH(phi_f)),0)</f>
        <v>2934.4680406666221</v>
      </c>
      <c r="L134" s="292">
        <f>Tabella3[[#This Row],[Italy remov. rate fit]]-Tabella3[[#This Row],[Italy remov. rate data]]</f>
        <v>-5448.5319593333779</v>
      </c>
      <c r="M134" s="293">
        <f>Tabella3[[#This Row],[rem. rate residuals]]*NOT(ISBLANK(Tabella3[[#This Row],[Italy remov. rate data]]))</f>
        <v>-5448.5319593333779</v>
      </c>
      <c r="N134" s="72">
        <f>Tabella3[[#This Row],[Italy remov. rate fit]]/y_f_peak</f>
        <v>0.97769779649151467</v>
      </c>
      <c r="O134" s="72">
        <f>Tabella3[[#This Row],[Italy (fit of selected region + fitted sum of the other regions)]]*NOT(ISBLANK(Tabella3[[#This Row],[Italy remov. rate data]]))</f>
        <v>2930.310398279596</v>
      </c>
      <c r="P134" s="72">
        <f>Tabella3[[#This Row],[Italy remov. rate fit]]*NOT(ISBLANK(Tabella3[[#This Row],[Italy remov. rate data]]))</f>
        <v>2934.4680406666221</v>
      </c>
      <c r="Q134" s="72">
        <f>Tabella3[[#This Row],[Italy remov. rate fit]]+CIf</f>
        <v>4650.0829000011736</v>
      </c>
      <c r="R134" s="72">
        <f>MAX(Tabella3[[#This Row],[Italy remov. rate fit]]-CIf,0)</f>
        <v>1218.8531813320708</v>
      </c>
      <c r="S134" s="4">
        <f>Tabella8[[#This Row],[region data]]</f>
        <v>5245</v>
      </c>
      <c r="T134" s="72">
        <f>(Tabella3[[#This Row],[region cumul. data]]-S133)</f>
        <v>197</v>
      </c>
      <c r="U134" s="10">
        <f>Tabella3[[#This Row],[region data]]*NOT(ISBLANK(Tabella3[[#This Row],[region data]]))</f>
        <v>197</v>
      </c>
      <c r="V134">
        <f t="shared" si="1"/>
        <v>131.5</v>
      </c>
      <c r="W134" s="72">
        <f>Tabella3[[#This Row],[6-days moving avg]]*NOT(ISBLANK(Tabella3[[#This Row],[6-days moving avg]]))</f>
        <v>131.5</v>
      </c>
      <c r="X134" s="77">
        <f>Tabella8[[#This Row],[region fit]]</f>
        <v>5291.4013835703663</v>
      </c>
      <c r="Y134" s="72">
        <f>Tabella3[[#This Row],[region cumul. fit]]/Kl</f>
        <v>0.58989981979602746</v>
      </c>
      <c r="Z134" s="72">
        <f>IFERROR(Kl*psi_l*_xlfn.SECH(psi_l*(Tabella3[[#This Row],[Day]]-pl)-phi_l)^2/(1+TANH(phi_l)),0)</f>
        <v>129.3867365351567</v>
      </c>
      <c r="AA134" s="72">
        <f>Tabella3[[#This Row],[region fit]]/y_l_peak</f>
        <v>0.93895076425815949</v>
      </c>
      <c r="AB134" s="72">
        <f>Tabella3[[#This Row],[region fit]]*NOT(ISBLANK(Tabella3[[#This Row],[region data]]))</f>
        <v>129.3867365351567</v>
      </c>
      <c r="AC134" s="166">
        <f>IFERROR(kl_m*psi_l_m*_xlfn.SECH(psi_l_m*(Tabella3[[#This Row],[Day]]-pl_m)-phi_l_m)^2/(1+TANH(phi_l_m)),0)</f>
        <v>129.3867365351567</v>
      </c>
      <c r="AD134" s="72">
        <f>Tabella3[[#This Row],[6-days moving avg fit]]*NOT(ISBLANK(Tabella3[[#This Row],[6-days moving avg]]))</f>
        <v>129.3867365351567</v>
      </c>
      <c r="AE134" s="72">
        <f>Tabella3[[#This Row],[region fit]]+CIl</f>
        <v>183.15157694470514</v>
      </c>
      <c r="AF134" s="72">
        <f>MAX(Tabella3[[#This Row],[region fit]]-CIl,0)</f>
        <v>75.621896125608245</v>
      </c>
      <c r="AG134" s="10">
        <f>Tabella8[[#This Row],[rest of Italy ]]</f>
        <v>117684</v>
      </c>
      <c r="AH134" s="10">
        <f>(Tabella3[[#This Row],[rest of Italy cum. data]]-AG133)</f>
        <v>8186</v>
      </c>
      <c r="AI134" s="72">
        <f>Tabella3[[#This Row],[rest of Italy data]]*NOT(ISBLANK(Tabella3[[#This Row],[rest of Italy data]]))</f>
        <v>8186</v>
      </c>
      <c r="AJ134" s="77">
        <f>Tabella8[[#This Row],[rest of Italy fit]]</f>
        <v>116312.46563607077</v>
      </c>
      <c r="AK134" s="72">
        <f>Tabella3[[#This Row],[rest of Italy cumul. fit]]/Ka</f>
        <v>0.53840885819594864</v>
      </c>
      <c r="AL134" s="72">
        <f>IFERROR(Ka*psi_a*_xlfn.SECH(psi_a*(Tabella3[[#This Row],[Day]]-pa)-phi_a)^2/(1+TANH(phi_a)),0)</f>
        <v>2800.9236617444394</v>
      </c>
      <c r="AM134" s="72">
        <f>Tabella3[[#This Row],[rest of Italy fit]]/y_a_peak</f>
        <v>0.97873094033255092</v>
      </c>
      <c r="AN134" s="72">
        <f>Tabella3[[#This Row],[rest of Italy fit]]*NOT(ISBLANK(Tabella3[[#This Row],[rest of Italy data]]))</f>
        <v>2800.9236617444394</v>
      </c>
      <c r="AO134" s="72">
        <f>Tabella3[[#This Row],[rest of Italy fit]]+CIa</f>
        <v>4495.4978566540221</v>
      </c>
      <c r="AP134" s="72">
        <f>MAX(Tabella3[[#This Row],[rest of Italy fit]]-CIa,0)</f>
        <v>1106.3494668348567</v>
      </c>
    </row>
    <row r="135" spans="2:73" x14ac:dyDescent="0.3">
      <c r="B135" s="9">
        <v>43958</v>
      </c>
      <c r="C135" s="4">
        <v>128</v>
      </c>
      <c r="D135" s="72">
        <f>'dpc-covid19-ita-andamento-naz'!J75+'dpc-covid19-ita-andamento-naz'!K75</f>
        <v>126234</v>
      </c>
      <c r="E135" s="72">
        <f>(Tabella3[[#This Row],[Italy cumul. data]]-D134)</f>
        <v>3305</v>
      </c>
      <c r="F135" s="10">
        <f>Tabella3[[#This Row],[Italy remov. rate data]]*NOT(ISBLANK(Tabella3[[#This Row],[Italy remov. rate data]]))</f>
        <v>3305</v>
      </c>
      <c r="G135" s="77">
        <f>Tabella8[[#This Row],[Italy fit]]</f>
        <v>124540.34261529395</v>
      </c>
      <c r="H135" s="77">
        <f>Tabella3[[#This Row],[Italy cumul. fit]]/Kf</f>
        <v>0.55351263384575089</v>
      </c>
      <c r="I135" s="77">
        <f>Tabella3[[#This Row],[region fit]]+Tabella3[[#This Row],[rest of Italy fit]]</f>
        <v>2906.8383534460982</v>
      </c>
      <c r="J135" s="77">
        <f>Tabella3[[#This Row],[Italy (fit of selected region + fitted sum of the other regions)]]/(y_l_peak+y_a_peak)</f>
        <v>0.96907838146681313</v>
      </c>
      <c r="K135" s="72">
        <f>IFERROR(Kf*psi_f*_xlfn.SECH(psi_f*(Tabella3[[#This Row],[Day]]-pf)-phi_f)^2/(1+TANH(phi_f)),0)</f>
        <v>2911.1702021217552</v>
      </c>
      <c r="L135" s="292">
        <f>Tabella3[[#This Row],[Italy remov. rate fit]]-Tabella3[[#This Row],[Italy remov. rate data]]</f>
        <v>-393.82979787824479</v>
      </c>
      <c r="M135" s="293">
        <f>Tabella3[[#This Row],[rem. rate residuals]]*NOT(ISBLANK(Tabella3[[#This Row],[Italy remov. rate data]]))</f>
        <v>-393.82979787824479</v>
      </c>
      <c r="N135" s="72">
        <f>Tabella3[[#This Row],[Italy remov. rate fit]]/y_f_peak</f>
        <v>0.96993548826642417</v>
      </c>
      <c r="O135" s="72">
        <f>Tabella3[[#This Row],[Italy (fit of selected region + fitted sum of the other regions)]]*NOT(ISBLANK(Tabella3[[#This Row],[Italy remov. rate data]]))</f>
        <v>2906.8383534460982</v>
      </c>
      <c r="P135" s="72">
        <f>Tabella3[[#This Row],[Italy remov. rate fit]]*NOT(ISBLANK(Tabella3[[#This Row],[Italy remov. rate data]]))</f>
        <v>2911.1702021217552</v>
      </c>
      <c r="Q135" s="72">
        <f>Tabella3[[#This Row],[Italy remov. rate fit]]+CIf</f>
        <v>4626.7850614563067</v>
      </c>
      <c r="R135" s="72">
        <f>MAX(Tabella3[[#This Row],[Italy remov. rate fit]]-CIf,0)</f>
        <v>1195.5553427872039</v>
      </c>
      <c r="S135" s="4">
        <f>Tabella8[[#This Row],[region data]]</f>
        <v>5397</v>
      </c>
      <c r="T135" s="72">
        <f>(Tabella3[[#This Row],[region cumul. data]]-S134)</f>
        <v>152</v>
      </c>
      <c r="U135" s="10">
        <f>Tabella3[[#This Row],[region data]]*NOT(ISBLANK(Tabella3[[#This Row],[region data]]))</f>
        <v>152</v>
      </c>
      <c r="V135">
        <f t="shared" si="1"/>
        <v>138.83333333333334</v>
      </c>
      <c r="W135" s="72">
        <f>Tabella3[[#This Row],[6-days moving avg]]*NOT(ISBLANK(Tabella3[[#This Row],[6-days moving avg]]))</f>
        <v>138.83333333333334</v>
      </c>
      <c r="X135" s="77">
        <f>Tabella8[[#This Row],[region fit]]</f>
        <v>5419.858876885336</v>
      </c>
      <c r="Y135" s="72">
        <f>Tabella3[[#This Row],[region cumul. fit]]/Kl</f>
        <v>0.60422061057807541</v>
      </c>
      <c r="Z135" s="72">
        <f>IFERROR(Kl*psi_l*_xlfn.SECH(psi_l*(Tabella3[[#This Row],[Day]]-pl)-phi_l)^2/(1+TANH(phi_l)),0)</f>
        <v>127.50111237570927</v>
      </c>
      <c r="AA135" s="72">
        <f>Tabella3[[#This Row],[region fit]]/y_l_peak</f>
        <v>0.92526691772930192</v>
      </c>
      <c r="AB135" s="72">
        <f>Tabella3[[#This Row],[region fit]]*NOT(ISBLANK(Tabella3[[#This Row],[region data]]))</f>
        <v>127.50111237570927</v>
      </c>
      <c r="AC135" s="166">
        <f>IFERROR(kl_m*psi_l_m*_xlfn.SECH(psi_l_m*(Tabella3[[#This Row],[Day]]-pl_m)-phi_l_m)^2/(1+TANH(phi_l_m)),0)</f>
        <v>127.50111237570927</v>
      </c>
      <c r="AD135" s="72">
        <f>Tabella3[[#This Row],[6-days moving avg fit]]*NOT(ISBLANK(Tabella3[[#This Row],[6-days moving avg]]))</f>
        <v>127.50111237570927</v>
      </c>
      <c r="AE135" s="72">
        <f>Tabella3[[#This Row],[region fit]]+CIl</f>
        <v>181.26595278525772</v>
      </c>
      <c r="AF135" s="72">
        <f>MAX(Tabella3[[#This Row],[region fit]]-CIl,0)</f>
        <v>73.736271966160814</v>
      </c>
      <c r="AG135" s="10">
        <f>Tabella8[[#This Row],[rest of Italy ]]</f>
        <v>120837</v>
      </c>
      <c r="AH135" s="10">
        <f>(Tabella3[[#This Row],[rest of Italy cum. data]]-AG134)</f>
        <v>3153</v>
      </c>
      <c r="AI135" s="72">
        <f>Tabella3[[#This Row],[rest of Italy data]]*NOT(ISBLANK(Tabella3[[#This Row],[rest of Italy data]]))</f>
        <v>3153</v>
      </c>
      <c r="AJ135" s="77">
        <f>Tabella8[[#This Row],[rest of Italy fit]]</f>
        <v>119102.85465570248</v>
      </c>
      <c r="AK135" s="72">
        <f>Tabella3[[#This Row],[rest of Italy cumul. fit]]/Ka</f>
        <v>0.5513255318969702</v>
      </c>
      <c r="AL135" s="72">
        <f>IFERROR(Ka*psi_a*_xlfn.SECH(psi_a*(Tabella3[[#This Row],[Day]]-pa)-phi_a)^2/(1+TANH(phi_a)),0)</f>
        <v>2779.3372410703887</v>
      </c>
      <c r="AM135" s="72">
        <f>Tabella3[[#This Row],[rest of Italy fit]]/y_a_peak</f>
        <v>0.97118796510145533</v>
      </c>
      <c r="AN135" s="72">
        <f>Tabella3[[#This Row],[rest of Italy fit]]*NOT(ISBLANK(Tabella3[[#This Row],[rest of Italy data]]))</f>
        <v>2779.3372410703887</v>
      </c>
      <c r="AO135" s="72">
        <f>Tabella3[[#This Row],[rest of Italy fit]]+CIa</f>
        <v>4473.9114359799714</v>
      </c>
      <c r="AP135" s="72">
        <f>MAX(Tabella3[[#This Row],[rest of Italy fit]]-CIa,0)</f>
        <v>1084.763046160806</v>
      </c>
    </row>
    <row r="136" spans="2:73" x14ac:dyDescent="0.3">
      <c r="B136" s="9">
        <v>43959</v>
      </c>
      <c r="C136" s="4">
        <v>129</v>
      </c>
      <c r="D136" s="72">
        <f>'dpc-covid19-ita-andamento-naz'!J76+'dpc-covid19-ita-andamento-naz'!K76</f>
        <v>129224</v>
      </c>
      <c r="E136" s="72">
        <f>(Tabella3[[#This Row],[Italy cumul. data]]-D135)</f>
        <v>2990</v>
      </c>
      <c r="F136" s="10">
        <f>Tabella3[[#This Row],[Italy remov. rate data]]*NOT(ISBLANK(Tabella3[[#This Row],[Italy remov. rate data]]))</f>
        <v>2990</v>
      </c>
      <c r="G136" s="77">
        <f>Tabella8[[#This Row],[Italy fit]]</f>
        <v>127438.51328084791</v>
      </c>
      <c r="H136" s="77">
        <f>Tabella3[[#This Row],[Italy cumul. fit]]/Kf</f>
        <v>0.56639339235932407</v>
      </c>
      <c r="I136" s="77">
        <f>Tabella3[[#This Row],[region fit]]+Tabella3[[#This Row],[rest of Italy fit]]</f>
        <v>2880.1584854483208</v>
      </c>
      <c r="J136" s="77">
        <f>Tabella3[[#This Row],[Italy (fit of selected region + fitted sum of the other regions)]]/(y_l_peak+y_a_peak)</f>
        <v>0.96018387817722262</v>
      </c>
      <c r="K136" s="72">
        <f>IFERROR(Kf*psi_f*_xlfn.SECH(psi_f*(Tabella3[[#This Row],[Day]]-pf)-phi_f)^2/(1+TANH(phi_f)),0)</f>
        <v>2884.6426714077602</v>
      </c>
      <c r="L136" s="292">
        <f>Tabella3[[#This Row],[Italy remov. rate fit]]-Tabella3[[#This Row],[Italy remov. rate data]]</f>
        <v>-105.35732859223981</v>
      </c>
      <c r="M136" s="293">
        <f>Tabella3[[#This Row],[rem. rate residuals]]*NOT(ISBLANK(Tabella3[[#This Row],[Italy remov. rate data]]))</f>
        <v>-105.35732859223981</v>
      </c>
      <c r="N136" s="72">
        <f>Tabella3[[#This Row],[Italy remov. rate fit]]/y_f_peak</f>
        <v>0.96109712030125738</v>
      </c>
      <c r="O136" s="72">
        <f>Tabella3[[#This Row],[Italy (fit of selected region + fitted sum of the other regions)]]*NOT(ISBLANK(Tabella3[[#This Row],[Italy remov. rate data]]))</f>
        <v>2880.1584854483208</v>
      </c>
      <c r="P136" s="72">
        <f>Tabella3[[#This Row],[Italy remov. rate fit]]*NOT(ISBLANK(Tabella3[[#This Row],[Italy remov. rate data]]))</f>
        <v>2884.6426714077602</v>
      </c>
      <c r="Q136" s="72">
        <f>Tabella3[[#This Row],[Italy remov. rate fit]]+CIf</f>
        <v>4600.2575307423112</v>
      </c>
      <c r="R136" s="72">
        <f>MAX(Tabella3[[#This Row],[Italy remov. rate fit]]-CIf,0)</f>
        <v>1169.0278120732089</v>
      </c>
      <c r="S136" s="4">
        <f>Tabella8[[#This Row],[region data]]</f>
        <v>5547</v>
      </c>
      <c r="T136" s="72">
        <f>(Tabella3[[#This Row],[region cumul. data]]-S135)</f>
        <v>150</v>
      </c>
      <c r="U136" s="10">
        <f>Tabella3[[#This Row],[region data]]*NOT(ISBLANK(Tabella3[[#This Row],[region data]]))</f>
        <v>150</v>
      </c>
      <c r="V136">
        <f t="shared" si="1"/>
        <v>158</v>
      </c>
      <c r="W136" s="72">
        <f>Tabella3[[#This Row],[6-days moving avg]]*NOT(ISBLANK(Tabella3[[#This Row],[6-days moving avg]]))</f>
        <v>158</v>
      </c>
      <c r="X136" s="77">
        <f>Tabella8[[#This Row],[region fit]]</f>
        <v>5546.3511623365266</v>
      </c>
      <c r="Y136" s="72">
        <f>Tabella3[[#This Row],[region cumul. fit]]/Kl</f>
        <v>0.61832231464175325</v>
      </c>
      <c r="Z136" s="72">
        <f>IFERROR(Kl*psi_l*_xlfn.SECH(psi_l*(Tabella3[[#This Row],[Day]]-pl)-phi_l)^2/(1+TANH(phi_l)),0)</f>
        <v>125.45817097013882</v>
      </c>
      <c r="AA136" s="72">
        <f>Tabella3[[#This Row],[region fit]]/y_l_peak</f>
        <v>0.91044143062403138</v>
      </c>
      <c r="AB136" s="72">
        <f>Tabella3[[#This Row],[region fit]]*NOT(ISBLANK(Tabella3[[#This Row],[region data]]))</f>
        <v>125.45817097013882</v>
      </c>
      <c r="AC136" s="166">
        <f>IFERROR(kl_m*psi_l_m*_xlfn.SECH(psi_l_m*(Tabella3[[#This Row],[Day]]-pl_m)-phi_l_m)^2/(1+TANH(phi_l_m)),0)</f>
        <v>125.45817097013882</v>
      </c>
      <c r="AD136" s="72">
        <f>Tabella3[[#This Row],[6-days moving avg fit]]*NOT(ISBLANK(Tabella3[[#This Row],[6-days moving avg]]))</f>
        <v>125.45817097013882</v>
      </c>
      <c r="AE136" s="72">
        <f>Tabella3[[#This Row],[region fit]]+CIl</f>
        <v>179.22301137968728</v>
      </c>
      <c r="AF136" s="72">
        <f>MAX(Tabella3[[#This Row],[region fit]]-CIl,0)</f>
        <v>71.693330560590368</v>
      </c>
      <c r="AG136" s="10">
        <f>Tabella8[[#This Row],[rest of Italy ]]</f>
        <v>123677</v>
      </c>
      <c r="AH136" s="10">
        <f>(Tabella3[[#This Row],[rest of Italy cum. data]]-AG135)</f>
        <v>2840</v>
      </c>
      <c r="AI136" s="72">
        <f>Tabella3[[#This Row],[rest of Italy data]]*NOT(ISBLANK(Tabella3[[#This Row],[rest of Italy data]]))</f>
        <v>2840</v>
      </c>
      <c r="AJ136" s="77">
        <f>Tabella8[[#This Row],[rest of Italy fit]]</f>
        <v>121870.12314198462</v>
      </c>
      <c r="AK136" s="72">
        <f>Tabella3[[#This Row],[rest of Italy cumul. fit]]/Ka</f>
        <v>0.56413518095627746</v>
      </c>
      <c r="AL136" s="72">
        <f>IFERROR(Ka*psi_a*_xlfn.SECH(psi_a*(Tabella3[[#This Row],[Day]]-pa)-phi_a)^2/(1+TANH(phi_a)),0)</f>
        <v>2754.700314478182</v>
      </c>
      <c r="AM136" s="72">
        <f>Tabella3[[#This Row],[rest of Italy fit]]/y_a_peak</f>
        <v>0.96257904702923747</v>
      </c>
      <c r="AN136" s="72">
        <f>Tabella3[[#This Row],[rest of Italy fit]]*NOT(ISBLANK(Tabella3[[#This Row],[rest of Italy data]]))</f>
        <v>2754.700314478182</v>
      </c>
      <c r="AO136" s="72">
        <f>Tabella3[[#This Row],[rest of Italy fit]]+CIa</f>
        <v>4449.2745093877647</v>
      </c>
      <c r="AP136" s="72">
        <f>MAX(Tabella3[[#This Row],[rest of Italy fit]]-CIa,0)</f>
        <v>1060.1261195685993</v>
      </c>
    </row>
    <row r="137" spans="2:73" x14ac:dyDescent="0.3">
      <c r="B137" s="9">
        <v>43960</v>
      </c>
      <c r="C137" s="4">
        <v>130</v>
      </c>
      <c r="D137" s="72">
        <f>'dpc-covid19-ita-andamento-naz'!J77+'dpc-covid19-ita-andamento-naz'!K77</f>
        <v>133426</v>
      </c>
      <c r="E137" s="72">
        <f>(Tabella3[[#This Row],[Italy cumul. data]]-D136)</f>
        <v>4202</v>
      </c>
      <c r="F137" s="10">
        <f>Tabella3[[#This Row],[Italy remov. rate data]]*NOT(ISBLANK(Tabella3[[#This Row],[Italy remov. rate data]]))</f>
        <v>4202</v>
      </c>
      <c r="G137" s="77">
        <f>Tabella8[[#This Row],[Italy fit]]</f>
        <v>130308.59213740559</v>
      </c>
      <c r="H137" s="77">
        <f>Tabella3[[#This Row],[Italy cumul. fit]]/Kf</f>
        <v>0.57914929838846929</v>
      </c>
      <c r="I137" s="77">
        <f>Tabella3[[#This Row],[region fit]]+Tabella3[[#This Row],[rest of Italy fit]]</f>
        <v>2850.3946472262592</v>
      </c>
      <c r="J137" s="77">
        <f>Tabella3[[#This Row],[Italy (fit of selected region + fitted sum of the other regions)]]/(y_l_peak+y_a_peak)</f>
        <v>0.95026124448956628</v>
      </c>
      <c r="K137" s="72">
        <f>IFERROR(Kf*psi_f*_xlfn.SECH(psi_f*(Tabella3[[#This Row],[Day]]-pf)-phi_f)^2/(1+TANH(phi_f)),0)</f>
        <v>2855.0080902506706</v>
      </c>
      <c r="L137" s="292">
        <f>Tabella3[[#This Row],[Italy remov. rate fit]]-Tabella3[[#This Row],[Italy remov. rate data]]</f>
        <v>-1346.9919097493294</v>
      </c>
      <c r="M137" s="293">
        <f>Tabella3[[#This Row],[rem. rate residuals]]*NOT(ISBLANK(Tabella3[[#This Row],[Italy remov. rate data]]))</f>
        <v>-1346.9919097493294</v>
      </c>
      <c r="N137" s="72">
        <f>Tabella3[[#This Row],[Italy remov. rate fit]]/y_f_peak</f>
        <v>0.95122355402085801</v>
      </c>
      <c r="O137" s="72">
        <f>Tabella3[[#This Row],[Italy (fit of selected region + fitted sum of the other regions)]]*NOT(ISBLANK(Tabella3[[#This Row],[Italy remov. rate data]]))</f>
        <v>2850.3946472262592</v>
      </c>
      <c r="P137" s="72">
        <f>Tabella3[[#This Row],[Italy remov. rate fit]]*NOT(ISBLANK(Tabella3[[#This Row],[Italy remov. rate data]]))</f>
        <v>2855.0080902506706</v>
      </c>
      <c r="Q137" s="72">
        <f>Tabella3[[#This Row],[Italy remov. rate fit]]+CIf</f>
        <v>4570.6229495852222</v>
      </c>
      <c r="R137" s="72">
        <f>MAX(Tabella3[[#This Row],[Italy remov. rate fit]]-CIf,0)</f>
        <v>1139.3932309161194</v>
      </c>
      <c r="S137" s="4">
        <f>Tabella8[[#This Row],[region data]]</f>
        <v>5756</v>
      </c>
      <c r="T137" s="72">
        <f>(Tabella3[[#This Row],[region cumul. data]]-S136)</f>
        <v>209</v>
      </c>
      <c r="U137" s="10">
        <f>Tabella3[[#This Row],[region data]]*NOT(ISBLANK(Tabella3[[#This Row],[region data]]))</f>
        <v>209</v>
      </c>
      <c r="V137" s="287">
        <f t="shared" si="1"/>
        <v>164</v>
      </c>
      <c r="W137" s="72">
        <f>Tabella3[[#This Row],[6-days moving avg]]*NOT(ISBLANK(Tabella3[[#This Row],[6-days moving avg]]))</f>
        <v>164</v>
      </c>
      <c r="X137" s="77">
        <f>Tabella8[[#This Row],[region fit]]</f>
        <v>5670.726570335326</v>
      </c>
      <c r="Y137" s="72">
        <f>Tabella3[[#This Row],[region cumul. fit]]/Kl</f>
        <v>0.63218802344875424</v>
      </c>
      <c r="Z137" s="72">
        <f>IFERROR(Kl*psi_l*_xlfn.SECH(psi_l*(Tabella3[[#This Row],[Day]]-pl)-phi_l)^2/(1+TANH(phi_l)),0)</f>
        <v>123.26930054077478</v>
      </c>
      <c r="AA137" s="72">
        <f>Tabella3[[#This Row],[region fit]]/y_l_peak</f>
        <v>0.89455694649875928</v>
      </c>
      <c r="AB137" s="72">
        <f>Tabella3[[#This Row],[region fit]]*NOT(ISBLANK(Tabella3[[#This Row],[region data]]))</f>
        <v>123.26930054077478</v>
      </c>
      <c r="AC137" s="166">
        <f>IFERROR(kl_m*psi_l_m*_xlfn.SECH(psi_l_m*(Tabella3[[#This Row],[Day]]-pl_m)-phi_l_m)^2/(1+TANH(phi_l_m)),0)</f>
        <v>123.26930054077478</v>
      </c>
      <c r="AD137" s="72">
        <f>Tabella3[[#This Row],[6-days moving avg fit]]*NOT(ISBLANK(Tabella3[[#This Row],[6-days moving avg]]))</f>
        <v>123.26930054077478</v>
      </c>
      <c r="AE137" s="72">
        <f>Tabella3[[#This Row],[region fit]]+CIl</f>
        <v>177.03414095032323</v>
      </c>
      <c r="AF137" s="72">
        <f>MAX(Tabella3[[#This Row],[region fit]]-CIl,0)</f>
        <v>69.504460131226324</v>
      </c>
      <c r="AG137" s="10">
        <f>Tabella8[[#This Row],[rest of Italy ]]</f>
        <v>127670</v>
      </c>
      <c r="AH137" s="10">
        <f>(Tabella3[[#This Row],[rest of Italy cum. data]]-AG136)</f>
        <v>3993</v>
      </c>
      <c r="AI137" s="72">
        <f>Tabella3[[#This Row],[rest of Italy data]]*NOT(ISBLANK(Tabella3[[#This Row],[rest of Italy data]]))</f>
        <v>3993</v>
      </c>
      <c r="AJ137" s="77">
        <f>Tabella8[[#This Row],[rest of Italy fit]]</f>
        <v>124611.27580857338</v>
      </c>
      <c r="AK137" s="72">
        <f>Tabella3[[#This Row],[rest of Italy cumul. fit]]/Ka</f>
        <v>0.57682394023317773</v>
      </c>
      <c r="AL137" s="72">
        <f>IFERROR(Ka*psi_a*_xlfn.SECH(psi_a*(Tabella3[[#This Row],[Day]]-pa)-phi_a)^2/(1+TANH(phi_a)),0)</f>
        <v>2727.1253466854846</v>
      </c>
      <c r="AM137" s="72">
        <f>Tabella3[[#This Row],[rest of Italy fit]]/y_a_peak</f>
        <v>0.9529434848302385</v>
      </c>
      <c r="AN137" s="72">
        <f>Tabella3[[#This Row],[rest of Italy fit]]*NOT(ISBLANK(Tabella3[[#This Row],[rest of Italy data]]))</f>
        <v>2727.1253466854846</v>
      </c>
      <c r="AO137" s="72">
        <f>Tabella3[[#This Row],[rest of Italy fit]]+CIa</f>
        <v>4421.6995415950678</v>
      </c>
      <c r="AP137" s="72">
        <f>MAX(Tabella3[[#This Row],[rest of Italy fit]]-CIa,0)</f>
        <v>1032.5511517759019</v>
      </c>
    </row>
    <row r="138" spans="2:73" x14ac:dyDescent="0.3">
      <c r="B138" s="9">
        <v>43961</v>
      </c>
      <c r="C138" s="4">
        <v>131</v>
      </c>
      <c r="D138" s="72">
        <f>'dpc-covid19-ita-andamento-naz'!J78+'dpc-covid19-ita-andamento-naz'!K78</f>
        <v>135746</v>
      </c>
      <c r="E138" s="72">
        <f>(Tabella3[[#This Row],[Italy cumul. data]]-D137)</f>
        <v>2320</v>
      </c>
      <c r="F138" s="10">
        <f>Tabella3[[#This Row],[Italy remov. rate data]]*NOT(ISBLANK(Tabella3[[#This Row],[Italy remov. rate data]]))</f>
        <v>2320</v>
      </c>
      <c r="G138" s="77">
        <f>Tabella8[[#This Row],[Italy fit]]</f>
        <v>133147.5386484114</v>
      </c>
      <c r="H138" s="77">
        <f>Tabella3[[#This Row],[Italy cumul. fit]]/Kf</f>
        <v>0.59176683843738398</v>
      </c>
      <c r="I138" s="77">
        <f>Tabella3[[#This Row],[region fit]]+Tabella3[[#This Row],[rest of Italy fit]]</f>
        <v>2817.6827864512434</v>
      </c>
      <c r="J138" s="77">
        <f>Tabella3[[#This Row],[Italy (fit of selected region + fitted sum of the other regions)]]/(y_l_peak+y_a_peak)</f>
        <v>0.93935580248002393</v>
      </c>
      <c r="K138" s="72">
        <f>IFERROR(Kf*psi_f*_xlfn.SECH(psi_f*(Tabella3[[#This Row],[Day]]-pf)-phi_f)^2/(1+TANH(phi_f)),0)</f>
        <v>2822.4014394828178</v>
      </c>
      <c r="L138" s="292">
        <f>Tabella3[[#This Row],[Italy remov. rate fit]]-Tabella3[[#This Row],[Italy remov. rate data]]</f>
        <v>502.40143948281775</v>
      </c>
      <c r="M138" s="293">
        <f>Tabella3[[#This Row],[rem. rate residuals]]*NOT(ISBLANK(Tabella3[[#This Row],[Italy remov. rate data]]))</f>
        <v>502.40143948281775</v>
      </c>
      <c r="N138" s="72">
        <f>Tabella3[[#This Row],[Italy remov. rate fit]]/y_f_peak</f>
        <v>0.94035976195875193</v>
      </c>
      <c r="O138" s="72">
        <f>Tabella3[[#This Row],[Italy (fit of selected region + fitted sum of the other regions)]]*NOT(ISBLANK(Tabella3[[#This Row],[Italy remov. rate data]]))</f>
        <v>2817.6827864512434</v>
      </c>
      <c r="P138" s="72">
        <f>Tabella3[[#This Row],[Italy remov. rate fit]]*NOT(ISBLANK(Tabella3[[#This Row],[Italy remov. rate data]]))</f>
        <v>2822.4014394828178</v>
      </c>
      <c r="Q138" s="72">
        <f>Tabella3[[#This Row],[Italy remov. rate fit]]+CIf</f>
        <v>4538.0162988173688</v>
      </c>
      <c r="R138" s="72">
        <f>MAX(Tabella3[[#This Row],[Italy remov. rate fit]]-CIf,0)</f>
        <v>1106.7865801482665</v>
      </c>
      <c r="S138" s="4">
        <f>Tabella8[[#This Row],[region data]]</f>
        <v>5888</v>
      </c>
      <c r="T138" s="72">
        <f>(Tabella3[[#This Row],[region cumul. data]]-S137)</f>
        <v>132</v>
      </c>
      <c r="U138" s="10">
        <f>Tabella3[[#This Row],[region data]]*NOT(ISBLANK(Tabella3[[#This Row],[region data]]))</f>
        <v>132</v>
      </c>
      <c r="V138" s="287">
        <f t="shared" si="1"/>
        <v>156.66666666666666</v>
      </c>
      <c r="W138" s="72">
        <f>Tabella3[[#This Row],[6-days moving avg]]*NOT(ISBLANK(Tabella3[[#This Row],[6-days moving avg]]))</f>
        <v>156.66666666666666</v>
      </c>
      <c r="X138" s="77">
        <f>Tabella8[[#This Row],[region fit]]</f>
        <v>5792.8450768845623</v>
      </c>
      <c r="Y138" s="72">
        <f>Tabella3[[#This Row],[region cumul. fit]]/Kl</f>
        <v>0.64580212674298354</v>
      </c>
      <c r="Z138" s="72">
        <f>IFERROR(Kl*psi_l*_xlfn.SECH(psi_l*(Tabella3[[#This Row],[Day]]-pl)-phi_l)^2/(1+TANH(phi_l)),0)</f>
        <v>120.94638268479598</v>
      </c>
      <c r="AA138" s="72">
        <f>Tabella3[[#This Row],[region fit]]/y_l_peak</f>
        <v>0.87769968929768927</v>
      </c>
      <c r="AB138" s="72">
        <f>Tabella3[[#This Row],[region fit]]*NOT(ISBLANK(Tabella3[[#This Row],[region data]]))</f>
        <v>120.94638268479598</v>
      </c>
      <c r="AC138" s="166">
        <f>IFERROR(kl_m*psi_l_m*_xlfn.SECH(psi_l_m*(Tabella3[[#This Row],[Day]]-pl_m)-phi_l_m)^2/(1+TANH(phi_l_m)),0)</f>
        <v>120.94638268479598</v>
      </c>
      <c r="AD138" s="72">
        <f>Tabella3[[#This Row],[6-days moving avg fit]]*NOT(ISBLANK(Tabella3[[#This Row],[6-days moving avg]]))</f>
        <v>120.94638268479598</v>
      </c>
      <c r="AE138" s="72">
        <f>Tabella3[[#This Row],[region fit]]+CIl</f>
        <v>174.71122309434443</v>
      </c>
      <c r="AF138" s="72">
        <f>MAX(Tabella3[[#This Row],[region fit]]-CIl,0)</f>
        <v>67.181542275247523</v>
      </c>
      <c r="AG138" s="10">
        <f>Tabella8[[#This Row],[rest of Italy ]]</f>
        <v>129858</v>
      </c>
      <c r="AH138" s="10">
        <f>(Tabella3[[#This Row],[rest of Italy cum. data]]-AG137)</f>
        <v>2188</v>
      </c>
      <c r="AI138" s="72">
        <f>Tabella3[[#This Row],[rest of Italy data]]*NOT(ISBLANK(Tabella3[[#This Row],[rest of Italy data]]))</f>
        <v>2188</v>
      </c>
      <c r="AJ138" s="77">
        <f>Tabella8[[#This Row],[rest of Italy fit]]</f>
        <v>127323.43572749342</v>
      </c>
      <c r="AK138" s="72">
        <f>Tabella3[[#This Row],[rest of Italy cumul. fit]]/Ka</f>
        <v>0.58937849246629359</v>
      </c>
      <c r="AL138" s="72">
        <f>IFERROR(Ka*psi_a*_xlfn.SECH(psi_a*(Tabella3[[#This Row],[Day]]-pa)-phi_a)^2/(1+TANH(phi_a)),0)</f>
        <v>2696.7364037664474</v>
      </c>
      <c r="AM138" s="72">
        <f>Tabella3[[#This Row],[rest of Italy fit]]/y_a_peak</f>
        <v>0.94232463109813158</v>
      </c>
      <c r="AN138" s="72">
        <f>Tabella3[[#This Row],[rest of Italy fit]]*NOT(ISBLANK(Tabella3[[#This Row],[rest of Italy data]]))</f>
        <v>2696.7364037664474</v>
      </c>
      <c r="AO138" s="72">
        <f>Tabella3[[#This Row],[rest of Italy fit]]+CIa</f>
        <v>4391.3105986760302</v>
      </c>
      <c r="AP138" s="72">
        <f>MAX(Tabella3[[#This Row],[rest of Italy fit]]-CIa,0)</f>
        <v>1002.1622088568647</v>
      </c>
    </row>
    <row r="139" spans="2:73" x14ac:dyDescent="0.3">
      <c r="B139" s="9">
        <v>43962</v>
      </c>
      <c r="C139" s="4">
        <v>132</v>
      </c>
      <c r="D139" s="72">
        <f>'dpc-covid19-ita-andamento-naz'!J79+'dpc-covid19-ita-andamento-naz'!K79</f>
        <v>137326</v>
      </c>
      <c r="E139" s="72">
        <f>(Tabella3[[#This Row],[Italy cumul. data]]-D138)</f>
        <v>1580</v>
      </c>
      <c r="F139" s="10">
        <f>Tabella3[[#This Row],[Italy remov. rate data]]*NOT(ISBLANK(Tabella3[[#This Row],[Italy remov. rate data]]))</f>
        <v>1580</v>
      </c>
      <c r="G139" s="77">
        <f>Tabella8[[#This Row],[Italy fit]]</f>
        <v>135952.45290117257</v>
      </c>
      <c r="H139" s="77">
        <f>Tabella3[[#This Row],[Italy cumul. fit]]/Kf</f>
        <v>0.60423312400521145</v>
      </c>
      <c r="I139" s="77">
        <f>Tabella3[[#This Row],[region fit]]+Tabella3[[#This Row],[rest of Italy fit]]</f>
        <v>2782.1696618636879</v>
      </c>
      <c r="J139" s="77">
        <f>Tabella3[[#This Row],[Italy (fit of selected region + fitted sum of the other regions)]]/(y_l_peak+y_a_peak)</f>
        <v>0.92751647840638285</v>
      </c>
      <c r="K139" s="72">
        <f>IFERROR(Kf*psi_f*_xlfn.SECH(psi_f*(Tabella3[[#This Row],[Day]]-pf)-phi_f)^2/(1+TANH(phi_f)),0)</f>
        <v>2786.9687674589477</v>
      </c>
      <c r="L139" s="292">
        <f>Tabella3[[#This Row],[Italy remov. rate fit]]-Tabella3[[#This Row],[Italy remov. rate data]]</f>
        <v>1206.9687674589477</v>
      </c>
      <c r="M139" s="293">
        <f>Tabella3[[#This Row],[rem. rate residuals]]*NOT(ISBLANK(Tabella3[[#This Row],[Italy remov. rate data]]))</f>
        <v>1206.9687674589477</v>
      </c>
      <c r="N139" s="72">
        <f>Tabella3[[#This Row],[Italy remov. rate fit]]/y_f_peak</f>
        <v>0.92855440409440981</v>
      </c>
      <c r="O139" s="72">
        <f>Tabella3[[#This Row],[Italy (fit of selected region + fitted sum of the other regions)]]*NOT(ISBLANK(Tabella3[[#This Row],[Italy remov. rate data]]))</f>
        <v>2782.1696618636879</v>
      </c>
      <c r="P139" s="72">
        <f>Tabella3[[#This Row],[Italy remov. rate fit]]*NOT(ISBLANK(Tabella3[[#This Row],[Italy remov. rate data]]))</f>
        <v>2786.9687674589477</v>
      </c>
      <c r="Q139" s="72">
        <f>Tabella3[[#This Row],[Italy remov. rate fit]]+CIf</f>
        <v>4502.5836267934992</v>
      </c>
      <c r="R139" s="72">
        <f>MAX(Tabella3[[#This Row],[Italy remov. rate fit]]-CIf,0)</f>
        <v>1071.3539081243964</v>
      </c>
      <c r="S139" s="4">
        <f>Tabella8[[#This Row],[region data]]</f>
        <v>5988</v>
      </c>
      <c r="T139" s="72">
        <f>(Tabella3[[#This Row],[region cumul. data]]-S138)</f>
        <v>100</v>
      </c>
      <c r="U139" s="10">
        <f>Tabella3[[#This Row],[region data]]*NOT(ISBLANK(Tabella3[[#This Row],[region data]]))</f>
        <v>100</v>
      </c>
      <c r="V139" s="287">
        <f t="shared" si="1"/>
        <v>139.83333333333334</v>
      </c>
      <c r="W139" s="72">
        <f>Tabella3[[#This Row],[6-days moving avg]]*NOT(ISBLANK(Tabella3[[#This Row],[6-days moving avg]]))</f>
        <v>139.83333333333334</v>
      </c>
      <c r="X139" s="77">
        <f>Tabella8[[#This Row],[region fit]]</f>
        <v>5912.5787329205805</v>
      </c>
      <c r="Y139" s="72">
        <f>Tabella3[[#This Row],[region cumul. fit]]/Kl</f>
        <v>0.65915036041478048</v>
      </c>
      <c r="Z139" s="72">
        <f>IFERROR(Kl*psi_l*_xlfn.SECH(psi_l*(Tabella3[[#This Row],[Day]]-pl)-phi_l)^2/(1+TANH(phi_l)),0)</f>
        <v>118.50166443832879</v>
      </c>
      <c r="AA139" s="72">
        <f>Tabella3[[#This Row],[region fit]]/y_l_peak</f>
        <v>0.85995853493066099</v>
      </c>
      <c r="AB139" s="72">
        <f>Tabella3[[#This Row],[region fit]]*NOT(ISBLANK(Tabella3[[#This Row],[region data]]))</f>
        <v>118.50166443832879</v>
      </c>
      <c r="AC139" s="166">
        <f>IFERROR(kl_m*psi_l_m*_xlfn.SECH(psi_l_m*(Tabella3[[#This Row],[Day]]-pl_m)-phi_l_m)^2/(1+TANH(phi_l_m)),0)</f>
        <v>118.50166443832879</v>
      </c>
      <c r="AD139" s="72">
        <f>Tabella3[[#This Row],[6-days moving avg fit]]*NOT(ISBLANK(Tabella3[[#This Row],[6-days moving avg]]))</f>
        <v>118.50166443832879</v>
      </c>
      <c r="AE139" s="72">
        <f>Tabella3[[#This Row],[region fit]]+CIl</f>
        <v>172.26650484787723</v>
      </c>
      <c r="AF139" s="72">
        <f>MAX(Tabella3[[#This Row],[region fit]]-CIl,0)</f>
        <v>64.736824028780333</v>
      </c>
      <c r="AG139" s="10">
        <f>Tabella8[[#This Row],[rest of Italy ]]</f>
        <v>131338</v>
      </c>
      <c r="AH139" s="10">
        <f>(Tabella3[[#This Row],[rest of Italy cum. data]]-AG138)</f>
        <v>1480</v>
      </c>
      <c r="AI139" s="72">
        <f>Tabella3[[#This Row],[rest of Italy data]]*NOT(ISBLANK(Tabella3[[#This Row],[rest of Italy data]]))</f>
        <v>1480</v>
      </c>
      <c r="AJ139" s="77">
        <f>Tabella8[[#This Row],[rest of Italy fit]]</f>
        <v>130003.85535910711</v>
      </c>
      <c r="AK139" s="72">
        <f>Tabella3[[#This Row],[rest of Italy cumul. fit]]/Ka</f>
        <v>0.60178611933114434</v>
      </c>
      <c r="AL139" s="72">
        <f>IFERROR(Ka*psi_a*_xlfn.SECH(psi_a*(Tabella3[[#This Row],[Day]]-pa)-phi_a)^2/(1+TANH(phi_a)),0)</f>
        <v>2663.6679974253593</v>
      </c>
      <c r="AM139" s="72">
        <f>Tabella3[[#This Row],[rest of Italy fit]]/y_a_peak</f>
        <v>0.93076948845873708</v>
      </c>
      <c r="AN139" s="72">
        <f>Tabella3[[#This Row],[rest of Italy fit]]*NOT(ISBLANK(Tabella3[[#This Row],[rest of Italy data]]))</f>
        <v>2663.6679974253593</v>
      </c>
      <c r="AO139" s="72">
        <f>Tabella3[[#This Row],[rest of Italy fit]]+CIa</f>
        <v>4358.242192334942</v>
      </c>
      <c r="AP139" s="72">
        <f>MAX(Tabella3[[#This Row],[rest of Italy fit]]-CIa,0)</f>
        <v>969.09380251577659</v>
      </c>
    </row>
    <row r="140" spans="2:73" x14ac:dyDescent="0.3">
      <c r="B140" s="9">
        <v>43963</v>
      </c>
      <c r="C140" s="4">
        <v>133</v>
      </c>
      <c r="D140" s="72">
        <f>'dpc-covid19-ita-andamento-naz'!J80+'dpc-covid19-ita-andamento-naz'!K80</f>
        <v>139950</v>
      </c>
      <c r="E140" s="72">
        <f>(Tabella3[[#This Row],[Italy cumul. data]]-D139)</f>
        <v>2624</v>
      </c>
      <c r="F140" s="10">
        <f>Tabella3[[#This Row],[Italy remov. rate data]]*NOT(ISBLANK(Tabella3[[#This Row],[Italy remov. rate data]]))</f>
        <v>2624</v>
      </c>
      <c r="G140" s="77">
        <f>Tabella8[[#This Row],[Italy fit]]</f>
        <v>138720.58600779896</v>
      </c>
      <c r="H140" s="77">
        <f>Tabella3[[#This Row],[Italy cumul. fit]]/Kf</f>
        <v>0.61653593781243987</v>
      </c>
      <c r="I140" s="77">
        <f>Tabella3[[#This Row],[region fit]]+Tabella3[[#This Row],[rest of Italy fit]]</f>
        <v>2744.0114928253556</v>
      </c>
      <c r="J140" s="77">
        <f>Tabella3[[#This Row],[Italy (fit of selected region + fitted sum of the other regions)]]/(y_l_peak+y_a_peak)</f>
        <v>0.91479535249734634</v>
      </c>
      <c r="K140" s="72">
        <f>IFERROR(Kf*psi_f*_xlfn.SECH(psi_f*(Tabella3[[#This Row],[Day]]-pf)-phi_f)^2/(1+TANH(phi_f)),0)</f>
        <v>2748.8658466054785</v>
      </c>
      <c r="L140" s="292">
        <f>Tabella3[[#This Row],[Italy remov. rate fit]]-Tabella3[[#This Row],[Italy remov. rate data]]</f>
        <v>124.86584660547851</v>
      </c>
      <c r="M140" s="293">
        <f>Tabella3[[#This Row],[rem. rate residuals]]*NOT(ISBLANK(Tabella3[[#This Row],[Italy remov. rate data]]))</f>
        <v>124.86584660547851</v>
      </c>
      <c r="N140" s="72">
        <f>Tabella3[[#This Row],[Italy remov. rate fit]]/y_f_peak</f>
        <v>0.91585938024611302</v>
      </c>
      <c r="O140" s="72">
        <f>Tabella3[[#This Row],[Italy (fit of selected region + fitted sum of the other regions)]]*NOT(ISBLANK(Tabella3[[#This Row],[Italy remov. rate data]]))</f>
        <v>2744.0114928253556</v>
      </c>
      <c r="P140" s="72">
        <f>Tabella3[[#This Row],[Italy remov. rate fit]]*NOT(ISBLANK(Tabella3[[#This Row],[Italy remov. rate data]]))</f>
        <v>2748.8658466054785</v>
      </c>
      <c r="Q140" s="72">
        <f>Tabella3[[#This Row],[Italy remov. rate fit]]+CIf</f>
        <v>4464.48070594003</v>
      </c>
      <c r="R140" s="72">
        <f>MAX(Tabella3[[#This Row],[Italy remov. rate fit]]-CIf,0)</f>
        <v>1033.2509872709272</v>
      </c>
      <c r="S140" s="4">
        <f>Tabella8[[#This Row],[region data]]</f>
        <v>6084</v>
      </c>
      <c r="T140" s="72">
        <f>(Tabella3[[#This Row],[region cumul. data]]-S139)</f>
        <v>96</v>
      </c>
      <c r="U140" s="10">
        <f>Tabella3[[#This Row],[region data]]*NOT(ISBLANK(Tabella3[[#This Row],[region data]]))</f>
        <v>96</v>
      </c>
      <c r="V140" s="287">
        <f t="shared" si="1"/>
        <v>135.83333333333334</v>
      </c>
      <c r="W140" s="72">
        <f>Tabella3[[#This Row],[6-days moving avg]]*NOT(ISBLANK(Tabella3[[#This Row],[6-days moving avg]]))</f>
        <v>135.83333333333334</v>
      </c>
      <c r="X140" s="77">
        <f>Tabella8[[#This Row],[region fit]]</f>
        <v>6029.8119664614005</v>
      </c>
      <c r="Y140" s="72">
        <f>Tabella3[[#This Row],[region cumul. fit]]/Kl</f>
        <v>0.67221984018521741</v>
      </c>
      <c r="Z140" s="72">
        <f>IFERROR(Kl*psi_l*_xlfn.SECH(psi_l*(Tabella3[[#This Row],[Day]]-pl)-phi_l)^2/(1+TANH(phi_l)),0)</f>
        <v>115.94763217163239</v>
      </c>
      <c r="AA140" s="72">
        <f>Tabella3[[#This Row],[region fit]]/y_l_peak</f>
        <v>0.84142409613906988</v>
      </c>
      <c r="AB140" s="72">
        <f>Tabella3[[#This Row],[region fit]]*NOT(ISBLANK(Tabella3[[#This Row],[region data]]))</f>
        <v>115.94763217163239</v>
      </c>
      <c r="AC140" s="166">
        <f>IFERROR(kl_m*psi_l_m*_xlfn.SECH(psi_l_m*(Tabella3[[#This Row],[Day]]-pl_m)-phi_l_m)^2/(1+TANH(phi_l_m)),0)</f>
        <v>115.94763217163239</v>
      </c>
      <c r="AD140" s="72">
        <f>Tabella3[[#This Row],[6-days moving avg fit]]*NOT(ISBLANK(Tabella3[[#This Row],[6-days moving avg]]))</f>
        <v>115.94763217163239</v>
      </c>
      <c r="AE140" s="72">
        <f>Tabella3[[#This Row],[region fit]]+CIl</f>
        <v>169.71247258118086</v>
      </c>
      <c r="AF140" s="72">
        <f>MAX(Tabella3[[#This Row],[region fit]]-CIl,0)</f>
        <v>62.182791762083937</v>
      </c>
      <c r="AG140" s="10">
        <f>Tabella8[[#This Row],[rest of Italy ]]</f>
        <v>133866</v>
      </c>
      <c r="AH140" s="10">
        <f>(Tabella3[[#This Row],[rest of Italy cum. data]]-AG139)</f>
        <v>2528</v>
      </c>
      <c r="AI140" s="72">
        <f>Tabella3[[#This Row],[rest of Italy data]]*NOT(ISBLANK(Tabella3[[#This Row],[rest of Italy data]]))</f>
        <v>2528</v>
      </c>
      <c r="AJ140" s="77">
        <f>Tabella8[[#This Row],[rest of Italy fit]]</f>
        <v>132649.92639052818</v>
      </c>
      <c r="AK140" s="72">
        <f>Tabella3[[#This Row],[rest of Italy cumul. fit]]/Ka</f>
        <v>0.61403474698203109</v>
      </c>
      <c r="AL140" s="72">
        <f>IFERROR(Ka*psi_a*_xlfn.SECH(psi_a*(Tabella3[[#This Row],[Day]]-pa)-phi_a)^2/(1+TANH(phi_a)),0)</f>
        <v>2628.0638606537232</v>
      </c>
      <c r="AM140" s="72">
        <f>Tabella3[[#This Row],[rest of Italy fit]]/y_a_peak</f>
        <v>0.91832828174604531</v>
      </c>
      <c r="AN140" s="72">
        <f>Tabella3[[#This Row],[rest of Italy fit]]*NOT(ISBLANK(Tabella3[[#This Row],[rest of Italy data]]))</f>
        <v>2628.0638606537232</v>
      </c>
      <c r="AO140" s="72">
        <f>Tabella3[[#This Row],[rest of Italy fit]]+CIa</f>
        <v>4322.6380555633059</v>
      </c>
      <c r="AP140" s="72">
        <f>MAX(Tabella3[[#This Row],[rest of Italy fit]]-CIa,0)</f>
        <v>933.48966574414044</v>
      </c>
    </row>
    <row r="141" spans="2:73" x14ac:dyDescent="0.3">
      <c r="B141" s="9">
        <v>43964</v>
      </c>
      <c r="C141" s="4">
        <v>134</v>
      </c>
      <c r="D141" s="72">
        <f>'dpc-covid19-ita-andamento-naz'!J81+'dpc-covid19-ita-andamento-naz'!K81</f>
        <v>143647</v>
      </c>
      <c r="E141" s="72">
        <f>(Tabella3[[#This Row],[Italy cumul. data]]-D140)</f>
        <v>3697</v>
      </c>
      <c r="F141" s="10">
        <f>Tabella3[[#This Row],[Italy remov. rate data]]*NOT(ISBLANK(Tabella3[[#This Row],[Italy remov. rate data]]))</f>
        <v>3697</v>
      </c>
      <c r="G141" s="77">
        <f>Tabella8[[#This Row],[Italy fit]]</f>
        <v>141449.34913524927</v>
      </c>
      <c r="H141" s="77">
        <f>Tabella3[[#This Row],[Italy cumul. fit]]/Kf</f>
        <v>0.62866377393444117</v>
      </c>
      <c r="I141" s="77">
        <f>Tabella3[[#This Row],[region fit]]+Tabella3[[#This Row],[rest of Italy fit]]</f>
        <v>2703.3725624941399</v>
      </c>
      <c r="J141" s="77">
        <f>Tabella3[[#This Row],[Italy (fit of selected region + fitted sum of the other regions)]]/(y_l_peak+y_a_peak)</f>
        <v>0.9012471932805709</v>
      </c>
      <c r="K141" s="72">
        <f>IFERROR(Kf*psi_f*_xlfn.SECH(psi_f*(Tabella3[[#This Row],[Day]]-pf)-phi_f)^2/(1+TANH(phi_f)),0)</f>
        <v>2708.2567784977473</v>
      </c>
      <c r="L141" s="292">
        <f>Tabella3[[#This Row],[Italy remov. rate fit]]-Tabella3[[#This Row],[Italy remov. rate data]]</f>
        <v>-988.74322150225271</v>
      </c>
      <c r="M141" s="293">
        <f>Tabella3[[#This Row],[rem. rate residuals]]*NOT(ISBLANK(Tabella3[[#This Row],[Italy remov. rate data]]))</f>
        <v>-988.74322150225271</v>
      </c>
      <c r="N141" s="72">
        <f>Tabella3[[#This Row],[Italy remov. rate fit]]/y_f_peak</f>
        <v>0.90232936531451979</v>
      </c>
      <c r="O141" s="72">
        <f>Tabella3[[#This Row],[Italy (fit of selected region + fitted sum of the other regions)]]*NOT(ISBLANK(Tabella3[[#This Row],[Italy remov. rate data]]))</f>
        <v>2703.3725624941399</v>
      </c>
      <c r="P141" s="72">
        <f>Tabella3[[#This Row],[Italy remov. rate fit]]*NOT(ISBLANK(Tabella3[[#This Row],[Italy remov. rate data]]))</f>
        <v>2708.2567784977473</v>
      </c>
      <c r="Q141" s="72">
        <f>Tabella3[[#This Row],[Italy remov. rate fit]]+CIf</f>
        <v>4423.8716378322988</v>
      </c>
      <c r="R141" s="72">
        <f>MAX(Tabella3[[#This Row],[Italy remov. rate fit]]-CIf,0)</f>
        <v>992.64191916319601</v>
      </c>
      <c r="S141" s="4">
        <f>Tabella8[[#This Row],[region data]]</f>
        <v>6212</v>
      </c>
      <c r="T141" s="72">
        <f>(Tabella3[[#This Row],[region cumul. data]]-S140)</f>
        <v>128</v>
      </c>
      <c r="U141" s="10">
        <f>Tabella3[[#This Row],[region data]]*NOT(ISBLANK(Tabella3[[#This Row],[region data]]))</f>
        <v>128</v>
      </c>
      <c r="V141" s="290">
        <f t="shared" ref="V141:V142" si="2">AVERAGE(T137:T142)</f>
        <v>131.33333333333334</v>
      </c>
      <c r="W141" s="72">
        <f>Tabella3[[#This Row],[6-days moving avg]]*NOT(ISBLANK(Tabella3[[#This Row],[6-days moving avg]]))</f>
        <v>131.33333333333334</v>
      </c>
      <c r="X141" s="77">
        <f>Tabella8[[#This Row],[region fit]]</f>
        <v>6144.4417604016344</v>
      </c>
      <c r="Y141" s="72">
        <f>Tabella3[[#This Row],[region cumul. fit]]/Kl</f>
        <v>0.68499908142716104</v>
      </c>
      <c r="Z141" s="72">
        <f>IFERROR(Kl*psi_l*_xlfn.SECH(psi_l*(Tabella3[[#This Row],[Day]]-pl)-phi_l)^2/(1+TANH(phi_l)),0)</f>
        <v>113.29688930143743</v>
      </c>
      <c r="AA141" s="72">
        <f>Tabella3[[#This Row],[region fit]]/y_l_peak</f>
        <v>0.82218783506260984</v>
      </c>
      <c r="AB141" s="72">
        <f>Tabella3[[#This Row],[region fit]]*NOT(ISBLANK(Tabella3[[#This Row],[region data]]))</f>
        <v>113.29688930143743</v>
      </c>
      <c r="AC141" s="166">
        <f>IFERROR(kl_m*psi_l_m*_xlfn.SECH(psi_l_m*(Tabella3[[#This Row],[Day]]-pl_m)-phi_l_m)^2/(1+TANH(phi_l_m)),0)</f>
        <v>113.29688930143743</v>
      </c>
      <c r="AD141" s="72">
        <f>Tabella3[[#This Row],[6-days moving avg fit]]*NOT(ISBLANK(Tabella3[[#This Row],[6-days moving avg]]))</f>
        <v>113.29688930143743</v>
      </c>
      <c r="AE141" s="72">
        <f>Tabella3[[#This Row],[region fit]]+CIl</f>
        <v>167.0617297109859</v>
      </c>
      <c r="AF141" s="72">
        <f>MAX(Tabella3[[#This Row],[region fit]]-CIl,0)</f>
        <v>59.532048891888977</v>
      </c>
      <c r="AG141" s="10">
        <f>Tabella8[[#This Row],[rest of Italy ]]</f>
        <v>137435</v>
      </c>
      <c r="AH141" s="10">
        <f>(Tabella3[[#This Row],[rest of Italy cum. data]]-AG140)</f>
        <v>3569</v>
      </c>
      <c r="AI141" s="72">
        <f>Tabella3[[#This Row],[rest of Italy data]]*NOT(ISBLANK(Tabella3[[#This Row],[rest of Italy data]]))</f>
        <v>3569</v>
      </c>
      <c r="AJ141" s="77">
        <f>Tabella8[[#This Row],[rest of Italy fit]]</f>
        <v>135259.18832305024</v>
      </c>
      <c r="AK141" s="72">
        <f>Tabella3[[#This Row],[rest of Italy cumul. fit]]/Ka</f>
        <v>0.62611298580313035</v>
      </c>
      <c r="AL141" s="72">
        <f>IFERROR(Ka*psi_a*_xlfn.SECH(psi_a*(Tabella3[[#This Row],[Day]]-pa)-phi_a)^2/(1+TANH(phi_a)),0)</f>
        <v>2590.0756731927027</v>
      </c>
      <c r="AM141" s="72">
        <f>Tabella3[[#This Row],[rest of Italy fit]]/y_a_peak</f>
        <v>0.90505401263865459</v>
      </c>
      <c r="AN141" s="72">
        <f>Tabella3[[#This Row],[rest of Italy fit]]*NOT(ISBLANK(Tabella3[[#This Row],[rest of Italy data]]))</f>
        <v>2590.0756731927027</v>
      </c>
      <c r="AO141" s="72">
        <f>Tabella3[[#This Row],[rest of Italy fit]]+CIa</f>
        <v>4284.6498681022858</v>
      </c>
      <c r="AP141" s="72">
        <f>MAX(Tabella3[[#This Row],[rest of Italy fit]]-CIa,0)</f>
        <v>895.50147828311992</v>
      </c>
    </row>
    <row r="142" spans="2:73" x14ac:dyDescent="0.3">
      <c r="B142" s="9">
        <v>43965</v>
      </c>
      <c r="C142" s="4">
        <v>135</v>
      </c>
      <c r="D142" s="72">
        <f>'dpc-covid19-ita-andamento-naz'!J82+'dpc-covid19-ita-andamento-naz'!K82</f>
        <v>146656</v>
      </c>
      <c r="E142" s="72">
        <f>(Tabella3[[#This Row],[Italy cumul. data]]-D141)</f>
        <v>3009</v>
      </c>
      <c r="F142" s="10">
        <f>Tabella3[[#This Row],[Italy remov. rate data]]*NOT(ISBLANK(Tabella3[[#This Row],[Italy remov. rate data]]))</f>
        <v>3009</v>
      </c>
      <c r="G142" s="77">
        <f>Tabella8[[#This Row],[Italy fit]]</f>
        <v>144136.32112322818</v>
      </c>
      <c r="H142" s="77">
        <f>Tabella3[[#This Row],[Italy cumul. fit]]/Kf</f>
        <v>0.6406058716587919</v>
      </c>
      <c r="I142" s="77">
        <f>Tabella3[[#This Row],[region fit]]+Tabella3[[#This Row],[rest of Italy fit]]</f>
        <v>2660.4237948818795</v>
      </c>
      <c r="J142" s="77">
        <f>Tabella3[[#This Row],[Italy (fit of selected region + fitted sum of the other regions)]]/(y_l_peak+y_a_peak)</f>
        <v>0.88692898320385938</v>
      </c>
      <c r="K142" s="72">
        <f>IFERROR(Kf*psi_f*_xlfn.SECH(psi_f*(Tabella3[[#This Row],[Day]]-pf)-phi_f)^2/(1+TANH(phi_f)),0)</f>
        <v>2665.3125678597785</v>
      </c>
      <c r="L142" s="292">
        <f>Tabella3[[#This Row],[Italy remov. rate fit]]-Tabella3[[#This Row],[Italy remov. rate data]]</f>
        <v>-343.68743214022152</v>
      </c>
      <c r="M142" s="293">
        <f>Tabella3[[#This Row],[rem. rate residuals]]*NOT(ISBLANK(Tabella3[[#This Row],[Italy remov. rate data]]))</f>
        <v>-343.68743214022152</v>
      </c>
      <c r="N142" s="72">
        <f>Tabella3[[#This Row],[Italy remov. rate fit]]/y_f_peak</f>
        <v>0.88802133417192419</v>
      </c>
      <c r="O142" s="72">
        <f>Tabella3[[#This Row],[Italy (fit of selected region + fitted sum of the other regions)]]*NOT(ISBLANK(Tabella3[[#This Row],[Italy remov. rate data]]))</f>
        <v>2660.4237948818795</v>
      </c>
      <c r="P142" s="72">
        <f>Tabella3[[#This Row],[Italy remov. rate fit]]*NOT(ISBLANK(Tabella3[[#This Row],[Italy remov. rate data]]))</f>
        <v>2665.3125678597785</v>
      </c>
      <c r="Q142" s="72">
        <f>Tabella3[[#This Row],[Italy remov. rate fit]]+CIf</f>
        <v>4380.9274271943295</v>
      </c>
      <c r="R142" s="72">
        <f>MAX(Tabella3[[#This Row],[Italy remov. rate fit]]-CIf,0)</f>
        <v>949.6977085252272</v>
      </c>
      <c r="S142" s="4">
        <f>Tabella8[[#This Row],[region data]]</f>
        <v>6335</v>
      </c>
      <c r="T142" s="72">
        <f>(Tabella3[[#This Row],[region cumul. data]]-S141)</f>
        <v>123</v>
      </c>
      <c r="U142" s="10">
        <f>Tabella3[[#This Row],[region data]]*NOT(ISBLANK(Tabella3[[#This Row],[region data]]))</f>
        <v>123</v>
      </c>
      <c r="V142" s="290">
        <f t="shared" si="2"/>
        <v>115.8</v>
      </c>
      <c r="W142" s="72">
        <f>Tabella3[[#This Row],[6-days moving avg]]*NOT(ISBLANK(Tabella3[[#This Row],[6-days moving avg]]))</f>
        <v>115.8</v>
      </c>
      <c r="X142" s="77">
        <f>Tabella8[[#This Row],[region fit]]</f>
        <v>6256.3777106754269</v>
      </c>
      <c r="Y142" s="72">
        <f>Tabella3[[#This Row],[region cumul. fit]]/Kl</f>
        <v>0.69747800564943441</v>
      </c>
      <c r="Z142" s="72">
        <f>IFERROR(Kl*psi_l*_xlfn.SECH(psi_l*(Tabella3[[#This Row],[Day]]-pl)-phi_l)^2/(1+TANH(phi_l)),0)</f>
        <v>110.56203958978521</v>
      </c>
      <c r="AA142" s="72">
        <f>Tabella3[[#This Row],[region fit]]/y_l_peak</f>
        <v>0.80234121634687072</v>
      </c>
      <c r="AB142" s="72">
        <f>Tabella3[[#This Row],[region fit]]*NOT(ISBLANK(Tabella3[[#This Row],[region data]]))</f>
        <v>110.56203958978521</v>
      </c>
      <c r="AC142" s="166">
        <f>IFERROR(kl_m*psi_l_m*_xlfn.SECH(psi_l_m*(Tabella3[[#This Row],[Day]]-pl_m)-phi_l_m)^2/(1+TANH(phi_l_m)),0)</f>
        <v>110.56203958978521</v>
      </c>
      <c r="AD142" s="72">
        <f>Tabella3[[#This Row],[6-days moving avg fit]]*NOT(ISBLANK(Tabella3[[#This Row],[6-days moving avg]]))</f>
        <v>110.56203958978521</v>
      </c>
      <c r="AE142" s="72">
        <f>Tabella3[[#This Row],[region fit]]+CIl</f>
        <v>164.32687999933367</v>
      </c>
      <c r="AF142" s="72">
        <f>MAX(Tabella3[[#This Row],[region fit]]-CIl,0)</f>
        <v>56.79719918023676</v>
      </c>
      <c r="AG142" s="10">
        <f>Tabella8[[#This Row],[rest of Italy ]]</f>
        <v>140321</v>
      </c>
      <c r="AH142" s="10">
        <f>(Tabella3[[#This Row],[rest of Italy cum. data]]-AG141)</f>
        <v>2886</v>
      </c>
      <c r="AI142" s="72">
        <f>Tabella3[[#This Row],[rest of Italy data]]*NOT(ISBLANK(Tabella3[[#This Row],[rest of Italy data]]))</f>
        <v>2886</v>
      </c>
      <c r="AJ142" s="77">
        <f>Tabella8[[#This Row],[rest of Italy fit]]</f>
        <v>137829.33576765319</v>
      </c>
      <c r="AK142" s="72">
        <f>Tabella3[[#This Row],[rest of Italy cumul. fit]]/Ka</f>
        <v>0.63801016417929546</v>
      </c>
      <c r="AL142" s="72">
        <f>IFERROR(Ka*psi_a*_xlfn.SECH(psi_a*(Tabella3[[#This Row],[Day]]-pa)-phi_a)^2/(1+TANH(phi_a)),0)</f>
        <v>2549.8617552920941</v>
      </c>
      <c r="AM142" s="72">
        <f>Tabella3[[#This Row],[rest of Italy fit]]/y_a_peak</f>
        <v>0.89100200321801737</v>
      </c>
      <c r="AN142" s="72">
        <f>Tabella3[[#This Row],[rest of Italy fit]]*NOT(ISBLANK(Tabella3[[#This Row],[rest of Italy data]]))</f>
        <v>2549.8617552920941</v>
      </c>
      <c r="AO142" s="72">
        <f>Tabella3[[#This Row],[rest of Italy fit]]+CIa</f>
        <v>4244.4359502016769</v>
      </c>
      <c r="AP142" s="72">
        <f>MAX(Tabella3[[#This Row],[rest of Italy fit]]-CIa,0)</f>
        <v>855.2875603825114</v>
      </c>
    </row>
    <row r="143" spans="2:73" x14ac:dyDescent="0.3">
      <c r="B143" s="9">
        <v>43966</v>
      </c>
      <c r="C143" s="4">
        <v>136</v>
      </c>
      <c r="E143" s="10"/>
      <c r="F143" s="10">
        <f>Tabella3[[#This Row],[Italy remov. rate data]]*NOT(ISBLANK(Tabella3[[#This Row],[Italy remov. rate data]]))</f>
        <v>0</v>
      </c>
      <c r="G143" s="77">
        <f>Tabella8[[#This Row],[Italy fit]]</f>
        <v>146779.25466889204</v>
      </c>
      <c r="H143" s="77">
        <f>Tabella3[[#This Row],[Italy cumul. fit]]/Kf</f>
        <v>0.65235224297285355</v>
      </c>
      <c r="I143" s="77">
        <f>Tabella3[[#This Row],[region fit]]+Tabella3[[#This Row],[rest of Italy fit]]</f>
        <v>2615.341325492444</v>
      </c>
      <c r="J143" s="77">
        <f>Tabella3[[#This Row],[Italy (fit of selected region + fitted sum of the other regions)]]/(y_l_peak+y_a_peak)</f>
        <v>0.87189944211615211</v>
      </c>
      <c r="K143" s="72">
        <f>IFERROR(Kf*psi_f*_xlfn.SECH(psi_f*(Tabella3[[#This Row],[Day]]-pf)-phi_f)^2/(1+TANH(phi_f)),0)</f>
        <v>2620.2096854526785</v>
      </c>
      <c r="L143" s="292">
        <f>Tabella3[[#This Row],[Italy remov. rate fit]]-Tabella3[[#This Row],[Italy remov. rate data]]</f>
        <v>2620.2096854526785</v>
      </c>
      <c r="M143" s="293">
        <f>Tabella3[[#This Row],[rem. rate residuals]]*NOT(ISBLANK(Tabella3[[#This Row],[Italy remov. rate data]]))</f>
        <v>0</v>
      </c>
      <c r="N143" s="72">
        <f>Tabella3[[#This Row],[Italy remov. rate fit]]/y_f_peak</f>
        <v>0.87299408284945956</v>
      </c>
      <c r="O143" s="10">
        <f>Tabella3[[#This Row],[Italy (fit of selected region + fitted sum of the other regions)]]*NOT(ISBLANK(Tabella3[[#This Row],[Italy remov. rate data]]))</f>
        <v>0</v>
      </c>
      <c r="P143" s="10">
        <f>Tabella3[[#This Row],[Italy remov. rate fit]]*NOT(ISBLANK(Tabella3[[#This Row],[Italy remov. rate data]]))</f>
        <v>0</v>
      </c>
      <c r="Q143" s="72"/>
      <c r="R143" s="72"/>
      <c r="T143" s="10"/>
      <c r="U143" s="10">
        <f>Tabella3[[#This Row],[region data]]*NOT(ISBLANK(Tabella3[[#This Row],[region data]]))</f>
        <v>0</v>
      </c>
      <c r="V143"/>
      <c r="W143" s="72">
        <f>Tabella3[[#This Row],[6-days moving avg]]*NOT(ISBLANK(Tabella3[[#This Row],[6-days moving avg]]))</f>
        <v>0</v>
      </c>
      <c r="X143" s="77">
        <f>Tabella8[[#This Row],[region fit]]</f>
        <v>6365.5419711570212</v>
      </c>
      <c r="Y143" s="72">
        <f>Tabella3[[#This Row],[region cumul. fit]]/Kl</f>
        <v>0.70964793435418294</v>
      </c>
      <c r="Z143" s="72">
        <f>IFERROR(Kl*psi_l*_xlfn.SECH(psi_l*(Tabella3[[#This Row],[Day]]-pl)-phi_l)^2/(1+TANH(phi_l)),0)</f>
        <v>107.75557755265866</v>
      </c>
      <c r="AA143" s="72">
        <f>Tabella3[[#This Row],[region fit]]/y_l_peak</f>
        <v>0.78197491184621215</v>
      </c>
      <c r="AB143" s="10">
        <f>Tabella3[[#This Row],[region fit]]*NOT(ISBLANK(Tabella3[[#This Row],[region data]]))</f>
        <v>0</v>
      </c>
      <c r="AC143" s="166">
        <f>IFERROR(kl_m*psi_l_m*_xlfn.SECH(psi_l_m*(Tabella3[[#This Row],[Day]]-pl_m)-phi_l_m)^2/(1+TANH(phi_l_m)),0)</f>
        <v>107.75557755265866</v>
      </c>
      <c r="AD143" s="72">
        <f>Tabella3[[#This Row],[6-days moving avg fit]]*NOT(ISBLANK(Tabella3[[#This Row],[6-days moving avg]]))</f>
        <v>0</v>
      </c>
      <c r="AH143" s="10"/>
      <c r="AI143" s="10">
        <f>Tabella3[[#This Row],[rest of Italy data]]*NOT(ISBLANK(Tabella3[[#This Row],[rest of Italy data]]))</f>
        <v>0</v>
      </c>
      <c r="AJ143" s="77">
        <f>Tabella8[[#This Row],[rest of Italy fit]]</f>
        <v>140358.2244260119</v>
      </c>
      <c r="AK143" s="72">
        <f>Tabella3[[#This Row],[rest of Italy cumul. fit]]/Ka</f>
        <v>0.64971635618206691</v>
      </c>
      <c r="AL143" s="72">
        <f>IFERROR(Ka*psi_a*_xlfn.SECH(psi_a*(Tabella3[[#This Row],[Day]]-pa)-phi_a)^2/(1+TANH(phi_a)),0)</f>
        <v>2507.5857479397855</v>
      </c>
      <c r="AM143" s="72">
        <f>Tabella3[[#This Row],[rest of Italy fit]]/y_a_peak</f>
        <v>0.87622943479904769</v>
      </c>
      <c r="AN143" s="10">
        <f>Tabella3[[#This Row],[rest of Italy fit]]*NOT(ISBLANK(Tabella3[[#This Row],[rest of Italy data]]))</f>
        <v>0</v>
      </c>
    </row>
    <row r="144" spans="2:73" x14ac:dyDescent="0.3">
      <c r="B144" s="9">
        <v>43967</v>
      </c>
      <c r="C144" s="4">
        <v>137</v>
      </c>
      <c r="E144" s="10"/>
      <c r="F144" s="10">
        <f>Tabella3[[#This Row],[Italy remov. rate data]]*NOT(ISBLANK(Tabella3[[#This Row],[Italy remov. rate data]]))</f>
        <v>0</v>
      </c>
      <c r="G144" s="77">
        <f>Tabella8[[#This Row],[Italy fit]]</f>
        <v>149376.08107690827</v>
      </c>
      <c r="H144" s="77">
        <f>Tabella3[[#This Row],[Italy cumul. fit]]/Kf</f>
        <v>0.66389369367514783</v>
      </c>
      <c r="I144" s="77">
        <f>Tabella3[[#This Row],[region fit]]+Tabella3[[#This Row],[rest of Italy fit]]</f>
        <v>2568.3050842980697</v>
      </c>
      <c r="J144" s="77">
        <f>Tabella3[[#This Row],[Italy (fit of selected region + fitted sum of the other regions)]]/(y_l_peak+y_a_peak)</f>
        <v>0.85621855486183029</v>
      </c>
      <c r="K144" s="72">
        <f>IFERROR(Kf*psi_f*_xlfn.SECH(psi_f*(Tabella3[[#This Row],[Day]]-pf)-phi_f)^2/(1+TANH(phi_f)),0)</f>
        <v>2573.1286389962479</v>
      </c>
      <c r="L144" s="292">
        <f>Tabella3[[#This Row],[Italy remov. rate fit]]-Tabella3[[#This Row],[Italy remov. rate data]]</f>
        <v>2573.1286389962479</v>
      </c>
      <c r="M144" s="293">
        <f>Tabella3[[#This Row],[rem. rate residuals]]*NOT(ISBLANK(Tabella3[[#This Row],[Italy remov. rate data]]))</f>
        <v>0</v>
      </c>
      <c r="N144" s="72">
        <f>Tabella3[[#This Row],[Italy remov. rate fit]]/y_f_peak</f>
        <v>0.85730775240078649</v>
      </c>
      <c r="O144" s="10">
        <f>Tabella3[[#This Row],[Italy (fit of selected region + fitted sum of the other regions)]]*NOT(ISBLANK(Tabella3[[#This Row],[Italy remov. rate data]]))</f>
        <v>0</v>
      </c>
      <c r="P144" s="10">
        <f>Tabella3[[#This Row],[Italy remov. rate fit]]*NOT(ISBLANK(Tabella3[[#This Row],[Italy remov. rate data]]))</f>
        <v>0</v>
      </c>
      <c r="Q144" s="72"/>
      <c r="R144" s="72"/>
      <c r="T144" s="10"/>
      <c r="U144" s="10">
        <f>Tabella3[[#This Row],[region data]]*NOT(ISBLANK(Tabella3[[#This Row],[region data]]))</f>
        <v>0</v>
      </c>
      <c r="V144"/>
      <c r="W144" s="72">
        <f>Tabella3[[#This Row],[6-days moving avg]]*NOT(ISBLANK(Tabella3[[#This Row],[6-days moving avg]]))</f>
        <v>0</v>
      </c>
      <c r="X144" s="77">
        <f>Tabella8[[#This Row],[region fit]]</f>
        <v>6471.8690930604926</v>
      </c>
      <c r="Y144" s="72">
        <f>Tabella3[[#This Row],[region cumul. fit]]/Kl</f>
        <v>0.7215015711327194</v>
      </c>
      <c r="Z144" s="72">
        <f>IFERROR(Kl*psi_l*_xlfn.SECH(psi_l*(Tabella3[[#This Row],[Day]]-pl)-phi_l)^2/(1+TANH(phi_l)),0)</f>
        <v>104.8897872366708</v>
      </c>
      <c r="AA144" s="72">
        <f>Tabella3[[#This Row],[region fit]]/y_l_peak</f>
        <v>0.76117806605306326</v>
      </c>
      <c r="AB144" s="10">
        <f>Tabella3[[#This Row],[region fit]]*NOT(ISBLANK(Tabella3[[#This Row],[region data]]))</f>
        <v>0</v>
      </c>
      <c r="AC144" s="166">
        <f>IFERROR(kl_m*psi_l_m*_xlfn.SECH(psi_l_m*(Tabella3[[#This Row],[Day]]-pl_m)-phi_l_m)^2/(1+TANH(phi_l_m)),0)</f>
        <v>104.8897872366708</v>
      </c>
      <c r="AD144" s="72">
        <f>Tabella3[[#This Row],[6-days moving avg fit]]*NOT(ISBLANK(Tabella3[[#This Row],[6-days moving avg]]))</f>
        <v>0</v>
      </c>
      <c r="AH144" s="10"/>
      <c r="AI144" s="10">
        <f>Tabella3[[#This Row],[rest of Italy data]]*NOT(ISBLANK(Tabella3[[#This Row],[rest of Italy data]]))</f>
        <v>0</v>
      </c>
      <c r="AJ144" s="77">
        <f>Tabella8[[#This Row],[rest of Italy fit]]</f>
        <v>142843.87575229816</v>
      </c>
      <c r="AK144" s="72">
        <f>Tabella3[[#This Row],[rest of Italy cumul. fit]]/Ka</f>
        <v>0.6612224031490912</v>
      </c>
      <c r="AL144" s="72">
        <f>IFERROR(Ka*psi_a*_xlfn.SECH(psi_a*(Tabella3[[#This Row],[Day]]-pa)-phi_a)^2/(1+TANH(phi_a)),0)</f>
        <v>2463.4152970613991</v>
      </c>
      <c r="AM144" s="72">
        <f>Tabella3[[#This Row],[rest of Italy fit]]/y_a_peak</f>
        <v>0.8607948881480364</v>
      </c>
      <c r="AN144" s="10">
        <f>Tabella3[[#This Row],[rest of Italy fit]]*NOT(ISBLANK(Tabella3[[#This Row],[rest of Italy data]]))</f>
        <v>0</v>
      </c>
    </row>
    <row r="145" spans="2:40" x14ac:dyDescent="0.3">
      <c r="B145" s="9">
        <v>43968</v>
      </c>
      <c r="C145" s="4">
        <v>138</v>
      </c>
      <c r="E145" s="10"/>
      <c r="F145" s="10">
        <f>Tabella3[[#This Row],[Italy remov. rate data]]*NOT(ISBLANK(Tabella3[[#This Row],[Italy remov. rate data]]))</f>
        <v>0</v>
      </c>
      <c r="G145" s="77">
        <f>Tabella8[[#This Row],[Italy fit]]</f>
        <v>151924.91359199889</v>
      </c>
      <c r="H145" s="77">
        <f>Tabella3[[#This Row],[Italy cumul. fit]]/Kf</f>
        <v>0.6752218381866617</v>
      </c>
      <c r="I145" s="77">
        <f>Tabella3[[#This Row],[region fit]]+Tabella3[[#This Row],[rest of Italy fit]]</f>
        <v>2519.4974085448412</v>
      </c>
      <c r="J145" s="77">
        <f>Tabella3[[#This Row],[Italy (fit of selected region + fitted sum of the other regions)]]/(y_l_peak+y_a_peak)</f>
        <v>0.83994710881942392</v>
      </c>
      <c r="K145" s="72">
        <f>IFERROR(Kf*psi_f*_xlfn.SECH(psi_f*(Tabella3[[#This Row],[Day]]-pf)-phi_f)^2/(1+TANH(phi_f)),0)</f>
        <v>2524.2525700987471</v>
      </c>
      <c r="L145" s="292">
        <f>Tabella3[[#This Row],[Italy remov. rate fit]]-Tabella3[[#This Row],[Italy remov. rate data]]</f>
        <v>2524.2525700987471</v>
      </c>
      <c r="M145" s="293">
        <f>Tabella3[[#This Row],[rem. rate residuals]]*NOT(ISBLANK(Tabella3[[#This Row],[Italy remov. rate data]]))</f>
        <v>0</v>
      </c>
      <c r="N145" s="72">
        <f>Tabella3[[#This Row],[Italy remov. rate fit]]/y_f_peak</f>
        <v>0.84102336143110379</v>
      </c>
      <c r="O145" s="10">
        <f>Tabella3[[#This Row],[Italy (fit of selected region + fitted sum of the other regions)]]*NOT(ISBLANK(Tabella3[[#This Row],[Italy remov. rate data]]))</f>
        <v>0</v>
      </c>
      <c r="P145" s="10">
        <f>Tabella3[[#This Row],[Italy remov. rate fit]]*NOT(ISBLANK(Tabella3[[#This Row],[Italy remov. rate data]]))</f>
        <v>0</v>
      </c>
      <c r="Q145" s="72"/>
      <c r="R145" s="72"/>
      <c r="T145" s="10"/>
      <c r="U145" s="10">
        <f>Tabella3[[#This Row],[region data]]*NOT(ISBLANK(Tabella3[[#This Row],[region data]]))</f>
        <v>0</v>
      </c>
      <c r="V145"/>
      <c r="W145" s="72">
        <f>Tabella3[[#This Row],[6-days moving avg]]*NOT(ISBLANK(Tabella3[[#This Row],[6-days moving avg]]))</f>
        <v>0</v>
      </c>
      <c r="X145" s="77">
        <f>Tabella8[[#This Row],[region fit]]</f>
        <v>6575.3057677217812</v>
      </c>
      <c r="Y145" s="72">
        <f>Tabella3[[#This Row],[region cumul. fit]]/Kl</f>
        <v>0.73303297299016512</v>
      </c>
      <c r="Z145" s="72">
        <f>IFERROR(Kl*psi_l*_xlfn.SECH(psi_l*(Tabella3[[#This Row],[Day]]-pl)-phi_l)^2/(1+TANH(phi_l)),0)</f>
        <v>101.97665034814506</v>
      </c>
      <c r="AA145" s="72">
        <f>Tabella3[[#This Row],[region fit]]/y_l_peak</f>
        <v>0.74003762939689444</v>
      </c>
      <c r="AB145" s="10">
        <f>Tabella3[[#This Row],[region fit]]*NOT(ISBLANK(Tabella3[[#This Row],[region data]]))</f>
        <v>0</v>
      </c>
      <c r="AC145" s="166">
        <f>IFERROR(kl_m*psi_l_m*_xlfn.SECH(psi_l_m*(Tabella3[[#This Row],[Day]]-pl_m)-phi_l_m)^2/(1+TANH(phi_l_m)),0)</f>
        <v>101.97665034814506</v>
      </c>
      <c r="AD145" s="72">
        <f>Tabella3[[#This Row],[6-days moving avg fit]]*NOT(ISBLANK(Tabella3[[#This Row],[6-days moving avg]]))</f>
        <v>0</v>
      </c>
      <c r="AH145" s="10"/>
      <c r="AI145" s="10">
        <f>Tabella3[[#This Row],[rest of Italy data]]*NOT(ISBLANK(Tabella3[[#This Row],[rest of Italy data]]))</f>
        <v>0</v>
      </c>
      <c r="AJ145" s="77">
        <f>Tabella8[[#This Row],[rest of Italy fit]]</f>
        <v>145284.48030809383</v>
      </c>
      <c r="AK145" s="72">
        <f>Tabella3[[#This Row],[rest of Italy cumul. fit]]/Ka</f>
        <v>0.67251992921396953</v>
      </c>
      <c r="AL145" s="72">
        <f>IFERROR(Ka*psi_a*_xlfn.SECH(psi_a*(Tabella3[[#This Row],[Day]]-pa)-phi_a)^2/(1+TANH(phi_a)),0)</f>
        <v>2417.5207581966961</v>
      </c>
      <c r="AM145" s="72">
        <f>Tabella3[[#This Row],[rest of Italy fit]]/y_a_peak</f>
        <v>0.84475789085579178</v>
      </c>
      <c r="AN145" s="10">
        <f>Tabella3[[#This Row],[rest of Italy fit]]*NOT(ISBLANK(Tabella3[[#This Row],[rest of Italy data]]))</f>
        <v>0</v>
      </c>
    </row>
    <row r="146" spans="2:40" x14ac:dyDescent="0.3">
      <c r="B146" s="9">
        <v>43969</v>
      </c>
      <c r="C146" s="4">
        <v>139</v>
      </c>
      <c r="E146" s="10"/>
      <c r="F146" s="10">
        <f>Tabella3[[#This Row],[Italy remov. rate data]]*NOT(ISBLANK(Tabella3[[#This Row],[Italy remov. rate data]]))</f>
        <v>0</v>
      </c>
      <c r="G146" s="77">
        <f>Tabella8[[#This Row],[Italy fit]]</f>
        <v>154424.04934836543</v>
      </c>
      <c r="H146" s="77">
        <f>Tabella3[[#This Row],[Italy cumul. fit]]/Kf</f>
        <v>0.68632910821495741</v>
      </c>
      <c r="I146" s="77">
        <f>Tabella3[[#This Row],[region fit]]+Tabella3[[#This Row],[rest of Italy fit]]</f>
        <v>2469.1017013377809</v>
      </c>
      <c r="J146" s="77">
        <f>Tabella3[[#This Row],[Italy (fit of selected region + fitted sum of the other regions)]]/(y_l_peak+y_a_peak)</f>
        <v>0.8231462467022731</v>
      </c>
      <c r="K146" s="72">
        <f>IFERROR(Kf*psi_f*_xlfn.SECH(psi_f*(Tabella3[[#This Row],[Day]]-pf)-phi_f)^2/(1+TANH(phi_f)),0)</f>
        <v>2473.7658937039268</v>
      </c>
      <c r="L146" s="292">
        <f>Tabella3[[#This Row],[Italy remov. rate fit]]-Tabella3[[#This Row],[Italy remov. rate data]]</f>
        <v>2473.7658937039268</v>
      </c>
      <c r="M146" s="293">
        <f>Tabella3[[#This Row],[rem. rate residuals]]*NOT(ISBLANK(Tabella3[[#This Row],[Italy remov. rate data]]))</f>
        <v>0</v>
      </c>
      <c r="N146" s="72">
        <f>Tabella3[[#This Row],[Italy remov. rate fit]]/y_f_peak</f>
        <v>0.82420235279194254</v>
      </c>
      <c r="O146" s="10">
        <f>Tabella3[[#This Row],[Italy (fit of selected region + fitted sum of the other regions)]]*NOT(ISBLANK(Tabella3[[#This Row],[Italy remov. rate data]]))</f>
        <v>0</v>
      </c>
      <c r="P146" s="10">
        <f>Tabella3[[#This Row],[Italy remov. rate fit]]*NOT(ISBLANK(Tabella3[[#This Row],[Italy remov. rate data]]))</f>
        <v>0</v>
      </c>
      <c r="Q146" s="72"/>
      <c r="R146" s="72"/>
      <c r="T146" s="10"/>
      <c r="U146" s="10">
        <f>Tabella3[[#This Row],[region data]]*NOT(ISBLANK(Tabella3[[#This Row],[region data]]))</f>
        <v>0</v>
      </c>
      <c r="V146"/>
      <c r="W146" s="72">
        <f>Tabella3[[#This Row],[6-days moving avg]]*NOT(ISBLANK(Tabella3[[#This Row],[6-days moving avg]]))</f>
        <v>0</v>
      </c>
      <c r="X146" s="77">
        <f>Tabella8[[#This Row],[region fit]]</f>
        <v>6675.8104824934389</v>
      </c>
      <c r="Y146" s="72">
        <f>Tabella3[[#This Row],[region cumul. fit]]/Kl</f>
        <v>0.74423751198366095</v>
      </c>
      <c r="Z146" s="72">
        <f>IFERROR(Kl*psi_l*_xlfn.SECH(psi_l*(Tabella3[[#This Row],[Day]]-pl)-phi_l)^2/(1+TANH(phi_l)),0)</f>
        <v>99.027764445420772</v>
      </c>
      <c r="AA146" s="72">
        <f>Tabella3[[#This Row],[region fit]]/y_l_peak</f>
        <v>0.71863776457133144</v>
      </c>
      <c r="AB146" s="10">
        <f>Tabella3[[#This Row],[region fit]]*NOT(ISBLANK(Tabella3[[#This Row],[region data]]))</f>
        <v>0</v>
      </c>
      <c r="AC146" s="166">
        <f>IFERROR(kl_m*psi_l_m*_xlfn.SECH(psi_l_m*(Tabella3[[#This Row],[Day]]-pl_m)-phi_l_m)^2/(1+TANH(phi_l_m)),0)</f>
        <v>99.027764445420772</v>
      </c>
      <c r="AD146" s="72">
        <f>Tabella3[[#This Row],[6-days moving avg fit]]*NOT(ISBLANK(Tabella3[[#This Row],[6-days moving avg]]))</f>
        <v>0</v>
      </c>
      <c r="AH146" s="10"/>
      <c r="AI146" s="10">
        <f>Tabella3[[#This Row],[rest of Italy data]]*NOT(ISBLANK(Tabella3[[#This Row],[rest of Italy data]]))</f>
        <v>0</v>
      </c>
      <c r="AJ146" s="77">
        <f>Tabella8[[#This Row],[rest of Italy fit]]</f>
        <v>147678.39983862825</v>
      </c>
      <c r="AK146" s="72">
        <f>Tabella3[[#This Row],[rest of Italy cumul. fit]]/Ka</f>
        <v>0.68360135091713303</v>
      </c>
      <c r="AL146" s="72">
        <f>IFERROR(Ka*psi_a*_xlfn.SECH(psi_a*(Tabella3[[#This Row],[Day]]-pa)-phi_a)^2/(1+TANH(phi_a)),0)</f>
        <v>2370.0739368923601</v>
      </c>
      <c r="AM146" s="72">
        <f>Tabella3[[#This Row],[rest of Italy fit]]/y_a_peak</f>
        <v>0.82817847719120741</v>
      </c>
      <c r="AN146" s="10">
        <f>Tabella3[[#This Row],[rest of Italy fit]]*NOT(ISBLANK(Tabella3[[#This Row],[rest of Italy data]]))</f>
        <v>0</v>
      </c>
    </row>
    <row r="147" spans="2:40" x14ac:dyDescent="0.3">
      <c r="B147" s="9">
        <v>43970</v>
      </c>
      <c r="C147" s="4">
        <v>140</v>
      </c>
      <c r="E147" s="10"/>
      <c r="F147" s="10">
        <f>Tabella3[[#This Row],[Italy remov. rate data]]*NOT(ISBLANK(Tabella3[[#This Row],[Italy remov. rate data]]))</f>
        <v>0</v>
      </c>
      <c r="G147" s="77">
        <f>Tabella8[[#This Row],[Italy fit]]</f>
        <v>156871.96998606343</v>
      </c>
      <c r="H147" s="77">
        <f>Tabella3[[#This Row],[Italy cumul. fit]]/Kf</f>
        <v>0.69720875549361527</v>
      </c>
      <c r="I147" s="77">
        <f>Tabella3[[#This Row],[region fit]]+Tabella3[[#This Row],[rest of Italy fit]]</f>
        <v>2417.3011502003542</v>
      </c>
      <c r="J147" s="77">
        <f>Tabella3[[#This Row],[Italy (fit of selected region + fitted sum of the other regions)]]/(y_l_peak+y_a_peak)</f>
        <v>0.80587703935339017</v>
      </c>
      <c r="K147" s="72">
        <f>IFERROR(Kf*psi_f*_xlfn.SECH(psi_f*(Tabella3[[#This Row],[Day]]-pf)-phi_f)^2/(1+TANH(phi_f)),0)</f>
        <v>2421.8529948597934</v>
      </c>
      <c r="L147" s="292">
        <f>Tabella3[[#This Row],[Italy remov. rate fit]]-Tabella3[[#This Row],[Italy remov. rate data]]</f>
        <v>2421.8529948597934</v>
      </c>
      <c r="M147" s="293">
        <f>Tabella3[[#This Row],[rem. rate residuals]]*NOT(ISBLANK(Tabella3[[#This Row],[Italy remov. rate data]]))</f>
        <v>0</v>
      </c>
      <c r="N147" s="72">
        <f>Tabella3[[#This Row],[Italy remov. rate fit]]/y_f_peak</f>
        <v>0.8069061593742537</v>
      </c>
      <c r="O147" s="10">
        <f>Tabella3[[#This Row],[Italy (fit of selected region + fitted sum of the other regions)]]*NOT(ISBLANK(Tabella3[[#This Row],[Italy remov. rate data]]))</f>
        <v>0</v>
      </c>
      <c r="P147" s="10">
        <f>Tabella3[[#This Row],[Italy remov. rate fit]]*NOT(ISBLANK(Tabella3[[#This Row],[Italy remov. rate data]]))</f>
        <v>0</v>
      </c>
      <c r="Q147" s="72"/>
      <c r="R147" s="72"/>
      <c r="T147" s="10"/>
      <c r="U147" s="10">
        <f>Tabella3[[#This Row],[region data]]*NOT(ISBLANK(Tabella3[[#This Row],[region data]]))</f>
        <v>0</v>
      </c>
      <c r="V147"/>
      <c r="W147" s="72">
        <f>Tabella3[[#This Row],[6-days moving avg]]*NOT(ISBLANK(Tabella3[[#This Row],[6-days moving avg]]))</f>
        <v>0</v>
      </c>
      <c r="X147" s="77">
        <f>Tabella8[[#This Row],[region fit]]</f>
        <v>6773.3531000597977</v>
      </c>
      <c r="Y147" s="72">
        <f>Tabella3[[#This Row],[region cumul. fit]]/Kl</f>
        <v>0.75511182832327739</v>
      </c>
      <c r="Z147" s="72">
        <f>IFERROR(Kl*psi_l*_xlfn.SECH(psi_l*(Tabella3[[#This Row],[Day]]-pl)-phi_l)^2/(1+TANH(phi_l)),0)</f>
        <v>96.054271640455042</v>
      </c>
      <c r="AA147" s="72">
        <f>Tabella3[[#This Row],[region fit]]/y_l_peak</f>
        <v>0.69705932912652002</v>
      </c>
      <c r="AB147" s="10">
        <f>Tabella3[[#This Row],[region fit]]*NOT(ISBLANK(Tabella3[[#This Row],[region data]]))</f>
        <v>0</v>
      </c>
      <c r="AC147" s="166">
        <f>IFERROR(kl_m*psi_l_m*_xlfn.SECH(psi_l_m*(Tabella3[[#This Row],[Day]]-pl_m)-phi_l_m)^2/(1+TANH(phi_l_m)),0)</f>
        <v>96.054271640455042</v>
      </c>
      <c r="AD147" s="72">
        <f>Tabella3[[#This Row],[6-days moving avg fit]]*NOT(ISBLANK(Tabella3[[#This Row],[6-days moving avg]]))</f>
        <v>0</v>
      </c>
      <c r="AH147" s="10"/>
      <c r="AI147" s="10">
        <f>Tabella3[[#This Row],[rest of Italy data]]*NOT(ISBLANK(Tabella3[[#This Row],[rest of Italy data]]))</f>
        <v>0</v>
      </c>
      <c r="AJ147" s="77">
        <f>Tabella8[[#This Row],[rest of Italy fit]]</f>
        <v>150024.16811306158</v>
      </c>
      <c r="AK147" s="72">
        <f>Tabella3[[#This Row],[rest of Italy cumul. fit]]/Ka</f>
        <v>0.69445988109550327</v>
      </c>
      <c r="AL147" s="72">
        <f>IFERROR(Ka*psi_a*_xlfn.SECH(psi_a*(Tabella3[[#This Row],[Day]]-pa)-phi_a)^2/(1+TANH(phi_a)),0)</f>
        <v>2321.246878559899</v>
      </c>
      <c r="AM147" s="72">
        <f>Tabella3[[#This Row],[rest of Italy fit]]/y_a_peak</f>
        <v>0.81111676523950116</v>
      </c>
      <c r="AN147" s="10">
        <f>Tabella3[[#This Row],[rest of Italy fit]]*NOT(ISBLANK(Tabella3[[#This Row],[rest of Italy data]]))</f>
        <v>0</v>
      </c>
    </row>
    <row r="148" spans="2:40" x14ac:dyDescent="0.3">
      <c r="B148" s="9">
        <v>43971</v>
      </c>
      <c r="C148" s="4">
        <v>141</v>
      </c>
      <c r="E148" s="10"/>
      <c r="F148" s="10">
        <f>Tabella3[[#This Row],[Italy remov. rate data]]*NOT(ISBLANK(Tabella3[[#This Row],[Italy remov. rate data]]))</f>
        <v>0</v>
      </c>
      <c r="G148" s="77">
        <f>Tabella8[[#This Row],[Italy fit]]</f>
        <v>159267.3409982727</v>
      </c>
      <c r="H148" s="77">
        <f>Tabella3[[#This Row],[Italy cumul. fit]]/Kf</f>
        <v>0.70785484888121197</v>
      </c>
      <c r="I148" s="77">
        <f>Tabella3[[#This Row],[region fit]]+Tabella3[[#This Row],[rest of Italy fit]]</f>
        <v>2364.2775178919796</v>
      </c>
      <c r="J148" s="77">
        <f>Tabella3[[#This Row],[Italy (fit of selected region + fitted sum of the other regions)]]/(y_l_peak+y_a_peak)</f>
        <v>0.78820008262960994</v>
      </c>
      <c r="K148" s="72">
        <f>IFERROR(Kf*psi_f*_xlfn.SECH(psi_f*(Tabella3[[#This Row],[Day]]-pf)-phi_f)^2/(1+TANH(phi_f)),0)</f>
        <v>2368.6969957296687</v>
      </c>
      <c r="L148" s="292">
        <f>Tabella3[[#This Row],[Italy remov. rate fit]]-Tabella3[[#This Row],[Italy remov. rate data]]</f>
        <v>2368.6969957296687</v>
      </c>
      <c r="M148" s="293">
        <f>Tabella3[[#This Row],[rem. rate residuals]]*NOT(ISBLANK(Tabella3[[#This Row],[Italy remov. rate data]]))</f>
        <v>0</v>
      </c>
      <c r="N148" s="72">
        <f>Tabella3[[#This Row],[Italy remov. rate fit]]/y_f_peak</f>
        <v>0.78919579330462652</v>
      </c>
      <c r="O148" s="10">
        <f>Tabella3[[#This Row],[Italy (fit of selected region + fitted sum of the other regions)]]*NOT(ISBLANK(Tabella3[[#This Row],[Italy remov. rate data]]))</f>
        <v>0</v>
      </c>
      <c r="P148" s="10">
        <f>Tabella3[[#This Row],[Italy remov. rate fit]]*NOT(ISBLANK(Tabella3[[#This Row],[Italy remov. rate data]]))</f>
        <v>0</v>
      </c>
      <c r="Q148" s="72"/>
      <c r="R148" s="72"/>
      <c r="T148" s="10"/>
      <c r="U148" s="10">
        <f>Tabella3[[#This Row],[region data]]*NOT(ISBLANK(Tabella3[[#This Row],[region data]]))</f>
        <v>0</v>
      </c>
      <c r="V148"/>
      <c r="W148" s="72">
        <f>Tabella3[[#This Row],[6-days moving avg]]*NOT(ISBLANK(Tabella3[[#This Row],[6-days moving avg]]))</f>
        <v>0</v>
      </c>
      <c r="X148" s="77">
        <f>Tabella8[[#This Row],[region fit]]</f>
        <v>6867.9143718003515</v>
      </c>
      <c r="Y148" s="72">
        <f>Tabella3[[#This Row],[region cumul. fit]]/Kl</f>
        <v>0.7656537761204405</v>
      </c>
      <c r="Z148" s="72">
        <f>IFERROR(Kl*psi_l*_xlfn.SECH(psi_l*(Tabella3[[#This Row],[Day]]-pl)-phi_l)^2/(1+TANH(phi_l)),0)</f>
        <v>93.066798006797015</v>
      </c>
      <c r="AA148" s="72">
        <f>Tabella3[[#This Row],[region fit]]/y_l_peak</f>
        <v>0.67537943575690773</v>
      </c>
      <c r="AB148" s="10">
        <f>Tabella3[[#This Row],[region fit]]*NOT(ISBLANK(Tabella3[[#This Row],[region data]]))</f>
        <v>0</v>
      </c>
      <c r="AC148" s="166">
        <f>IFERROR(kl_m*psi_l_m*_xlfn.SECH(psi_l_m*(Tabella3[[#This Row],[Day]]-pl_m)-phi_l_m)^2/(1+TANH(phi_l_m)),0)</f>
        <v>93.066798006797015</v>
      </c>
      <c r="AD148" s="72">
        <f>Tabella3[[#This Row],[6-days moving avg fit]]*NOT(ISBLANK(Tabella3[[#This Row],[6-days moving avg]]))</f>
        <v>0</v>
      </c>
      <c r="AH148" s="10"/>
      <c r="AI148" s="10">
        <f>Tabella3[[#This Row],[rest of Italy data]]*NOT(ISBLANK(Tabella3[[#This Row],[rest of Italy data]]))</f>
        <v>0</v>
      </c>
      <c r="AJ148" s="77">
        <f>Tabella8[[#This Row],[rest of Italy fit]]</f>
        <v>152320.49058446789</v>
      </c>
      <c r="AK148" s="72">
        <f>Tabella3[[#This Row],[rest of Italy cumul. fit]]/Ka</f>
        <v>0.70508952730855845</v>
      </c>
      <c r="AL148" s="72">
        <f>IFERROR(Ka*psi_a*_xlfn.SECH(psi_a*(Tabella3[[#This Row],[Day]]-pa)-phi_a)^2/(1+TANH(phi_a)),0)</f>
        <v>2271.2107198851827</v>
      </c>
      <c r="AM148" s="72">
        <f>Tabella3[[#This Row],[rest of Italy fit]]/y_a_peak</f>
        <v>0.79363255554853318</v>
      </c>
      <c r="AN148" s="10">
        <f>Tabella3[[#This Row],[rest of Italy fit]]*NOT(ISBLANK(Tabella3[[#This Row],[rest of Italy data]]))</f>
        <v>0</v>
      </c>
    </row>
    <row r="149" spans="2:40" x14ac:dyDescent="0.3">
      <c r="B149" s="9">
        <v>43972</v>
      </c>
      <c r="C149" s="4">
        <v>142</v>
      </c>
      <c r="E149" s="10"/>
      <c r="F149" s="10">
        <f>Tabella3[[#This Row],[Italy remov. rate data]]*NOT(ISBLANK(Tabella3[[#This Row],[Italy remov. rate data]]))</f>
        <v>0</v>
      </c>
      <c r="G149" s="77">
        <f>Tabella8[[#This Row],[Italy fit]]</f>
        <v>161609.00988533389</v>
      </c>
      <c r="H149" s="77">
        <f>Tabella3[[#This Row],[Italy cumul. fit]]/Kf</f>
        <v>0.71826226615703948</v>
      </c>
      <c r="I149" s="77">
        <f>Tabella3[[#This Row],[region fit]]+Tabella3[[#This Row],[rest of Italy fit]]</f>
        <v>2310.2100157591949</v>
      </c>
      <c r="J149" s="77">
        <f>Tabella3[[#This Row],[Italy (fit of selected region + fitted sum of the other regions)]]/(y_l_peak+y_a_peak)</f>
        <v>0.77017512180071601</v>
      </c>
      <c r="K149" s="72">
        <f>IFERROR(Kf*psi_f*_xlfn.SECH(psi_f*(Tabella3[[#This Row],[Day]]-pf)-phi_f)^2/(1+TANH(phi_f)),0)</f>
        <v>2314.4786037631188</v>
      </c>
      <c r="L149" s="292">
        <f>Tabella3[[#This Row],[Italy remov. rate fit]]-Tabella3[[#This Row],[Italy remov. rate data]]</f>
        <v>2314.4786037631188</v>
      </c>
      <c r="M149" s="293">
        <f>Tabella3[[#This Row],[rem. rate residuals]]*NOT(ISBLANK(Tabella3[[#This Row],[Italy remov. rate data]]))</f>
        <v>0</v>
      </c>
      <c r="N149" s="72">
        <f>Tabella3[[#This Row],[Italy remov. rate fit]]/y_f_peak</f>
        <v>0.77113146218212192</v>
      </c>
      <c r="O149" s="10">
        <f>Tabella3[[#This Row],[Italy (fit of selected region + fitted sum of the other regions)]]*NOT(ISBLANK(Tabella3[[#This Row],[Italy remov. rate data]]))</f>
        <v>0</v>
      </c>
      <c r="P149" s="10">
        <f>Tabella3[[#This Row],[Italy remov. rate fit]]*NOT(ISBLANK(Tabella3[[#This Row],[Italy remov. rate data]]))</f>
        <v>0</v>
      </c>
      <c r="Q149" s="72"/>
      <c r="R149" s="72"/>
      <c r="T149" s="10"/>
      <c r="U149" s="10">
        <f>Tabella3[[#This Row],[region data]]*NOT(ISBLANK(Tabella3[[#This Row],[region data]]))</f>
        <v>0</v>
      </c>
      <c r="V149"/>
      <c r="W149" s="72">
        <f>Tabella3[[#This Row],[6-days moving avg]]*NOT(ISBLANK(Tabella3[[#This Row],[6-days moving avg]]))</f>
        <v>0</v>
      </c>
      <c r="X149" s="77">
        <f>Tabella8[[#This Row],[region fit]]</f>
        <v>6959.4853959104294</v>
      </c>
      <c r="Y149" s="72">
        <f>Tabella3[[#This Row],[region cumul. fit]]/Kl</f>
        <v>0.77586236297775135</v>
      </c>
      <c r="Z149" s="72">
        <f>IFERROR(Kl*psi_l*_xlfn.SECH(psi_l*(Tabella3[[#This Row],[Day]]-pl)-phi_l)^2/(1+TANH(phi_l)),0)</f>
        <v>90.075403663419394</v>
      </c>
      <c r="AA149" s="72">
        <f>Tabella3[[#This Row],[region fit]]/y_l_peak</f>
        <v>0.65367109006299839</v>
      </c>
      <c r="AB149" s="10">
        <f>Tabella3[[#This Row],[region fit]]*NOT(ISBLANK(Tabella3[[#This Row],[region data]]))</f>
        <v>0</v>
      </c>
      <c r="AC149" s="166">
        <f>IFERROR(kl_m*psi_l_m*_xlfn.SECH(psi_l_m*(Tabella3[[#This Row],[Day]]-pl_m)-phi_l_m)^2/(1+TANH(phi_l_m)),0)</f>
        <v>90.075403663419394</v>
      </c>
      <c r="AD149" s="72">
        <f>Tabella3[[#This Row],[6-days moving avg fit]]*NOT(ISBLANK(Tabella3[[#This Row],[6-days moving avg]]))</f>
        <v>0</v>
      </c>
      <c r="AH149" s="10"/>
      <c r="AI149" s="10">
        <f>Tabella3[[#This Row],[rest of Italy data]]*NOT(ISBLANK(Tabella3[[#This Row],[rest of Italy data]]))</f>
        <v>0</v>
      </c>
      <c r="AJ149" s="77">
        <f>Tabella8[[#This Row],[rest of Italy fit]]</f>
        <v>154566.24293637427</v>
      </c>
      <c r="AK149" s="72">
        <f>Tabella3[[#This Row],[rest of Italy cumul. fit]]/Ka</f>
        <v>0.71548508511028219</v>
      </c>
      <c r="AL149" s="72">
        <f>IFERROR(Ka*psi_a*_xlfn.SECH(psi_a*(Tabella3[[#This Row],[Day]]-pa)-phi_a)^2/(1+TANH(phi_a)),0)</f>
        <v>2220.1346120957755</v>
      </c>
      <c r="AM149" s="72">
        <f>Tabella3[[#This Row],[rest of Italy fit]]/y_a_peak</f>
        <v>0.77578495488450105</v>
      </c>
      <c r="AN149" s="10">
        <f>Tabella3[[#This Row],[rest of Italy fit]]*NOT(ISBLANK(Tabella3[[#This Row],[rest of Italy data]]))</f>
        <v>0</v>
      </c>
    </row>
    <row r="150" spans="2:40" x14ac:dyDescent="0.3">
      <c r="B150" s="9">
        <v>43973</v>
      </c>
      <c r="C150" s="4">
        <v>143</v>
      </c>
      <c r="E150" s="10"/>
      <c r="F150" s="10">
        <f>Tabella3[[#This Row],[Italy remov. rate data]]*NOT(ISBLANK(Tabella3[[#This Row],[Italy remov. rate data]]))</f>
        <v>0</v>
      </c>
      <c r="G150" s="77">
        <f>Tabella8[[#This Row],[Italy fit]]</f>
        <v>163896.00320131209</v>
      </c>
      <c r="H150" s="77">
        <f>Tabella3[[#This Row],[Italy cumul. fit]]/Kf</f>
        <v>0.7284266808947204</v>
      </c>
      <c r="I150" s="77">
        <f>Tabella3[[#This Row],[region fit]]+Tabella3[[#This Row],[rest of Italy fit]]</f>
        <v>2255.2742678477202</v>
      </c>
      <c r="J150" s="77">
        <f>Tabella3[[#This Row],[Italy (fit of selected region + fitted sum of the other regions)]]/(y_l_peak+y_a_peak)</f>
        <v>0.75186070620632717</v>
      </c>
      <c r="K150" s="72">
        <f>IFERROR(Kf*psi_f*_xlfn.SECH(psi_f*(Tabella3[[#This Row],[Day]]-pf)-phi_f)^2/(1+TANH(phi_f)),0)</f>
        <v>2259.3750498802692</v>
      </c>
      <c r="L150" s="292">
        <f>Tabella3[[#This Row],[Italy remov. rate fit]]-Tabella3[[#This Row],[Italy remov. rate data]]</f>
        <v>2259.3750498802692</v>
      </c>
      <c r="M150" s="293">
        <f>Tabella3[[#This Row],[rem. rate residuals]]*NOT(ISBLANK(Tabella3[[#This Row],[Italy remov. rate data]]))</f>
        <v>0</v>
      </c>
      <c r="N150" s="72">
        <f>Tabella3[[#This Row],[Italy remov. rate fit]]/y_f_peak</f>
        <v>0.7527722153055143</v>
      </c>
      <c r="O150" s="10">
        <f>Tabella3[[#This Row],[Italy (fit of selected region + fitted sum of the other regions)]]*NOT(ISBLANK(Tabella3[[#This Row],[Italy remov. rate data]]))</f>
        <v>0</v>
      </c>
      <c r="P150" s="10">
        <f>Tabella3[[#This Row],[Italy remov. rate fit]]*NOT(ISBLANK(Tabella3[[#This Row],[Italy remov. rate data]]))</f>
        <v>0</v>
      </c>
      <c r="Q150" s="72"/>
      <c r="R150" s="72"/>
      <c r="T150" s="10"/>
      <c r="U150" s="10">
        <f>Tabella3[[#This Row],[region data]]*NOT(ISBLANK(Tabella3[[#This Row],[region data]]))</f>
        <v>0</v>
      </c>
      <c r="V150"/>
      <c r="W150" s="72">
        <f>Tabella3[[#This Row],[6-days moving avg]]*NOT(ISBLANK(Tabella3[[#This Row],[6-days moving avg]]))</f>
        <v>0</v>
      </c>
      <c r="X150" s="77">
        <f>Tabella8[[#This Row],[region fit]]</f>
        <v>7048.0670308544068</v>
      </c>
      <c r="Y150" s="72">
        <f>Tabella3[[#This Row],[region cumul. fit]]/Kl</f>
        <v>0.7857376845991535</v>
      </c>
      <c r="Z150" s="72">
        <f>IFERROR(Kl*psi_l*_xlfn.SECH(psi_l*(Tabella3[[#This Row],[Day]]-pl)-phi_l)^2/(1+TANH(phi_l)),0)</f>
        <v>87.0895433018662</v>
      </c>
      <c r="AA150" s="72">
        <f>Tabella3[[#This Row],[region fit]]/y_l_peak</f>
        <v>0.63200290409954196</v>
      </c>
      <c r="AB150" s="10">
        <f>Tabella3[[#This Row],[region fit]]*NOT(ISBLANK(Tabella3[[#This Row],[region data]]))</f>
        <v>0</v>
      </c>
      <c r="AC150" s="166">
        <f>IFERROR(kl_m*psi_l_m*_xlfn.SECH(psi_l_m*(Tabella3[[#This Row],[Day]]-pl_m)-phi_l_m)^2/(1+TANH(phi_l_m)),0)</f>
        <v>87.0895433018662</v>
      </c>
      <c r="AD150" s="72">
        <f>Tabella3[[#This Row],[6-days moving avg fit]]*NOT(ISBLANK(Tabella3[[#This Row],[6-days moving avg]]))</f>
        <v>0</v>
      </c>
      <c r="AH150" s="10"/>
      <c r="AI150" s="10">
        <f>Tabella3[[#This Row],[rest of Italy data]]*NOT(ISBLANK(Tabella3[[#This Row],[rest of Italy data]]))</f>
        <v>0</v>
      </c>
      <c r="AJ150" s="77">
        <f>Tabella8[[#This Row],[rest of Italy fit]]</f>
        <v>156760.46859209842</v>
      </c>
      <c r="AK150" s="72">
        <f>Tabella3[[#This Row],[rest of Italy cumul. fit]]/Ka</f>
        <v>0.72564212651992044</v>
      </c>
      <c r="AL150" s="72">
        <f>IFERROR(Ka*psi_a*_xlfn.SECH(psi_a*(Tabella3[[#This Row],[Day]]-pa)-phi_a)^2/(1+TANH(phi_a)),0)</f>
        <v>2168.1847245458539</v>
      </c>
      <c r="AM150" s="72">
        <f>Tabella3[[#This Row],[rest of Italy fit]]/y_a_peak</f>
        <v>0.75763202805312924</v>
      </c>
      <c r="AN150" s="10">
        <f>Tabella3[[#This Row],[rest of Italy fit]]*NOT(ISBLANK(Tabella3[[#This Row],[rest of Italy data]]))</f>
        <v>0</v>
      </c>
    </row>
    <row r="151" spans="2:40" x14ac:dyDescent="0.3">
      <c r="B151" s="9">
        <v>43974</v>
      </c>
      <c r="C151" s="4">
        <v>144</v>
      </c>
      <c r="E151" s="10"/>
      <c r="F151" s="10">
        <f>Tabella3[[#This Row],[Italy remov. rate data]]*NOT(ISBLANK(Tabella3[[#This Row],[Italy remov. rate data]]))</f>
        <v>0</v>
      </c>
      <c r="G151" s="77">
        <f>Tabella8[[#This Row],[Italy fit]]</f>
        <v>166127.52258666258</v>
      </c>
      <c r="H151" s="77">
        <f>Tabella3[[#This Row],[Italy cumul. fit]]/Kf</f>
        <v>0.73834454482961154</v>
      </c>
      <c r="I151" s="77">
        <f>Tabella3[[#This Row],[region fit]]+Tabella3[[#This Row],[rest of Italy fit]]</f>
        <v>2199.6413719657612</v>
      </c>
      <c r="J151" s="77">
        <f>Tabella3[[#This Row],[Italy (fit of selected region + fitted sum of the other regions)]]/(y_l_peak+y_a_peak)</f>
        <v>0.73331387623427646</v>
      </c>
      <c r="K151" s="72">
        <f>IFERROR(Kf*psi_f*_xlfn.SECH(psi_f*(Tabella3[[#This Row],[Day]]-pf)-phi_f)^2/(1+TANH(phi_f)),0)</f>
        <v>2203.5591234527892</v>
      </c>
      <c r="L151" s="292">
        <f>Tabella3[[#This Row],[Italy remov. rate fit]]-Tabella3[[#This Row],[Italy remov. rate data]]</f>
        <v>2203.5591234527892</v>
      </c>
      <c r="M151" s="293">
        <f>Tabella3[[#This Row],[rem. rate residuals]]*NOT(ISBLANK(Tabella3[[#This Row],[Italy remov. rate data]]))</f>
        <v>0</v>
      </c>
      <c r="N151" s="72">
        <f>Tabella3[[#This Row],[Italy remov. rate fit]]/y_f_peak</f>
        <v>0.73417562215097354</v>
      </c>
      <c r="O151" s="10">
        <f>Tabella3[[#This Row],[Italy (fit of selected region + fitted sum of the other regions)]]*NOT(ISBLANK(Tabella3[[#This Row],[Italy remov. rate data]]))</f>
        <v>0</v>
      </c>
      <c r="P151" s="10">
        <f>Tabella3[[#This Row],[Italy remov. rate fit]]*NOT(ISBLANK(Tabella3[[#This Row],[Italy remov. rate data]]))</f>
        <v>0</v>
      </c>
      <c r="Q151" s="72"/>
      <c r="R151" s="72"/>
      <c r="T151" s="10"/>
      <c r="U151" s="10">
        <f>Tabella3[[#This Row],[region data]]*NOT(ISBLANK(Tabella3[[#This Row],[region data]]))</f>
        <v>0</v>
      </c>
      <c r="V151"/>
      <c r="W151" s="72">
        <f>Tabella3[[#This Row],[6-days moving avg]]*NOT(ISBLANK(Tabella3[[#This Row],[6-days moving avg]]))</f>
        <v>0</v>
      </c>
      <c r="X151" s="77">
        <f>Tabella8[[#This Row],[region fit]]</f>
        <v>7133.6692744049269</v>
      </c>
      <c r="Y151" s="72">
        <f>Tabella3[[#This Row],[region cumul. fit]]/Kl</f>
        <v>0.795280855563537</v>
      </c>
      <c r="Z151" s="72">
        <f>IFERROR(Kl*psi_l*_xlfn.SECH(psi_l*(Tabella3[[#This Row],[Day]]-pl)-phi_l)^2/(1+TANH(phi_l)),0)</f>
        <v>84.11803675047554</v>
      </c>
      <c r="AA151" s="72">
        <f>Tabella3[[#This Row],[region fit]]/y_l_peak</f>
        <v>0.61043888276209779</v>
      </c>
      <c r="AB151" s="10">
        <f>Tabella3[[#This Row],[region fit]]*NOT(ISBLANK(Tabella3[[#This Row],[region data]]))</f>
        <v>0</v>
      </c>
      <c r="AC151" s="166">
        <f>IFERROR(kl_m*psi_l_m*_xlfn.SECH(psi_l_m*(Tabella3[[#This Row],[Day]]-pl_m)-phi_l_m)^2/(1+TANH(phi_l_m)),0)</f>
        <v>84.11803675047554</v>
      </c>
      <c r="AD151" s="72">
        <f>Tabella3[[#This Row],[6-days moving avg fit]]*NOT(ISBLANK(Tabella3[[#This Row],[6-days moving avg]]))</f>
        <v>0</v>
      </c>
      <c r="AH151" s="10"/>
      <c r="AI151" s="10">
        <f>Tabella3[[#This Row],[rest of Italy data]]*NOT(ISBLANK(Tabella3[[#This Row],[rest of Italy data]]))</f>
        <v>0</v>
      </c>
      <c r="AJ151" s="77">
        <f>Tabella8[[#This Row],[rest of Italy fit]]</f>
        <v>158902.37527065579</v>
      </c>
      <c r="AK151" s="72">
        <f>Tabella3[[#This Row],[rest of Italy cumul. fit]]/Ka</f>
        <v>0.73555698407932135</v>
      </c>
      <c r="AL151" s="72">
        <f>IFERROR(Ka*psi_a*_xlfn.SECH(psi_a*(Tabella3[[#This Row],[Day]]-pa)-phi_a)^2/(1+TANH(phi_a)),0)</f>
        <v>2115.5233352152854</v>
      </c>
      <c r="AM151" s="72">
        <f>Tabella3[[#This Row],[rest of Italy fit]]/y_a_peak</f>
        <v>0.73923048009140235</v>
      </c>
      <c r="AN151" s="10">
        <f>Tabella3[[#This Row],[rest of Italy fit]]*NOT(ISBLANK(Tabella3[[#This Row],[rest of Italy data]]))</f>
        <v>0</v>
      </c>
    </row>
    <row r="152" spans="2:40" x14ac:dyDescent="0.3">
      <c r="B152" s="9">
        <v>43975</v>
      </c>
      <c r="C152" s="4">
        <v>145</v>
      </c>
      <c r="E152" s="10"/>
      <c r="F152" s="10">
        <f>Tabella3[[#This Row],[Italy remov. rate data]]*NOT(ISBLANK(Tabella3[[#This Row],[Italy remov. rate data]]))</f>
        <v>0</v>
      </c>
      <c r="G152" s="77">
        <f>Tabella8[[#This Row],[Italy fit]]</f>
        <v>168302.93988634052</v>
      </c>
      <c r="H152" s="77">
        <f>Tabella3[[#This Row],[Italy cumul. fit]]/Kf</f>
        <v>0.74801306616151342</v>
      </c>
      <c r="I152" s="77">
        <f>Tabella3[[#This Row],[region fit]]+Tabella3[[#This Row],[rest of Italy fit]]</f>
        <v>2143.47706190996</v>
      </c>
      <c r="J152" s="77">
        <f>Tabella3[[#This Row],[Italy (fit of selected region + fitted sum of the other regions)]]/(y_l_peak+y_a_peak)</f>
        <v>0.71458988402447532</v>
      </c>
      <c r="K152" s="72">
        <f>IFERROR(Kf*psi_f*_xlfn.SECH(psi_f*(Tabella3[[#This Row],[Day]]-pf)-phi_f)^2/(1+TANH(phi_f)),0)</f>
        <v>2147.198308837706</v>
      </c>
      <c r="L152" s="292">
        <f>Tabella3[[#This Row],[Italy remov. rate fit]]-Tabella3[[#This Row],[Italy remov. rate data]]</f>
        <v>2147.198308837706</v>
      </c>
      <c r="M152" s="293">
        <f>Tabella3[[#This Row],[rem. rate residuals]]*NOT(ISBLANK(Tabella3[[#This Row],[Italy remov. rate data]]))</f>
        <v>0</v>
      </c>
      <c r="N152" s="72">
        <f>Tabella3[[#This Row],[Italy remov. rate fit]]/y_f_peak</f>
        <v>0.71539748468483311</v>
      </c>
      <c r="O152" s="10">
        <f>Tabella3[[#This Row],[Italy (fit of selected region + fitted sum of the other regions)]]*NOT(ISBLANK(Tabella3[[#This Row],[Italy remov. rate data]]))</f>
        <v>0</v>
      </c>
      <c r="P152" s="10">
        <f>Tabella3[[#This Row],[Italy remov. rate fit]]*NOT(ISBLANK(Tabella3[[#This Row],[Italy remov. rate data]]))</f>
        <v>0</v>
      </c>
      <c r="Q152" s="72"/>
      <c r="R152" s="72"/>
      <c r="T152" s="10"/>
      <c r="U152" s="10">
        <f>Tabella3[[#This Row],[region data]]*NOT(ISBLANK(Tabella3[[#This Row],[region data]]))</f>
        <v>0</v>
      </c>
      <c r="V152"/>
      <c r="W152" s="72">
        <f>Tabella3[[#This Row],[6-days moving avg]]*NOT(ISBLANK(Tabella3[[#This Row],[6-days moving avg]]))</f>
        <v>0</v>
      </c>
      <c r="X152" s="77">
        <f>Tabella8[[#This Row],[region fit]]</f>
        <v>7216.3106180408222</v>
      </c>
      <c r="Y152" s="72">
        <f>Tabella3[[#This Row],[region cumul. fit]]/Kl</f>
        <v>0.80449393735126218</v>
      </c>
      <c r="Z152" s="72">
        <f>IFERROR(Kl*psi_l*_xlfn.SECH(psi_l*(Tabella3[[#This Row],[Day]]-pl)-phi_l)^2/(1+TANH(phi_l)),0)</f>
        <v>81.169049025460509</v>
      </c>
      <c r="AA152" s="72">
        <f>Tabella3[[#This Row],[region fit]]/y_l_peak</f>
        <v>0.58903827901908268</v>
      </c>
      <c r="AB152" s="10">
        <f>Tabella3[[#This Row],[region fit]]*NOT(ISBLANK(Tabella3[[#This Row],[region data]]))</f>
        <v>0</v>
      </c>
      <c r="AC152" s="166">
        <f>IFERROR(kl_m*psi_l_m*_xlfn.SECH(psi_l_m*(Tabella3[[#This Row],[Day]]-pl_m)-phi_l_m)^2/(1+TANH(phi_l_m)),0)</f>
        <v>81.169049025460509</v>
      </c>
      <c r="AD152" s="72">
        <f>Tabella3[[#This Row],[6-days moving avg fit]]*NOT(ISBLANK(Tabella3[[#This Row],[6-days moving avg]]))</f>
        <v>0</v>
      </c>
      <c r="AH152" s="10"/>
      <c r="AI152" s="10">
        <f>Tabella3[[#This Row],[rest of Italy data]]*NOT(ISBLANK(Tabella3[[#This Row],[rest of Italy data]]))</f>
        <v>0</v>
      </c>
      <c r="AJ152" s="77">
        <f>Tabella8[[#This Row],[rest of Italy fit]]</f>
        <v>160991.33067868234</v>
      </c>
      <c r="AK152" s="72">
        <f>Tabella3[[#This Row],[rest of Italy cumul. fit]]/Ka</f>
        <v>0.74522673091090286</v>
      </c>
      <c r="AL152" s="72">
        <f>IFERROR(Ka*psi_a*_xlfn.SECH(psi_a*(Tabella3[[#This Row],[Day]]-pa)-phi_a)^2/(1+TANH(phi_a)),0)</f>
        <v>2062.3080128844995</v>
      </c>
      <c r="AM152" s="72">
        <f>Tabella3[[#This Row],[rest of Italy fit]]/y_a_peak</f>
        <v>0.72063537049370918</v>
      </c>
      <c r="AN152" s="10">
        <f>Tabella3[[#This Row],[rest of Italy fit]]*NOT(ISBLANK(Tabella3[[#This Row],[rest of Italy data]]))</f>
        <v>0</v>
      </c>
    </row>
    <row r="153" spans="2:40" x14ac:dyDescent="0.3">
      <c r="B153" s="9">
        <v>43976</v>
      </c>
      <c r="C153" s="4">
        <v>146</v>
      </c>
      <c r="E153" s="10"/>
      <c r="F153" s="10">
        <f>Tabella3[[#This Row],[Italy remov. rate data]]*NOT(ISBLANK(Tabella3[[#This Row],[Italy remov. rate data]]))</f>
        <v>0</v>
      </c>
      <c r="G153" s="77">
        <f>Tabella8[[#This Row],[Italy fit]]</f>
        <v>170421.79145647187</v>
      </c>
      <c r="H153" s="77">
        <f>Tabella3[[#This Row],[Italy cumul. fit]]/Kf</f>
        <v>0.75743018425098607</v>
      </c>
      <c r="I153" s="77">
        <f>Tabella3[[#This Row],[region fit]]+Tabella3[[#This Row],[rest of Italy fit]]</f>
        <v>2086.9409731844848</v>
      </c>
      <c r="J153" s="77">
        <f>Tabella3[[#This Row],[Italy (fit of selected region + fitted sum of the other regions)]]/(y_l_peak+y_a_peak)</f>
        <v>0.69574194867519945</v>
      </c>
      <c r="K153" s="72">
        <f>IFERROR(Kf*psi_f*_xlfn.SECH(psi_f*(Tabella3[[#This Row],[Day]]-pf)-phi_f)^2/(1+TANH(phi_f)),0)</f>
        <v>2090.454026279785</v>
      </c>
      <c r="L153" s="292">
        <f>Tabella3[[#This Row],[Italy remov. rate fit]]-Tabella3[[#This Row],[Italy remov. rate data]]</f>
        <v>2090.454026279785</v>
      </c>
      <c r="M153" s="293">
        <f>Tabella3[[#This Row],[rem. rate residuals]]*NOT(ISBLANK(Tabella3[[#This Row],[Italy remov. rate data]]))</f>
        <v>0</v>
      </c>
      <c r="N153" s="72">
        <f>Tabella3[[#This Row],[Italy remov. rate fit]]/y_f_peak</f>
        <v>0.69649158444958359</v>
      </c>
      <c r="O153" s="10">
        <f>Tabella3[[#This Row],[Italy (fit of selected region + fitted sum of the other regions)]]*NOT(ISBLANK(Tabella3[[#This Row],[Italy remov. rate data]]))</f>
        <v>0</v>
      </c>
      <c r="P153" s="10">
        <f>Tabella3[[#This Row],[Italy remov. rate fit]]*NOT(ISBLANK(Tabella3[[#This Row],[Italy remov. rate data]]))</f>
        <v>0</v>
      </c>
      <c r="Q153" s="72"/>
      <c r="R153" s="72"/>
      <c r="T153" s="10"/>
      <c r="U153" s="10">
        <f>Tabella3[[#This Row],[region data]]*NOT(ISBLANK(Tabella3[[#This Row],[region data]]))</f>
        <v>0</v>
      </c>
      <c r="V153"/>
      <c r="W153" s="72">
        <f>Tabella3[[#This Row],[6-days moving avg]]*NOT(ISBLANK(Tabella3[[#This Row],[6-days moving avg]]))</f>
        <v>0</v>
      </c>
      <c r="X153" s="77">
        <f>Tabella8[[#This Row],[region fit]]</f>
        <v>7296.0173858667531</v>
      </c>
      <c r="Y153" s="72">
        <f>Tabella3[[#This Row],[region cumul. fit]]/Kl</f>
        <v>0.81337986464512302</v>
      </c>
      <c r="Z153" s="72">
        <f>IFERROR(Kl*psi_l*_xlfn.SECH(psi_l*(Tabella3[[#This Row],[Day]]-pl)-phi_l)^2/(1+TANH(phi_l)),0)</f>
        <v>78.250079204594826</v>
      </c>
      <c r="AA153" s="72">
        <f>Tabella3[[#This Row],[region fit]]/y_l_peak</f>
        <v>0.56785551316886262</v>
      </c>
      <c r="AB153" s="10">
        <f>Tabella3[[#This Row],[region fit]]*NOT(ISBLANK(Tabella3[[#This Row],[region data]]))</f>
        <v>0</v>
      </c>
      <c r="AC153" s="166">
        <f>IFERROR(kl_m*psi_l_m*_xlfn.SECH(psi_l_m*(Tabella3[[#This Row],[Day]]-pl_m)-phi_l_m)^2/(1+TANH(phi_l_m)),0)</f>
        <v>78.250079204594826</v>
      </c>
      <c r="AD153" s="72">
        <f>Tabella3[[#This Row],[6-days moving avg fit]]*NOT(ISBLANK(Tabella3[[#This Row],[6-days moving avg]]))</f>
        <v>0</v>
      </c>
      <c r="AH153" s="10"/>
      <c r="AI153" s="10">
        <f>Tabella3[[#This Row],[rest of Italy data]]*NOT(ISBLANK(Tabella3[[#This Row],[rest of Italy data]]))</f>
        <v>0</v>
      </c>
      <c r="AJ153" s="77">
        <f>Tabella8[[#This Row],[rest of Italy fit]]</f>
        <v>163026.85743168838</v>
      </c>
      <c r="AK153" s="72">
        <f>Tabella3[[#This Row],[rest of Italy cumul. fit]]/Ka</f>
        <v>0.75464915720820425</v>
      </c>
      <c r="AL153" s="72">
        <f>IFERROR(Ka*psi_a*_xlfn.SECH(psi_a*(Tabella3[[#This Row],[Day]]-pa)-phi_a)^2/(1+TANH(phi_a)),0)</f>
        <v>2008.69089397989</v>
      </c>
      <c r="AM153" s="72">
        <f>Tabella3[[#This Row],[rest of Italy fit]]/y_a_peak</f>
        <v>0.70189986051885056</v>
      </c>
      <c r="AN153" s="10">
        <f>Tabella3[[#This Row],[rest of Italy fit]]*NOT(ISBLANK(Tabella3[[#This Row],[rest of Italy data]]))</f>
        <v>0</v>
      </c>
    </row>
    <row r="154" spans="2:40" x14ac:dyDescent="0.3">
      <c r="B154" s="9">
        <v>43977</v>
      </c>
      <c r="C154" s="4">
        <v>147</v>
      </c>
      <c r="E154" s="10"/>
      <c r="F154" s="10">
        <f>Tabella3[[#This Row],[Italy remov. rate data]]*NOT(ISBLANK(Tabella3[[#This Row],[Italy remov. rate data]]))</f>
        <v>0</v>
      </c>
      <c r="G154" s="77">
        <f>Tabella8[[#This Row],[Italy fit]]</f>
        <v>172483.7717645987</v>
      </c>
      <c r="H154" s="77">
        <f>Tabella3[[#This Row],[Italy cumul. fit]]/Kf</f>
        <v>0.76659454117599424</v>
      </c>
      <c r="I154" s="77">
        <f>Tabella3[[#This Row],[region fit]]+Tabella3[[#This Row],[rest of Italy fit]]</f>
        <v>2030.1860127939606</v>
      </c>
      <c r="J154" s="77">
        <f>Tabella3[[#This Row],[Italy (fit of selected region + fitted sum of the other regions)]]/(y_l_peak+y_a_peak)</f>
        <v>0.67682104614539107</v>
      </c>
      <c r="K154" s="72">
        <f>IFERROR(Kf*psi_f*_xlfn.SECH(psi_f*(Tabella3[[#This Row],[Day]]-pf)-phi_f)^2/(1+TANH(phi_f)),0)</f>
        <v>2033.4809781808679</v>
      </c>
      <c r="L154" s="292">
        <f>Tabella3[[#This Row],[Italy remov. rate fit]]-Tabella3[[#This Row],[Italy remov. rate data]]</f>
        <v>2033.4809781808679</v>
      </c>
      <c r="M154" s="293">
        <f>Tabella3[[#This Row],[rem. rate residuals]]*NOT(ISBLANK(Tabella3[[#This Row],[Italy remov. rate data]]))</f>
        <v>0</v>
      </c>
      <c r="N154" s="72">
        <f>Tabella3[[#This Row],[Italy remov. rate fit]]/y_f_peak</f>
        <v>0.67750946475573182</v>
      </c>
      <c r="O154" s="10">
        <f>Tabella3[[#This Row],[Italy (fit of selected region + fitted sum of the other regions)]]*NOT(ISBLANK(Tabella3[[#This Row],[Italy remov. rate data]]))</f>
        <v>0</v>
      </c>
      <c r="P154" s="10">
        <f>Tabella3[[#This Row],[Italy remov. rate fit]]*NOT(ISBLANK(Tabella3[[#This Row],[Italy remov. rate data]]))</f>
        <v>0</v>
      </c>
      <c r="Q154" s="72"/>
      <c r="R154" s="72"/>
      <c r="T154" s="10"/>
      <c r="U154" s="10">
        <f>Tabella3[[#This Row],[region data]]*NOT(ISBLANK(Tabella3[[#This Row],[region data]]))</f>
        <v>0</v>
      </c>
      <c r="V154"/>
      <c r="W154" s="72">
        <f>Tabella3[[#This Row],[6-days moving avg]]*NOT(ISBLANK(Tabella3[[#This Row],[6-days moving avg]]))</f>
        <v>0</v>
      </c>
      <c r="X154" s="77">
        <f>Tabella8[[#This Row],[region fit]]</f>
        <v>7372.8230665084684</v>
      </c>
      <c r="Y154" s="72">
        <f>Tabella3[[#This Row],[region cumul. fit]]/Kl</f>
        <v>0.82194237084821276</v>
      </c>
      <c r="Z154" s="72">
        <f>IFERROR(Kl*psi_l*_xlfn.SECH(psi_l*(Tabella3[[#This Row],[Day]]-pl)-phi_l)^2/(1+TANH(phi_l)),0)</f>
        <v>75.367957374340619</v>
      </c>
      <c r="AA154" s="72">
        <f>Tabella3[[#This Row],[region fit]]/y_l_peak</f>
        <v>0.5469401506852668</v>
      </c>
      <c r="AB154" s="10">
        <f>Tabella3[[#This Row],[region fit]]*NOT(ISBLANK(Tabella3[[#This Row],[region data]]))</f>
        <v>0</v>
      </c>
      <c r="AC154" s="166">
        <f>IFERROR(kl_m*psi_l_m*_xlfn.SECH(psi_l_m*(Tabella3[[#This Row],[Day]]-pl_m)-phi_l_m)^2/(1+TANH(phi_l_m)),0)</f>
        <v>75.367957374340619</v>
      </c>
      <c r="AD154" s="72">
        <f>Tabella3[[#This Row],[6-days moving avg fit]]*NOT(ISBLANK(Tabella3[[#This Row],[6-days moving avg]]))</f>
        <v>0</v>
      </c>
      <c r="AH154" s="10"/>
      <c r="AI154" s="10">
        <f>Tabella3[[#This Row],[rest of Italy data]]*NOT(ISBLANK(Tabella3[[#This Row],[rest of Italy data]]))</f>
        <v>0</v>
      </c>
      <c r="AJ154" s="77">
        <f>Tabella8[[#This Row],[rest of Italy fit]]</f>
        <v>165008.62730011364</v>
      </c>
      <c r="AK154" s="72">
        <f>Tabella3[[#This Row],[rest of Italy cumul. fit]]/Ka</f>
        <v>0.76382274360095193</v>
      </c>
      <c r="AL154" s="72">
        <f>IFERROR(Ka*psi_a*_xlfn.SECH(psi_a*(Tabella3[[#This Row],[Day]]-pa)-phi_a)^2/(1+TANH(phi_a)),0)</f>
        <v>1954.8180554196199</v>
      </c>
      <c r="AM154" s="72">
        <f>Tabella3[[#This Row],[rest of Italy fit]]/y_a_peak</f>
        <v>0.68307499404261174</v>
      </c>
      <c r="AN154" s="10">
        <f>Tabella3[[#This Row],[rest of Italy fit]]*NOT(ISBLANK(Tabella3[[#This Row],[rest of Italy data]]))</f>
        <v>0</v>
      </c>
    </row>
    <row r="155" spans="2:40" x14ac:dyDescent="0.3">
      <c r="B155" s="9">
        <v>43978</v>
      </c>
      <c r="C155" s="4">
        <v>148</v>
      </c>
      <c r="E155" s="10"/>
      <c r="F155" s="10">
        <f>Tabella3[[#This Row],[Italy remov. rate data]]*NOT(ISBLANK(Tabella3[[#This Row],[Italy remov. rate data]]))</f>
        <v>0</v>
      </c>
      <c r="G155" s="77">
        <f>Tabella8[[#This Row],[Italy fit]]</f>
        <v>174488.72638866471</v>
      </c>
      <c r="H155" s="77">
        <f>Tabella3[[#This Row],[Italy cumul. fit]]/Kf</f>
        <v>0.77550545061628762</v>
      </c>
      <c r="I155" s="77">
        <f>Tabella3[[#This Row],[region fit]]+Tabella3[[#This Row],[rest of Italy fit]]</f>
        <v>1973.3578320981142</v>
      </c>
      <c r="J155" s="77">
        <f>Tabella3[[#This Row],[Italy (fit of selected region + fitted sum of the other regions)]]/(y_l_peak+y_a_peak)</f>
        <v>0.65787573351555484</v>
      </c>
      <c r="K155" s="72">
        <f>IFERROR(Kf*psi_f*_xlfn.SECH(psi_f*(Tabella3[[#This Row],[Day]]-pf)-phi_f)^2/(1+TANH(phi_f)),0)</f>
        <v>1976.4266000693688</v>
      </c>
      <c r="L155" s="292">
        <f>Tabella3[[#This Row],[Italy remov. rate fit]]-Tabella3[[#This Row],[Italy remov. rate data]]</f>
        <v>1976.4266000693688</v>
      </c>
      <c r="M155" s="293">
        <f>Tabella3[[#This Row],[rem. rate residuals]]*NOT(ISBLANK(Tabella3[[#This Row],[Italy remov. rate data]]))</f>
        <v>0</v>
      </c>
      <c r="N155" s="72">
        <f>Tabella3[[#This Row],[Italy remov. rate fit]]/y_f_peak</f>
        <v>0.65850024775736427</v>
      </c>
      <c r="O155" s="10">
        <f>Tabella3[[#This Row],[Italy (fit of selected region + fitted sum of the other regions)]]*NOT(ISBLANK(Tabella3[[#This Row],[Italy remov. rate data]]))</f>
        <v>0</v>
      </c>
      <c r="P155" s="10">
        <f>Tabella3[[#This Row],[Italy remov. rate fit]]*NOT(ISBLANK(Tabella3[[#This Row],[Italy remov. rate data]]))</f>
        <v>0</v>
      </c>
      <c r="Q155" s="72"/>
      <c r="R155" s="72"/>
      <c r="T155" s="10"/>
      <c r="U155" s="10">
        <f>Tabella3[[#This Row],[region data]]*NOT(ISBLANK(Tabella3[[#This Row],[region data]]))</f>
        <v>0</v>
      </c>
      <c r="V155"/>
      <c r="W155" s="72">
        <f>Tabella3[[#This Row],[6-days moving avg]]*NOT(ISBLANK(Tabella3[[#This Row],[6-days moving avg]]))</f>
        <v>0</v>
      </c>
      <c r="X155" s="77">
        <f>Tabella8[[#This Row],[region fit]]</f>
        <v>7446.7676456575609</v>
      </c>
      <c r="Y155" s="72">
        <f>Tabella3[[#This Row],[region cumul. fit]]/Kl</f>
        <v>0.83018591367419858</v>
      </c>
      <c r="Z155" s="72">
        <f>IFERROR(Kl*psi_l*_xlfn.SECH(psi_l*(Tabella3[[#This Row],[Day]]-pl)-phi_l)^2/(1+TANH(phi_l)),0)</f>
        <v>72.528848843818281</v>
      </c>
      <c r="AA155" s="72">
        <f>Tabella3[[#This Row],[region fit]]/y_l_peak</f>
        <v>0.52633693279808036</v>
      </c>
      <c r="AB155" s="10">
        <f>Tabella3[[#This Row],[region fit]]*NOT(ISBLANK(Tabella3[[#This Row],[region data]]))</f>
        <v>0</v>
      </c>
      <c r="AC155" s="166">
        <f>IFERROR(kl_m*psi_l_m*_xlfn.SECH(psi_l_m*(Tabella3[[#This Row],[Day]]-pl_m)-phi_l_m)^2/(1+TANH(phi_l_m)),0)</f>
        <v>72.528848843818281</v>
      </c>
      <c r="AD155" s="72">
        <f>Tabella3[[#This Row],[6-days moving avg fit]]*NOT(ISBLANK(Tabella3[[#This Row],[6-days moving avg]]))</f>
        <v>0</v>
      </c>
      <c r="AH155" s="10"/>
      <c r="AI155" s="10">
        <f>Tabella3[[#This Row],[rest of Italy data]]*NOT(ISBLANK(Tabella3[[#This Row],[rest of Italy data]]))</f>
        <v>0</v>
      </c>
      <c r="AJ155" s="77">
        <f>Tabella8[[#This Row],[rest of Italy fit]]</f>
        <v>166936.45487620286</v>
      </c>
      <c r="AK155" s="72">
        <f>Tabella3[[#This Row],[rest of Italy cumul. fit]]/Ka</f>
        <v>0.77274663183910963</v>
      </c>
      <c r="AL155" s="72">
        <f>IFERROR(Ka*psi_a*_xlfn.SECH(psi_a*(Tabella3[[#This Row],[Day]]-pa)-phi_a)^2/(1+TANH(phi_a)),0)</f>
        <v>1900.828983254296</v>
      </c>
      <c r="AM155" s="72">
        <f>Tabella3[[#This Row],[rest of Italy fit]]/y_a_peak</f>
        <v>0.66420951188407984</v>
      </c>
      <c r="AN155" s="10">
        <f>Tabella3[[#This Row],[rest of Italy fit]]*NOT(ISBLANK(Tabella3[[#This Row],[rest of Italy data]]))</f>
        <v>0</v>
      </c>
    </row>
    <row r="156" spans="2:40" x14ac:dyDescent="0.3">
      <c r="B156" s="9">
        <v>43979</v>
      </c>
      <c r="C156" s="4">
        <v>149</v>
      </c>
      <c r="E156" s="10"/>
      <c r="F156" s="10">
        <f>Tabella3[[#This Row],[Italy remov. rate data]]*NOT(ISBLANK(Tabella3[[#This Row],[Italy remov. rate data]]))</f>
        <v>0</v>
      </c>
      <c r="G156" s="77">
        <f>Tabella8[[#This Row],[Italy fit]]</f>
        <v>176436.64451847816</v>
      </c>
      <c r="H156" s="77">
        <f>Tabella3[[#This Row],[Italy cumul. fit]]/Kf</f>
        <v>0.78416286452656958</v>
      </c>
      <c r="I156" s="77">
        <f>Tabella3[[#This Row],[region fit]]+Tabella3[[#This Row],[rest of Italy fit]]</f>
        <v>1916.5944002989063</v>
      </c>
      <c r="J156" s="77">
        <f>Tabella3[[#This Row],[Italy (fit of selected region + fitted sum of the other regions)]]/(y_l_peak+y_a_peak)</f>
        <v>0.63895200679739561</v>
      </c>
      <c r="K156" s="72">
        <f>IFERROR(Kf*psi_f*_xlfn.SECH(psi_f*(Tabella3[[#This Row],[Day]]-pf)-phi_f)^2/(1+TANH(phi_f)),0)</f>
        <v>1919.4306141121003</v>
      </c>
      <c r="L156" s="292">
        <f>Tabella3[[#This Row],[Italy remov. rate fit]]-Tabella3[[#This Row],[Italy remov. rate data]]</f>
        <v>1919.4306141121003</v>
      </c>
      <c r="M156" s="293">
        <f>Tabella3[[#This Row],[rem. rate residuals]]*NOT(ISBLANK(Tabella3[[#This Row],[Italy remov. rate data]]))</f>
        <v>0</v>
      </c>
      <c r="N156" s="72">
        <f>Tabella3[[#This Row],[Italy remov. rate fit]]/y_f_peak</f>
        <v>0.63951048569247437</v>
      </c>
      <c r="O156" s="10">
        <f>Tabella3[[#This Row],[Italy (fit of selected region + fitted sum of the other regions)]]*NOT(ISBLANK(Tabella3[[#This Row],[Italy remov. rate data]]))</f>
        <v>0</v>
      </c>
      <c r="P156" s="10">
        <f>Tabella3[[#This Row],[Italy remov. rate fit]]*NOT(ISBLANK(Tabella3[[#This Row],[Italy remov. rate data]]))</f>
        <v>0</v>
      </c>
      <c r="Q156" s="72"/>
      <c r="R156" s="72"/>
      <c r="T156" s="10"/>
      <c r="U156" s="10">
        <f>Tabella3[[#This Row],[region data]]*NOT(ISBLANK(Tabella3[[#This Row],[region data]]))</f>
        <v>0</v>
      </c>
      <c r="V156"/>
      <c r="W156" s="72">
        <f>Tabella3[[#This Row],[6-days moving avg]]*NOT(ISBLANK(Tabella3[[#This Row],[6-days moving avg]]))</f>
        <v>0</v>
      </c>
      <c r="X156" s="77">
        <f>Tabella8[[#This Row],[region fit]]</f>
        <v>7517.8969461147954</v>
      </c>
      <c r="Y156" s="72">
        <f>Tabella3[[#This Row],[region cumul. fit]]/Kl</f>
        <v>0.8381156015735558</v>
      </c>
      <c r="Z156" s="72">
        <f>IFERROR(Kl*psi_l*_xlfn.SECH(psi_l*(Tabella3[[#This Row],[Day]]-pl)-phi_l)^2/(1+TANH(phi_l)),0)</f>
        <v>69.738264786763963</v>
      </c>
      <c r="AA156" s="72">
        <f>Tabella3[[#This Row],[region fit]]/y_l_peak</f>
        <v>0.50608585372100801</v>
      </c>
      <c r="AB156" s="10">
        <f>Tabella3[[#This Row],[region fit]]*NOT(ISBLANK(Tabella3[[#This Row],[region data]]))</f>
        <v>0</v>
      </c>
      <c r="AC156" s="166">
        <f>IFERROR(kl_m*psi_l_m*_xlfn.SECH(psi_l_m*(Tabella3[[#This Row],[Day]]-pl_m)-phi_l_m)^2/(1+TANH(phi_l_m)),0)</f>
        <v>69.738264786763963</v>
      </c>
      <c r="AD156" s="72">
        <f>Tabella3[[#This Row],[6-days moving avg fit]]*NOT(ISBLANK(Tabella3[[#This Row],[6-days moving avg]]))</f>
        <v>0</v>
      </c>
      <c r="AH156" s="10"/>
      <c r="AI156" s="10">
        <f>Tabella3[[#This Row],[rest of Italy data]]*NOT(ISBLANK(Tabella3[[#This Row],[rest of Italy data]]))</f>
        <v>0</v>
      </c>
      <c r="AJ156" s="77">
        <f>Tabella8[[#This Row],[rest of Italy fit]]</f>
        <v>168810.29075681017</v>
      </c>
      <c r="AK156" s="72">
        <f>Tabella3[[#This Row],[rest of Italy cumul. fit]]/Ka</f>
        <v>0.78142059323617163</v>
      </c>
      <c r="AL156" s="72">
        <f>IFERROR(Ka*psi_a*_xlfn.SECH(psi_a*(Tabella3[[#This Row],[Day]]-pa)-phi_a)^2/(1+TANH(phi_a)),0)</f>
        <v>1846.8561355121424</v>
      </c>
      <c r="AM156" s="72">
        <f>Tabella3[[#This Row],[rest of Italy fit]]/y_a_peak</f>
        <v>0.64534969904997941</v>
      </c>
      <c r="AN156" s="10">
        <f>Tabella3[[#This Row],[rest of Italy fit]]*NOT(ISBLANK(Tabella3[[#This Row],[rest of Italy data]]))</f>
        <v>0</v>
      </c>
    </row>
    <row r="157" spans="2:40" x14ac:dyDescent="0.3">
      <c r="B157" s="9">
        <v>43980</v>
      </c>
      <c r="C157" s="4">
        <v>150</v>
      </c>
      <c r="E157" s="10"/>
      <c r="F157" s="10">
        <f>Tabella3[[#This Row],[Italy remov. rate data]]*NOT(ISBLANK(Tabella3[[#This Row],[Italy remov. rate data]]))</f>
        <v>0</v>
      </c>
      <c r="G157" s="77">
        <f>Tabella8[[#This Row],[Italy fit]]</f>
        <v>178327.65106056517</v>
      </c>
      <c r="H157" s="77">
        <f>Tabella3[[#This Row],[Italy cumul. fit]]/Kf</f>
        <v>0.79256733804695634</v>
      </c>
      <c r="I157" s="77">
        <f>Tabella3[[#This Row],[region fit]]+Tabella3[[#This Row],[rest of Italy fit]]</f>
        <v>1860.0256749014231</v>
      </c>
      <c r="J157" s="77">
        <f>Tabella3[[#This Row],[Italy (fit of selected region + fitted sum of the other regions)]]/(y_l_peak+y_a_peak)</f>
        <v>0.62009319107245364</v>
      </c>
      <c r="K157" s="72">
        <f>IFERROR(Kf*psi_f*_xlfn.SECH(psi_f*(Tabella3[[#This Row],[Day]]-pf)-phi_f)^2/(1+TANH(phi_f)),0)</f>
        <v>1862.6246817079493</v>
      </c>
      <c r="L157" s="292">
        <f>Tabella3[[#This Row],[Italy remov. rate fit]]-Tabella3[[#This Row],[Italy remov. rate data]]</f>
        <v>1862.6246817079493</v>
      </c>
      <c r="M157" s="293">
        <f>Tabella3[[#This Row],[rem. rate residuals]]*NOT(ISBLANK(Tabella3[[#This Row],[Italy remov. rate data]]))</f>
        <v>0</v>
      </c>
      <c r="N157" s="72">
        <f>Tabella3[[#This Row],[Italy remov. rate fit]]/y_f_peak</f>
        <v>0.62058404513510246</v>
      </c>
      <c r="O157" s="10">
        <f>Tabella3[[#This Row],[Italy (fit of selected region + fitted sum of the other regions)]]*NOT(ISBLANK(Tabella3[[#This Row],[Italy remov. rate data]]))</f>
        <v>0</v>
      </c>
      <c r="P157" s="10">
        <f>Tabella3[[#This Row],[Italy remov. rate fit]]*NOT(ISBLANK(Tabella3[[#This Row],[Italy remov. rate data]]))</f>
        <v>0</v>
      </c>
      <c r="Q157" s="72"/>
      <c r="R157" s="72"/>
      <c r="T157" s="10"/>
      <c r="U157" s="10">
        <f>Tabella3[[#This Row],[region data]]*NOT(ISBLANK(Tabella3[[#This Row],[region data]]))</f>
        <v>0</v>
      </c>
      <c r="V157"/>
      <c r="W157" s="72">
        <f>Tabella3[[#This Row],[6-days moving avg]]*NOT(ISBLANK(Tabella3[[#This Row],[6-days moving avg]]))</f>
        <v>0</v>
      </c>
      <c r="X157" s="77">
        <f>Tabella8[[#This Row],[region fit]]</f>
        <v>7586.2619813356705</v>
      </c>
      <c r="Y157" s="72">
        <f>Tabella3[[#This Row],[region cumul. fit]]/Kl</f>
        <v>0.8457371216650692</v>
      </c>
      <c r="Z157" s="72">
        <f>IFERROR(Kl*psi_l*_xlfn.SECH(psi_l*(Tabella3[[#This Row],[Day]]-pl)-phi_l)^2/(1+TANH(phi_l)),0)</f>
        <v>67.001078462812515</v>
      </c>
      <c r="AA157" s="72">
        <f>Tabella3[[#This Row],[region fit]]/y_l_peak</f>
        <v>0.48622227836842269</v>
      </c>
      <c r="AB157" s="10">
        <f>Tabella3[[#This Row],[region fit]]*NOT(ISBLANK(Tabella3[[#This Row],[region data]]))</f>
        <v>0</v>
      </c>
      <c r="AC157" s="166">
        <f>IFERROR(kl_m*psi_l_m*_xlfn.SECH(psi_l_m*(Tabella3[[#This Row],[Day]]-pl_m)-phi_l_m)^2/(1+TANH(phi_l_m)),0)</f>
        <v>67.001078462812515</v>
      </c>
      <c r="AD157" s="72">
        <f>Tabella3[[#This Row],[6-days moving avg fit]]*NOT(ISBLANK(Tabella3[[#This Row],[6-days moving avg]]))</f>
        <v>0</v>
      </c>
      <c r="AH157" s="10"/>
      <c r="AI157" s="10">
        <f>Tabella3[[#This Row],[rest of Italy data]]*NOT(ISBLANK(Tabella3[[#This Row],[rest of Italy data]]))</f>
        <v>0</v>
      </c>
      <c r="AJ157" s="77">
        <f>Tabella8[[#This Row],[rest of Italy fit]]</f>
        <v>170630.21433502639</v>
      </c>
      <c r="AK157" s="72">
        <f>Tabella3[[#This Row],[rest of Italy cumul. fit]]/Ka</f>
        <v>0.78984499530170071</v>
      </c>
      <c r="AL157" s="72">
        <f>IFERROR(Ka*psi_a*_xlfn.SECH(psi_a*(Tabella3[[#This Row],[Day]]-pa)-phi_a)^2/(1+TANH(phi_a)),0)</f>
        <v>1793.0245964386106</v>
      </c>
      <c r="AM157" s="72">
        <f>Tabella3[[#This Row],[rest of Italy fit]]/y_a_peak</f>
        <v>0.62653926391510228</v>
      </c>
      <c r="AN157" s="10">
        <f>Tabella3[[#This Row],[rest of Italy fit]]*NOT(ISBLANK(Tabella3[[#This Row],[rest of Italy data]]))</f>
        <v>0</v>
      </c>
    </row>
    <row r="158" spans="2:40" x14ac:dyDescent="0.3">
      <c r="B158" s="9">
        <v>43981</v>
      </c>
      <c r="C158" s="4">
        <v>151</v>
      </c>
      <c r="E158" s="10"/>
      <c r="F158" s="10">
        <f>Tabella3[[#This Row],[Italy remov. rate data]]*NOT(ISBLANK(Tabella3[[#This Row],[Italy remov. rate data]]))</f>
        <v>0</v>
      </c>
      <c r="G158" s="77">
        <f>Tabella8[[#This Row],[Italy fit]]</f>
        <v>180161.99844329598</v>
      </c>
      <c r="H158" s="77">
        <f>Tabella3[[#This Row],[Italy cumul. fit]]/Kf</f>
        <v>0.80071999308131547</v>
      </c>
      <c r="I158" s="77">
        <f>Tabella3[[#This Row],[region fit]]+Tabella3[[#This Row],[rest of Italy fit]]</f>
        <v>1803.7733644535429</v>
      </c>
      <c r="J158" s="77">
        <f>Tabella3[[#This Row],[Italy (fit of selected region + fitted sum of the other regions)]]/(y_l_peak+y_a_peak)</f>
        <v>0.60133986139453233</v>
      </c>
      <c r="K158" s="72">
        <f>IFERROR(Kf*psi_f*_xlfn.SECH(psi_f*(Tabella3[[#This Row],[Day]]-pf)-phi_f)^2/(1+TANH(phi_f)),0)</f>
        <v>1806.1321505969261</v>
      </c>
      <c r="L158" s="292">
        <f>Tabella3[[#This Row],[Italy remov. rate fit]]-Tabella3[[#This Row],[Italy remov. rate data]]</f>
        <v>1806.1321505969261</v>
      </c>
      <c r="M158" s="293">
        <f>Tabella3[[#This Row],[rem. rate residuals]]*NOT(ISBLANK(Tabella3[[#This Row],[Italy remov. rate data]]))</f>
        <v>0</v>
      </c>
      <c r="N158" s="72">
        <f>Tabella3[[#This Row],[Italy remov. rate fit]]/y_f_peak</f>
        <v>0.60176202273784085</v>
      </c>
      <c r="O158" s="10">
        <f>Tabella3[[#This Row],[Italy (fit of selected region + fitted sum of the other regions)]]*NOT(ISBLANK(Tabella3[[#This Row],[Italy remov. rate data]]))</f>
        <v>0</v>
      </c>
      <c r="P158" s="10">
        <f>Tabella3[[#This Row],[Italy remov. rate fit]]*NOT(ISBLANK(Tabella3[[#This Row],[Italy remov. rate data]]))</f>
        <v>0</v>
      </c>
      <c r="Q158" s="72"/>
      <c r="R158" s="72"/>
      <c r="T158" s="10"/>
      <c r="U158" s="10">
        <f>Tabella3[[#This Row],[region data]]*NOT(ISBLANK(Tabella3[[#This Row],[region data]]))</f>
        <v>0</v>
      </c>
      <c r="V158"/>
      <c r="W158" s="72">
        <f>Tabella3[[#This Row],[6-days moving avg]]*NOT(ISBLANK(Tabella3[[#This Row],[6-days moving avg]]))</f>
        <v>0</v>
      </c>
      <c r="X158" s="77">
        <f>Tabella8[[#This Row],[region fit]]</f>
        <v>7651.9183276364647</v>
      </c>
      <c r="Y158" s="72">
        <f>Tabella3[[#This Row],[region cumul. fit]]/Kl</f>
        <v>0.85305666974765493</v>
      </c>
      <c r="Z158" s="72">
        <f>IFERROR(Kl*psi_l*_xlfn.SECH(psi_l*(Tabella3[[#This Row],[Day]]-pl)-phi_l)^2/(1+TANH(phi_l)),0)</f>
        <v>64.321546179053598</v>
      </c>
      <c r="AA158" s="72">
        <f>Tabella3[[#This Row],[region fit]]/y_l_peak</f>
        <v>0.46677709447195564</v>
      </c>
      <c r="AB158" s="10">
        <f>Tabella3[[#This Row],[region fit]]*NOT(ISBLANK(Tabella3[[#This Row],[region data]]))</f>
        <v>0</v>
      </c>
      <c r="AC158" s="166">
        <f>IFERROR(kl_m*psi_l_m*_xlfn.SECH(psi_l_m*(Tabella3[[#This Row],[Day]]-pl_m)-phi_l_m)^2/(1+TANH(phi_l_m)),0)</f>
        <v>64.321546179053598</v>
      </c>
      <c r="AD158" s="72">
        <f>Tabella3[[#This Row],[6-days moving avg fit]]*NOT(ISBLANK(Tabella3[[#This Row],[6-days moving avg]]))</f>
        <v>0</v>
      </c>
      <c r="AH158" s="10"/>
      <c r="AI158" s="10">
        <f>Tabella3[[#This Row],[rest of Italy data]]*NOT(ISBLANK(Tabella3[[#This Row],[rest of Italy data]]))</f>
        <v>0</v>
      </c>
      <c r="AJ158" s="77">
        <f>Tabella8[[#This Row],[rest of Italy fit]]</f>
        <v>172396.42629017538</v>
      </c>
      <c r="AK158" s="72">
        <f>Tabella3[[#This Row],[rest of Italy cumul. fit]]/Ka</f>
        <v>0.79802076697762059</v>
      </c>
      <c r="AL158" s="72">
        <f>IFERROR(Ka*psi_a*_xlfn.SECH(psi_a*(Tabella3[[#This Row],[Day]]-pa)-phi_a)^2/(1+TANH(phi_a)),0)</f>
        <v>1739.4518182744894</v>
      </c>
      <c r="AM158" s="72">
        <f>Tabella3[[#This Row],[rest of Italy fit]]/y_a_peak</f>
        <v>0.60781924799144738</v>
      </c>
      <c r="AN158" s="10">
        <f>Tabella3[[#This Row],[rest of Italy fit]]*NOT(ISBLANK(Tabella3[[#This Row],[rest of Italy data]]))</f>
        <v>0</v>
      </c>
    </row>
    <row r="159" spans="2:40" x14ac:dyDescent="0.3">
      <c r="B159" s="9">
        <v>43982</v>
      </c>
      <c r="C159" s="4">
        <v>152</v>
      </c>
      <c r="E159" s="10"/>
      <c r="F159" s="10">
        <f>Tabella3[[#This Row],[Italy remov. rate data]]*NOT(ISBLANK(Tabella3[[#This Row],[Italy remov. rate data]]))</f>
        <v>0</v>
      </c>
      <c r="G159" s="77">
        <f>Tabella8[[#This Row],[Italy fit]]</f>
        <v>181940.05821412909</v>
      </c>
      <c r="H159" s="77">
        <f>Tabella3[[#This Row],[Italy cumul. fit]]/Kf</f>
        <v>0.80862248095168487</v>
      </c>
      <c r="I159" s="77">
        <f>Tabella3[[#This Row],[region fit]]+Tabella3[[#This Row],[rest of Italy fit]]</f>
        <v>1747.9507780262418</v>
      </c>
      <c r="J159" s="77">
        <f>Tabella3[[#This Row],[Italy (fit of selected region + fitted sum of the other regions)]]/(y_l_peak+y_a_peak)</f>
        <v>0.58272979260961766</v>
      </c>
      <c r="K159" s="72">
        <f>IFERROR(Kf*psi_f*_xlfn.SECH(psi_f*(Tabella3[[#This Row],[Day]]-pf)-phi_f)^2/(1+TANH(phi_f)),0)</f>
        <v>1750.0678910101606</v>
      </c>
      <c r="L159" s="292">
        <f>Tabella3[[#This Row],[Italy remov. rate fit]]-Tabella3[[#This Row],[Italy remov. rate data]]</f>
        <v>1750.0678910101606</v>
      </c>
      <c r="M159" s="293">
        <f>Tabella3[[#This Row],[rem. rate residuals]]*NOT(ISBLANK(Tabella3[[#This Row],[Italy remov. rate data]]))</f>
        <v>0</v>
      </c>
      <c r="N159" s="72">
        <f>Tabella3[[#This Row],[Italy remov. rate fit]]/y_f_peak</f>
        <v>0.5830826906407508</v>
      </c>
      <c r="O159" s="10">
        <f>Tabella3[[#This Row],[Italy (fit of selected region + fitted sum of the other regions)]]*NOT(ISBLANK(Tabella3[[#This Row],[Italy remov. rate data]]))</f>
        <v>0</v>
      </c>
      <c r="P159" s="10">
        <f>Tabella3[[#This Row],[Italy remov. rate fit]]*NOT(ISBLANK(Tabella3[[#This Row],[Italy remov. rate data]]))</f>
        <v>0</v>
      </c>
      <c r="Q159" s="72"/>
      <c r="R159" s="72"/>
      <c r="T159" s="10"/>
      <c r="U159" s="10">
        <f>Tabella3[[#This Row],[region data]]*NOT(ISBLANK(Tabella3[[#This Row],[region data]]))</f>
        <v>0</v>
      </c>
      <c r="V159"/>
      <c r="W159" s="72">
        <f>Tabella3[[#This Row],[6-days moving avg]]*NOT(ISBLANK(Tabella3[[#This Row],[6-days moving avg]]))</f>
        <v>0</v>
      </c>
      <c r="X159" s="77">
        <f>Tabella8[[#This Row],[region fit]]</f>
        <v>7714.9255193917006</v>
      </c>
      <c r="Y159" s="72">
        <f>Tabella3[[#This Row],[region cumul. fit]]/Kl</f>
        <v>0.86008088287532891</v>
      </c>
      <c r="Z159" s="72">
        <f>IFERROR(Kl*psi_l*_xlfn.SECH(psi_l*(Tabella3[[#This Row],[Day]]-pl)-phi_l)^2/(1+TANH(phi_l)),0)</f>
        <v>61.703332178724686</v>
      </c>
      <c r="AA159" s="72">
        <f>Tabella3[[#This Row],[region fit]]/y_l_peak</f>
        <v>0.44777689319605241</v>
      </c>
      <c r="AB159" s="10">
        <f>Tabella3[[#This Row],[region fit]]*NOT(ISBLANK(Tabella3[[#This Row],[region data]]))</f>
        <v>0</v>
      </c>
      <c r="AC159" s="166">
        <f>IFERROR(kl_m*psi_l_m*_xlfn.SECH(psi_l_m*(Tabella3[[#This Row],[Day]]-pl_m)-phi_l_m)^2/(1+TANH(phi_l_m)),0)</f>
        <v>61.703332178724686</v>
      </c>
      <c r="AD159" s="72">
        <f>Tabella3[[#This Row],[6-days moving avg fit]]*NOT(ISBLANK(Tabella3[[#This Row],[6-days moving avg]]))</f>
        <v>0</v>
      </c>
      <c r="AH159" s="10"/>
      <c r="AI159" s="10">
        <f>Tabella3[[#This Row],[rest of Italy data]]*NOT(ISBLANK(Tabella3[[#This Row],[rest of Italy data]]))</f>
        <v>0</v>
      </c>
      <c r="AJ159" s="77">
        <f>Tabella8[[#This Row],[rest of Italy fit]]</f>
        <v>174109.24086142046</v>
      </c>
      <c r="AK159" s="72">
        <f>Tabella3[[#This Row],[rest of Italy cumul. fit]]/Ka</f>
        <v>0.80594936287284391</v>
      </c>
      <c r="AL159" s="72">
        <f>IFERROR(Ka*psi_a*_xlfn.SECH(psi_a*(Tabella3[[#This Row],[Day]]-pa)-phi_a)^2/(1+TANH(phi_a)),0)</f>
        <v>1686.2474458475172</v>
      </c>
      <c r="AM159" s="72">
        <f>Tabella3[[#This Row],[rest of Italy fit]]/y_a_peak</f>
        <v>0.58922796463500549</v>
      </c>
      <c r="AN159" s="10">
        <f>Tabella3[[#This Row],[rest of Italy fit]]*NOT(ISBLANK(Tabella3[[#This Row],[rest of Italy data]]))</f>
        <v>0</v>
      </c>
    </row>
    <row r="160" spans="2:40" x14ac:dyDescent="0.3">
      <c r="B160" s="9">
        <v>43983</v>
      </c>
      <c r="C160" s="4">
        <v>153</v>
      </c>
      <c r="E160" s="10"/>
      <c r="F160" s="10">
        <f>Tabella3[[#This Row],[Italy remov. rate data]]*NOT(ISBLANK(Tabella3[[#This Row],[Italy remov. rate data]]))</f>
        <v>0</v>
      </c>
      <c r="G160" s="77">
        <f>Tabella8[[#This Row],[Italy fit]]</f>
        <v>183662.31251497279</v>
      </c>
      <c r="H160" s="77">
        <f>Tabella3[[#This Row],[Italy cumul. fit]]/Kf</f>
        <v>0.8162769445109902</v>
      </c>
      <c r="I160" s="77">
        <f>Tabella3[[#This Row],[region fit]]+Tabella3[[#This Row],[rest of Italy fit]]</f>
        <v>1692.662755241515</v>
      </c>
      <c r="J160" s="77">
        <f>Tabella3[[#This Row],[Italy (fit of selected region + fitted sum of the other regions)]]/(y_l_peak+y_a_peak)</f>
        <v>0.56429793602866762</v>
      </c>
      <c r="K160" s="72">
        <f>IFERROR(Kf*psi_f*_xlfn.SECH(psi_f*(Tabella3[[#This Row],[Day]]-pf)-phi_f)^2/(1+TANH(phi_f)),0)</f>
        <v>1694.538214673204</v>
      </c>
      <c r="L160" s="292">
        <f>Tabella3[[#This Row],[Italy remov. rate fit]]-Tabella3[[#This Row],[Italy remov. rate data]]</f>
        <v>1694.538214673204</v>
      </c>
      <c r="M160" s="293">
        <f>Tabella3[[#This Row],[rem. rate residuals]]*NOT(ISBLANK(Tabella3[[#This Row],[Italy remov. rate data]]))</f>
        <v>0</v>
      </c>
      <c r="N160" s="72">
        <f>Tabella3[[#This Row],[Italy remov. rate fit]]/y_f_peak</f>
        <v>0.56458146948511123</v>
      </c>
      <c r="O160" s="10">
        <f>Tabella3[[#This Row],[Italy (fit of selected region + fitted sum of the other regions)]]*NOT(ISBLANK(Tabella3[[#This Row],[Italy remov. rate data]]))</f>
        <v>0</v>
      </c>
      <c r="P160" s="10">
        <f>Tabella3[[#This Row],[Italy remov. rate fit]]*NOT(ISBLANK(Tabella3[[#This Row],[Italy remov. rate data]]))</f>
        <v>0</v>
      </c>
      <c r="Q160" s="72"/>
      <c r="R160" s="72"/>
      <c r="T160" s="10"/>
      <c r="U160" s="10">
        <f>Tabella3[[#This Row],[region data]]*NOT(ISBLANK(Tabella3[[#This Row],[region data]]))</f>
        <v>0</v>
      </c>
      <c r="V160"/>
      <c r="W160" s="72">
        <f>Tabella3[[#This Row],[6-days moving avg]]*NOT(ISBLANK(Tabella3[[#This Row],[6-days moving avg]]))</f>
        <v>0</v>
      </c>
      <c r="X160" s="77">
        <f>Tabella8[[#This Row],[region fit]]</f>
        <v>7775.3464707594485</v>
      </c>
      <c r="Y160" s="72">
        <f>Tabella3[[#This Row],[region cumul. fit]]/Kl</f>
        <v>0.86681677488957065</v>
      </c>
      <c r="Z160" s="72">
        <f>IFERROR(Kl*psi_l*_xlfn.SECH(psi_l*(Tabella3[[#This Row],[Day]]-pl)-phi_l)^2/(1+TANH(phi_l)),0)</f>
        <v>59.149536682985598</v>
      </c>
      <c r="AA160" s="72">
        <f>Tabella3[[#This Row],[region fit]]/y_l_peak</f>
        <v>0.42924417263522652</v>
      </c>
      <c r="AB160" s="10">
        <f>Tabella3[[#This Row],[region fit]]*NOT(ISBLANK(Tabella3[[#This Row],[region data]]))</f>
        <v>0</v>
      </c>
      <c r="AC160" s="166">
        <f>IFERROR(kl_m*psi_l_m*_xlfn.SECH(psi_l_m*(Tabella3[[#This Row],[Day]]-pl_m)-phi_l_m)^2/(1+TANH(phi_l_m)),0)</f>
        <v>59.149536682985598</v>
      </c>
      <c r="AD160" s="72">
        <f>Tabella3[[#This Row],[6-days moving avg fit]]*NOT(ISBLANK(Tabella3[[#This Row],[6-days moving avg]]))</f>
        <v>0</v>
      </c>
      <c r="AH160" s="10"/>
      <c r="AI160" s="10">
        <f>Tabella3[[#This Row],[rest of Italy data]]*NOT(ISBLANK(Tabella3[[#This Row],[rest of Italy data]]))</f>
        <v>0</v>
      </c>
      <c r="AJ160" s="77">
        <f>Tabella8[[#This Row],[rest of Italy fit]]</f>
        <v>175769.07798513584</v>
      </c>
      <c r="AK160" s="72">
        <f>Tabella3[[#This Row],[rest of Italy cumul. fit]]/Ka</f>
        <v>0.81363272686726773</v>
      </c>
      <c r="AL160" s="72">
        <f>IFERROR(Ka*psi_a*_xlfn.SECH(psi_a*(Tabella3[[#This Row],[Day]]-pa)-phi_a)^2/(1+TANH(phi_a)),0)</f>
        <v>1633.5132185585294</v>
      </c>
      <c r="AM160" s="72">
        <f>Tabella3[[#This Row],[rest of Italy fit]]/y_a_peak</f>
        <v>0.57080096479663189</v>
      </c>
      <c r="AN160" s="10">
        <f>Tabella3[[#This Row],[rest of Italy fit]]*NOT(ISBLANK(Tabella3[[#This Row],[rest of Italy data]]))</f>
        <v>0</v>
      </c>
    </row>
    <row r="161" spans="2:40" x14ac:dyDescent="0.3">
      <c r="B161" s="9">
        <v>43984</v>
      </c>
      <c r="C161" s="4">
        <v>154</v>
      </c>
      <c r="E161" s="10"/>
      <c r="F161" s="10">
        <f>Tabella3[[#This Row],[Italy remov. rate data]]*NOT(ISBLANK(Tabella3[[#This Row],[Italy remov. rate data]]))</f>
        <v>0</v>
      </c>
      <c r="G161" s="77">
        <f>Tabella8[[#This Row],[Italy fit]]</f>
        <v>185329.34551519627</v>
      </c>
      <c r="H161" s="77">
        <f>Tabella3[[#This Row],[Italy cumul. fit]]/Kf</f>
        <v>0.82368598006753901</v>
      </c>
      <c r="I161" s="77">
        <f>Tabella3[[#This Row],[region fit]]+Tabella3[[#This Row],[rest of Italy fit]]</f>
        <v>1638.0056701790982</v>
      </c>
      <c r="J161" s="77">
        <f>Tabella3[[#This Row],[Italy (fit of selected region + fitted sum of the other regions)]]/(y_l_peak+y_a_peak)</f>
        <v>0.54607642073003126</v>
      </c>
      <c r="K161" s="72">
        <f>IFERROR(Kf*psi_f*_xlfn.SECH(psi_f*(Tabella3[[#This Row],[Day]]-pf)-phi_f)^2/(1+TANH(phi_f)),0)</f>
        <v>1639.640869948252</v>
      </c>
      <c r="L161" s="292">
        <f>Tabella3[[#This Row],[Italy remov. rate fit]]-Tabella3[[#This Row],[Italy remov. rate data]]</f>
        <v>1639.640869948252</v>
      </c>
      <c r="M161" s="293">
        <f>Tabella3[[#This Row],[rem. rate residuals]]*NOT(ISBLANK(Tabella3[[#This Row],[Italy remov. rate data]]))</f>
        <v>0</v>
      </c>
      <c r="N161" s="72">
        <f>Tabella3[[#This Row],[Italy remov. rate fit]]/y_f_peak</f>
        <v>0.54629092679491797</v>
      </c>
      <c r="O161" s="10">
        <f>Tabella3[[#This Row],[Italy (fit of selected region + fitted sum of the other regions)]]*NOT(ISBLANK(Tabella3[[#This Row],[Italy remov. rate data]]))</f>
        <v>0</v>
      </c>
      <c r="P161" s="10">
        <f>Tabella3[[#This Row],[Italy remov. rate fit]]*NOT(ISBLANK(Tabella3[[#This Row],[Italy remov. rate data]]))</f>
        <v>0</v>
      </c>
      <c r="Q161" s="72"/>
      <c r="R161" s="72"/>
      <c r="T161" s="10"/>
      <c r="U161" s="10">
        <f>Tabella3[[#This Row],[region data]]*NOT(ISBLANK(Tabella3[[#This Row],[region data]]))</f>
        <v>0</v>
      </c>
      <c r="V161"/>
      <c r="W161" s="72">
        <f>Tabella3[[#This Row],[6-days moving avg]]*NOT(ISBLANK(Tabella3[[#This Row],[6-days moving avg]]))</f>
        <v>0</v>
      </c>
      <c r="X161" s="77">
        <f>Tabella8[[#This Row],[region fit]]</f>
        <v>7833.2469267206725</v>
      </c>
      <c r="Y161" s="72">
        <f>Tabella3[[#This Row],[region cumul. fit]]/Kl</f>
        <v>0.87327167521969595</v>
      </c>
      <c r="Z161" s="72">
        <f>IFERROR(Kl*psi_l*_xlfn.SECH(psi_l*(Tabella3[[#This Row],[Day]]-pl)-phi_l)^2/(1+TANH(phi_l)),0)</f>
        <v>56.66272636098499</v>
      </c>
      <c r="AA161" s="72">
        <f>Tabella3[[#This Row],[region fit]]/y_l_peak</f>
        <v>0.41119755893326415</v>
      </c>
      <c r="AB161" s="10">
        <f>Tabella3[[#This Row],[region fit]]*NOT(ISBLANK(Tabella3[[#This Row],[region data]]))</f>
        <v>0</v>
      </c>
      <c r="AC161" s="166">
        <f>IFERROR(kl_m*psi_l_m*_xlfn.SECH(psi_l_m*(Tabella3[[#This Row],[Day]]-pl_m)-phi_l_m)^2/(1+TANH(phi_l_m)),0)</f>
        <v>56.66272636098499</v>
      </c>
      <c r="AD161" s="72">
        <f>Tabella3[[#This Row],[6-days moving avg fit]]*NOT(ISBLANK(Tabella3[[#This Row],[6-days moving avg]]))</f>
        <v>0</v>
      </c>
      <c r="AH161" s="10"/>
      <c r="AI161" s="10">
        <f>Tabella3[[#This Row],[rest of Italy data]]*NOT(ISBLANK(Tabella3[[#This Row],[rest of Italy data]]))</f>
        <v>0</v>
      </c>
      <c r="AJ161" s="77">
        <f>Tabella8[[#This Row],[rest of Italy fit]]</f>
        <v>177376.45537050249</v>
      </c>
      <c r="AK161" s="72">
        <f>Tabella3[[#This Row],[rest of Italy cumul. fit]]/Ka</f>
        <v>0.82107325542981291</v>
      </c>
      <c r="AL161" s="72">
        <f>IFERROR(Ka*psi_a*_xlfn.SECH(psi_a*(Tabella3[[#This Row],[Day]]-pa)-phi_a)^2/(1+TANH(phi_a)),0)</f>
        <v>1581.3429438181131</v>
      </c>
      <c r="AM161" s="72">
        <f>Tabella3[[#This Row],[rest of Italy fit]]/y_a_peak</f>
        <v>0.55257102773997757</v>
      </c>
      <c r="AN161" s="10">
        <f>Tabella3[[#This Row],[rest of Italy fit]]*NOT(ISBLANK(Tabella3[[#This Row],[rest of Italy data]]))</f>
        <v>0</v>
      </c>
    </row>
    <row r="162" spans="2:40" x14ac:dyDescent="0.3">
      <c r="B162" s="9">
        <v>43985</v>
      </c>
      <c r="C162" s="4">
        <v>155</v>
      </c>
      <c r="E162" s="10"/>
      <c r="F162" s="10">
        <f>Tabella3[[#This Row],[Italy remov. rate data]]*NOT(ISBLANK(Tabella3[[#This Row],[Italy remov. rate data]]))</f>
        <v>0</v>
      </c>
      <c r="G162" s="77">
        <f>Tabella8[[#This Row],[Italy fit]]</f>
        <v>186941.83487491793</v>
      </c>
      <c r="H162" s="77">
        <f>Tabella3[[#This Row],[Italy cumul. fit]]/Kf</f>
        <v>0.83085259944407963</v>
      </c>
      <c r="I162" s="77">
        <f>Tabella3[[#This Row],[region fit]]+Tabella3[[#This Row],[rest of Italy fit]]</f>
        <v>1584.0675021844168</v>
      </c>
      <c r="J162" s="77">
        <f>Tabella3[[#This Row],[Italy (fit of selected region + fitted sum of the other regions)]]/(y_l_peak+y_a_peak)</f>
        <v>0.52809457716531993</v>
      </c>
      <c r="K162" s="72">
        <f>IFERROR(Kf*psi_f*_xlfn.SECH(psi_f*(Tabella3[[#This Row],[Day]]-pf)-phi_f)^2/(1+TANH(phi_f)),0)</f>
        <v>1585.465106048995</v>
      </c>
      <c r="L162" s="292">
        <f>Tabella3[[#This Row],[Italy remov. rate fit]]-Tabella3[[#This Row],[Italy remov. rate data]]</f>
        <v>1585.465106048995</v>
      </c>
      <c r="M162" s="293">
        <f>Tabella3[[#This Row],[rem. rate residuals]]*NOT(ISBLANK(Tabella3[[#This Row],[Italy remov. rate data]]))</f>
        <v>0</v>
      </c>
      <c r="N162" s="72">
        <f>Tabella3[[#This Row],[Italy remov. rate fit]]/y_f_peak</f>
        <v>0.52824079837180682</v>
      </c>
      <c r="O162" s="10">
        <f>Tabella3[[#This Row],[Italy (fit of selected region + fitted sum of the other regions)]]*NOT(ISBLANK(Tabella3[[#This Row],[Italy remov. rate data]]))</f>
        <v>0</v>
      </c>
      <c r="P162" s="10">
        <f>Tabella3[[#This Row],[Italy remov. rate fit]]*NOT(ISBLANK(Tabella3[[#This Row],[Italy remov. rate data]]))</f>
        <v>0</v>
      </c>
      <c r="Q162" s="72"/>
      <c r="R162" s="72"/>
      <c r="T162" s="10"/>
      <c r="U162" s="10">
        <f>Tabella3[[#This Row],[region data]]*NOT(ISBLANK(Tabella3[[#This Row],[region data]]))</f>
        <v>0</v>
      </c>
      <c r="V162"/>
      <c r="W162" s="72">
        <f>Tabella3[[#This Row],[6-days moving avg]]*NOT(ISBLANK(Tabella3[[#This Row],[6-days moving avg]]))</f>
        <v>0</v>
      </c>
      <c r="X162" s="77">
        <f>Tabella8[[#This Row],[region fit]]</f>
        <v>7888.694945521891</v>
      </c>
      <c r="Y162" s="72">
        <f>Tabella3[[#This Row],[region cumul. fit]]/Kl</f>
        <v>0.87945317118415733</v>
      </c>
      <c r="Z162" s="72">
        <f>IFERROR(Kl*psi_l*_xlfn.SECH(psi_l*(Tabella3[[#This Row],[Day]]-pl)-phi_l)^2/(1+TANH(phi_l)),0)</f>
        <v>54.244966560081032</v>
      </c>
      <c r="AA162" s="72">
        <f>Tabella3[[#This Row],[region fit]]/y_l_peak</f>
        <v>0.39365204017574773</v>
      </c>
      <c r="AB162" s="10">
        <f>Tabella3[[#This Row],[region fit]]*NOT(ISBLANK(Tabella3[[#This Row],[region data]]))</f>
        <v>0</v>
      </c>
      <c r="AC162" s="166">
        <f>IFERROR(kl_m*psi_l_m*_xlfn.SECH(psi_l_m*(Tabella3[[#This Row],[Day]]-pl_m)-phi_l_m)^2/(1+TANH(phi_l_m)),0)</f>
        <v>54.244966560081032</v>
      </c>
      <c r="AD162" s="72">
        <f>Tabella3[[#This Row],[6-days moving avg fit]]*NOT(ISBLANK(Tabella3[[#This Row],[6-days moving avg]]))</f>
        <v>0</v>
      </c>
      <c r="AH162" s="10"/>
      <c r="AI162" s="10">
        <f>Tabella3[[#This Row],[rest of Italy data]]*NOT(ISBLANK(Tabella3[[#This Row],[rest of Italy data]]))</f>
        <v>0</v>
      </c>
      <c r="AJ162" s="77">
        <f>Tabella8[[#This Row],[rest of Italy fit]]</f>
        <v>178931.98058164772</v>
      </c>
      <c r="AK162" s="72">
        <f>Tabella3[[#This Row],[rest of Italy cumul. fit]]/Ka</f>
        <v>0.82827376096675331</v>
      </c>
      <c r="AL162" s="72">
        <f>IFERROR(Ka*psi_a*_xlfn.SECH(psi_a*(Tabella3[[#This Row],[Day]]-pa)-phi_a)^2/(1+TANH(phi_a)),0)</f>
        <v>1529.8225356243356</v>
      </c>
      <c r="AM162" s="72">
        <f>Tabella3[[#This Row],[rest of Italy fit]]/y_a_peak</f>
        <v>0.53456817452176175</v>
      </c>
      <c r="AN162" s="10">
        <f>Tabella3[[#This Row],[rest of Italy fit]]*NOT(ISBLANK(Tabella3[[#This Row],[rest of Italy data]]))</f>
        <v>0</v>
      </c>
    </row>
    <row r="163" spans="2:40" x14ac:dyDescent="0.3">
      <c r="B163" s="9">
        <v>43986</v>
      </c>
      <c r="C163" s="4">
        <v>156</v>
      </c>
      <c r="E163" s="10"/>
      <c r="F163" s="10">
        <f>Tabella3[[#This Row],[Italy remov. rate data]]*NOT(ISBLANK(Tabella3[[#This Row],[Italy remov. rate data]]))</f>
        <v>0</v>
      </c>
      <c r="G163" s="77">
        <f>Tabella8[[#This Row],[Italy fit]]</f>
        <v>188500.54330402554</v>
      </c>
      <c r="H163" s="77">
        <f>Tabella3[[#This Row],[Italy cumul. fit]]/Kf</f>
        <v>0.8377801924623357</v>
      </c>
      <c r="I163" s="77">
        <f>Tabella3[[#This Row],[region fit]]+Tabella3[[#This Row],[rest of Italy fit]]</f>
        <v>1530.9279664436108</v>
      </c>
      <c r="J163" s="77">
        <f>Tabella3[[#This Row],[Italy (fit of selected region + fitted sum of the other regions)]]/(y_l_peak+y_a_peak)</f>
        <v>0.51037898069035659</v>
      </c>
      <c r="K163" s="72">
        <f>IFERROR(Kf*psi_f*_xlfn.SECH(psi_f*(Tabella3[[#This Row],[Day]]-pf)-phi_f)^2/(1+TANH(phi_f)),0)</f>
        <v>1532.0917990701901</v>
      </c>
      <c r="L163" s="292">
        <f>Tabella3[[#This Row],[Italy remov. rate fit]]-Tabella3[[#This Row],[Italy remov. rate data]]</f>
        <v>1532.0917990701901</v>
      </c>
      <c r="M163" s="293">
        <f>Tabella3[[#This Row],[rem. rate residuals]]*NOT(ISBLANK(Tabella3[[#This Row],[Italy remov. rate data]]))</f>
        <v>0</v>
      </c>
      <c r="N163" s="72">
        <f>Tabella3[[#This Row],[Italy remov. rate fit]]/y_f_peak</f>
        <v>0.51045803028523107</v>
      </c>
      <c r="O163" s="10">
        <f>Tabella3[[#This Row],[Italy (fit of selected region + fitted sum of the other regions)]]*NOT(ISBLANK(Tabella3[[#This Row],[Italy remov. rate data]]))</f>
        <v>0</v>
      </c>
      <c r="P163" s="10">
        <f>Tabella3[[#This Row],[Italy remov. rate fit]]*NOT(ISBLANK(Tabella3[[#This Row],[Italy remov. rate data]]))</f>
        <v>0</v>
      </c>
      <c r="Q163" s="72"/>
      <c r="R163" s="72"/>
      <c r="T163" s="10"/>
      <c r="U163" s="10">
        <f>Tabella3[[#This Row],[region data]]*NOT(ISBLANK(Tabella3[[#This Row],[region data]]))</f>
        <v>0</v>
      </c>
      <c r="V163"/>
      <c r="W163" s="72">
        <f>Tabella3[[#This Row],[6-days moving avg]]*NOT(ISBLANK(Tabella3[[#This Row],[6-days moving avg]]))</f>
        <v>0</v>
      </c>
      <c r="X163" s="77">
        <f>Tabella8[[#This Row],[region fit]]</f>
        <v>7941.7604139727264</v>
      </c>
      <c r="Y163" s="72">
        <f>Tabella3[[#This Row],[region cumul. fit]]/Kl</f>
        <v>0.88536905395459597</v>
      </c>
      <c r="Z163" s="72">
        <f>IFERROR(Kl*psi_l*_xlfn.SECH(psi_l*(Tabella3[[#This Row],[Day]]-pl)-phi_l)^2/(1+TANH(phi_l)),0)</f>
        <v>51.897854689584868</v>
      </c>
      <c r="AA163" s="72">
        <f>Tabella3[[#This Row],[region fit]]/y_l_peak</f>
        <v>0.37661920865361598</v>
      </c>
      <c r="AB163" s="10">
        <f>Tabella3[[#This Row],[region fit]]*NOT(ISBLANK(Tabella3[[#This Row],[region data]]))</f>
        <v>0</v>
      </c>
      <c r="AC163" s="166">
        <f>IFERROR(kl_m*psi_l_m*_xlfn.SECH(psi_l_m*(Tabella3[[#This Row],[Day]]-pl_m)-phi_l_m)^2/(1+TANH(phi_l_m)),0)</f>
        <v>51.897854689584868</v>
      </c>
      <c r="AD163" s="72">
        <f>Tabella3[[#This Row],[6-days moving avg fit]]*NOT(ISBLANK(Tabella3[[#This Row],[6-days moving avg]]))</f>
        <v>0</v>
      </c>
      <c r="AH163" s="10"/>
      <c r="AI163" s="10">
        <f>Tabella3[[#This Row],[rest of Italy data]]*NOT(ISBLANK(Tabella3[[#This Row],[rest of Italy data]]))</f>
        <v>0</v>
      </c>
      <c r="AJ163" s="77">
        <f>Tabella8[[#This Row],[rest of Italy fit]]</f>
        <v>180436.34318821935</v>
      </c>
      <c r="AK163" s="72">
        <f>Tabella3[[#This Row],[rest of Italy cumul. fit]]/Ka</f>
        <v>0.8352374354868275</v>
      </c>
      <c r="AL163" s="72">
        <f>IFERROR(Ka*psi_a*_xlfn.SECH(psi_a*(Tabella3[[#This Row],[Day]]-pa)-phi_a)^2/(1+TANH(phi_a)),0)</f>
        <v>1479.0301117540259</v>
      </c>
      <c r="AM163" s="72">
        <f>Tabella3[[#This Row],[rest of Italy fit]]/y_a_peak</f>
        <v>0.51681970195346738</v>
      </c>
      <c r="AN163" s="10">
        <f>Tabella3[[#This Row],[rest of Italy fit]]*NOT(ISBLANK(Tabella3[[#This Row],[rest of Italy data]]))</f>
        <v>0</v>
      </c>
    </row>
    <row r="164" spans="2:40" x14ac:dyDescent="0.3">
      <c r="B164" s="9">
        <v>43987</v>
      </c>
      <c r="C164" s="4">
        <v>157</v>
      </c>
      <c r="E164" s="10"/>
      <c r="F164" s="10">
        <f>Tabella3[[#This Row],[Italy remov. rate data]]*NOT(ISBLANK(Tabella3[[#This Row],[Italy remov. rate data]]))</f>
        <v>0</v>
      </c>
      <c r="G164" s="77">
        <f>Tabella8[[#This Row],[Italy fit]]</f>
        <v>190006.31027508716</v>
      </c>
      <c r="H164" s="77">
        <f>Tabella3[[#This Row],[Italy cumul. fit]]/Kf</f>
        <v>0.8444724901114985</v>
      </c>
      <c r="I164" s="77">
        <f>Tabella3[[#This Row],[region fit]]+Tabella3[[#This Row],[rest of Italy fit]]</f>
        <v>1478.6586971709269</v>
      </c>
      <c r="J164" s="77">
        <f>Tabella3[[#This Row],[Italy (fit of selected region + fitted sum of the other regions)]]/(y_l_peak+y_a_peak)</f>
        <v>0.49295351263597514</v>
      </c>
      <c r="K164" s="72">
        <f>IFERROR(Kf*psi_f*_xlfn.SECH(psi_f*(Tabella3[[#This Row],[Day]]-pf)-phi_f)^2/(1+TANH(phi_f)),0)</f>
        <v>1479.5936325262774</v>
      </c>
      <c r="L164" s="292">
        <f>Tabella3[[#This Row],[Italy remov. rate fit]]-Tabella3[[#This Row],[Italy remov. rate data]]</f>
        <v>1479.5936325262774</v>
      </c>
      <c r="M164" s="293">
        <f>Tabella3[[#This Row],[rem. rate residuals]]*NOT(ISBLANK(Tabella3[[#This Row],[Italy remov. rate data]]))</f>
        <v>0</v>
      </c>
      <c r="N164" s="72">
        <f>Tabella3[[#This Row],[Italy remov. rate fit]]/y_f_peak</f>
        <v>0.49296683902380978</v>
      </c>
      <c r="O164" s="10">
        <f>Tabella3[[#This Row],[Italy (fit of selected region + fitted sum of the other regions)]]*NOT(ISBLANK(Tabella3[[#This Row],[Italy remov. rate data]]))</f>
        <v>0</v>
      </c>
      <c r="P164" s="10">
        <f>Tabella3[[#This Row],[Italy remov. rate fit]]*NOT(ISBLANK(Tabella3[[#This Row],[Italy remov. rate data]]))</f>
        <v>0</v>
      </c>
      <c r="Q164" s="72"/>
      <c r="R164" s="72"/>
      <c r="T164" s="10"/>
      <c r="U164" s="10">
        <f>Tabella3[[#This Row],[region data]]*NOT(ISBLANK(Tabella3[[#This Row],[region data]]))</f>
        <v>0</v>
      </c>
      <c r="V164"/>
      <c r="W164" s="72">
        <f>Tabella3[[#This Row],[6-days moving avg]]*NOT(ISBLANK(Tabella3[[#This Row],[6-days moving avg]]))</f>
        <v>0</v>
      </c>
      <c r="X164" s="77">
        <f>Tabella8[[#This Row],[region fit]]</f>
        <v>7992.5145964752137</v>
      </c>
      <c r="Y164" s="72">
        <f>Tabella3[[#This Row],[region cumul. fit]]/Kl</f>
        <v>0.89102726828040291</v>
      </c>
      <c r="Z164" s="72">
        <f>IFERROR(Kl*psi_l*_xlfn.SECH(psi_l*(Tabella3[[#This Row],[Day]]-pl)-phi_l)^2/(1+TANH(phi_l)),0)</f>
        <v>49.622554215526335</v>
      </c>
      <c r="AA164" s="72">
        <f>Tabella3[[#This Row],[region fit]]/y_l_peak</f>
        <v>0.36010750756087134</v>
      </c>
      <c r="AB164" s="10">
        <f>Tabella3[[#This Row],[region fit]]*NOT(ISBLANK(Tabella3[[#This Row],[region data]]))</f>
        <v>0</v>
      </c>
      <c r="AC164" s="166">
        <f>IFERROR(kl_m*psi_l_m*_xlfn.SECH(psi_l_m*(Tabella3[[#This Row],[Day]]-pl_m)-phi_l_m)^2/(1+TANH(phi_l_m)),0)</f>
        <v>49.622554215526335</v>
      </c>
      <c r="AD164" s="72">
        <f>Tabella3[[#This Row],[6-days moving avg fit]]*NOT(ISBLANK(Tabella3[[#This Row],[6-days moving avg]]))</f>
        <v>0</v>
      </c>
      <c r="AH164" s="10"/>
      <c r="AI164" s="10">
        <f>Tabella3[[#This Row],[rest of Italy data]]*NOT(ISBLANK(Tabella3[[#This Row],[rest of Italy data]]))</f>
        <v>0</v>
      </c>
      <c r="AJ164" s="77">
        <f>Tabella8[[#This Row],[rest of Italy fit]]</f>
        <v>181890.30703970249</v>
      </c>
      <c r="AK164" s="72">
        <f>Tabella3[[#This Row],[rest of Italy cumul. fit]]/Ka</f>
        <v>0.84196781483915417</v>
      </c>
      <c r="AL164" s="72">
        <f>IFERROR(Ka*psi_a*_xlfn.SECH(psi_a*(Tabella3[[#This Row],[Day]]-pa)-phi_a)^2/(1+TANH(phi_a)),0)</f>
        <v>1429.0361429554005</v>
      </c>
      <c r="AM164" s="72">
        <f>Tabella3[[#This Row],[rest of Italy fit]]/y_a_peak</f>
        <v>0.49935023473394291</v>
      </c>
      <c r="AN164" s="10">
        <f>Tabella3[[#This Row],[rest of Italy fit]]*NOT(ISBLANK(Tabella3[[#This Row],[rest of Italy data]]))</f>
        <v>0</v>
      </c>
    </row>
    <row r="165" spans="2:40" x14ac:dyDescent="0.3">
      <c r="B165" s="9">
        <v>43988</v>
      </c>
      <c r="C165" s="4">
        <v>158</v>
      </c>
      <c r="E165" s="10"/>
      <c r="F165" s="10">
        <f>Tabella3[[#This Row],[Italy remov. rate data]]*NOT(ISBLANK(Tabella3[[#This Row],[Italy remov. rate data]]))</f>
        <v>0</v>
      </c>
      <c r="G165" s="77">
        <f>Tabella8[[#This Row],[Italy fit]]</f>
        <v>191460.04394103767</v>
      </c>
      <c r="H165" s="77">
        <f>Tabella3[[#This Row],[Italy cumul. fit]]/Kf</f>
        <v>0.85093352862683413</v>
      </c>
      <c r="I165" s="77">
        <f>Tabella3[[#This Row],[region fit]]+Tabella3[[#This Row],[rest of Italy fit]]</f>
        <v>1427.3234763518899</v>
      </c>
      <c r="J165" s="77">
        <f>Tabella3[[#This Row],[Italy (fit of selected region + fitted sum of the other regions)]]/(y_l_peak+y_a_peak)</f>
        <v>0.47583943656615274</v>
      </c>
      <c r="K165" s="72">
        <f>IFERROR(Kf*psi_f*_xlfn.SECH(psi_f*(Tabella3[[#This Row],[Day]]-pf)-phi_f)^2/(1+TANH(phi_f)),0)</f>
        <v>1428.035325171767</v>
      </c>
      <c r="L165" s="292">
        <f>Tabella3[[#This Row],[Italy remov. rate fit]]-Tabella3[[#This Row],[Italy remov. rate data]]</f>
        <v>1428.035325171767</v>
      </c>
      <c r="M165" s="293">
        <f>Tabella3[[#This Row],[rem. rate residuals]]*NOT(ISBLANK(Tabella3[[#This Row],[Italy remov. rate data]]))</f>
        <v>0</v>
      </c>
      <c r="N165" s="72">
        <f>Tabella3[[#This Row],[Italy remov. rate fit]]/y_f_peak</f>
        <v>0.47578878739988212</v>
      </c>
      <c r="O165" s="10">
        <f>Tabella3[[#This Row],[Italy (fit of selected region + fitted sum of the other regions)]]*NOT(ISBLANK(Tabella3[[#This Row],[Italy remov. rate data]]))</f>
        <v>0</v>
      </c>
      <c r="P165" s="10">
        <f>Tabella3[[#This Row],[Italy remov. rate fit]]*NOT(ISBLANK(Tabella3[[#This Row],[Italy remov. rate data]]))</f>
        <v>0</v>
      </c>
      <c r="Q165" s="72"/>
      <c r="R165" s="72"/>
      <c r="T165" s="10"/>
      <c r="U165" s="10">
        <f>Tabella3[[#This Row],[region data]]*NOT(ISBLANK(Tabella3[[#This Row],[region data]]))</f>
        <v>0</v>
      </c>
      <c r="V165"/>
      <c r="W165" s="72">
        <f>Tabella3[[#This Row],[6-days moving avg]]*NOT(ISBLANK(Tabella3[[#This Row],[6-days moving avg]]))</f>
        <v>0</v>
      </c>
      <c r="X165" s="77">
        <f>Tabella8[[#This Row],[region fit]]</f>
        <v>8041.0297181516726</v>
      </c>
      <c r="Y165" s="72">
        <f>Tabella3[[#This Row],[region cumul. fit]]/Kl</f>
        <v>0.89643586601467917</v>
      </c>
      <c r="Z165" s="72">
        <f>IFERROR(Kl*psi_l*_xlfn.SECH(psi_l*(Tabella3[[#This Row],[Day]]-pl)-phi_l)^2/(1+TANH(phi_l)),0)</f>
        <v>47.419828788784017</v>
      </c>
      <c r="AA165" s="72">
        <f>Tabella3[[#This Row],[region fit]]/y_l_peak</f>
        <v>0.34412247866010298</v>
      </c>
      <c r="AB165" s="10">
        <f>Tabella3[[#This Row],[region fit]]*NOT(ISBLANK(Tabella3[[#This Row],[region data]]))</f>
        <v>0</v>
      </c>
      <c r="AC165" s="166">
        <f>IFERROR(kl_m*psi_l_m*_xlfn.SECH(psi_l_m*(Tabella3[[#This Row],[Day]]-pl_m)-phi_l_m)^2/(1+TANH(phi_l_m)),0)</f>
        <v>47.419828788784017</v>
      </c>
      <c r="AD165" s="72">
        <f>Tabella3[[#This Row],[6-days moving avg fit]]*NOT(ISBLANK(Tabella3[[#This Row],[6-days moving avg]]))</f>
        <v>0</v>
      </c>
      <c r="AH165" s="10"/>
      <c r="AI165" s="10">
        <f>Tabella3[[#This Row],[rest of Italy data]]*NOT(ISBLANK(Tabella3[[#This Row],[rest of Italy data]]))</f>
        <v>0</v>
      </c>
      <c r="AJ165" s="77">
        <f>Tabella8[[#This Row],[rest of Italy fit]]</f>
        <v>183294.7027121846</v>
      </c>
      <c r="AK165" s="72">
        <f>Tabella3[[#This Row],[rest of Italy cumul. fit]]/Ka</f>
        <v>0.84846874374940795</v>
      </c>
      <c r="AL165" s="72">
        <f>IFERROR(Ka*psi_a*_xlfn.SECH(psi_a*(Tabella3[[#This Row],[Day]]-pa)-phi_a)^2/(1+TANH(phi_a)),0)</f>
        <v>1379.9036475631058</v>
      </c>
      <c r="AM165" s="72">
        <f>Tabella3[[#This Row],[rest of Italy fit]]/y_a_peak</f>
        <v>0.4821817934540274</v>
      </c>
      <c r="AN165" s="10">
        <f>Tabella3[[#This Row],[rest of Italy fit]]*NOT(ISBLANK(Tabella3[[#This Row],[rest of Italy data]]))</f>
        <v>0</v>
      </c>
    </row>
    <row r="166" spans="2:40" x14ac:dyDescent="0.3">
      <c r="B166" s="9">
        <v>43989</v>
      </c>
      <c r="C166" s="4">
        <v>159</v>
      </c>
      <c r="E166" s="10"/>
      <c r="F166" s="10">
        <f>Tabella3[[#This Row],[Italy remov. rate data]]*NOT(ISBLANK(Tabella3[[#This Row],[Italy remov. rate data]]))</f>
        <v>0</v>
      </c>
      <c r="G166" s="77">
        <f>Tabella8[[#This Row],[Italy fit]]</f>
        <v>192862.71330138325</v>
      </c>
      <c r="H166" s="77">
        <f>Tabella3[[#This Row],[Italy cumul. fit]]/Kf</f>
        <v>0.85716761467281444</v>
      </c>
      <c r="I166" s="77">
        <f>Tabella3[[#This Row],[region fit]]+Tabella3[[#This Row],[rest of Italy fit]]</f>
        <v>1376.9785011848928</v>
      </c>
      <c r="J166" s="77">
        <f>Tabella3[[#This Row],[Italy (fit of selected region + fitted sum of the other regions)]]/(y_l_peak+y_a_peak)</f>
        <v>0.45905548743737468</v>
      </c>
      <c r="K166" s="72">
        <f>IFERROR(Kf*psi_f*_xlfn.SECH(psi_f*(Tabella3[[#This Row],[Day]]-pf)-phi_f)^2/(1+TANH(phi_f)),0)</f>
        <v>1377.4738990626045</v>
      </c>
      <c r="L166" s="292">
        <f>Tabella3[[#This Row],[Italy remov. rate fit]]-Tabella3[[#This Row],[Italy remov. rate data]]</f>
        <v>1377.4738990626045</v>
      </c>
      <c r="M166" s="293">
        <f>Tabella3[[#This Row],[rem. rate residuals]]*NOT(ISBLANK(Tabella3[[#This Row],[Italy remov. rate data]]))</f>
        <v>0</v>
      </c>
      <c r="N166" s="72">
        <f>Tabella3[[#This Row],[Italy remov. rate fit]]/y_f_peak</f>
        <v>0.45894287386143828</v>
      </c>
      <c r="O166" s="10">
        <f>Tabella3[[#This Row],[Italy (fit of selected region + fitted sum of the other regions)]]*NOT(ISBLANK(Tabella3[[#This Row],[Italy remov. rate data]]))</f>
        <v>0</v>
      </c>
      <c r="P166" s="10">
        <f>Tabella3[[#This Row],[Italy remov. rate fit]]*NOT(ISBLANK(Tabella3[[#This Row],[Italy remov. rate data]]))</f>
        <v>0</v>
      </c>
      <c r="Q166" s="72"/>
      <c r="R166" s="72"/>
      <c r="T166" s="10"/>
      <c r="U166" s="10">
        <f>Tabella3[[#This Row],[region data]]*NOT(ISBLANK(Tabella3[[#This Row],[region data]]))</f>
        <v>0</v>
      </c>
      <c r="V166"/>
      <c r="W166" s="72">
        <f>Tabella3[[#This Row],[6-days moving avg]]*NOT(ISBLANK(Tabella3[[#This Row],[6-days moving avg]]))</f>
        <v>0</v>
      </c>
      <c r="X166" s="77">
        <f>Tabella8[[#This Row],[region fit]]</f>
        <v>8087.3785819923987</v>
      </c>
      <c r="Y166" s="72">
        <f>Tabella3[[#This Row],[region cumul. fit]]/Kl</f>
        <v>0.90160296343282043</v>
      </c>
      <c r="Z166" s="72">
        <f>IFERROR(Kl*psi_l*_xlfn.SECH(psi_l*(Tabella3[[#This Row],[Day]]-pl)-phi_l)^2/(1+TANH(phi_l)),0)</f>
        <v>45.290076092872333</v>
      </c>
      <c r="AA166" s="72">
        <f>Tabella3[[#This Row],[region fit]]/y_l_peak</f>
        <v>0.32866700791358028</v>
      </c>
      <c r="AB166" s="10">
        <f>Tabella3[[#This Row],[region fit]]*NOT(ISBLANK(Tabella3[[#This Row],[region data]]))</f>
        <v>0</v>
      </c>
      <c r="AC166" s="166">
        <f>IFERROR(kl_m*psi_l_m*_xlfn.SECH(psi_l_m*(Tabella3[[#This Row],[Day]]-pl_m)-phi_l_m)^2/(1+TANH(phi_l_m)),0)</f>
        <v>45.290076092872333</v>
      </c>
      <c r="AD166" s="72">
        <f>Tabella3[[#This Row],[6-days moving avg fit]]*NOT(ISBLANK(Tabella3[[#This Row],[6-days moving avg]]))</f>
        <v>0</v>
      </c>
      <c r="AH166" s="10"/>
      <c r="AI166" s="10">
        <f>Tabella3[[#This Row],[rest of Italy data]]*NOT(ISBLANK(Tabella3[[#This Row],[rest of Italy data]]))</f>
        <v>0</v>
      </c>
      <c r="AJ166" s="77">
        <f>Tabella8[[#This Row],[rest of Italy fit]]</f>
        <v>184650.42016975416</v>
      </c>
      <c r="AK166" s="72">
        <f>Tabella3[[#This Row],[rest of Italy cumul. fit]]/Ka</f>
        <v>0.85474434184953085</v>
      </c>
      <c r="AL166" s="72">
        <f>IFERROR(Ka*psi_a*_xlfn.SECH(psi_a*(Tabella3[[#This Row],[Day]]-pa)-phi_a)^2/(1+TANH(phi_a)),0)</f>
        <v>1331.6884250920205</v>
      </c>
      <c r="AM166" s="72">
        <f>Tabella3[[#This Row],[rest of Italy fit]]/y_a_peak</f>
        <v>0.4653338762215819</v>
      </c>
      <c r="AN166" s="10">
        <f>Tabella3[[#This Row],[rest of Italy fit]]*NOT(ISBLANK(Tabella3[[#This Row],[rest of Italy data]]))</f>
        <v>0</v>
      </c>
    </row>
    <row r="167" spans="2:40" x14ac:dyDescent="0.3">
      <c r="B167" s="9">
        <v>43990</v>
      </c>
      <c r="C167" s="4">
        <v>160</v>
      </c>
      <c r="E167" s="10"/>
      <c r="F167" s="10">
        <f>Tabella3[[#This Row],[Italy remov. rate data]]*NOT(ISBLANK(Tabella3[[#This Row],[Italy remov. rate data]]))</f>
        <v>0</v>
      </c>
      <c r="G167" s="77">
        <f>Tabella8[[#This Row],[Italy fit]]</f>
        <v>194215.34065375486</v>
      </c>
      <c r="H167" s="77">
        <f>Tabella3[[#This Row],[Italy cumul. fit]]/Kf</f>
        <v>0.86317929179446606</v>
      </c>
      <c r="I167" s="77">
        <f>Tabella3[[#This Row],[region fit]]+Tabella3[[#This Row],[rest of Italy fit]]</f>
        <v>1327.6726836468206</v>
      </c>
      <c r="J167" s="77">
        <f>Tabella3[[#This Row],[Italy (fit of selected region + fitted sum of the other regions)]]/(y_l_peak+y_a_peak)</f>
        <v>0.44261797146747295</v>
      </c>
      <c r="K167" s="72">
        <f>IFERROR(Kf*psi_f*_xlfn.SECH(psi_f*(Tabella3[[#This Row],[Day]]-pf)-phi_f)^2/(1+TANH(phi_f)),0)</f>
        <v>1327.9589810940645</v>
      </c>
      <c r="L167" s="292">
        <f>Tabella3[[#This Row],[Italy remov. rate fit]]-Tabella3[[#This Row],[Italy remov. rate data]]</f>
        <v>1327.9589810940645</v>
      </c>
      <c r="M167" s="293">
        <f>Tabella3[[#This Row],[rem. rate residuals]]*NOT(ISBLANK(Tabella3[[#This Row],[Italy remov. rate data]]))</f>
        <v>0</v>
      </c>
      <c r="N167" s="72">
        <f>Tabella3[[#This Row],[Italy remov. rate fit]]/y_f_peak</f>
        <v>0.44244563295766537</v>
      </c>
      <c r="O167" s="10">
        <f>Tabella3[[#This Row],[Italy (fit of selected region + fitted sum of the other regions)]]*NOT(ISBLANK(Tabella3[[#This Row],[Italy remov. rate data]]))</f>
        <v>0</v>
      </c>
      <c r="P167" s="10">
        <f>Tabella3[[#This Row],[Italy remov. rate fit]]*NOT(ISBLANK(Tabella3[[#This Row],[Italy remov. rate data]]))</f>
        <v>0</v>
      </c>
      <c r="Q167" s="72"/>
      <c r="R167" s="72"/>
      <c r="T167" s="10"/>
      <c r="U167" s="10">
        <f>Tabella3[[#This Row],[region data]]*NOT(ISBLANK(Tabella3[[#This Row],[region data]]))</f>
        <v>0</v>
      </c>
      <c r="V167"/>
      <c r="W167" s="72">
        <f>Tabella3[[#This Row],[6-days moving avg]]*NOT(ISBLANK(Tabella3[[#This Row],[6-days moving avg]]))</f>
        <v>0</v>
      </c>
      <c r="X167" s="77">
        <f>Tabella8[[#This Row],[region fit]]</f>
        <v>8131.6342195618317</v>
      </c>
      <c r="Y167" s="72">
        <f>Tabella3[[#This Row],[region cumul. fit]]/Kl</f>
        <v>0.90653670229228889</v>
      </c>
      <c r="Z167" s="72">
        <f>IFERROR(Kl*psi_l*_xlfn.SECH(psi_l*(Tabella3[[#This Row],[Day]]-pl)-phi_l)^2/(1+TANH(phi_l)),0)</f>
        <v>43.233361059457479</v>
      </c>
      <c r="AA167" s="72">
        <f>Tabella3[[#This Row],[region fit]]/y_l_peak</f>
        <v>0.31374156652599733</v>
      </c>
      <c r="AB167" s="10">
        <f>Tabella3[[#This Row],[region fit]]*NOT(ISBLANK(Tabella3[[#This Row],[region data]]))</f>
        <v>0</v>
      </c>
      <c r="AC167" s="166">
        <f>IFERROR(kl_m*psi_l_m*_xlfn.SECH(psi_l_m*(Tabella3[[#This Row],[Day]]-pl_m)-phi_l_m)^2/(1+TANH(phi_l_m)),0)</f>
        <v>43.233361059457479</v>
      </c>
      <c r="AD167" s="72">
        <f>Tabella3[[#This Row],[6-days moving avg fit]]*NOT(ISBLANK(Tabella3[[#This Row],[6-days moving avg]]))</f>
        <v>0</v>
      </c>
      <c r="AH167" s="10"/>
      <c r="AI167" s="10">
        <f>Tabella3[[#This Row],[rest of Italy data]]*NOT(ISBLANK(Tabella3[[#This Row],[rest of Italy data]]))</f>
        <v>0</v>
      </c>
      <c r="AJ167" s="77">
        <f>Tabella8[[#This Row],[rest of Italy fit]]</f>
        <v>185958.40167637766</v>
      </c>
      <c r="AK167" s="72">
        <f>Tabella3[[#This Row],[rest of Italy cumul. fit]]/Ka</f>
        <v>0.86079897086690582</v>
      </c>
      <c r="AL167" s="72">
        <f>IFERROR(Ka*psi_a*_xlfn.SECH(psi_a*(Tabella3[[#This Row],[Day]]-pa)-phi_a)^2/(1+TANH(phi_a)),0)</f>
        <v>1284.4393225873632</v>
      </c>
      <c r="AM167" s="72">
        <f>Tabella3[[#This Row],[rest of Italy fit]]/y_a_peak</f>
        <v>0.44882355173260569</v>
      </c>
      <c r="AN167" s="10">
        <f>Tabella3[[#This Row],[rest of Italy fit]]*NOT(ISBLANK(Tabella3[[#This Row],[rest of Italy data]]))</f>
        <v>0</v>
      </c>
    </row>
    <row r="168" spans="2:40" x14ac:dyDescent="0.3">
      <c r="B168" s="9">
        <v>43991</v>
      </c>
      <c r="C168" s="4">
        <v>161</v>
      </c>
      <c r="E168" s="10"/>
      <c r="F168" s="10">
        <f>Tabella3[[#This Row],[Italy remov. rate data]]*NOT(ISBLANK(Tabella3[[#This Row],[Italy remov. rate data]]))</f>
        <v>0</v>
      </c>
      <c r="G168" s="77">
        <f>Tabella8[[#This Row],[Italy fit]]</f>
        <v>195518.99436104883</v>
      </c>
      <c r="H168" s="77">
        <f>Tabella3[[#This Row],[Italy cumul. fit]]/Kf</f>
        <v>0.86897330827132813</v>
      </c>
      <c r="I168" s="77">
        <f>Tabella3[[#This Row],[region fit]]+Tabella3[[#This Row],[rest of Italy fit]]</f>
        <v>1279.4479759582828</v>
      </c>
      <c r="J168" s="77">
        <f>Tabella3[[#This Row],[Italy (fit of selected region + fitted sum of the other regions)]]/(y_l_peak+y_a_peak)</f>
        <v>0.42654087463884632</v>
      </c>
      <c r="K168" s="72">
        <f>IFERROR(Kf*psi_f*_xlfn.SECH(psi_f*(Tabella3[[#This Row],[Day]]-pf)-phi_f)^2/(1+TANH(phi_f)),0)</f>
        <v>1279.5331315995413</v>
      </c>
      <c r="L168" s="292">
        <f>Tabella3[[#This Row],[Italy remov. rate fit]]-Tabella3[[#This Row],[Italy remov. rate data]]</f>
        <v>1279.5331315995413</v>
      </c>
      <c r="M168" s="293">
        <f>Tabella3[[#This Row],[rem. rate residuals]]*NOT(ISBLANK(Tabella3[[#This Row],[Italy remov. rate data]]))</f>
        <v>0</v>
      </c>
      <c r="N168" s="72">
        <f>Tabella3[[#This Row],[Italy remov. rate fit]]/y_f_peak</f>
        <v>0.42631124482056731</v>
      </c>
      <c r="O168" s="10">
        <f>Tabella3[[#This Row],[Italy (fit of selected region + fitted sum of the other regions)]]*NOT(ISBLANK(Tabella3[[#This Row],[Italy remov. rate data]]))</f>
        <v>0</v>
      </c>
      <c r="P168" s="10">
        <f>Tabella3[[#This Row],[Italy remov. rate fit]]*NOT(ISBLANK(Tabella3[[#This Row],[Italy remov. rate data]]))</f>
        <v>0</v>
      </c>
      <c r="Q168" s="72"/>
      <c r="R168" s="72"/>
      <c r="T168" s="10"/>
      <c r="U168" s="10">
        <f>Tabella3[[#This Row],[region data]]*NOT(ISBLANK(Tabella3[[#This Row],[region data]]))</f>
        <v>0</v>
      </c>
      <c r="V168"/>
      <c r="W168" s="72">
        <f>Tabella3[[#This Row],[6-days moving avg]]*NOT(ISBLANK(Tabella3[[#This Row],[6-days moving avg]]))</f>
        <v>0</v>
      </c>
      <c r="X168" s="77">
        <f>Tabella8[[#This Row],[region fit]]</f>
        <v>8173.8695744795514</v>
      </c>
      <c r="Y168" s="72">
        <f>Tabella3[[#This Row],[region cumul. fit]]/Kl</f>
        <v>0.91124521454621532</v>
      </c>
      <c r="Z168" s="72">
        <f>IFERROR(Kl*psi_l*_xlfn.SECH(psi_l*(Tabella3[[#This Row],[Day]]-pl)-phi_l)^2/(1+TANH(phi_l)),0)</f>
        <v>41.24944815827682</v>
      </c>
      <c r="AA168" s="72">
        <f>Tabella3[[#This Row],[region fit]]/y_l_peak</f>
        <v>0.29934444527022591</v>
      </c>
      <c r="AB168" s="10">
        <f>Tabella3[[#This Row],[region fit]]*NOT(ISBLANK(Tabella3[[#This Row],[region data]]))</f>
        <v>0</v>
      </c>
      <c r="AC168" s="166">
        <f>IFERROR(kl_m*psi_l_m*_xlfn.SECH(psi_l_m*(Tabella3[[#This Row],[Day]]-pl_m)-phi_l_m)^2/(1+TANH(phi_l_m)),0)</f>
        <v>41.24944815827682</v>
      </c>
      <c r="AD168" s="72">
        <f>Tabella3[[#This Row],[6-days moving avg fit]]*NOT(ISBLANK(Tabella3[[#This Row],[6-days moving avg]]))</f>
        <v>0</v>
      </c>
      <c r="AH168" s="10"/>
      <c r="AI168" s="10">
        <f>Tabella3[[#This Row],[rest of Italy data]]*NOT(ISBLANK(Tabella3[[#This Row],[rest of Italy data]]))</f>
        <v>0</v>
      </c>
      <c r="AJ168" s="77">
        <f>Tabella8[[#This Row],[rest of Italy fit]]</f>
        <v>187219.63498802108</v>
      </c>
      <c r="AK168" s="72">
        <f>Tabella3[[#This Row],[rest of Italy cumul. fit]]/Ka</f>
        <v>0.86663720311077663</v>
      </c>
      <c r="AL168" s="72">
        <f>IFERROR(Ka*psi_a*_xlfn.SECH(psi_a*(Tabella3[[#This Row],[Day]]-pa)-phi_a)^2/(1+TANH(phi_a)),0)</f>
        <v>1238.1985278000059</v>
      </c>
      <c r="AM168" s="72">
        <f>Tabella3[[#This Row],[rest of Italy fit]]/y_a_peak</f>
        <v>0.43266556171592374</v>
      </c>
      <c r="AN168" s="10">
        <f>Tabella3[[#This Row],[rest of Italy fit]]*NOT(ISBLANK(Tabella3[[#This Row],[rest of Italy data]]))</f>
        <v>0</v>
      </c>
    </row>
    <row r="169" spans="2:40" x14ac:dyDescent="0.3">
      <c r="B169" s="9">
        <v>43992</v>
      </c>
      <c r="C169" s="4">
        <v>162</v>
      </c>
      <c r="E169" s="10"/>
      <c r="F169" s="10">
        <f>Tabella3[[#This Row],[Italy remov. rate data]]*NOT(ISBLANK(Tabella3[[#This Row],[Italy remov. rate data]]))</f>
        <v>0</v>
      </c>
      <c r="G169" s="77">
        <f>Tabella8[[#This Row],[Italy fit]]</f>
        <v>196774.78195817431</v>
      </c>
      <c r="H169" s="77">
        <f>Tabella3[[#This Row],[Italy cumul. fit]]/Kf</f>
        <v>0.87455458648077466</v>
      </c>
      <c r="I169" s="77">
        <f>Tabella3[[#This Row],[region fit]]+Tabella3[[#This Row],[rest of Italy fit]]</f>
        <v>1232.339716125181</v>
      </c>
      <c r="J169" s="77">
        <f>Tabella3[[#This Row],[Italy (fit of selected region + fitted sum of the other regions)]]/(y_l_peak+y_a_peak)</f>
        <v>0.41083597789470516</v>
      </c>
      <c r="K169" s="72">
        <f>IFERROR(Kf*psi_f*_xlfn.SECH(psi_f*(Tabella3[[#This Row],[Day]]-pf)-phi_f)^2/(1+TANH(phi_f)),0)</f>
        <v>1232.2321939991425</v>
      </c>
      <c r="L169" s="292">
        <f>Tabella3[[#This Row],[Italy remov. rate fit]]-Tabella3[[#This Row],[Italy remov. rate data]]</f>
        <v>1232.2321939991425</v>
      </c>
      <c r="M169" s="293">
        <f>Tabella3[[#This Row],[rem. rate residuals]]*NOT(ISBLANK(Tabella3[[#This Row],[Italy remov. rate data]]))</f>
        <v>0</v>
      </c>
      <c r="N169" s="72">
        <f>Tabella3[[#This Row],[Italy remov. rate fit]]/y_f_peak</f>
        <v>0.41055165165989793</v>
      </c>
      <c r="O169" s="10">
        <f>Tabella3[[#This Row],[Italy (fit of selected region + fitted sum of the other regions)]]*NOT(ISBLANK(Tabella3[[#This Row],[Italy remov. rate data]]))</f>
        <v>0</v>
      </c>
      <c r="P169" s="10">
        <f>Tabella3[[#This Row],[Italy remov. rate fit]]*NOT(ISBLANK(Tabella3[[#This Row],[Italy remov. rate data]]))</f>
        <v>0</v>
      </c>
      <c r="Q169" s="72"/>
      <c r="R169" s="72"/>
      <c r="T169" s="10"/>
      <c r="U169" s="10">
        <f>Tabella3[[#This Row],[region data]]*NOT(ISBLANK(Tabella3[[#This Row],[region data]]))</f>
        <v>0</v>
      </c>
      <c r="V169"/>
      <c r="W169" s="72">
        <f>Tabella3[[#This Row],[6-days moving avg]]*NOT(ISBLANK(Tabella3[[#This Row],[6-days moving avg]]))</f>
        <v>0</v>
      </c>
      <c r="X169" s="77">
        <f>Tabella8[[#This Row],[region fit]]</f>
        <v>8214.157217626791</v>
      </c>
      <c r="Y169" s="72">
        <f>Tabella3[[#This Row],[region cumul. fit]]/Kl</f>
        <v>0.91573659059384516</v>
      </c>
      <c r="Z169" s="72">
        <f>IFERROR(Kl*psi_l*_xlfn.SECH(psi_l*(Tabella3[[#This Row],[Day]]-pl)-phi_l)^2/(1+TANH(phi_l)),0)</f>
        <v>39.337832522833985</v>
      </c>
      <c r="AA169" s="72">
        <f>Tabella3[[#This Row],[region fit]]/y_l_peak</f>
        <v>0.28547198036437221</v>
      </c>
      <c r="AB169" s="10">
        <f>Tabella3[[#This Row],[region fit]]*NOT(ISBLANK(Tabella3[[#This Row],[region data]]))</f>
        <v>0</v>
      </c>
      <c r="AC169" s="166">
        <f>IFERROR(kl_m*psi_l_m*_xlfn.SECH(psi_l_m*(Tabella3[[#This Row],[Day]]-pl_m)-phi_l_m)^2/(1+TANH(phi_l_m)),0)</f>
        <v>39.337832522833985</v>
      </c>
      <c r="AD169" s="72">
        <f>Tabella3[[#This Row],[6-days moving avg fit]]*NOT(ISBLANK(Tabella3[[#This Row],[6-days moving avg]]))</f>
        <v>0</v>
      </c>
      <c r="AH169" s="10"/>
      <c r="AI169" s="10">
        <f>Tabella3[[#This Row],[rest of Italy data]]*NOT(ISBLANK(Tabella3[[#This Row],[rest of Italy data]]))</f>
        <v>0</v>
      </c>
      <c r="AJ169" s="77">
        <f>Tabella8[[#This Row],[rest of Italy fit]]</f>
        <v>188435.14684901596</v>
      </c>
      <c r="AK169" s="72">
        <f>Tabella3[[#This Row],[rest of Italy cumul. fit]]/Ka</f>
        <v>0.87226379136701371</v>
      </c>
      <c r="AL169" s="72">
        <f>IFERROR(Ka*psi_a*_xlfn.SECH(psi_a*(Tabella3[[#This Row],[Day]]-pa)-phi_a)^2/(1+TANH(phi_a)),0)</f>
        <v>1193.0018836023471</v>
      </c>
      <c r="AM169" s="72">
        <f>Tabella3[[#This Row],[rest of Italy fit]]/y_a_peak</f>
        <v>0.41687243079999581</v>
      </c>
      <c r="AN169" s="10">
        <f>Tabella3[[#This Row],[rest of Italy fit]]*NOT(ISBLANK(Tabella3[[#This Row],[rest of Italy data]]))</f>
        <v>0</v>
      </c>
    </row>
    <row r="170" spans="2:40" x14ac:dyDescent="0.3">
      <c r="B170" s="9">
        <v>43993</v>
      </c>
      <c r="C170" s="4">
        <v>163</v>
      </c>
      <c r="E170" s="10"/>
      <c r="F170" s="10">
        <f>Tabella3[[#This Row],[Italy remov. rate data]]*NOT(ISBLANK(Tabella3[[#This Row],[Italy remov. rate data]]))</f>
        <v>0</v>
      </c>
      <c r="G170" s="77">
        <f>Tabella8[[#This Row],[Italy fit]]</f>
        <v>197983.84361663528</v>
      </c>
      <c r="H170" s="77">
        <f>Tabella3[[#This Row],[Italy cumul. fit]]/Kf</f>
        <v>0.87992819385171239</v>
      </c>
      <c r="I170" s="77">
        <f>Tabella3[[#This Row],[region fit]]+Tabella3[[#This Row],[rest of Italy fit]]</f>
        <v>1186.3769881712176</v>
      </c>
      <c r="J170" s="77">
        <f>Tabella3[[#This Row],[Italy (fit of selected region + fitted sum of the other regions)]]/(y_l_peak+y_a_peak)</f>
        <v>0.39551297723296497</v>
      </c>
      <c r="K170" s="72">
        <f>IFERROR(Kf*psi_f*_xlfn.SECH(psi_f*(Tabella3[[#This Row],[Day]]-pf)-phi_f)^2/(1+TANH(phi_f)),0)</f>
        <v>1186.0856599319859</v>
      </c>
      <c r="L170" s="292">
        <f>Tabella3[[#This Row],[Italy remov. rate fit]]-Tabella3[[#This Row],[Italy remov. rate data]]</f>
        <v>1186.0856599319859</v>
      </c>
      <c r="M170" s="293">
        <f>Tabella3[[#This Row],[rem. rate residuals]]*NOT(ISBLANK(Tabella3[[#This Row],[Italy remov. rate data]]))</f>
        <v>0</v>
      </c>
      <c r="N170" s="72">
        <f>Tabella3[[#This Row],[Italy remov. rate fit]]/y_f_peak</f>
        <v>0.39517667941691165</v>
      </c>
      <c r="O170" s="10">
        <f>Tabella3[[#This Row],[Italy (fit of selected region + fitted sum of the other regions)]]*NOT(ISBLANK(Tabella3[[#This Row],[Italy remov. rate data]]))</f>
        <v>0</v>
      </c>
      <c r="P170" s="10">
        <f>Tabella3[[#This Row],[Italy remov. rate fit]]*NOT(ISBLANK(Tabella3[[#This Row],[Italy remov. rate data]]))</f>
        <v>0</v>
      </c>
      <c r="Q170" s="72"/>
      <c r="R170" s="72"/>
      <c r="T170" s="10"/>
      <c r="U170" s="10">
        <f>Tabella3[[#This Row],[region data]]*NOT(ISBLANK(Tabella3[[#This Row],[region data]]))</f>
        <v>0</v>
      </c>
      <c r="V170"/>
      <c r="W170" s="72">
        <f>Tabella3[[#This Row],[6-days moving avg]]*NOT(ISBLANK(Tabella3[[#This Row],[6-days moving avg]]))</f>
        <v>0</v>
      </c>
      <c r="X170" s="77">
        <f>Tabella8[[#This Row],[region fit]]</f>
        <v>8252.569092816093</v>
      </c>
      <c r="Y170" s="72">
        <f>Tabella3[[#This Row],[region cumul. fit]]/Kl</f>
        <v>0.92001885092710067</v>
      </c>
      <c r="Z170" s="72">
        <f>IFERROR(Kl*psi_l*_xlfn.SECH(psi_l*(Tabella3[[#This Row],[Day]]-pl)-phi_l)^2/(1+TANH(phi_l)),0)</f>
        <v>37.497769723529686</v>
      </c>
      <c r="AA170" s="72">
        <f>Tabella3[[#This Row],[region fit]]/y_l_peak</f>
        <v>0.27211876953336617</v>
      </c>
      <c r="AB170" s="10">
        <f>Tabella3[[#This Row],[region fit]]*NOT(ISBLANK(Tabella3[[#This Row],[region data]]))</f>
        <v>0</v>
      </c>
      <c r="AC170" s="166">
        <f>IFERROR(kl_m*psi_l_m*_xlfn.SECH(psi_l_m*(Tabella3[[#This Row],[Day]]-pl_m)-phi_l_m)^2/(1+TANH(phi_l_m)),0)</f>
        <v>37.497769723529686</v>
      </c>
      <c r="AD170" s="72">
        <f>Tabella3[[#This Row],[6-days moving avg fit]]*NOT(ISBLANK(Tabella3[[#This Row],[6-days moving avg]]))</f>
        <v>0</v>
      </c>
      <c r="AH170" s="10"/>
      <c r="AI170" s="10">
        <f>Tabella3[[#This Row],[rest of Italy data]]*NOT(ISBLANK(Tabella3[[#This Row],[rest of Italy data]]))</f>
        <v>0</v>
      </c>
      <c r="AJ170" s="77">
        <f>Tabella8[[#This Row],[rest of Italy fit]]</f>
        <v>189605.99681127915</v>
      </c>
      <c r="AK170" s="72">
        <f>Tabella3[[#This Row],[rest of Italy cumul. fit]]/Ka</f>
        <v>0.87768364028736356</v>
      </c>
      <c r="AL170" s="72">
        <f>IFERROR(Ka*psi_a*_xlfn.SECH(psi_a*(Tabella3[[#This Row],[Day]]-pa)-phi_a)^2/(1+TANH(phi_a)),0)</f>
        <v>1148.8792184476879</v>
      </c>
      <c r="AM170" s="72">
        <f>Tabella3[[#This Row],[rest of Italy fit]]/y_a_peak</f>
        <v>0.40145458198582912</v>
      </c>
      <c r="AN170" s="10">
        <f>Tabella3[[#This Row],[rest of Italy fit]]*NOT(ISBLANK(Tabella3[[#This Row],[rest of Italy data]]))</f>
        <v>0</v>
      </c>
    </row>
    <row r="171" spans="2:40" x14ac:dyDescent="0.3">
      <c r="B171" s="9">
        <v>43994</v>
      </c>
      <c r="C171" s="4">
        <v>164</v>
      </c>
      <c r="E171" s="10"/>
      <c r="F171" s="10">
        <f>Tabella3[[#This Row],[Italy remov. rate data]]*NOT(ISBLANK(Tabella3[[#This Row],[Italy remov. rate data]]))</f>
        <v>0</v>
      </c>
      <c r="G171" s="77">
        <f>Tabella8[[#This Row],[Italy fit]]</f>
        <v>199147.34597984416</v>
      </c>
      <c r="H171" s="77">
        <f>Tabella3[[#This Row],[Italy cumul. fit]]/Kf</f>
        <v>0.88509931546597409</v>
      </c>
      <c r="I171" s="77">
        <f>Tabella3[[#This Row],[region fit]]+Tabella3[[#This Row],[rest of Italy fit]]</f>
        <v>1141.582992137284</v>
      </c>
      <c r="J171" s="77">
        <f>Tabella3[[#This Row],[Italy (fit of selected region + fitted sum of the other regions)]]/(y_l_peak+y_a_peak)</f>
        <v>0.38057960705621147</v>
      </c>
      <c r="K171" s="72">
        <f>IFERROR(Kf*psi_f*_xlfn.SECH(psi_f*(Tabella3[[#This Row],[Day]]-pf)-phi_f)^2/(1+TANH(phi_f)),0)</f>
        <v>1141.1170447776087</v>
      </c>
      <c r="L171" s="292">
        <f>Tabella3[[#This Row],[Italy remov. rate fit]]-Tabella3[[#This Row],[Italy remov. rate data]]</f>
        <v>1141.1170447776087</v>
      </c>
      <c r="M171" s="293">
        <f>Tabella3[[#This Row],[rem. rate residuals]]*NOT(ISBLANK(Tabella3[[#This Row],[Italy remov. rate data]]))</f>
        <v>0</v>
      </c>
      <c r="N171" s="72">
        <f>Tabella3[[#This Row],[Italy remov. rate fit]]/y_f_peak</f>
        <v>0.38019416287952867</v>
      </c>
      <c r="O171" s="10">
        <f>Tabella3[[#This Row],[Italy (fit of selected region + fitted sum of the other regions)]]*NOT(ISBLANK(Tabella3[[#This Row],[Italy remov. rate data]]))</f>
        <v>0</v>
      </c>
      <c r="P171" s="10">
        <f>Tabella3[[#This Row],[Italy remov. rate fit]]*NOT(ISBLANK(Tabella3[[#This Row],[Italy remov. rate data]]))</f>
        <v>0</v>
      </c>
      <c r="Q171" s="72"/>
      <c r="R171" s="72"/>
      <c r="T171" s="10"/>
      <c r="U171" s="10">
        <f>Tabella3[[#This Row],[region data]]*NOT(ISBLANK(Tabella3[[#This Row],[region data]]))</f>
        <v>0</v>
      </c>
      <c r="V171"/>
      <c r="W171" s="72">
        <f>Tabella3[[#This Row],[6-days moving avg]]*NOT(ISBLANK(Tabella3[[#This Row],[6-days moving avg]]))</f>
        <v>0</v>
      </c>
      <c r="X171" s="77">
        <f>Tabella8[[#This Row],[region fit]]</f>
        <v>8289.1762914965584</v>
      </c>
      <c r="Y171" s="72">
        <f>Tabella3[[#This Row],[region cumul. fit]]/Kl</f>
        <v>0.92409992101410909</v>
      </c>
      <c r="Z171" s="72">
        <f>IFERROR(Kl*psi_l*_xlfn.SECH(psi_l*(Tabella3[[#This Row],[Day]]-pl)-phi_l)^2/(1+TANH(phi_l)),0)</f>
        <v>35.728304045472669</v>
      </c>
      <c r="AA171" s="72">
        <f>Tabella3[[#This Row],[region fit]]/y_l_peak</f>
        <v>0.25927787721911588</v>
      </c>
      <c r="AB171" s="10">
        <f>Tabella3[[#This Row],[region fit]]*NOT(ISBLANK(Tabella3[[#This Row],[region data]]))</f>
        <v>0</v>
      </c>
      <c r="AC171" s="166">
        <f>IFERROR(kl_m*psi_l_m*_xlfn.SECH(psi_l_m*(Tabella3[[#This Row],[Day]]-pl_m)-phi_l_m)^2/(1+TANH(phi_l_m)),0)</f>
        <v>35.728304045472669</v>
      </c>
      <c r="AD171" s="72">
        <f>Tabella3[[#This Row],[6-days moving avg fit]]*NOT(ISBLANK(Tabella3[[#This Row],[6-days moving avg]]))</f>
        <v>0</v>
      </c>
      <c r="AH171" s="10"/>
      <c r="AI171" s="10">
        <f>Tabella3[[#This Row],[rest of Italy data]]*NOT(ISBLANK(Tabella3[[#This Row],[rest of Italy data]]))</f>
        <v>0</v>
      </c>
      <c r="AJ171" s="77">
        <f>Tabella8[[#This Row],[rest of Italy fit]]</f>
        <v>190733.27139000435</v>
      </c>
      <c r="AK171" s="72">
        <f>Tabella3[[#This Row],[rest of Italy cumul. fit]]/Ka</f>
        <v>0.88290177933622338</v>
      </c>
      <c r="AL171" s="72">
        <f>IFERROR(Ka*psi_a*_xlfn.SECH(psi_a*(Tabella3[[#This Row],[Day]]-pa)-phi_a)^2/(1+TANH(phi_a)),0)</f>
        <v>1105.8546880918113</v>
      </c>
      <c r="AM171" s="72">
        <f>Tabella3[[#This Row],[rest of Italy fit]]/y_a_peak</f>
        <v>0.38642045605526115</v>
      </c>
      <c r="AN171" s="10">
        <f>Tabella3[[#This Row],[rest of Italy fit]]*NOT(ISBLANK(Tabella3[[#This Row],[rest of Italy data]]))</f>
        <v>0</v>
      </c>
    </row>
    <row r="172" spans="2:40" x14ac:dyDescent="0.3">
      <c r="B172" s="9">
        <v>43995</v>
      </c>
      <c r="C172" s="4">
        <v>165</v>
      </c>
      <c r="E172" s="10"/>
      <c r="F172" s="10">
        <f>Tabella3[[#This Row],[Italy remov. rate data]]*NOT(ISBLANK(Tabella3[[#This Row],[Italy remov. rate data]]))</f>
        <v>0</v>
      </c>
      <c r="G172" s="77">
        <f>Tabella8[[#This Row],[Italy fit]]</f>
        <v>200266.47637721029</v>
      </c>
      <c r="H172" s="77">
        <f>Tabella3[[#This Row],[Italy cumul. fit]]/Kf</f>
        <v>0.89007322834315683</v>
      </c>
      <c r="I172" s="77">
        <f>Tabella3[[#This Row],[region fit]]+Tabella3[[#This Row],[rest of Italy fit]]</f>
        <v>1097.9754193970248</v>
      </c>
      <c r="J172" s="77">
        <f>Tabella3[[#This Row],[Italy (fit of selected region + fitted sum of the other regions)]]/(y_l_peak+y_a_peak)</f>
        <v>0.36604176529396559</v>
      </c>
      <c r="K172" s="72">
        <f>IFERROR(Kf*psi_f*_xlfn.SECH(psi_f*(Tabella3[[#This Row],[Day]]-pf)-phi_f)^2/(1+TANH(phi_f)),0)</f>
        <v>1097.3442689574522</v>
      </c>
      <c r="L172" s="292">
        <f>Tabella3[[#This Row],[Italy remov. rate fit]]-Tabella3[[#This Row],[Italy remov. rate data]]</f>
        <v>1097.3442689574522</v>
      </c>
      <c r="M172" s="293">
        <f>Tabella3[[#This Row],[rem. rate residuals]]*NOT(ISBLANK(Tabella3[[#This Row],[Italy remov. rate data]]))</f>
        <v>0</v>
      </c>
      <c r="N172" s="72">
        <f>Tabella3[[#This Row],[Italy remov. rate fit]]/y_f_peak</f>
        <v>0.36561007272328966</v>
      </c>
      <c r="O172" s="10">
        <f>Tabella3[[#This Row],[Italy (fit of selected region + fitted sum of the other regions)]]*NOT(ISBLANK(Tabella3[[#This Row],[Italy remov. rate data]]))</f>
        <v>0</v>
      </c>
      <c r="P172" s="10">
        <f>Tabella3[[#This Row],[Italy remov. rate fit]]*NOT(ISBLANK(Tabella3[[#This Row],[Italy remov. rate data]]))</f>
        <v>0</v>
      </c>
      <c r="Q172" s="72"/>
      <c r="R172" s="72"/>
      <c r="T172" s="10"/>
      <c r="U172" s="10">
        <f>Tabella3[[#This Row],[region data]]*NOT(ISBLANK(Tabella3[[#This Row],[region data]]))</f>
        <v>0</v>
      </c>
      <c r="V172"/>
      <c r="W172" s="72">
        <f>Tabella3[[#This Row],[6-days moving avg]]*NOT(ISBLANK(Tabella3[[#This Row],[6-days moving avg]]))</f>
        <v>0</v>
      </c>
      <c r="X172" s="77">
        <f>Tabella8[[#This Row],[region fit]]</f>
        <v>8324.0488549451693</v>
      </c>
      <c r="Y172" s="72">
        <f>Tabella3[[#This Row],[region cumul. fit]]/Kl</f>
        <v>0.92798760924695312</v>
      </c>
      <c r="Z172" s="72">
        <f>IFERROR(Kl*psi_l*_xlfn.SECH(psi_l*(Tabella3[[#This Row],[Day]]-pl)-phi_l)^2/(1+TANH(phi_l)),0)</f>
        <v>34.028295168970338</v>
      </c>
      <c r="AA172" s="72">
        <f>Tabella3[[#This Row],[region fit]]/y_l_peak</f>
        <v>0.24694102819901717</v>
      </c>
      <c r="AB172" s="10">
        <f>Tabella3[[#This Row],[region fit]]*NOT(ISBLANK(Tabella3[[#This Row],[region data]]))</f>
        <v>0</v>
      </c>
      <c r="AC172" s="166">
        <f>IFERROR(kl_m*psi_l_m*_xlfn.SECH(psi_l_m*(Tabella3[[#This Row],[Day]]-pl_m)-phi_l_m)^2/(1+TANH(phi_l_m)),0)</f>
        <v>34.028295168970338</v>
      </c>
      <c r="AD172" s="72">
        <f>Tabella3[[#This Row],[6-days moving avg fit]]*NOT(ISBLANK(Tabella3[[#This Row],[6-days moving avg]]))</f>
        <v>0</v>
      </c>
      <c r="AH172" s="10"/>
      <c r="AI172" s="10">
        <f>Tabella3[[#This Row],[rest of Italy data]]*NOT(ISBLANK(Tabella3[[#This Row],[rest of Italy data]]))</f>
        <v>0</v>
      </c>
      <c r="AJ172" s="77">
        <f>Tabella8[[#This Row],[rest of Italy fit]]</f>
        <v>191818.07856487526</v>
      </c>
      <c r="AK172" s="72">
        <f>Tabella3[[#This Row],[rest of Italy cumul. fit]]/Ka</f>
        <v>0.88792333733682949</v>
      </c>
      <c r="AL172" s="72">
        <f>IFERROR(Ka*psi_a*_xlfn.SECH(psi_a*(Tabella3[[#This Row],[Day]]-pa)-phi_a)^2/(1+TANH(phi_a)),0)</f>
        <v>1063.9471242280545</v>
      </c>
      <c r="AM172" s="72">
        <f>Tabella3[[#This Row],[rest of Italy fit]]/y_a_peak</f>
        <v>0.37177663339503342</v>
      </c>
      <c r="AN172" s="10">
        <f>Tabella3[[#This Row],[rest of Italy fit]]*NOT(ISBLANK(Tabella3[[#This Row],[rest of Italy data]]))</f>
        <v>0</v>
      </c>
    </row>
    <row r="173" spans="2:40" x14ac:dyDescent="0.3">
      <c r="B173" s="9">
        <v>43996</v>
      </c>
      <c r="C173" s="4">
        <v>166</v>
      </c>
      <c r="E173" s="10"/>
      <c r="F173" s="10">
        <f>Tabella3[[#This Row],[Italy remov. rate data]]*NOT(ISBLANK(Tabella3[[#This Row],[Italy remov. rate data]]))</f>
        <v>0</v>
      </c>
      <c r="G173" s="77">
        <f>Tabella8[[#This Row],[Italy fit]]</f>
        <v>201342.43742068313</v>
      </c>
      <c r="H173" s="77">
        <f>Tabella3[[#This Row],[Italy cumul. fit]]/Kf</f>
        <v>0.89485527742525839</v>
      </c>
      <c r="I173" s="77">
        <f>Tabella3[[#This Row],[region fit]]+Tabella3[[#This Row],[rest of Italy fit]]</f>
        <v>1055.566829312964</v>
      </c>
      <c r="J173" s="77">
        <f>Tabella3[[#This Row],[Italy (fit of selected region + fitted sum of the other regions)]]/(y_l_peak+y_a_peak)</f>
        <v>0.35190363897186389</v>
      </c>
      <c r="K173" s="72">
        <f>IFERROR(Kf*psi_f*_xlfn.SECH(psi_f*(Tabella3[[#This Row],[Day]]-pf)-phi_f)^2/(1+TANH(phi_f)),0)</f>
        <v>1054.7800408963924</v>
      </c>
      <c r="L173" s="292">
        <f>Tabella3[[#This Row],[Italy remov. rate fit]]-Tabella3[[#This Row],[Italy remov. rate data]]</f>
        <v>1054.7800408963924</v>
      </c>
      <c r="M173" s="293">
        <f>Tabella3[[#This Row],[rem. rate residuals]]*NOT(ISBLANK(Tabella3[[#This Row],[Italy remov. rate data]]))</f>
        <v>0</v>
      </c>
      <c r="N173" s="72">
        <f>Tabella3[[#This Row],[Italy remov. rate fit]]/y_f_peak</f>
        <v>0.3514286431053999</v>
      </c>
      <c r="O173" s="10">
        <f>Tabella3[[#This Row],[Italy (fit of selected region + fitted sum of the other regions)]]*NOT(ISBLANK(Tabella3[[#This Row],[Italy remov. rate data]]))</f>
        <v>0</v>
      </c>
      <c r="P173" s="10">
        <f>Tabella3[[#This Row],[Italy remov. rate fit]]*NOT(ISBLANK(Tabella3[[#This Row],[Italy remov. rate data]]))</f>
        <v>0</v>
      </c>
      <c r="Q173" s="72"/>
      <c r="R173" s="72"/>
      <c r="T173" s="10"/>
      <c r="U173" s="10">
        <f>Tabella3[[#This Row],[region data]]*NOT(ISBLANK(Tabella3[[#This Row],[region data]]))</f>
        <v>0</v>
      </c>
      <c r="V173"/>
      <c r="W173" s="72">
        <f>Tabella3[[#This Row],[6-days moving avg]]*NOT(ISBLANK(Tabella3[[#This Row],[6-days moving avg]]))</f>
        <v>0</v>
      </c>
      <c r="X173" s="77">
        <f>Tabella8[[#This Row],[region fit]]</f>
        <v>8357.2556023110574</v>
      </c>
      <c r="Y173" s="72">
        <f>Tabella3[[#This Row],[region cumul. fit]]/Kl</f>
        <v>0.93168958777157829</v>
      </c>
      <c r="Z173" s="72">
        <f>IFERROR(Kl*psi_l*_xlfn.SECH(psi_l*(Tabella3[[#This Row],[Day]]-pl)-phi_l)^2/(1+TANH(phi_l)),0)</f>
        <v>32.396443186637171</v>
      </c>
      <c r="AA173" s="72">
        <f>Tabella3[[#This Row],[region fit]]/y_l_peak</f>
        <v>0.23509878913341106</v>
      </c>
      <c r="AB173" s="10">
        <f>Tabella3[[#This Row],[region fit]]*NOT(ISBLANK(Tabella3[[#This Row],[region data]]))</f>
        <v>0</v>
      </c>
      <c r="AC173" s="166">
        <f>IFERROR(kl_m*psi_l_m*_xlfn.SECH(psi_l_m*(Tabella3[[#This Row],[Day]]-pl_m)-phi_l_m)^2/(1+TANH(phi_l_m)),0)</f>
        <v>32.396443186637171</v>
      </c>
      <c r="AD173" s="72">
        <f>Tabella3[[#This Row],[6-days moving avg fit]]*NOT(ISBLANK(Tabella3[[#This Row],[6-days moving avg]]))</f>
        <v>0</v>
      </c>
      <c r="AH173" s="10"/>
      <c r="AI173" s="10">
        <f>Tabella3[[#This Row],[rest of Italy data]]*NOT(ISBLANK(Tabella3[[#This Row],[rest of Italy data]]))</f>
        <v>0</v>
      </c>
      <c r="AJ173" s="77">
        <f>Tabella8[[#This Row],[rest of Italy fit]]</f>
        <v>192861.54263172366</v>
      </c>
      <c r="AK173" s="72">
        <f>Tabella3[[#This Row],[rest of Italy cumul. fit]]/Ka</f>
        <v>0.89275351863965036</v>
      </c>
      <c r="AL173" s="72">
        <f>IFERROR(Ka*psi_a*_xlfn.SECH(psi_a*(Tabella3[[#This Row],[Day]]-pa)-phi_a)^2/(1+TANH(phi_a)),0)</f>
        <v>1023.1703861263269</v>
      </c>
      <c r="AM173" s="72">
        <f>Tabella3[[#This Row],[rest of Italy fit]]/y_a_peak</f>
        <v>0.35752795687053934</v>
      </c>
      <c r="AN173" s="10">
        <f>Tabella3[[#This Row],[rest of Italy fit]]*NOT(ISBLANK(Tabella3[[#This Row],[rest of Italy data]]))</f>
        <v>0</v>
      </c>
    </row>
    <row r="174" spans="2:40" x14ac:dyDescent="0.3">
      <c r="B174" s="9">
        <v>43997</v>
      </c>
      <c r="C174" s="4">
        <v>167</v>
      </c>
      <c r="E174" s="10"/>
      <c r="F174" s="10">
        <f>Tabella3[[#This Row],[Italy remov. rate data]]*NOT(ISBLANK(Tabella3[[#This Row],[Italy remov. rate data]]))</f>
        <v>0</v>
      </c>
      <c r="G174" s="77">
        <f>Tabella8[[#This Row],[Italy fit]]</f>
        <v>202376.44198355189</v>
      </c>
      <c r="H174" s="77">
        <f>Tabella3[[#This Row],[Italy cumul. fit]]/Kf</f>
        <v>0.89945085326023066</v>
      </c>
      <c r="I174" s="77">
        <f>Tabella3[[#This Row],[region fit]]+Tabella3[[#This Row],[rest of Italy fit]]</f>
        <v>1014.3650237260665</v>
      </c>
      <c r="J174" s="77">
        <f>Tabella3[[#This Row],[Italy (fit of selected region + fitted sum of the other regions)]]/(y_l_peak+y_a_peak)</f>
        <v>0.33816782905855169</v>
      </c>
      <c r="K174" s="72">
        <f>IFERROR(Kf*psi_f*_xlfn.SECH(psi_f*(Tabella3[[#This Row],[Day]]-pf)-phi_f)^2/(1+TANH(phi_f)),0)</f>
        <v>1013.4322380074087</v>
      </c>
      <c r="L174" s="292">
        <f>Tabella3[[#This Row],[Italy remov. rate fit]]-Tabella3[[#This Row],[Italy remov. rate data]]</f>
        <v>1013.4322380074087</v>
      </c>
      <c r="M174" s="293">
        <f>Tabella3[[#This Row],[rem. rate residuals]]*NOT(ISBLANK(Tabella3[[#This Row],[Italy remov. rate data]]))</f>
        <v>0</v>
      </c>
      <c r="N174" s="72">
        <f>Tabella3[[#This Row],[Italy remov. rate fit]]/y_f_peak</f>
        <v>0.33765249860012825</v>
      </c>
      <c r="O174" s="10">
        <f>Tabella3[[#This Row],[Italy (fit of selected region + fitted sum of the other regions)]]*NOT(ISBLANK(Tabella3[[#This Row],[Italy remov. rate data]]))</f>
        <v>0</v>
      </c>
      <c r="P174" s="10">
        <f>Tabella3[[#This Row],[Italy remov. rate fit]]*NOT(ISBLANK(Tabella3[[#This Row],[Italy remov. rate data]]))</f>
        <v>0</v>
      </c>
      <c r="Q174" s="72"/>
      <c r="R174" s="72"/>
      <c r="T174" s="10"/>
      <c r="U174" s="10">
        <f>Tabella3[[#This Row],[region data]]*NOT(ISBLANK(Tabella3[[#This Row],[region data]]))</f>
        <v>0</v>
      </c>
      <c r="V174"/>
      <c r="W174" s="72">
        <f>Tabella3[[#This Row],[6-days moving avg]]*NOT(ISBLANK(Tabella3[[#This Row],[6-days moving avg]]))</f>
        <v>0</v>
      </c>
      <c r="X174" s="77">
        <f>Tabella8[[#This Row],[region fit]]</f>
        <v>8388.8639828294927</v>
      </c>
      <c r="Y174" s="72">
        <f>Tabella3[[#This Row],[region cumul. fit]]/Kl</f>
        <v>0.93521337601220655</v>
      </c>
      <c r="Z174" s="72">
        <f>IFERROR(Kl*psi_l*_xlfn.SECH(psi_l*(Tabella3[[#This Row],[Day]]-pl)-phi_l)^2/(1+TANH(phi_l)),0)</f>
        <v>30.831311922309357</v>
      </c>
      <c r="AA174" s="72">
        <f>Tabella3[[#This Row],[region fit]]/y_l_peak</f>
        <v>0.22374073778936446</v>
      </c>
      <c r="AB174" s="10">
        <f>Tabella3[[#This Row],[region fit]]*NOT(ISBLANK(Tabella3[[#This Row],[region data]]))</f>
        <v>0</v>
      </c>
      <c r="AC174" s="166">
        <f>IFERROR(kl_m*psi_l_m*_xlfn.SECH(psi_l_m*(Tabella3[[#This Row],[Day]]-pl_m)-phi_l_m)^2/(1+TANH(phi_l_m)),0)</f>
        <v>30.831311922309357</v>
      </c>
      <c r="AD174" s="72">
        <f>Tabella3[[#This Row],[6-days moving avg fit]]*NOT(ISBLANK(Tabella3[[#This Row],[6-days moving avg]]))</f>
        <v>0</v>
      </c>
      <c r="AH174" s="10"/>
      <c r="AI174" s="10">
        <f>Tabella3[[#This Row],[rest of Italy data]]*NOT(ISBLANK(Tabella3[[#This Row],[rest of Italy data]]))</f>
        <v>0</v>
      </c>
      <c r="AJ174" s="77">
        <f>Tabella8[[#This Row],[rest of Italy fit]]</f>
        <v>193864.79940586383</v>
      </c>
      <c r="AK174" s="72">
        <f>Tabella3[[#This Row],[rest of Italy cumul. fit]]/Ka</f>
        <v>0.89739758091868638</v>
      </c>
      <c r="AL174" s="72">
        <f>IFERROR(Ka*psi_a*_xlfn.SECH(psi_a*(Tabella3[[#This Row],[Day]]-pa)-phi_a)^2/(1+TANH(phi_a)),0)</f>
        <v>983.53371180375711</v>
      </c>
      <c r="AM174" s="72">
        <f>Tabella3[[#This Row],[rest of Italy fit]]/y_a_peak</f>
        <v>0.34367765453590782</v>
      </c>
      <c r="AN174" s="10">
        <f>Tabella3[[#This Row],[rest of Italy fit]]*NOT(ISBLANK(Tabella3[[#This Row],[rest of Italy data]]))</f>
        <v>0</v>
      </c>
    </row>
    <row r="175" spans="2:40" x14ac:dyDescent="0.3">
      <c r="B175" s="9">
        <v>43998</v>
      </c>
      <c r="C175" s="4">
        <v>168</v>
      </c>
      <c r="E175" s="10"/>
      <c r="F175" s="10">
        <f>Tabella3[[#This Row],[Italy remov. rate data]]*NOT(ISBLANK(Tabella3[[#This Row],[Italy remov. rate data]]))</f>
        <v>0</v>
      </c>
      <c r="G175" s="77">
        <f>Tabella8[[#This Row],[Italy fit]]</f>
        <v>203369.70855790231</v>
      </c>
      <c r="H175" s="77">
        <f>Tabella3[[#This Row],[Italy cumul. fit]]/Kf</f>
        <v>0.90386537136845468</v>
      </c>
      <c r="I175" s="77">
        <f>Tabella3[[#This Row],[region fit]]+Tabella3[[#This Row],[rest of Italy fit]]</f>
        <v>974.37341622623921</v>
      </c>
      <c r="J175" s="77">
        <f>Tabella3[[#This Row],[Italy (fit of selected region + fitted sum of the other regions)]]/(y_l_peak+y_a_peak)</f>
        <v>0.32483547357265269</v>
      </c>
      <c r="K175" s="72">
        <f>IFERROR(Kf*psi_f*_xlfn.SECH(psi_f*(Tabella3[[#This Row],[Day]]-pf)-phi_f)^2/(1+TANH(phi_f)),0)</f>
        <v>973.304282532348</v>
      </c>
      <c r="L175" s="292">
        <f>Tabella3[[#This Row],[Italy remov. rate fit]]-Tabella3[[#This Row],[Italy remov. rate data]]</f>
        <v>973.304282532348</v>
      </c>
      <c r="M175" s="293">
        <f>Tabella3[[#This Row],[rem. rate residuals]]*NOT(ISBLANK(Tabella3[[#This Row],[Italy remov. rate data]]))</f>
        <v>0</v>
      </c>
      <c r="N175" s="72">
        <f>Tabella3[[#This Row],[Italy remov. rate fit]]/y_f_peak</f>
        <v>0.32428277942037398</v>
      </c>
      <c r="O175" s="10">
        <f>Tabella3[[#This Row],[Italy (fit of selected region + fitted sum of the other regions)]]*NOT(ISBLANK(Tabella3[[#This Row],[Italy remov. rate data]]))</f>
        <v>0</v>
      </c>
      <c r="P175" s="10">
        <f>Tabella3[[#This Row],[Italy remov. rate fit]]*NOT(ISBLANK(Tabella3[[#This Row],[Italy remov. rate data]]))</f>
        <v>0</v>
      </c>
      <c r="Q175" s="72"/>
      <c r="R175" s="72"/>
      <c r="T175" s="10"/>
      <c r="U175" s="10">
        <f>Tabella3[[#This Row],[region data]]*NOT(ISBLANK(Tabella3[[#This Row],[region data]]))</f>
        <v>0</v>
      </c>
      <c r="V175"/>
      <c r="W175" s="72">
        <f>Tabella3[[#This Row],[6-days moving avg]]*NOT(ISBLANK(Tabella3[[#This Row],[6-days moving avg]]))</f>
        <v>0</v>
      </c>
      <c r="X175" s="77">
        <f>Tabella8[[#This Row],[region fit]]</f>
        <v>8418.9399505013425</v>
      </c>
      <c r="Y175" s="72">
        <f>Tabella3[[#This Row],[region cumul. fit]]/Kl</f>
        <v>0.93856632670026119</v>
      </c>
      <c r="Z175" s="72">
        <f>IFERROR(Kl*psi_l*_xlfn.SECH(psi_l*(Tabella3[[#This Row],[Day]]-pl)-phi_l)^2/(1+TANH(phi_l)),0)</f>
        <v>29.331350543729314</v>
      </c>
      <c r="AA175" s="72">
        <f>Tabella3[[#This Row],[region fit]]/y_l_peak</f>
        <v>0.21285561988245466</v>
      </c>
      <c r="AB175" s="10">
        <f>Tabella3[[#This Row],[region fit]]*NOT(ISBLANK(Tabella3[[#This Row],[region data]]))</f>
        <v>0</v>
      </c>
      <c r="AC175" s="166">
        <f>IFERROR(kl_m*psi_l_m*_xlfn.SECH(psi_l_m*(Tabella3[[#This Row],[Day]]-pl_m)-phi_l_m)^2/(1+TANH(phi_l_m)),0)</f>
        <v>29.331350543729314</v>
      </c>
      <c r="AD175" s="72">
        <f>Tabella3[[#This Row],[6-days moving avg fit]]*NOT(ISBLANK(Tabella3[[#This Row],[6-days moving avg]]))</f>
        <v>0</v>
      </c>
      <c r="AH175" s="10"/>
      <c r="AI175" s="10">
        <f>Tabella3[[#This Row],[rest of Italy data]]*NOT(ISBLANK(Tabella3[[#This Row],[rest of Italy data]]))</f>
        <v>0</v>
      </c>
      <c r="AJ175" s="77">
        <f>Tabella8[[#This Row],[rest of Italy fit]]</f>
        <v>194828.99177507692</v>
      </c>
      <c r="AK175" s="72">
        <f>Tabella3[[#This Row],[rest of Italy cumul. fit]]/Ka</f>
        <v>0.90186081458629319</v>
      </c>
      <c r="AL175" s="72">
        <f>IFERROR(Ka*psi_a*_xlfn.SECH(psi_a*(Tabella3[[#This Row],[Day]]-pa)-phi_a)^2/(1+TANH(phi_a)),0)</f>
        <v>945.04206568250993</v>
      </c>
      <c r="AM175" s="72">
        <f>Tabella3[[#This Row],[rest of Italy fit]]/y_a_peak</f>
        <v>0.33022746111659373</v>
      </c>
      <c r="AN175" s="10">
        <f>Tabella3[[#This Row],[rest of Italy fit]]*NOT(ISBLANK(Tabella3[[#This Row],[rest of Italy data]]))</f>
        <v>0</v>
      </c>
    </row>
    <row r="176" spans="2:40" x14ac:dyDescent="0.3">
      <c r="B176" s="9">
        <v>43999</v>
      </c>
      <c r="C176" s="4">
        <v>169</v>
      </c>
      <c r="E176" s="10"/>
      <c r="F176" s="10">
        <f>Tabella3[[#This Row],[Italy remov. rate data]]*NOT(ISBLANK(Tabella3[[#This Row],[Italy remov. rate data]]))</f>
        <v>0</v>
      </c>
      <c r="G176" s="77">
        <f>Tabella8[[#This Row],[Italy fit]]</f>
        <v>204323.4569841928</v>
      </c>
      <c r="H176" s="77">
        <f>Tabella3[[#This Row],[Italy cumul. fit]]/Kf</f>
        <v>0.90810425326307909</v>
      </c>
      <c r="I176" s="77">
        <f>Tabella3[[#This Row],[region fit]]+Tabella3[[#This Row],[rest of Italy fit]]</f>
        <v>935.59139358658467</v>
      </c>
      <c r="J176" s="77">
        <f>Tabella3[[#This Row],[Italy (fit of selected region + fitted sum of the other regions)]]/(y_l_peak+y_a_peak)</f>
        <v>0.31190636807729871</v>
      </c>
      <c r="K176" s="72">
        <f>IFERROR(Kf*psi_f*_xlfn.SECH(psi_f*(Tabella3[[#This Row],[Day]]-pf)-phi_f)^2/(1+TANH(phi_f)),0)</f>
        <v>934.39550952207082</v>
      </c>
      <c r="L176" s="292">
        <f>Tabella3[[#This Row],[Italy remov. rate fit]]-Tabella3[[#This Row],[Italy remov. rate data]]</f>
        <v>934.39550952207082</v>
      </c>
      <c r="M176" s="293">
        <f>Tabella3[[#This Row],[rem. rate residuals]]*NOT(ISBLANK(Tabella3[[#This Row],[Italy remov. rate data]]))</f>
        <v>0</v>
      </c>
      <c r="N176" s="72">
        <f>Tabella3[[#This Row],[Italy remov. rate fit]]/y_f_peak</f>
        <v>0.31131926402025573</v>
      </c>
      <c r="O176" s="10">
        <f>Tabella3[[#This Row],[Italy (fit of selected region + fitted sum of the other regions)]]*NOT(ISBLANK(Tabella3[[#This Row],[Italy remov. rate data]]))</f>
        <v>0</v>
      </c>
      <c r="P176" s="10">
        <f>Tabella3[[#This Row],[Italy remov. rate fit]]*NOT(ISBLANK(Tabella3[[#This Row],[Italy remov. rate data]]))</f>
        <v>0</v>
      </c>
      <c r="Q176" s="72"/>
      <c r="R176" s="72"/>
      <c r="T176" s="10"/>
      <c r="U176" s="10">
        <f>Tabella3[[#This Row],[region data]]*NOT(ISBLANK(Tabella3[[#This Row],[region data]]))</f>
        <v>0</v>
      </c>
      <c r="V176"/>
      <c r="W176" s="72">
        <f>Tabella3[[#This Row],[6-days moving avg]]*NOT(ISBLANK(Tabella3[[#This Row],[6-days moving avg]]))</f>
        <v>0</v>
      </c>
      <c r="X176" s="77">
        <f>Tabella8[[#This Row],[region fit]]</f>
        <v>8447.5478595373115</v>
      </c>
      <c r="Y176" s="72">
        <f>Tabella3[[#This Row],[region cumul. fit]]/Kl</f>
        <v>0.94175561421820642</v>
      </c>
      <c r="Z176" s="72">
        <f>IFERROR(Kl*psi_l*_xlfn.SECH(psi_l*(Tabella3[[#This Row],[Day]]-pl)-phi_l)^2/(1+TANH(phi_l)),0)</f>
        <v>27.894913483536055</v>
      </c>
      <c r="AA176" s="72">
        <f>Tabella3[[#This Row],[region fit]]/y_l_peak</f>
        <v>0.20243149364204416</v>
      </c>
      <c r="AB176" s="10">
        <f>Tabella3[[#This Row],[region fit]]*NOT(ISBLANK(Tabella3[[#This Row],[region data]]))</f>
        <v>0</v>
      </c>
      <c r="AC176" s="166">
        <f>IFERROR(kl_m*psi_l_m*_xlfn.SECH(psi_l_m*(Tabella3[[#This Row],[Day]]-pl_m)-phi_l_m)^2/(1+TANH(phi_l_m)),0)</f>
        <v>27.894913483536055</v>
      </c>
      <c r="AD176" s="72">
        <f>Tabella3[[#This Row],[6-days moving avg fit]]*NOT(ISBLANK(Tabella3[[#This Row],[6-days moving avg]]))</f>
        <v>0</v>
      </c>
      <c r="AH176" s="10"/>
      <c r="AI176" s="10">
        <f>Tabella3[[#This Row],[rest of Italy data]]*NOT(ISBLANK(Tabella3[[#This Row],[rest of Italy data]]))</f>
        <v>0</v>
      </c>
      <c r="AJ176" s="77">
        <f>Tabella8[[#This Row],[rest of Italy fit]]</f>
        <v>195755.26559738416</v>
      </c>
      <c r="AK176" s="72">
        <f>Tabella3[[#This Row],[rest of Italy cumul. fit]]/Ka</f>
        <v>0.90614852380402799</v>
      </c>
      <c r="AL176" s="72">
        <f>IFERROR(Ka*psi_a*_xlfn.SECH(psi_a*(Tabella3[[#This Row],[Day]]-pa)-phi_a)^2/(1+TANH(phi_a)),0)</f>
        <v>907.69648010304866</v>
      </c>
      <c r="AM176" s="72">
        <f>Tabella3[[#This Row],[rest of Italy fit]]/y_a_peak</f>
        <v>0.31717773734486787</v>
      </c>
      <c r="AN176" s="10">
        <f>Tabella3[[#This Row],[rest of Italy fit]]*NOT(ISBLANK(Tabella3[[#This Row],[rest of Italy data]]))</f>
        <v>0</v>
      </c>
    </row>
    <row r="177" spans="2:42" x14ac:dyDescent="0.3">
      <c r="B177" s="9">
        <v>44000</v>
      </c>
      <c r="C177" s="4">
        <v>170</v>
      </c>
      <c r="E177" s="10"/>
      <c r="F177" s="10">
        <f>Tabella3[[#This Row],[Italy remov. rate data]]*NOT(ISBLANK(Tabella3[[#This Row],[Italy remov. rate data]]))</f>
        <v>0</v>
      </c>
      <c r="G177" s="77">
        <f>Tabella8[[#This Row],[Italy fit]]</f>
        <v>205238.90454390828</v>
      </c>
      <c r="H177" s="77">
        <f>Tabella3[[#This Row],[Italy cumul. fit]]/Kf</f>
        <v>0.91217290908403681</v>
      </c>
      <c r="I177" s="77">
        <f>Tabella3[[#This Row],[region fit]]+Tabella3[[#This Row],[rest of Italy fit]]</f>
        <v>898.01466715568608</v>
      </c>
      <c r="J177" s="77">
        <f>Tabella3[[#This Row],[Italy (fit of selected region + fitted sum of the other regions)]]/(y_l_peak+y_a_peak)</f>
        <v>0.29937908282688008</v>
      </c>
      <c r="K177" s="72">
        <f>IFERROR(Kf*psi_f*_xlfn.SECH(psi_f*(Tabella3[[#This Row],[Day]]-pf)-phi_f)^2/(1+TANH(phi_f)),0)</f>
        <v>896.7015246654978</v>
      </c>
      <c r="L177" s="292">
        <f>Tabella3[[#This Row],[Italy remov. rate fit]]-Tabella3[[#This Row],[Italy remov. rate data]]</f>
        <v>896.7015246654978</v>
      </c>
      <c r="M177" s="293">
        <f>Tabella3[[#This Row],[rem. rate residuals]]*NOT(ISBLANK(Tabella3[[#This Row],[Italy remov. rate data]]))</f>
        <v>0</v>
      </c>
      <c r="N177" s="72">
        <f>Tabella3[[#This Row],[Italy remov. rate fit]]/y_f_peak</f>
        <v>0.29876048831558527</v>
      </c>
      <c r="O177" s="10">
        <f>Tabella3[[#This Row],[Italy (fit of selected region + fitted sum of the other regions)]]*NOT(ISBLANK(Tabella3[[#This Row],[Italy remov. rate data]]))</f>
        <v>0</v>
      </c>
      <c r="P177" s="10">
        <f>Tabella3[[#This Row],[Italy remov. rate fit]]*NOT(ISBLANK(Tabella3[[#This Row],[Italy remov. rate data]]))</f>
        <v>0</v>
      </c>
      <c r="Q177" s="72"/>
      <c r="R177" s="72"/>
      <c r="T177" s="10"/>
      <c r="U177" s="10">
        <f>Tabella3[[#This Row],[region data]]*NOT(ISBLANK(Tabella3[[#This Row],[region data]]))</f>
        <v>0</v>
      </c>
      <c r="V177"/>
      <c r="W177" s="72">
        <f>Tabella3[[#This Row],[6-days moving avg]]*NOT(ISBLANK(Tabella3[[#This Row],[6-days moving avg]]))</f>
        <v>0</v>
      </c>
      <c r="X177" s="77">
        <f>Tabella8[[#This Row],[region fit]]</f>
        <v>8474.7503788905124</v>
      </c>
      <c r="Y177" s="72">
        <f>Tabella3[[#This Row],[region cumul. fit]]/Kl</f>
        <v>0.94478822507140603</v>
      </c>
      <c r="Z177" s="72">
        <f>IFERROR(Kl*psi_l*_xlfn.SECH(psi_l*(Tabella3[[#This Row],[Day]]-pl)-phi_l)^2/(1+TANH(phi_l)),0)</f>
        <v>26.520278701786186</v>
      </c>
      <c r="AA177" s="72">
        <f>Tabella3[[#This Row],[region fit]]/y_l_peak</f>
        <v>0.19245586234115594</v>
      </c>
      <c r="AB177" s="10">
        <f>Tabella3[[#This Row],[region fit]]*NOT(ISBLANK(Tabella3[[#This Row],[region data]]))</f>
        <v>0</v>
      </c>
      <c r="AC177" s="166">
        <f>IFERROR(kl_m*psi_l_m*_xlfn.SECH(psi_l_m*(Tabella3[[#This Row],[Day]]-pl_m)-phi_l_m)^2/(1+TANH(phi_l_m)),0)</f>
        <v>26.520278701786186</v>
      </c>
      <c r="AD177" s="72">
        <f>Tabella3[[#This Row],[6-days moving avg fit]]*NOT(ISBLANK(Tabella3[[#This Row],[6-days moving avg]]))</f>
        <v>0</v>
      </c>
      <c r="AH177" s="10"/>
      <c r="AI177" s="10">
        <f>Tabella3[[#This Row],[rest of Italy data]]*NOT(ISBLANK(Tabella3[[#This Row],[rest of Italy data]]))</f>
        <v>0</v>
      </c>
      <c r="AJ177" s="77">
        <f>Tabella8[[#This Row],[rest of Italy fit]]</f>
        <v>196644.76593631165</v>
      </c>
      <c r="AK177" s="72">
        <f>Tabella3[[#This Row],[rest of Italy cumul. fit]]/Ka</f>
        <v>0.91026600905574062</v>
      </c>
      <c r="AL177" s="72">
        <f>IFERROR(Ka*psi_a*_xlfn.SECH(psi_a*(Tabella3[[#This Row],[Day]]-pa)-phi_a)^2/(1+TANH(phi_a)),0)</f>
        <v>871.49438845389989</v>
      </c>
      <c r="AM177" s="72">
        <f>Tabella3[[#This Row],[rest of Italy fit]]/y_a_peak</f>
        <v>0.30452758636584792</v>
      </c>
      <c r="AN177" s="10">
        <f>Tabella3[[#This Row],[rest of Italy fit]]*NOT(ISBLANK(Tabella3[[#This Row],[rest of Italy data]]))</f>
        <v>0</v>
      </c>
    </row>
    <row r="178" spans="2:42" x14ac:dyDescent="0.3">
      <c r="B178" s="9">
        <v>44001</v>
      </c>
      <c r="C178" s="4">
        <v>171</v>
      </c>
      <c r="E178" s="10"/>
      <c r="F178" s="10">
        <f>Tabella3[[#This Row],[Italy remov. rate data]]*NOT(ISBLANK(Tabella3[[#This Row],[Italy remov. rate data]]))</f>
        <v>0</v>
      </c>
      <c r="G178" s="77">
        <f>Tabella8[[#This Row],[Italy fit]]</f>
        <v>206117.26240416378</v>
      </c>
      <c r="H178" s="77">
        <f>Tabella3[[#This Row],[Italy cumul. fit]]/Kf</f>
        <v>0.91607672179628341</v>
      </c>
      <c r="I178" s="77">
        <f>Tabella3[[#This Row],[region fit]]+Tabella3[[#This Row],[rest of Italy fit]]</f>
        <v>861.6356123867331</v>
      </c>
      <c r="J178" s="77">
        <f>Tabella3[[#This Row],[Italy (fit of selected region + fitted sum of the other regions)]]/(y_l_peak+y_a_peak)</f>
        <v>0.28725107595886995</v>
      </c>
      <c r="K178" s="72">
        <f>IFERROR(Kf*psi_f*_xlfn.SECH(psi_f*(Tabella3[[#This Row],[Day]]-pf)-phi_f)^2/(1+TANH(phi_f)),0)</f>
        <v>860.21455007562406</v>
      </c>
      <c r="L178" s="292">
        <f>Tabella3[[#This Row],[Italy remov. rate fit]]-Tabella3[[#This Row],[Italy remov. rate data]]</f>
        <v>860.21455007562406</v>
      </c>
      <c r="M178" s="293">
        <f>Tabella3[[#This Row],[rem. rate residuals]]*NOT(ISBLANK(Tabella3[[#This Row],[Italy remov. rate data]]))</f>
        <v>0</v>
      </c>
      <c r="N178" s="72">
        <f>Tabella3[[#This Row],[Italy remov. rate fit]]/y_f_peak</f>
        <v>0.28660386089187767</v>
      </c>
      <c r="O178" s="10">
        <f>Tabella3[[#This Row],[Italy (fit of selected region + fitted sum of the other regions)]]*NOT(ISBLANK(Tabella3[[#This Row],[Italy remov. rate data]]))</f>
        <v>0</v>
      </c>
      <c r="P178" s="10">
        <f>Tabella3[[#This Row],[Italy remov. rate fit]]*NOT(ISBLANK(Tabella3[[#This Row],[Italy remov. rate data]]))</f>
        <v>0</v>
      </c>
      <c r="Q178" s="72"/>
      <c r="R178" s="72"/>
      <c r="T178" s="10"/>
      <c r="U178" s="10">
        <f>Tabella3[[#This Row],[region data]]*NOT(ISBLANK(Tabella3[[#This Row],[region data]]))</f>
        <v>0</v>
      </c>
      <c r="V178"/>
      <c r="W178" s="72">
        <f>Tabella3[[#This Row],[6-days moving avg]]*NOT(ISBLANK(Tabella3[[#This Row],[6-days moving avg]]))</f>
        <v>0</v>
      </c>
      <c r="X178" s="77">
        <f>Tabella8[[#This Row],[region fit]]</f>
        <v>8500.6084242419001</v>
      </c>
      <c r="Y178" s="72">
        <f>Tabella3[[#This Row],[region cumul. fit]]/Kl</f>
        <v>0.9476709503056745</v>
      </c>
      <c r="Z178" s="72">
        <f>IFERROR(Kl*psi_l*_xlfn.SECH(psi_l*(Tabella3[[#This Row],[Day]]-pl)-phi_l)^2/(1+TANH(phi_l)),0)</f>
        <v>25.20566433837832</v>
      </c>
      <c r="AA178" s="72">
        <f>Tabella3[[#This Row],[region fit]]/y_l_peak</f>
        <v>0.18291579514198694</v>
      </c>
      <c r="AB178" s="10">
        <f>Tabella3[[#This Row],[region fit]]*NOT(ISBLANK(Tabella3[[#This Row],[region data]]))</f>
        <v>0</v>
      </c>
      <c r="AC178" s="166">
        <f>IFERROR(kl_m*psi_l_m*_xlfn.SECH(psi_l_m*(Tabella3[[#This Row],[Day]]-pl_m)-phi_l_m)^2/(1+TANH(phi_l_m)),0)</f>
        <v>25.20566433837832</v>
      </c>
      <c r="AD178" s="72">
        <f>Tabella3[[#This Row],[6-days moving avg fit]]*NOT(ISBLANK(Tabella3[[#This Row],[6-days moving avg]]))</f>
        <v>0</v>
      </c>
      <c r="AH178" s="10"/>
      <c r="AI178" s="10">
        <f>Tabella3[[#This Row],[rest of Italy data]]*NOT(ISBLANK(Tabella3[[#This Row],[rest of Italy data]]))</f>
        <v>0</v>
      </c>
      <c r="AJ178" s="77">
        <f>Tabella8[[#This Row],[rest of Italy fit]]</f>
        <v>197498.6336243001</v>
      </c>
      <c r="AK178" s="72">
        <f>Tabella3[[#This Row],[rest of Italy cumul. fit]]/Ka</f>
        <v>0.91421855123964313</v>
      </c>
      <c r="AL178" s="72">
        <f>IFERROR(Ka*psi_a*_xlfn.SECH(psi_a*(Tabella3[[#This Row],[Day]]-pa)-phi_a)^2/(1+TANH(phi_a)),0)</f>
        <v>836.42994804835473</v>
      </c>
      <c r="AM178" s="72">
        <f>Tabella3[[#This Row],[rest of Italy fit]]/y_a_peak</f>
        <v>0.29227496656078694</v>
      </c>
      <c r="AN178" s="10">
        <f>Tabella3[[#This Row],[rest of Italy fit]]*NOT(ISBLANK(Tabella3[[#This Row],[rest of Italy data]]))</f>
        <v>0</v>
      </c>
    </row>
    <row r="179" spans="2:42" x14ac:dyDescent="0.3">
      <c r="B179" s="9">
        <v>44002</v>
      </c>
      <c r="C179" s="4">
        <v>172</v>
      </c>
      <c r="E179" s="10"/>
      <c r="F179" s="10">
        <f>Tabella3[[#This Row],[Italy remov. rate data]]*NOT(ISBLANK(Tabella3[[#This Row],[Italy remov. rate data]]))</f>
        <v>0</v>
      </c>
      <c r="G179" s="77">
        <f>Tabella8[[#This Row],[Italy fit]]</f>
        <v>206959.73240142319</v>
      </c>
      <c r="H179" s="77">
        <f>Tabella3[[#This Row],[Italy cumul. fit]]/Kf</f>
        <v>0.91982103289521411</v>
      </c>
      <c r="I179" s="77">
        <f>Tabella3[[#This Row],[region fit]]+Tabella3[[#This Row],[rest of Italy fit]]</f>
        <v>826.44359503771102</v>
      </c>
      <c r="J179" s="77">
        <f>Tabella3[[#This Row],[Italy (fit of selected region + fitted sum of the other regions)]]/(y_l_peak+y_a_peak)</f>
        <v>0.27551880224206293</v>
      </c>
      <c r="K179" s="72">
        <f>IFERROR(Kf*psi_f*_xlfn.SECH(psi_f*(Tabella3[[#This Row],[Day]]-pf)-phi_f)^2/(1+TANH(phi_f)),0)</f>
        <v>824.92375650915687</v>
      </c>
      <c r="L179" s="292">
        <f>Tabella3[[#This Row],[Italy remov. rate fit]]-Tabella3[[#This Row],[Italy remov. rate data]]</f>
        <v>824.92375650915687</v>
      </c>
      <c r="M179" s="293">
        <f>Tabella3[[#This Row],[rem. rate residuals]]*NOT(ISBLANK(Tabella3[[#This Row],[Italy remov. rate data]]))</f>
        <v>0</v>
      </c>
      <c r="N179" s="72">
        <f>Tabella3[[#This Row],[Italy remov. rate fit]]/y_f_peak</f>
        <v>0.27484577369235452</v>
      </c>
      <c r="O179" s="10">
        <f>Tabella3[[#This Row],[Italy (fit of selected region + fitted sum of the other regions)]]*NOT(ISBLANK(Tabella3[[#This Row],[Italy remov. rate data]]))</f>
        <v>0</v>
      </c>
      <c r="P179" s="10">
        <f>Tabella3[[#This Row],[Italy remov. rate fit]]*NOT(ISBLANK(Tabella3[[#This Row],[Italy remov. rate data]]))</f>
        <v>0</v>
      </c>
      <c r="Q179" s="72"/>
      <c r="R179" s="72"/>
      <c r="T179" s="10"/>
      <c r="U179" s="10">
        <f>Tabella3[[#This Row],[region data]]*NOT(ISBLANK(Tabella3[[#This Row],[region data]]))</f>
        <v>0</v>
      </c>
      <c r="V179"/>
      <c r="W179" s="72">
        <f>Tabella3[[#This Row],[6-days moving avg]]*NOT(ISBLANK(Tabella3[[#This Row],[6-days moving avg]]))</f>
        <v>0</v>
      </c>
      <c r="X179" s="77">
        <f>Tabella8[[#This Row],[region fit]]</f>
        <v>8525.1811058578242</v>
      </c>
      <c r="Y179" s="72">
        <f>Tabella3[[#This Row],[region cumul. fit]]/Kl</f>
        <v>0.95041037969429476</v>
      </c>
      <c r="Z179" s="72">
        <f>IFERROR(Kl*psi_l*_xlfn.SECH(psi_l*(Tabella3[[#This Row],[Day]]-pl)-phi_l)^2/(1+TANH(phi_l)),0)</f>
        <v>23.949243815712837</v>
      </c>
      <c r="AA179" s="72">
        <f>Tabella3[[#This Row],[region fit]]/y_l_peak</f>
        <v>0.17379803669488489</v>
      </c>
      <c r="AB179" s="10">
        <f>Tabella3[[#This Row],[region fit]]*NOT(ISBLANK(Tabella3[[#This Row],[region data]]))</f>
        <v>0</v>
      </c>
      <c r="AC179" s="166">
        <f>IFERROR(kl_m*psi_l_m*_xlfn.SECH(psi_l_m*(Tabella3[[#This Row],[Day]]-pl_m)-phi_l_m)^2/(1+TANH(phi_l_m)),0)</f>
        <v>23.949243815712837</v>
      </c>
      <c r="AD179" s="72">
        <f>Tabella3[[#This Row],[6-days moving avg fit]]*NOT(ISBLANK(Tabella3[[#This Row],[6-days moving avg]]))</f>
        <v>0</v>
      </c>
      <c r="AH179" s="10"/>
      <c r="AI179" s="10">
        <f>Tabella3[[#This Row],[rest of Italy data]]*NOT(ISBLANK(Tabella3[[#This Row],[rest of Italy data]]))</f>
        <v>0</v>
      </c>
      <c r="AJ179" s="77">
        <f>Tabella8[[#This Row],[rest of Italy fit]]</f>
        <v>198318.00214321486</v>
      </c>
      <c r="AK179" s="72">
        <f>Tabella3[[#This Row],[rest of Italy cumul. fit]]/Ka</f>
        <v>0.91801139722823155</v>
      </c>
      <c r="AL179" s="72">
        <f>IFERROR(Ka*psi_a*_xlfn.SECH(psi_a*(Tabella3[[#This Row],[Day]]-pa)-phi_a)^2/(1+TANH(phi_a)),0)</f>
        <v>802.49435122199816</v>
      </c>
      <c r="AM179" s="72">
        <f>Tabella3[[#This Row],[rest of Italy fit]]/y_a_peak</f>
        <v>0.28041680025434773</v>
      </c>
      <c r="AN179" s="10">
        <f>Tabella3[[#This Row],[rest of Italy fit]]*NOT(ISBLANK(Tabella3[[#This Row],[rest of Italy data]]))</f>
        <v>0</v>
      </c>
    </row>
    <row r="180" spans="2:42" x14ac:dyDescent="0.3">
      <c r="B180" s="9">
        <v>44003</v>
      </c>
      <c r="C180" s="4">
        <v>173</v>
      </c>
      <c r="E180" s="10"/>
      <c r="F180" s="10">
        <f>Tabella3[[#This Row],[Italy remov. rate data]]*NOT(ISBLANK(Tabella3[[#This Row],[Italy remov. rate data]]))</f>
        <v>0</v>
      </c>
      <c r="G180" s="77">
        <f>Tabella8[[#This Row],[Italy fit]]</f>
        <v>207767.50415014703</v>
      </c>
      <c r="H180" s="77">
        <f>Tabella3[[#This Row],[Italy cumul. fit]]/Kf</f>
        <v>0.92341112955620896</v>
      </c>
      <c r="I180" s="77">
        <f>Tabella3[[#This Row],[region fit]]+Tabella3[[#This Row],[rest of Italy fit]]</f>
        <v>792.42528290190296</v>
      </c>
      <c r="J180" s="77">
        <f>Tabella3[[#This Row],[Italy (fit of selected region + fitted sum of the other regions)]]/(y_l_peak+y_a_peak)</f>
        <v>0.26417781700092641</v>
      </c>
      <c r="K180" s="72">
        <f>IFERROR(Kf*psi_f*_xlfn.SECH(psi_f*(Tabella3[[#This Row],[Day]]-pf)-phi_f)^2/(1+TANH(phi_f)),0)</f>
        <v>790.8155808336254</v>
      </c>
      <c r="L180" s="292">
        <f>Tabella3[[#This Row],[Italy remov. rate fit]]-Tabella3[[#This Row],[Italy remov. rate data]]</f>
        <v>790.8155808336254</v>
      </c>
      <c r="M180" s="293">
        <f>Tabella3[[#This Row],[rem. rate residuals]]*NOT(ISBLANK(Tabella3[[#This Row],[Italy remov. rate data]]))</f>
        <v>0</v>
      </c>
      <c r="N180" s="72">
        <f>Tabella3[[#This Row],[Italy remov. rate fit]]/y_f_peak</f>
        <v>0.26348170779074154</v>
      </c>
      <c r="O180" s="10">
        <f>Tabella3[[#This Row],[Italy (fit of selected region + fitted sum of the other regions)]]*NOT(ISBLANK(Tabella3[[#This Row],[Italy remov. rate data]]))</f>
        <v>0</v>
      </c>
      <c r="P180" s="10">
        <f>Tabella3[[#This Row],[Italy remov. rate fit]]*NOT(ISBLANK(Tabella3[[#This Row],[Italy remov. rate data]]))</f>
        <v>0</v>
      </c>
      <c r="Q180" s="72"/>
      <c r="R180" s="72"/>
      <c r="T180" s="10"/>
      <c r="U180" s="10">
        <f>Tabella3[[#This Row],[region data]]*NOT(ISBLANK(Tabella3[[#This Row],[region data]]))</f>
        <v>0</v>
      </c>
      <c r="V180"/>
      <c r="W180" s="72">
        <f>Tabella3[[#This Row],[6-days moving avg]]*NOT(ISBLANK(Tabella3[[#This Row],[6-days moving avg]]))</f>
        <v>0</v>
      </c>
      <c r="X180" s="77">
        <f>Tabella8[[#This Row],[region fit]]</f>
        <v>8548.5256908039828</v>
      </c>
      <c r="Y180" s="72">
        <f>Tabella3[[#This Row],[region cumul. fit]]/Kl</f>
        <v>0.95301289752552765</v>
      </c>
      <c r="Z180" s="72">
        <f>IFERROR(Kl*psi_l*_xlfn.SECH(psi_l*(Tabella3[[#This Row],[Day]]-pl)-phi_l)^2/(1+TANH(phi_l)),0)</f>
        <v>22.749159461045625</v>
      </c>
      <c r="AA180" s="72">
        <f>Tabella3[[#This Row],[region fit]]/y_l_peak</f>
        <v>0.16508910599484469</v>
      </c>
      <c r="AB180" s="10">
        <f>Tabella3[[#This Row],[region fit]]*NOT(ISBLANK(Tabella3[[#This Row],[region data]]))</f>
        <v>0</v>
      </c>
      <c r="AC180" s="166">
        <f>IFERROR(kl_m*psi_l_m*_xlfn.SECH(psi_l_m*(Tabella3[[#This Row],[Day]]-pl_m)-phi_l_m)^2/(1+TANH(phi_l_m)),0)</f>
        <v>22.749159461045625</v>
      </c>
      <c r="AD180" s="72">
        <f>Tabella3[[#This Row],[6-days moving avg fit]]*NOT(ISBLANK(Tabella3[[#This Row],[6-days moving avg]]))</f>
        <v>0</v>
      </c>
      <c r="AH180" s="10"/>
      <c r="AI180" s="10">
        <f>Tabella3[[#This Row],[rest of Italy data]]*NOT(ISBLANK(Tabella3[[#This Row],[rest of Italy data]]))</f>
        <v>0</v>
      </c>
      <c r="AJ180" s="77">
        <f>Tabella8[[#This Row],[rest of Italy fit]]</f>
        <v>199103.99480954735</v>
      </c>
      <c r="AK180" s="72">
        <f>Tabella3[[#This Row],[rest of Italy cumul. fit]]/Ka</f>
        <v>0.92164974683862122</v>
      </c>
      <c r="AL180" s="72">
        <f>IFERROR(Ka*psi_a*_xlfn.SECH(psi_a*(Tabella3[[#This Row],[Day]]-pa)-phi_a)^2/(1+TANH(phi_a)),0)</f>
        <v>769.67612344085728</v>
      </c>
      <c r="AM180" s="72">
        <f>Tabella3[[#This Row],[rest of Italy fit]]/y_a_peak</f>
        <v>0.26894907788297856</v>
      </c>
      <c r="AN180" s="10">
        <f>Tabella3[[#This Row],[rest of Italy fit]]*NOT(ISBLANK(Tabella3[[#This Row],[rest of Italy data]]))</f>
        <v>0</v>
      </c>
    </row>
    <row r="181" spans="2:42" x14ac:dyDescent="0.3">
      <c r="B181" s="9">
        <v>44004</v>
      </c>
      <c r="C181" s="4">
        <v>174</v>
      </c>
      <c r="E181" s="10"/>
      <c r="F181" s="10">
        <f>Tabella3[[#This Row],[Italy remov. rate data]]*NOT(ISBLANK(Tabella3[[#This Row],[Italy remov. rate data]]))</f>
        <v>0</v>
      </c>
      <c r="G181" s="77">
        <f>Tabella8[[#This Row],[Italy fit]]</f>
        <v>208541.7524611523</v>
      </c>
      <c r="H181" s="77">
        <f>Tabella3[[#This Row],[Italy cumul. fit]]/Kf</f>
        <v>0.92685223316067689</v>
      </c>
      <c r="I181" s="77">
        <f>Tabella3[[#This Row],[region fit]]+Tabella3[[#This Row],[rest of Italy fit]]</f>
        <v>759.56494222216986</v>
      </c>
      <c r="J181" s="77">
        <f>Tabella3[[#This Row],[Italy (fit of selected region + fitted sum of the other regions)]]/(y_l_peak+y_a_peak)</f>
        <v>0.25322287493384793</v>
      </c>
      <c r="K181" s="72">
        <f>IFERROR(Kf*psi_f*_xlfn.SECH(psi_f*(Tabella3[[#This Row],[Day]]-pf)-phi_f)^2/(1+TANH(phi_f)),0)</f>
        <v>757.87402786106782</v>
      </c>
      <c r="L181" s="292">
        <f>Tabella3[[#This Row],[Italy remov. rate fit]]-Tabella3[[#This Row],[Italy remov. rate data]]</f>
        <v>757.87402786106782</v>
      </c>
      <c r="M181" s="293">
        <f>Tabella3[[#This Row],[rem. rate residuals]]*NOT(ISBLANK(Tabella3[[#This Row],[Italy remov. rate data]]))</f>
        <v>0</v>
      </c>
      <c r="N181" s="72">
        <f>Tabella3[[#This Row],[Italy remov. rate fit]]/y_f_peak</f>
        <v>0.25250633395536604</v>
      </c>
      <c r="O181" s="10">
        <f>Tabella3[[#This Row],[Italy (fit of selected region + fitted sum of the other regions)]]*NOT(ISBLANK(Tabella3[[#This Row],[Italy remov. rate data]]))</f>
        <v>0</v>
      </c>
      <c r="P181" s="10">
        <f>Tabella3[[#This Row],[Italy remov. rate fit]]*NOT(ISBLANK(Tabella3[[#This Row],[Italy remov. rate data]]))</f>
        <v>0</v>
      </c>
      <c r="Q181" s="72"/>
      <c r="R181" s="72"/>
      <c r="T181" s="10"/>
      <c r="U181" s="10">
        <f>Tabella3[[#This Row],[region data]]*NOT(ISBLANK(Tabella3[[#This Row],[region data]]))</f>
        <v>0</v>
      </c>
      <c r="V181"/>
      <c r="W181" s="72">
        <f>Tabella3[[#This Row],[6-days moving avg]]*NOT(ISBLANK(Tabella3[[#This Row],[6-days moving avg]]))</f>
        <v>0</v>
      </c>
      <c r="X181" s="77">
        <f>Tabella8[[#This Row],[region fit]]</f>
        <v>8570.6975780730554</v>
      </c>
      <c r="Y181" s="72">
        <f>Tabella3[[#This Row],[region cumul. fit]]/Kl</f>
        <v>0.95548467982977203</v>
      </c>
      <c r="Z181" s="72">
        <f>IFERROR(Kl*psi_l*_xlfn.SECH(psi_l*(Tabella3[[#This Row],[Day]]-pl)-phi_l)^2/(1+TANH(phi_l)),0)</f>
        <v>21.603534724633523</v>
      </c>
      <c r="AA181" s="72">
        <f>Tabella3[[#This Row],[region fit]]/y_l_peak</f>
        <v>0.15677538504776051</v>
      </c>
      <c r="AB181" s="10">
        <f>Tabella3[[#This Row],[region fit]]*NOT(ISBLANK(Tabella3[[#This Row],[region data]]))</f>
        <v>0</v>
      </c>
      <c r="AC181" s="166">
        <f>IFERROR(kl_m*psi_l_m*_xlfn.SECH(psi_l_m*(Tabella3[[#This Row],[Day]]-pl_m)-phi_l_m)^2/(1+TANH(phi_l_m)),0)</f>
        <v>21.603534724633523</v>
      </c>
      <c r="AD181" s="72">
        <f>Tabella3[[#This Row],[6-days moving avg fit]]*NOT(ISBLANK(Tabella3[[#This Row],[6-days moving avg]]))</f>
        <v>0</v>
      </c>
      <c r="AH181" s="10"/>
      <c r="AI181" s="10">
        <f>Tabella3[[#This Row],[rest of Italy data]]*NOT(ISBLANK(Tabella3[[#This Row],[rest of Italy data]]))</f>
        <v>0</v>
      </c>
      <c r="AJ181" s="77">
        <f>Tabella8[[#This Row],[rest of Italy fit]]</f>
        <v>199857.72225083434</v>
      </c>
      <c r="AK181" s="72">
        <f>Tabella3[[#This Row],[rest of Italy cumul. fit]]/Ka</f>
        <v>0.92513874115092509</v>
      </c>
      <c r="AL181" s="72">
        <f>IFERROR(Ka*psi_a*_xlfn.SECH(psi_a*(Tabella3[[#This Row],[Day]]-pa)-phi_a)^2/(1+TANH(phi_a)),0)</f>
        <v>737.96140749753636</v>
      </c>
      <c r="AM181" s="72">
        <f>Tabella3[[#This Row],[rest of Italy fit]]/y_a_peak</f>
        <v>0.25786695730199344</v>
      </c>
      <c r="AN181" s="10">
        <f>Tabella3[[#This Row],[rest of Italy fit]]*NOT(ISBLANK(Tabella3[[#This Row],[rest of Italy data]]))</f>
        <v>0</v>
      </c>
    </row>
    <row r="182" spans="2:42" x14ac:dyDescent="0.3">
      <c r="B182" s="9">
        <v>44005</v>
      </c>
      <c r="C182" s="4">
        <v>175</v>
      </c>
      <c r="E182" s="10"/>
      <c r="F182" s="10">
        <f>Tabella3[[#This Row],[Italy remov. rate data]]*NOT(ISBLANK(Tabella3[[#This Row],[Italy remov. rate data]]))</f>
        <v>0</v>
      </c>
      <c r="G182" s="77">
        <f>Tabella8[[#This Row],[Italy fit]]</f>
        <v>209283.63505372521</v>
      </c>
      <c r="H182" s="77">
        <f>Tabella3[[#This Row],[Italy cumul. fit]]/Kf</f>
        <v>0.93014948912766759</v>
      </c>
      <c r="I182" s="77">
        <f>Tabella3[[#This Row],[region fit]]+Tabella3[[#This Row],[rest of Italy fit]]</f>
        <v>727.84471820604301</v>
      </c>
      <c r="J182" s="77">
        <f>Tabella3[[#This Row],[Italy (fit of selected region + fitted sum of the other regions)]]/(y_l_peak+y_a_peak)</f>
        <v>0.24264802363092944</v>
      </c>
      <c r="K182" s="72">
        <f>IFERROR(Kf*psi_f*_xlfn.SECH(psi_f*(Tabella3[[#This Row],[Day]]-pf)-phi_f)^2/(1+TANH(phi_f)),0)</f>
        <v>726.08095594082113</v>
      </c>
      <c r="L182" s="292">
        <f>Tabella3[[#This Row],[Italy remov. rate fit]]-Tabella3[[#This Row],[Italy remov. rate data]]</f>
        <v>726.08095594082113</v>
      </c>
      <c r="M182" s="293">
        <f>Tabella3[[#This Row],[rem. rate residuals]]*NOT(ISBLANK(Tabella3[[#This Row],[Italy remov. rate data]]))</f>
        <v>0</v>
      </c>
      <c r="N182" s="72">
        <f>Tabella3[[#This Row],[Italy remov. rate fit]]/y_f_peak</f>
        <v>0.24191360780215837</v>
      </c>
      <c r="O182" s="10">
        <f>Tabella3[[#This Row],[Italy (fit of selected region + fitted sum of the other regions)]]*NOT(ISBLANK(Tabella3[[#This Row],[Italy remov. rate data]]))</f>
        <v>0</v>
      </c>
      <c r="P182" s="10">
        <f>Tabella3[[#This Row],[Italy remov. rate fit]]*NOT(ISBLANK(Tabella3[[#This Row],[Italy remov. rate data]]))</f>
        <v>0</v>
      </c>
      <c r="Q182" s="72"/>
      <c r="R182" s="72"/>
      <c r="T182" s="10"/>
      <c r="U182" s="10">
        <f>Tabella3[[#This Row],[region data]]*NOT(ISBLANK(Tabella3[[#This Row],[region data]]))</f>
        <v>0</v>
      </c>
      <c r="V182"/>
      <c r="W182" s="72">
        <f>Tabella3[[#This Row],[6-days moving avg]]*NOT(ISBLANK(Tabella3[[#This Row],[6-days moving avg]]))</f>
        <v>0</v>
      </c>
      <c r="X182" s="77">
        <f>Tabella8[[#This Row],[region fit]]</f>
        <v>8591.7502852618236</v>
      </c>
      <c r="Y182" s="72">
        <f>Tabella3[[#This Row],[region cumul. fit]]/Kl</f>
        <v>0.95783169289429471</v>
      </c>
      <c r="Z182" s="72">
        <f>IFERROR(Kl*psi_l*_xlfn.SECH(psi_l*(Tabella3[[#This Row],[Day]]-pl)-phi_l)^2/(1+TANH(phi_l)),0)</f>
        <v>20.510485074249125</v>
      </c>
      <c r="AA182" s="72">
        <f>Tabella3[[#This Row],[region fit]]/y_l_peak</f>
        <v>0.14884319793118017</v>
      </c>
      <c r="AB182" s="10">
        <f>Tabella3[[#This Row],[region fit]]*NOT(ISBLANK(Tabella3[[#This Row],[region data]]))</f>
        <v>0</v>
      </c>
      <c r="AC182" s="166">
        <f>IFERROR(kl_m*psi_l_m*_xlfn.SECH(psi_l_m*(Tabella3[[#This Row],[Day]]-pl_m)-phi_l_m)^2/(1+TANH(phi_l_m)),0)</f>
        <v>20.510485074249125</v>
      </c>
      <c r="AD182" s="72">
        <f>Tabella3[[#This Row],[6-days moving avg fit]]*NOT(ISBLANK(Tabella3[[#This Row],[6-days moving avg]]))</f>
        <v>0</v>
      </c>
      <c r="AH182" s="10"/>
      <c r="AI182" s="10">
        <f>Tabella3[[#This Row],[rest of Italy data]]*NOT(ISBLANK(Tabella3[[#This Row],[rest of Italy data]]))</f>
        <v>0</v>
      </c>
      <c r="AJ182" s="77">
        <f>Tabella8[[#This Row],[rest of Italy fit]]</f>
        <v>200580.28015903072</v>
      </c>
      <c r="AK182" s="72">
        <f>Tabella3[[#This Row],[rest of Italy cumul. fit]]/Ka</f>
        <v>0.92848345210864569</v>
      </c>
      <c r="AL182" s="72">
        <f>IFERROR(Ka*psi_a*_xlfn.SECH(psi_a*(Tabella3[[#This Row],[Day]]-pa)-phi_a)^2/(1+TANH(phi_a)),0)</f>
        <v>707.33423313179389</v>
      </c>
      <c r="AM182" s="72">
        <f>Tabella3[[#This Row],[rest of Italy fit]]/y_a_peak</f>
        <v>0.24716485799949303</v>
      </c>
      <c r="AN182" s="10">
        <f>Tabella3[[#This Row],[rest of Italy fit]]*NOT(ISBLANK(Tabella3[[#This Row],[rest of Italy data]]))</f>
        <v>0</v>
      </c>
    </row>
    <row r="183" spans="2:42" x14ac:dyDescent="0.3">
      <c r="B183" s="9">
        <v>44006</v>
      </c>
      <c r="C183" s="4">
        <v>176</v>
      </c>
      <c r="E183" s="10"/>
      <c r="F183" s="10">
        <f>Tabella3[[#This Row],[Italy remov. rate data]]*NOT(ISBLANK(Tabella3[[#This Row],[Italy remov. rate data]]))</f>
        <v>0</v>
      </c>
      <c r="G183" s="77">
        <f>Tabella8[[#This Row],[Italy fit]]</f>
        <v>209994.29054504537</v>
      </c>
      <c r="H183" s="77">
        <f>Tabella3[[#This Row],[Italy cumul. fit]]/Kf</f>
        <v>0.93330795797797939</v>
      </c>
      <c r="I183" s="77">
        <f>Tabella3[[#This Row],[region fit]]+Tabella3[[#This Row],[rest of Italy fit]]</f>
        <v>697.24489929222545</v>
      </c>
      <c r="J183" s="77">
        <f>Tabella3[[#This Row],[Italy (fit of selected region + fitted sum of the other regions)]]/(y_l_peak+y_a_peak)</f>
        <v>0.23244669167484558</v>
      </c>
      <c r="K183" s="72">
        <f>IFERROR(Kf*psi_f*_xlfn.SECH(psi_f*(Tabella3[[#This Row],[Day]]-pf)-phi_f)^2/(1+TANH(phi_f)),0)</f>
        <v>695.41634594628442</v>
      </c>
      <c r="L183" s="292">
        <f>Tabella3[[#This Row],[Italy remov. rate fit]]-Tabella3[[#This Row],[Italy remov. rate data]]</f>
        <v>695.41634594628442</v>
      </c>
      <c r="M183" s="293">
        <f>Tabella3[[#This Row],[rem. rate residuals]]*NOT(ISBLANK(Tabella3[[#This Row],[Italy remov. rate data]]))</f>
        <v>0</v>
      </c>
      <c r="N183" s="72">
        <f>Tabella3[[#This Row],[Italy remov. rate fit]]/y_f_peak</f>
        <v>0.23169685941490401</v>
      </c>
      <c r="O183" s="10">
        <f>Tabella3[[#This Row],[Italy (fit of selected region + fitted sum of the other regions)]]*NOT(ISBLANK(Tabella3[[#This Row],[Italy remov. rate data]]))</f>
        <v>0</v>
      </c>
      <c r="P183" s="10">
        <f>Tabella3[[#This Row],[Italy remov. rate fit]]*NOT(ISBLANK(Tabella3[[#This Row],[Italy remov. rate data]]))</f>
        <v>0</v>
      </c>
      <c r="Q183" s="72"/>
      <c r="R183" s="72"/>
      <c r="T183" s="10"/>
      <c r="U183" s="10">
        <f>Tabella3[[#This Row],[region data]]*NOT(ISBLANK(Tabella3[[#This Row],[region data]]))</f>
        <v>0</v>
      </c>
      <c r="V183"/>
      <c r="W183" s="72">
        <f>Tabella3[[#This Row],[6-days moving avg]]*NOT(ISBLANK(Tabella3[[#This Row],[6-days moving avg]]))</f>
        <v>0</v>
      </c>
      <c r="X183" s="77">
        <f>Tabella8[[#This Row],[region fit]]</f>
        <v>8611.735445515611</v>
      </c>
      <c r="Y183" s="72">
        <f>Tabella3[[#This Row],[region cumul. fit]]/Kl</f>
        <v>0.96005969292258764</v>
      </c>
      <c r="Z183" s="72">
        <f>IFERROR(Kl*psi_l*_xlfn.SECH(psi_l*(Tabella3[[#This Row],[Day]]-pl)-phi_l)^2/(1+TANH(phi_l)),0)</f>
        <v>19.468127649276077</v>
      </c>
      <c r="AA183" s="72">
        <f>Tabella3[[#This Row],[region fit]]/y_l_peak</f>
        <v>0.14127888085341947</v>
      </c>
      <c r="AB183" s="10">
        <f>Tabella3[[#This Row],[region fit]]*NOT(ISBLANK(Tabella3[[#This Row],[region data]]))</f>
        <v>0</v>
      </c>
      <c r="AC183" s="166">
        <f>IFERROR(kl_m*psi_l_m*_xlfn.SECH(psi_l_m*(Tabella3[[#This Row],[Day]]-pl_m)-phi_l_m)^2/(1+TANH(phi_l_m)),0)</f>
        <v>19.468127649276077</v>
      </c>
      <c r="AD183" s="72">
        <f>Tabella3[[#This Row],[6-days moving avg fit]]*NOT(ISBLANK(Tabella3[[#This Row],[6-days moving avg]]))</f>
        <v>0</v>
      </c>
      <c r="AH183" s="10"/>
      <c r="AI183" s="10">
        <f>Tabella3[[#This Row],[rest of Italy data]]*NOT(ISBLANK(Tabella3[[#This Row],[rest of Italy data]]))</f>
        <v>0</v>
      </c>
      <c r="AJ183" s="77">
        <f>Tabella8[[#This Row],[rest of Italy fit]]</f>
        <v>201272.74730602623</v>
      </c>
      <c r="AK183" s="72">
        <f>Tabella3[[#This Row],[rest of Italy cumul. fit]]/Ka</f>
        <v>0.93168887333252892</v>
      </c>
      <c r="AL183" s="72">
        <f>IFERROR(Ka*psi_a*_xlfn.SECH(psi_a*(Tabella3[[#This Row],[Day]]-pa)-phi_a)^2/(1+TANH(phi_a)),0)</f>
        <v>677.77677164294937</v>
      </c>
      <c r="AM183" s="72">
        <f>Tabella3[[#This Row],[rest of Italy fit]]/y_a_peak</f>
        <v>0.23683655006595841</v>
      </c>
      <c r="AN183" s="10">
        <f>Tabella3[[#This Row],[rest of Italy fit]]*NOT(ISBLANK(Tabella3[[#This Row],[rest of Italy data]]))</f>
        <v>0</v>
      </c>
    </row>
    <row r="184" spans="2:42" x14ac:dyDescent="0.3">
      <c r="B184" s="9">
        <v>44007</v>
      </c>
      <c r="C184" s="4">
        <v>177</v>
      </c>
      <c r="E184" s="10"/>
      <c r="F184" s="10">
        <f>Tabella3[[#This Row],[Italy remov. rate data]]*NOT(ISBLANK(Tabella3[[#This Row],[Italy remov. rate data]]))</f>
        <v>0</v>
      </c>
      <c r="G184" s="77">
        <f>Tabella8[[#This Row],[Italy fit]]</f>
        <v>210674.83670022123</v>
      </c>
      <c r="H184" s="77">
        <f>Tabella3[[#This Row],[Italy cumul. fit]]/Kf</f>
        <v>0.9363326075565388</v>
      </c>
      <c r="I184" s="77">
        <f>Tabella3[[#This Row],[region fit]]+Tabella3[[#This Row],[rest of Italy fit]]</f>
        <v>667.7441650239241</v>
      </c>
      <c r="J184" s="77">
        <f>Tabella3[[#This Row],[Italy (fit of selected region + fitted sum of the other regions)]]/(y_l_peak+y_a_peak)</f>
        <v>0.22261177127656614</v>
      </c>
      <c r="K184" s="72">
        <f>IFERROR(Kf*psi_f*_xlfn.SECH(psi_f*(Tabella3[[#This Row],[Day]]-pf)-phi_f)^2/(1+TANH(phi_f)),0)</f>
        <v>665.85855350287102</v>
      </c>
      <c r="L184" s="292">
        <f>Tabella3[[#This Row],[Italy remov. rate fit]]-Tabella3[[#This Row],[Italy remov. rate data]]</f>
        <v>665.85855350287102</v>
      </c>
      <c r="M184" s="293">
        <f>Tabella3[[#This Row],[rem. rate residuals]]*NOT(ISBLANK(Tabella3[[#This Row],[Italy remov. rate data]]))</f>
        <v>0</v>
      </c>
      <c r="N184" s="72">
        <f>Tabella3[[#This Row],[Italy remov. rate fit]]/y_f_peak</f>
        <v>0.22184887738184225</v>
      </c>
      <c r="O184" s="10">
        <f>Tabella3[[#This Row],[Italy (fit of selected region + fitted sum of the other regions)]]*NOT(ISBLANK(Tabella3[[#This Row],[Italy remov. rate data]]))</f>
        <v>0</v>
      </c>
      <c r="P184" s="10">
        <f>Tabella3[[#This Row],[Italy remov. rate fit]]*NOT(ISBLANK(Tabella3[[#This Row],[Italy remov. rate data]]))</f>
        <v>0</v>
      </c>
      <c r="Q184" s="72"/>
      <c r="R184" s="72"/>
      <c r="T184" s="10"/>
      <c r="U184" s="10">
        <f>Tabella3[[#This Row],[region data]]*NOT(ISBLANK(Tabella3[[#This Row],[region data]]))</f>
        <v>0</v>
      </c>
      <c r="V184"/>
      <c r="W184" s="72">
        <f>Tabella3[[#This Row],[6-days moving avg]]*NOT(ISBLANK(Tabella3[[#This Row],[6-days moving avg]]))</f>
        <v>0</v>
      </c>
      <c r="X184" s="77">
        <f>Tabella8[[#This Row],[region fit]]</f>
        <v>8630.702813541684</v>
      </c>
      <c r="Y184" s="72">
        <f>Tabella3[[#This Row],[region cumul. fit]]/Kl</f>
        <v>0.9621742267047585</v>
      </c>
      <c r="Z184" s="72">
        <f>IFERROR(Kl*psi_l*_xlfn.SECH(psi_l*(Tabella3[[#This Row],[Day]]-pl)-phi_l)^2/(1+TANH(phi_l)),0)</f>
        <v>18.474589758667346</v>
      </c>
      <c r="AA184" s="72">
        <f>Tabella3[[#This Row],[region fit]]/y_l_peak</f>
        <v>0.13406884382266843</v>
      </c>
      <c r="AB184" s="10">
        <f>Tabella3[[#This Row],[region fit]]*NOT(ISBLANK(Tabella3[[#This Row],[region data]]))</f>
        <v>0</v>
      </c>
      <c r="AC184" s="166">
        <f>IFERROR(kl_m*psi_l_m*_xlfn.SECH(psi_l_m*(Tabella3[[#This Row],[Day]]-pl_m)-phi_l_m)^2/(1+TANH(phi_l_m)),0)</f>
        <v>18.474589758667346</v>
      </c>
      <c r="AD184" s="72">
        <f>Tabella3[[#This Row],[6-days moving avg fit]]*NOT(ISBLANK(Tabella3[[#This Row],[6-days moving avg]]))</f>
        <v>0</v>
      </c>
      <c r="AH184" s="10"/>
      <c r="AI184" s="10">
        <f>Tabella3[[#This Row],[rest of Italy data]]*NOT(ISBLANK(Tabella3[[#This Row],[rest of Italy data]]))</f>
        <v>0</v>
      </c>
      <c r="AJ184" s="77">
        <f>Tabella8[[#This Row],[rest of Italy fit]]</f>
        <v>201936.18380616666</v>
      </c>
      <c r="AK184" s="72">
        <f>Tabella3[[#This Row],[rest of Italy cumul. fit]]/Ka</f>
        <v>0.93475991207779785</v>
      </c>
      <c r="AL184" s="72">
        <f>IFERROR(Ka*psi_a*_xlfn.SECH(psi_a*(Tabella3[[#This Row],[Day]]-pa)-phi_a)^2/(1+TANH(phi_a)),0)</f>
        <v>649.26957526525678</v>
      </c>
      <c r="AM184" s="72">
        <f>Tabella3[[#This Row],[rest of Italy fit]]/y_a_peak</f>
        <v>0.22687523783954561</v>
      </c>
      <c r="AN184" s="10">
        <f>Tabella3[[#This Row],[rest of Italy fit]]*NOT(ISBLANK(Tabella3[[#This Row],[rest of Italy data]]))</f>
        <v>0</v>
      </c>
    </row>
    <row r="185" spans="2:42" x14ac:dyDescent="0.3">
      <c r="B185" s="9">
        <v>44008</v>
      </c>
      <c r="C185" s="4">
        <v>178</v>
      </c>
      <c r="D185" s="131"/>
      <c r="E185" s="10"/>
      <c r="F185" s="10">
        <f>Tabella3[[#This Row],[Italy remov. rate data]]*NOT(ISBLANK(Tabella3[[#This Row],[Italy remov. rate data]]))</f>
        <v>0</v>
      </c>
      <c r="G185" s="77" t="e">
        <f>Tabella8[[#This Row],[Italy fit]]</f>
        <v>#VALUE!</v>
      </c>
      <c r="H185" s="77" t="e">
        <f>Tabella3[[#This Row],[Italy cumul. fit]]/Kf</f>
        <v>#VALUE!</v>
      </c>
      <c r="I185" s="77">
        <f>Tabella3[[#This Row],[region fit]]+Tabella3[[#This Row],[rest of Italy fit]]</f>
        <v>639.31981756180062</v>
      </c>
      <c r="J185" s="77">
        <f>Tabella3[[#This Row],[Italy (fit of selected region + fitted sum of the other regions)]]/(y_l_peak+y_a_peak)</f>
        <v>0.21313569545687377</v>
      </c>
      <c r="K185" s="72">
        <f>IFERROR(Kf*psi_f*_xlfn.SECH(psi_f*(Tabella3[[#This Row],[Day]]-pf)-phi_f)^2/(1+TANH(phi_f)),0)</f>
        <v>637.38454448825212</v>
      </c>
      <c r="L185" s="292">
        <f>Tabella3[[#This Row],[Italy remov. rate fit]]-Tabella3[[#This Row],[Italy remov. rate data]]</f>
        <v>637.38454448825212</v>
      </c>
      <c r="M185" s="293">
        <f>Tabella3[[#This Row],[rem. rate residuals]]*NOT(ISBLANK(Tabella3[[#This Row],[Italy remov. rate data]]))</f>
        <v>0</v>
      </c>
      <c r="N185" s="72">
        <f>Tabella3[[#This Row],[Italy remov. rate fit]]/y_f_peak</f>
        <v>0.21236198725897409</v>
      </c>
      <c r="O185" s="10">
        <f>Tabella3[[#This Row],[Italy (fit of selected region + fitted sum of the other regions)]]*NOT(ISBLANK(Tabella3[[#This Row],[Italy remov. rate data]]))</f>
        <v>0</v>
      </c>
      <c r="P185" s="10">
        <f>Tabella3[[#This Row],[Italy remov. rate fit]]*NOT(ISBLANK(Tabella3[[#This Row],[Italy remov. rate data]]))</f>
        <v>0</v>
      </c>
      <c r="Q185" s="72"/>
      <c r="R185" s="72"/>
      <c r="S185" s="131"/>
      <c r="T185" s="10"/>
      <c r="U185" s="10">
        <f>Tabella3[[#This Row],[region data]]*NOT(ISBLANK(Tabella3[[#This Row],[region data]]))</f>
        <v>0</v>
      </c>
      <c r="V185"/>
      <c r="W185" s="72">
        <f>Tabella3[[#This Row],[6-days moving avg]]*NOT(ISBLANK(Tabella3[[#This Row],[6-days moving avg]]))</f>
        <v>0</v>
      </c>
      <c r="X185" s="77" t="e">
        <f>Tabella8[[#This Row],[region fit]]</f>
        <v>#VALUE!</v>
      </c>
      <c r="Y185" s="72" t="e">
        <f>Tabella3[[#This Row],[region cumul. fit]]/Kl</f>
        <v>#VALUE!</v>
      </c>
      <c r="Z185" s="72">
        <f>IFERROR(Kl*psi_l*_xlfn.SECH(psi_l*(Tabella3[[#This Row],[Day]]-pl)-phi_l)^2/(1+TANH(phi_l)),0)</f>
        <v>17.528016306822405</v>
      </c>
      <c r="AA185" s="72">
        <f>Tabella3[[#This Row],[region fit]]/y_l_peak</f>
        <v>0.12719962453607803</v>
      </c>
      <c r="AB185" s="10">
        <f>Tabella3[[#This Row],[region fit]]*NOT(ISBLANK(Tabella3[[#This Row],[region data]]))</f>
        <v>0</v>
      </c>
      <c r="AC185" s="166">
        <f>IFERROR(kl_m*psi_l_m*_xlfn.SECH(psi_l_m*(Tabella3[[#This Row],[Day]]-pl_m)-phi_l_m)^2/(1+TANH(phi_l_m)),0)</f>
        <v>17.528016306822405</v>
      </c>
      <c r="AD185" s="72">
        <f>Tabella3[[#This Row],[6-days moving avg fit]]*NOT(ISBLANK(Tabella3[[#This Row],[6-days moving avg]]))</f>
        <v>0</v>
      </c>
      <c r="AE185" s="131"/>
      <c r="AF185" s="131"/>
      <c r="AG185" s="131"/>
      <c r="AH185" s="10"/>
      <c r="AI185" s="10">
        <f>Tabella3[[#This Row],[rest of Italy data]]*NOT(ISBLANK(Tabella3[[#This Row],[rest of Italy data]]))</f>
        <v>0</v>
      </c>
      <c r="AJ185" s="77" t="e">
        <f>Tabella8[[#This Row],[rest of Italy fit]]</f>
        <v>#VALUE!</v>
      </c>
      <c r="AK185" s="72" t="e">
        <f>Tabella3[[#This Row],[rest of Italy cumul. fit]]/Ka</f>
        <v>#VALUE!</v>
      </c>
      <c r="AL185" s="72">
        <f>IFERROR(Ka*psi_a*_xlfn.SECH(psi_a*(Tabella3[[#This Row],[Day]]-pa)-phi_a)^2/(1+TANH(phi_a)),0)</f>
        <v>621.79180125497817</v>
      </c>
      <c r="AM185" s="72">
        <f>Tabella3[[#This Row],[rest of Italy fit]]/y_a_peak</f>
        <v>0.21727363820916656</v>
      </c>
      <c r="AN185" s="10">
        <f>Tabella3[[#This Row],[rest of Italy fit]]*NOT(ISBLANK(Tabella3[[#This Row],[rest of Italy data]]))</f>
        <v>0</v>
      </c>
      <c r="AO185" s="131"/>
      <c r="AP185" s="131"/>
    </row>
    <row r="186" spans="2:42" x14ac:dyDescent="0.3">
      <c r="B186" s="9">
        <v>44009</v>
      </c>
      <c r="C186" s="4">
        <v>179</v>
      </c>
      <c r="D186" s="131"/>
      <c r="E186" s="10"/>
      <c r="F186" s="10">
        <f>Tabella3[[#This Row],[Italy remov. rate data]]*NOT(ISBLANK(Tabella3[[#This Row],[Italy remov. rate data]]))</f>
        <v>0</v>
      </c>
      <c r="G186" s="77" t="e">
        <f>Tabella8[[#This Row],[Italy fit]]</f>
        <v>#VALUE!</v>
      </c>
      <c r="H186" s="77" t="e">
        <f>Tabella3[[#This Row],[Italy cumul. fit]]/Kf</f>
        <v>#VALUE!</v>
      </c>
      <c r="I186" s="77">
        <f>Tabella3[[#This Row],[region fit]]+Tabella3[[#This Row],[rest of Italy fit]]</f>
        <v>611.94799702104274</v>
      </c>
      <c r="J186" s="77">
        <f>Tabella3[[#This Row],[Italy (fit of selected region + fitted sum of the other regions)]]/(y_l_peak+y_a_peak)</f>
        <v>0.20401050983518573</v>
      </c>
      <c r="K186" s="72">
        <f>IFERROR(Kf*psi_f*_xlfn.SECH(psi_f*(Tabella3[[#This Row],[Day]]-pf)-phi_f)^2/(1+TANH(phi_f)),0)</f>
        <v>609.97011399314306</v>
      </c>
      <c r="L186" s="292">
        <f>Tabella3[[#This Row],[Italy remov. rate fit]]-Tabella3[[#This Row],[Italy remov. rate data]]</f>
        <v>609.97011399314306</v>
      </c>
      <c r="M186" s="293">
        <f>Tabella3[[#This Row],[rem. rate residuals]]*NOT(ISBLANK(Tabella3[[#This Row],[Italy remov. rate data]]))</f>
        <v>0</v>
      </c>
      <c r="N186" s="72">
        <f>Tabella3[[#This Row],[Italy remov. rate fit]]/y_f_peak</f>
        <v>0.20322812452280026</v>
      </c>
      <c r="O186" s="10">
        <f>Tabella3[[#This Row],[Italy (fit of selected region + fitted sum of the other regions)]]*NOT(ISBLANK(Tabella3[[#This Row],[Italy remov. rate data]]))</f>
        <v>0</v>
      </c>
      <c r="P186" s="10">
        <f>Tabella3[[#This Row],[Italy remov. rate fit]]*NOT(ISBLANK(Tabella3[[#This Row],[Italy remov. rate data]]))</f>
        <v>0</v>
      </c>
      <c r="Q186" s="72"/>
      <c r="R186" s="72"/>
      <c r="S186" s="131"/>
      <c r="T186" s="10"/>
      <c r="U186" s="10">
        <f>Tabella3[[#This Row],[region data]]*NOT(ISBLANK(Tabella3[[#This Row],[region data]]))</f>
        <v>0</v>
      </c>
      <c r="V186"/>
      <c r="W186" s="72">
        <f>Tabella3[[#This Row],[6-days moving avg]]*NOT(ISBLANK(Tabella3[[#This Row],[6-days moving avg]]))</f>
        <v>0</v>
      </c>
      <c r="X186" s="77" t="e">
        <f>Tabella8[[#This Row],[region fit]]</f>
        <v>#VALUE!</v>
      </c>
      <c r="Y186" s="72" t="e">
        <f>Tabella3[[#This Row],[region cumul. fit]]/Kl</f>
        <v>#VALUE!</v>
      </c>
      <c r="Z186" s="72">
        <f>IFERROR(Kl*psi_l*_xlfn.SECH(psi_l*(Tabella3[[#This Row],[Day]]-pl)-phi_l)^2/(1+TANH(phi_l)),0)</f>
        <v>16.626576230148213</v>
      </c>
      <c r="AA186" s="72">
        <f>Tabella3[[#This Row],[region fit]]/y_l_peak</f>
        <v>0.12065793508944619</v>
      </c>
      <c r="AB186" s="10">
        <f>Tabella3[[#This Row],[region fit]]*NOT(ISBLANK(Tabella3[[#This Row],[region data]]))</f>
        <v>0</v>
      </c>
      <c r="AC186" s="166">
        <f>IFERROR(kl_m*psi_l_m*_xlfn.SECH(psi_l_m*(Tabella3[[#This Row],[Day]]-pl_m)-phi_l_m)^2/(1+TANH(phi_l_m)),0)</f>
        <v>16.626576230148213</v>
      </c>
      <c r="AD186" s="72">
        <f>Tabella3[[#This Row],[6-days moving avg fit]]*NOT(ISBLANK(Tabella3[[#This Row],[6-days moving avg]]))</f>
        <v>0</v>
      </c>
      <c r="AE186" s="131"/>
      <c r="AF186" s="131"/>
      <c r="AG186" s="131"/>
      <c r="AH186" s="10"/>
      <c r="AI186" s="10">
        <f>Tabella3[[#This Row],[rest of Italy data]]*NOT(ISBLANK(Tabella3[[#This Row],[rest of Italy data]]))</f>
        <v>0</v>
      </c>
      <c r="AJ186" s="77" t="e">
        <f>Tabella8[[#This Row],[rest of Italy fit]]</f>
        <v>#VALUE!</v>
      </c>
      <c r="AK186" s="72" t="e">
        <f>Tabella3[[#This Row],[rest of Italy cumul. fit]]/Ka</f>
        <v>#VALUE!</v>
      </c>
      <c r="AL186" s="72">
        <f>IFERROR(Ka*psi_a*_xlfn.SECH(psi_a*(Tabella3[[#This Row],[Day]]-pa)-phi_a)^2/(1+TANH(phi_a)),0)</f>
        <v>595.32142079089454</v>
      </c>
      <c r="AM186" s="72">
        <f>Tabella3[[#This Row],[rest of Italy fit]]/y_a_peak</f>
        <v>0.20802405361090673</v>
      </c>
      <c r="AN186" s="10">
        <f>Tabella3[[#This Row],[rest of Italy fit]]*NOT(ISBLANK(Tabella3[[#This Row],[rest of Italy data]]))</f>
        <v>0</v>
      </c>
      <c r="AO186" s="131"/>
      <c r="AP186" s="131"/>
    </row>
    <row r="187" spans="2:42" x14ac:dyDescent="0.3">
      <c r="B187" s="9">
        <v>44010</v>
      </c>
      <c r="C187" s="4">
        <v>180</v>
      </c>
      <c r="D187" s="131"/>
      <c r="E187" s="10"/>
      <c r="F187" s="10">
        <f>Tabella3[[#This Row],[Italy remov. rate data]]*NOT(ISBLANK(Tabella3[[#This Row],[Italy remov. rate data]]))</f>
        <v>0</v>
      </c>
      <c r="G187" s="77" t="e">
        <f>Tabella8[[#This Row],[Italy fit]]</f>
        <v>#VALUE!</v>
      </c>
      <c r="H187" s="77" t="e">
        <f>Tabella3[[#This Row],[Italy cumul. fit]]/Kf</f>
        <v>#VALUE!</v>
      </c>
      <c r="I187" s="77">
        <f>Tabella3[[#This Row],[region fit]]+Tabella3[[#This Row],[rest of Italy fit]]</f>
        <v>585.60388094491043</v>
      </c>
      <c r="J187" s="77">
        <f>Tabella3[[#This Row],[Italy (fit of selected region + fitted sum of the other regions)]]/(y_l_peak+y_a_peak)</f>
        <v>0.19522793912981212</v>
      </c>
      <c r="K187" s="72">
        <f>IFERROR(Kf*psi_f*_xlfn.SECH(psi_f*(Tabella3[[#This Row],[Day]]-pf)-phi_f)^2/(1+TANH(phi_f)),0)</f>
        <v>583.5900890632131</v>
      </c>
      <c r="L187" s="292">
        <f>Tabella3[[#This Row],[Italy remov. rate fit]]-Tabella3[[#This Row],[Italy remov. rate data]]</f>
        <v>583.5900890632131</v>
      </c>
      <c r="M187" s="293">
        <f>Tabella3[[#This Row],[rem. rate residuals]]*NOT(ISBLANK(Tabella3[[#This Row],[Italy remov. rate data]]))</f>
        <v>0</v>
      </c>
      <c r="N187" s="72">
        <f>Tabella3[[#This Row],[Italy remov. rate fit]]/y_f_peak</f>
        <v>0.19443890211929959</v>
      </c>
      <c r="O187" s="10">
        <f>Tabella3[[#This Row],[Italy (fit of selected region + fitted sum of the other regions)]]*NOT(ISBLANK(Tabella3[[#This Row],[Italy remov. rate data]]))</f>
        <v>0</v>
      </c>
      <c r="P187" s="10">
        <f>Tabella3[[#This Row],[Italy remov. rate fit]]*NOT(ISBLANK(Tabella3[[#This Row],[Italy remov. rate data]]))</f>
        <v>0</v>
      </c>
      <c r="Q187" s="72"/>
      <c r="R187" s="72"/>
      <c r="S187" s="131"/>
      <c r="T187" s="10"/>
      <c r="U187" s="10">
        <f>Tabella3[[#This Row],[region data]]*NOT(ISBLANK(Tabella3[[#This Row],[region data]]))</f>
        <v>0</v>
      </c>
      <c r="V187"/>
      <c r="W187" s="72">
        <f>Tabella3[[#This Row],[6-days moving avg]]*NOT(ISBLANK(Tabella3[[#This Row],[6-days moving avg]]))</f>
        <v>0</v>
      </c>
      <c r="X187" s="77" t="e">
        <f>Tabella8[[#This Row],[region fit]]</f>
        <v>#VALUE!</v>
      </c>
      <c r="Y187" s="72" t="e">
        <f>Tabella3[[#This Row],[region cumul. fit]]/Kl</f>
        <v>#VALUE!</v>
      </c>
      <c r="Z187" s="72">
        <f>IFERROR(Kl*psi_l*_xlfn.SECH(psi_l*(Tabella3[[#This Row],[Day]]-pl)-phi_l)^2/(1+TANH(phi_l)),0)</f>
        <v>15.768468024926502</v>
      </c>
      <c r="AA187" s="72">
        <f>Tabella3[[#This Row],[region fit]]/y_l_peak</f>
        <v>0.11443070209257565</v>
      </c>
      <c r="AB187" s="10">
        <f>Tabella3[[#This Row],[region fit]]*NOT(ISBLANK(Tabella3[[#This Row],[region data]]))</f>
        <v>0</v>
      </c>
      <c r="AC187" s="166">
        <f>IFERROR(kl_m*psi_l_m*_xlfn.SECH(psi_l_m*(Tabella3[[#This Row],[Day]]-pl_m)-phi_l_m)^2/(1+TANH(phi_l_m)),0)</f>
        <v>15.768468024926502</v>
      </c>
      <c r="AD187" s="72">
        <f>Tabella3[[#This Row],[6-days moving avg fit]]*NOT(ISBLANK(Tabella3[[#This Row],[6-days moving avg]]))</f>
        <v>0</v>
      </c>
      <c r="AE187" s="131"/>
      <c r="AF187" s="131"/>
      <c r="AG187" s="131"/>
      <c r="AH187" s="10"/>
      <c r="AI187" s="10">
        <f>Tabella3[[#This Row],[rest of Italy data]]*NOT(ISBLANK(Tabella3[[#This Row],[rest of Italy data]]))</f>
        <v>0</v>
      </c>
      <c r="AJ187" s="77" t="e">
        <f>Tabella8[[#This Row],[rest of Italy fit]]</f>
        <v>#VALUE!</v>
      </c>
      <c r="AK187" s="72" t="e">
        <f>Tabella3[[#This Row],[rest of Italy cumul. fit]]/Ka</f>
        <v>#VALUE!</v>
      </c>
      <c r="AL187" s="72">
        <f>IFERROR(Ka*psi_a*_xlfn.SECH(psi_a*(Tabella3[[#This Row],[Day]]-pa)-phi_a)^2/(1+TANH(phi_a)),0)</f>
        <v>569.83541291998392</v>
      </c>
      <c r="AM187" s="72">
        <f>Tabella3[[#This Row],[rest of Italy fit]]/y_a_peak</f>
        <v>0.19911843979875313</v>
      </c>
      <c r="AN187" s="10">
        <f>Tabella3[[#This Row],[rest of Italy fit]]*NOT(ISBLANK(Tabella3[[#This Row],[rest of Italy data]]))</f>
        <v>0</v>
      </c>
      <c r="AO187" s="131"/>
      <c r="AP187" s="131"/>
    </row>
    <row r="188" spans="2:42" x14ac:dyDescent="0.3">
      <c r="B188" s="9">
        <v>44011</v>
      </c>
      <c r="C188" s="4">
        <v>181</v>
      </c>
      <c r="D188" s="131"/>
      <c r="E188" s="10"/>
      <c r="F188" s="10">
        <f>Tabella3[[#This Row],[Italy remov. rate data]]*NOT(ISBLANK(Tabella3[[#This Row],[Italy remov. rate data]]))</f>
        <v>0</v>
      </c>
      <c r="G188" s="77" t="e">
        <f>Tabella8[[#This Row],[Italy fit]]</f>
        <v>#VALUE!</v>
      </c>
      <c r="H188" s="77" t="e">
        <f>Tabella3[[#This Row],[Italy cumul. fit]]/Kf</f>
        <v>#VALUE!</v>
      </c>
      <c r="I188" s="77">
        <f>Tabella3[[#This Row],[region fit]]+Tabella3[[#This Row],[rest of Italy fit]]</f>
        <v>560.26186833299232</v>
      </c>
      <c r="J188" s="77">
        <f>Tabella3[[#This Row],[Italy (fit of selected region + fitted sum of the other regions)]]/(y_l_peak+y_a_peak)</f>
        <v>0.18677944850908157</v>
      </c>
      <c r="K188" s="72">
        <f>IFERROR(Kf*psi_f*_xlfn.SECH(psi_f*(Tabella3[[#This Row],[Day]]-pf)-phi_f)^2/(1+TANH(phi_f)),0)</f>
        <v>558.21851565223574</v>
      </c>
      <c r="L188" s="292">
        <f>Tabella3[[#This Row],[Italy remov. rate fit]]-Tabella3[[#This Row],[Italy remov. rate data]]</f>
        <v>558.21851565223574</v>
      </c>
      <c r="M188" s="293">
        <f>Tabella3[[#This Row],[rem. rate residuals]]*NOT(ISBLANK(Tabella3[[#This Row],[Italy remov. rate data]]))</f>
        <v>0</v>
      </c>
      <c r="N188" s="72">
        <f>Tabella3[[#This Row],[Italy remov. rate fit]]/y_f_peak</f>
        <v>0.1859856727524532</v>
      </c>
      <c r="O188" s="10">
        <f>Tabella3[[#This Row],[Italy (fit of selected region + fitted sum of the other regions)]]*NOT(ISBLANK(Tabella3[[#This Row],[Italy remov. rate data]]))</f>
        <v>0</v>
      </c>
      <c r="P188" s="10">
        <f>Tabella3[[#This Row],[Italy remov. rate fit]]*NOT(ISBLANK(Tabella3[[#This Row],[Italy remov. rate data]]))</f>
        <v>0</v>
      </c>
      <c r="Q188" s="72"/>
      <c r="R188" s="72"/>
      <c r="S188" s="131"/>
      <c r="T188" s="10"/>
      <c r="U188" s="10">
        <f>Tabella3[[#This Row],[region data]]*NOT(ISBLANK(Tabella3[[#This Row],[region data]]))</f>
        <v>0</v>
      </c>
      <c r="V188"/>
      <c r="W188" s="72">
        <f>Tabella3[[#This Row],[6-days moving avg]]*NOT(ISBLANK(Tabella3[[#This Row],[6-days moving avg]]))</f>
        <v>0</v>
      </c>
      <c r="X188" s="77" t="e">
        <f>Tabella8[[#This Row],[region fit]]</f>
        <v>#VALUE!</v>
      </c>
      <c r="Y188" s="72" t="e">
        <f>Tabella3[[#This Row],[region cumul. fit]]/Kl</f>
        <v>#VALUE!</v>
      </c>
      <c r="Z188" s="72">
        <f>IFERROR(Kl*psi_l*_xlfn.SECH(psi_l*(Tabella3[[#This Row],[Day]]-pl)-phi_l)^2/(1+TANH(phi_l)),0)</f>
        <v>14.951924444300136</v>
      </c>
      <c r="AA188" s="72">
        <f>Tabella3[[#This Row],[region fit]]/y_l_peak</f>
        <v>0.10850510075498496</v>
      </c>
      <c r="AB188" s="10">
        <f>Tabella3[[#This Row],[region fit]]*NOT(ISBLANK(Tabella3[[#This Row],[region data]]))</f>
        <v>0</v>
      </c>
      <c r="AC188" s="166">
        <f>IFERROR(kl_m*psi_l_m*_xlfn.SECH(psi_l_m*(Tabella3[[#This Row],[Day]]-pl_m)-phi_l_m)^2/(1+TANH(phi_l_m)),0)</f>
        <v>14.951924444300136</v>
      </c>
      <c r="AD188" s="72">
        <f>Tabella3[[#This Row],[6-days moving avg fit]]*NOT(ISBLANK(Tabella3[[#This Row],[6-days moving avg]]))</f>
        <v>0</v>
      </c>
      <c r="AE188" s="131"/>
      <c r="AF188" s="131"/>
      <c r="AG188" s="131"/>
      <c r="AH188" s="10"/>
      <c r="AI188" s="10">
        <f>Tabella3[[#This Row],[rest of Italy data]]*NOT(ISBLANK(Tabella3[[#This Row],[rest of Italy data]]))</f>
        <v>0</v>
      </c>
      <c r="AJ188" s="77" t="e">
        <f>Tabella8[[#This Row],[rest of Italy fit]]</f>
        <v>#VALUE!</v>
      </c>
      <c r="AK188" s="72" t="e">
        <f>Tabella3[[#This Row],[rest of Italy cumul. fit]]/Ka</f>
        <v>#VALUE!</v>
      </c>
      <c r="AL188" s="72">
        <f>IFERROR(Ka*psi_a*_xlfn.SECH(psi_a*(Tabella3[[#This Row],[Day]]-pa)-phi_a)^2/(1+TANH(phi_a)),0)</f>
        <v>545.30994388869215</v>
      </c>
      <c r="AM188" s="72">
        <f>Tabella3[[#This Row],[rest of Italy fit]]/y_a_peak</f>
        <v>0.19054846850858834</v>
      </c>
      <c r="AN188" s="10">
        <f>Tabella3[[#This Row],[rest of Italy fit]]*NOT(ISBLANK(Tabella3[[#This Row],[rest of Italy data]]))</f>
        <v>0</v>
      </c>
      <c r="AO188" s="131"/>
      <c r="AP188" s="131"/>
    </row>
    <row r="189" spans="2:42" x14ac:dyDescent="0.3">
      <c r="B189" s="9">
        <v>44012</v>
      </c>
      <c r="C189" s="4">
        <v>182</v>
      </c>
      <c r="D189" s="131"/>
      <c r="E189" s="10"/>
      <c r="F189" s="10">
        <f>Tabella3[[#This Row],[Italy remov. rate data]]*NOT(ISBLANK(Tabella3[[#This Row],[Italy remov. rate data]]))</f>
        <v>0</v>
      </c>
      <c r="G189" s="77" t="e">
        <f>Tabella8[[#This Row],[Italy fit]]</f>
        <v>#VALUE!</v>
      </c>
      <c r="H189" s="77" t="e">
        <f>Tabella3[[#This Row],[Italy cumul. fit]]/Kf</f>
        <v>#VALUE!</v>
      </c>
      <c r="I189" s="77">
        <f>Tabella3[[#This Row],[region fit]]+Tabella3[[#This Row],[rest of Italy fit]]</f>
        <v>535.89574872837943</v>
      </c>
      <c r="J189" s="77">
        <f>Tabella3[[#This Row],[Italy (fit of selected region + fitted sum of the other regions)]]/(y_l_peak+y_a_peak)</f>
        <v>0.17865629996142604</v>
      </c>
      <c r="K189" s="72">
        <f>IFERROR(Kf*psi_f*_xlfn.SECH(psi_f*(Tabella3[[#This Row],[Day]]-pf)-phi_f)^2/(1+TANH(phi_f)),0)</f>
        <v>533.82883030534549</v>
      </c>
      <c r="L189" s="292">
        <f>Tabella3[[#This Row],[Italy remov. rate fit]]-Tabella3[[#This Row],[Italy remov. rate data]]</f>
        <v>533.82883030534549</v>
      </c>
      <c r="M189" s="293">
        <f>Tabella3[[#This Row],[rem. rate residuals]]*NOT(ISBLANK(Tabella3[[#This Row],[Italy remov. rate data]]))</f>
        <v>0</v>
      </c>
      <c r="N189" s="72">
        <f>Tabella3[[#This Row],[Italy remov. rate fit]]/y_f_peak</f>
        <v>0.17785958608518831</v>
      </c>
      <c r="O189" s="10">
        <f>Tabella3[[#This Row],[Italy (fit of selected region + fitted sum of the other regions)]]*NOT(ISBLANK(Tabella3[[#This Row],[Italy remov. rate data]]))</f>
        <v>0</v>
      </c>
      <c r="P189" s="10">
        <f>Tabella3[[#This Row],[Italy remov. rate fit]]*NOT(ISBLANK(Tabella3[[#This Row],[Italy remov. rate data]]))</f>
        <v>0</v>
      </c>
      <c r="Q189" s="72"/>
      <c r="R189" s="72"/>
      <c r="S189" s="131"/>
      <c r="T189" s="10"/>
      <c r="U189" s="10">
        <f>Tabella3[[#This Row],[region data]]*NOT(ISBLANK(Tabella3[[#This Row],[region data]]))</f>
        <v>0</v>
      </c>
      <c r="V189"/>
      <c r="W189" s="72">
        <f>Tabella3[[#This Row],[6-days moving avg]]*NOT(ISBLANK(Tabella3[[#This Row],[6-days moving avg]]))</f>
        <v>0</v>
      </c>
      <c r="X189" s="77" t="e">
        <f>Tabella8[[#This Row],[region fit]]</f>
        <v>#VALUE!</v>
      </c>
      <c r="Y189" s="72" t="e">
        <f>Tabella3[[#This Row],[region cumul. fit]]/Kl</f>
        <v>#VALUE!</v>
      </c>
      <c r="Z189" s="72">
        <f>IFERROR(Kl*psi_l*_xlfn.SECH(psi_l*(Tabella3[[#This Row],[Day]]-pl)-phi_l)^2/(1+TANH(phi_l)),0)</f>
        <v>14.175216438876145</v>
      </c>
      <c r="AA189" s="72">
        <f>Tabella3[[#This Row],[region fit]]/y_l_peak</f>
        <v>0.10286858348259725</v>
      </c>
      <c r="AB189" s="10">
        <f>Tabella3[[#This Row],[region fit]]*NOT(ISBLANK(Tabella3[[#This Row],[region data]]))</f>
        <v>0</v>
      </c>
      <c r="AC189" s="166">
        <f>IFERROR(kl_m*psi_l_m*_xlfn.SECH(psi_l_m*(Tabella3[[#This Row],[Day]]-pl_m)-phi_l_m)^2/(1+TANH(phi_l_m)),0)</f>
        <v>14.175216438876145</v>
      </c>
      <c r="AD189" s="72">
        <f>Tabella3[[#This Row],[6-days moving avg fit]]*NOT(ISBLANK(Tabella3[[#This Row],[6-days moving avg]]))</f>
        <v>0</v>
      </c>
      <c r="AE189" s="131"/>
      <c r="AF189" s="131"/>
      <c r="AG189" s="131"/>
      <c r="AH189" s="10"/>
      <c r="AI189" s="10">
        <f>Tabella3[[#This Row],[rest of Italy data]]*NOT(ISBLANK(Tabella3[[#This Row],[rest of Italy data]]))</f>
        <v>0</v>
      </c>
      <c r="AJ189" s="77" t="e">
        <f>Tabella8[[#This Row],[rest of Italy fit]]</f>
        <v>#VALUE!</v>
      </c>
      <c r="AK189" s="72" t="e">
        <f>Tabella3[[#This Row],[rest of Italy cumul. fit]]/Ka</f>
        <v>#VALUE!</v>
      </c>
      <c r="AL189" s="72">
        <f>IFERROR(Ka*psi_a*_xlfn.SECH(psi_a*(Tabella3[[#This Row],[Day]]-pa)-phi_a)^2/(1+TANH(phi_a)),0)</f>
        <v>521.72053228950324</v>
      </c>
      <c r="AM189" s="72">
        <f>Tabella3[[#This Row],[rest of Italy fit]]/y_a_peak</f>
        <v>0.18230558516560336</v>
      </c>
      <c r="AN189" s="10">
        <f>Tabella3[[#This Row],[rest of Italy fit]]*NOT(ISBLANK(Tabella3[[#This Row],[rest of Italy data]]))</f>
        <v>0</v>
      </c>
      <c r="AO189" s="131"/>
      <c r="AP189" s="131"/>
    </row>
    <row r="190" spans="2:42" x14ac:dyDescent="0.3">
      <c r="B190" s="9">
        <v>44013</v>
      </c>
      <c r="C190" s="4">
        <v>183</v>
      </c>
      <c r="D190" s="131"/>
      <c r="E190" s="10"/>
      <c r="F190" s="10">
        <f>Tabella3[[#This Row],[Italy remov. rate data]]*NOT(ISBLANK(Tabella3[[#This Row],[Italy remov. rate data]]))</f>
        <v>0</v>
      </c>
      <c r="G190" s="77" t="e">
        <f>Tabella8[[#This Row],[Italy fit]]</f>
        <v>#VALUE!</v>
      </c>
      <c r="H190" s="77" t="e">
        <f>Tabella3[[#This Row],[Italy cumul. fit]]/Kf</f>
        <v>#VALUE!</v>
      </c>
      <c r="I190" s="77">
        <f>Tabella3[[#This Row],[region fit]]+Tabella3[[#This Row],[rest of Italy fit]]</f>
        <v>512.47885693588023</v>
      </c>
      <c r="J190" s="77">
        <f>Tabella3[[#This Row],[Italy (fit of selected region + fitted sum of the other regions)]]/(y_l_peak+y_a_peak)</f>
        <v>0.17084960387515899</v>
      </c>
      <c r="K190" s="72">
        <f>IFERROR(Kf*psi_f*_xlfn.SECH(psi_f*(Tabella3[[#This Row],[Day]]-pf)-phi_f)^2/(1+TANH(phi_f)),0)</f>
        <v>510.39401716135717</v>
      </c>
      <c r="L190" s="292">
        <f>Tabella3[[#This Row],[Italy remov. rate fit]]-Tabella3[[#This Row],[Italy remov. rate data]]</f>
        <v>510.39401716135717</v>
      </c>
      <c r="M190" s="293">
        <f>Tabella3[[#This Row],[rem. rate residuals]]*NOT(ISBLANK(Tabella3[[#This Row],[Italy remov. rate data]]))</f>
        <v>0</v>
      </c>
      <c r="N190" s="72">
        <f>Tabella3[[#This Row],[Italy remov. rate fit]]/y_f_peak</f>
        <v>0.1700516410489688</v>
      </c>
      <c r="O190" s="10">
        <f>Tabella3[[#This Row],[Italy (fit of selected region + fitted sum of the other regions)]]*NOT(ISBLANK(Tabella3[[#This Row],[Italy remov. rate data]]))</f>
        <v>0</v>
      </c>
      <c r="P190" s="10">
        <f>Tabella3[[#This Row],[Italy remov. rate fit]]*NOT(ISBLANK(Tabella3[[#This Row],[Italy remov. rate data]]))</f>
        <v>0</v>
      </c>
      <c r="Q190" s="72"/>
      <c r="R190" s="72"/>
      <c r="S190" s="131"/>
      <c r="T190" s="10"/>
      <c r="U190" s="10">
        <f>Tabella3[[#This Row],[region data]]*NOT(ISBLANK(Tabella3[[#This Row],[region data]]))</f>
        <v>0</v>
      </c>
      <c r="V190"/>
      <c r="W190" s="72">
        <f>Tabella3[[#This Row],[6-days moving avg]]*NOT(ISBLANK(Tabella3[[#This Row],[6-days moving avg]]))</f>
        <v>0</v>
      </c>
      <c r="X190" s="77" t="e">
        <f>Tabella8[[#This Row],[region fit]]</f>
        <v>#VALUE!</v>
      </c>
      <c r="Y190" s="72" t="e">
        <f>Tabella3[[#This Row],[region cumul. fit]]/Kl</f>
        <v>#VALUE!</v>
      </c>
      <c r="Z190" s="72">
        <f>IFERROR(Kl*psi_l*_xlfn.SECH(psi_l*(Tabella3[[#This Row],[Day]]-pl)-phi_l)^2/(1+TANH(phi_l)),0)</f>
        <v>13.436656411762257</v>
      </c>
      <c r="AA190" s="72">
        <f>Tabella3[[#This Row],[region fit]]/y_l_peak</f>
        <v>9.7508903499319496E-2</v>
      </c>
      <c r="AB190" s="10">
        <f>Tabella3[[#This Row],[region fit]]*NOT(ISBLANK(Tabella3[[#This Row],[region data]]))</f>
        <v>0</v>
      </c>
      <c r="AC190" s="166">
        <f>IFERROR(kl_m*psi_l_m*_xlfn.SECH(psi_l_m*(Tabella3[[#This Row],[Day]]-pl_m)-phi_l_m)^2/(1+TANH(phi_l_m)),0)</f>
        <v>13.436656411762257</v>
      </c>
      <c r="AD190" s="72">
        <f>Tabella3[[#This Row],[6-days moving avg fit]]*NOT(ISBLANK(Tabella3[[#This Row],[6-days moving avg]]))</f>
        <v>0</v>
      </c>
      <c r="AE190" s="131"/>
      <c r="AF190" s="131"/>
      <c r="AG190" s="131"/>
      <c r="AH190" s="10"/>
      <c r="AI190" s="10">
        <f>Tabella3[[#This Row],[rest of Italy data]]*NOT(ISBLANK(Tabella3[[#This Row],[rest of Italy data]]))</f>
        <v>0</v>
      </c>
      <c r="AJ190" s="77" t="e">
        <f>Tabella8[[#This Row],[rest of Italy fit]]</f>
        <v>#VALUE!</v>
      </c>
      <c r="AK190" s="72" t="e">
        <f>Tabella3[[#This Row],[rest of Italy cumul. fit]]/Ka</f>
        <v>#VALUE!</v>
      </c>
      <c r="AL190" s="72">
        <f>IFERROR(Ka*psi_a*_xlfn.SECH(psi_a*(Tabella3[[#This Row],[Day]]-pa)-phi_a)^2/(1+TANH(phi_a)),0)</f>
        <v>499.04220052411802</v>
      </c>
      <c r="AM190" s="72">
        <f>Tabella3[[#This Row],[rest of Italy fit]]/y_a_peak</f>
        <v>0.17438106181030233</v>
      </c>
      <c r="AN190" s="10">
        <f>Tabella3[[#This Row],[rest of Italy fit]]*NOT(ISBLANK(Tabella3[[#This Row],[rest of Italy data]]))</f>
        <v>0</v>
      </c>
      <c r="AO190" s="131"/>
      <c r="AP190" s="131"/>
    </row>
    <row r="191" spans="2:42" x14ac:dyDescent="0.3">
      <c r="B191" s="9">
        <v>44014</v>
      </c>
      <c r="C191" s="4">
        <v>184</v>
      </c>
      <c r="D191" s="131"/>
      <c r="E191" s="10"/>
      <c r="F191" s="10">
        <f>Tabella3[[#This Row],[Italy remov. rate data]]*NOT(ISBLANK(Tabella3[[#This Row],[Italy remov. rate data]]))</f>
        <v>0</v>
      </c>
      <c r="G191" s="77" t="e">
        <f>Tabella8[[#This Row],[Italy fit]]</f>
        <v>#VALUE!</v>
      </c>
      <c r="H191" s="77" t="e">
        <f>Tabella3[[#This Row],[Italy cumul. fit]]/Kf</f>
        <v>#VALUE!</v>
      </c>
      <c r="I191" s="77">
        <f>Tabella3[[#This Row],[region fit]]+Tabella3[[#This Row],[rest of Italy fit]]</f>
        <v>489.9842139952587</v>
      </c>
      <c r="J191" s="77">
        <f>Tabella3[[#This Row],[Italy (fit of selected region + fitted sum of the other regions)]]/(y_l_peak+y_a_peak)</f>
        <v>0.16335036603596911</v>
      </c>
      <c r="K191" s="72">
        <f>IFERROR(Kf*psi_f*_xlfn.SECH(psi_f*(Tabella3[[#This Row],[Day]]-pf)-phi_f)^2/(1+TANH(phi_f)),0)</f>
        <v>487.88675091643745</v>
      </c>
      <c r="L191" s="292">
        <f>Tabella3[[#This Row],[Italy remov. rate fit]]-Tabella3[[#This Row],[Italy remov. rate data]]</f>
        <v>487.88675091643745</v>
      </c>
      <c r="M191" s="293">
        <f>Tabella3[[#This Row],[rem. rate residuals]]*NOT(ISBLANK(Tabella3[[#This Row],[Italy remov. rate data]]))</f>
        <v>0</v>
      </c>
      <c r="N191" s="72">
        <f>Tabella3[[#This Row],[Italy remov. rate fit]]/y_f_peak</f>
        <v>0.16255273347602861</v>
      </c>
      <c r="O191" s="10">
        <f>Tabella3[[#This Row],[Italy (fit of selected region + fitted sum of the other regions)]]*NOT(ISBLANK(Tabella3[[#This Row],[Italy remov. rate data]]))</f>
        <v>0</v>
      </c>
      <c r="P191" s="10">
        <f>Tabella3[[#This Row],[Italy remov. rate fit]]*NOT(ISBLANK(Tabella3[[#This Row],[Italy remov. rate data]]))</f>
        <v>0</v>
      </c>
      <c r="Q191" s="72"/>
      <c r="R191" s="72"/>
      <c r="S191" s="131"/>
      <c r="T191" s="10"/>
      <c r="U191" s="10">
        <f>Tabella3[[#This Row],[region data]]*NOT(ISBLANK(Tabella3[[#This Row],[region data]]))</f>
        <v>0</v>
      </c>
      <c r="V191"/>
      <c r="W191" s="72">
        <f>Tabella3[[#This Row],[6-days moving avg]]*NOT(ISBLANK(Tabella3[[#This Row],[6-days moving avg]]))</f>
        <v>0</v>
      </c>
      <c r="X191" s="77" t="e">
        <f>Tabella8[[#This Row],[region fit]]</f>
        <v>#VALUE!</v>
      </c>
      <c r="Y191" s="72" t="e">
        <f>Tabella3[[#This Row],[region cumul. fit]]/Kl</f>
        <v>#VALUE!</v>
      </c>
      <c r="Z191" s="72">
        <f>IFERROR(Kl*psi_l*_xlfn.SECH(psi_l*(Tabella3[[#This Row],[Day]]-pl)-phi_l)^2/(1+TANH(phi_l)),0)</f>
        <v>12.734600854927153</v>
      </c>
      <c r="AA191" s="72">
        <f>Tabella3[[#This Row],[region fit]]/y_l_peak</f>
        <v>9.2414133978929794E-2</v>
      </c>
      <c r="AB191" s="10">
        <f>Tabella3[[#This Row],[region fit]]*NOT(ISBLANK(Tabella3[[#This Row],[region data]]))</f>
        <v>0</v>
      </c>
      <c r="AC191" s="166">
        <f>IFERROR(kl_m*psi_l_m*_xlfn.SECH(psi_l_m*(Tabella3[[#This Row],[Day]]-pl_m)-phi_l_m)^2/(1+TANH(phi_l_m)),0)</f>
        <v>12.734600854927153</v>
      </c>
      <c r="AD191" s="72">
        <f>Tabella3[[#This Row],[6-days moving avg fit]]*NOT(ISBLANK(Tabella3[[#This Row],[6-days moving avg]]))</f>
        <v>0</v>
      </c>
      <c r="AE191" s="131"/>
      <c r="AF191" s="131"/>
      <c r="AG191" s="131"/>
      <c r="AH191" s="10"/>
      <c r="AI191" s="10">
        <f>Tabella3[[#This Row],[rest of Italy data]]*NOT(ISBLANK(Tabella3[[#This Row],[rest of Italy data]]))</f>
        <v>0</v>
      </c>
      <c r="AJ191" s="77" t="e">
        <f>Tabella8[[#This Row],[rest of Italy fit]]</f>
        <v>#VALUE!</v>
      </c>
      <c r="AK191" s="72" t="e">
        <f>Tabella3[[#This Row],[rest of Italy cumul. fit]]/Ka</f>
        <v>#VALUE!</v>
      </c>
      <c r="AL191" s="72">
        <f>IFERROR(Ka*psi_a*_xlfn.SECH(psi_a*(Tabella3[[#This Row],[Day]]-pa)-phi_a)^2/(1+TANH(phi_a)),0)</f>
        <v>477.24961314033152</v>
      </c>
      <c r="AM191" s="72">
        <f>Tabella3[[#This Row],[rest of Italy fit]]/y_a_peak</f>
        <v>0.16676604543776447</v>
      </c>
      <c r="AN191" s="10">
        <f>Tabella3[[#This Row],[rest of Italy fit]]*NOT(ISBLANK(Tabella3[[#This Row],[rest of Italy data]]))</f>
        <v>0</v>
      </c>
      <c r="AO191" s="131"/>
      <c r="AP191" s="131"/>
    </row>
    <row r="192" spans="2:42" x14ac:dyDescent="0.3">
      <c r="B192" s="9">
        <v>44015</v>
      </c>
      <c r="C192" s="4">
        <v>185</v>
      </c>
      <c r="D192" s="131"/>
      <c r="E192" s="10"/>
      <c r="F192" s="10">
        <f>Tabella3[[#This Row],[Italy remov. rate data]]*NOT(ISBLANK(Tabella3[[#This Row],[Italy remov. rate data]]))</f>
        <v>0</v>
      </c>
      <c r="G192" s="77" t="e">
        <f>Tabella8[[#This Row],[Italy fit]]</f>
        <v>#VALUE!</v>
      </c>
      <c r="H192" s="77" t="e">
        <f>Tabella3[[#This Row],[Italy cumul. fit]]/Kf</f>
        <v>#VALUE!</v>
      </c>
      <c r="I192" s="77">
        <f>Tabella3[[#This Row],[region fit]]+Tabella3[[#This Row],[rest of Italy fit]]</f>
        <v>468.38465507108361</v>
      </c>
      <c r="J192" s="77">
        <f>Tabella3[[#This Row],[Italy (fit of selected region + fitted sum of the other regions)]]/(y_l_peak+y_a_peak)</f>
        <v>0.15614953026268924</v>
      </c>
      <c r="K192" s="72">
        <f>IFERROR(Kf*psi_f*_xlfn.SECH(psi_f*(Tabella3[[#This Row],[Day]]-pf)-phi_f)^2/(1+TANH(phi_f)),0)</f>
        <v>466.2795264300234</v>
      </c>
      <c r="L192" s="292">
        <f>Tabella3[[#This Row],[Italy remov. rate fit]]-Tabella3[[#This Row],[Italy remov. rate data]]</f>
        <v>466.2795264300234</v>
      </c>
      <c r="M192" s="293">
        <f>Tabella3[[#This Row],[rem. rate residuals]]*NOT(ISBLANK(Tabella3[[#This Row],[Italy remov. rate data]]))</f>
        <v>0</v>
      </c>
      <c r="N192" s="72">
        <f>Tabella3[[#This Row],[Italy remov. rate fit]]/y_f_peak</f>
        <v>0.15535369928110671</v>
      </c>
      <c r="O192" s="10">
        <f>Tabella3[[#This Row],[Italy (fit of selected region + fitted sum of the other regions)]]*NOT(ISBLANK(Tabella3[[#This Row],[Italy remov. rate data]]))</f>
        <v>0</v>
      </c>
      <c r="P192" s="10">
        <f>Tabella3[[#This Row],[Italy remov. rate fit]]*NOT(ISBLANK(Tabella3[[#This Row],[Italy remov. rate data]]))</f>
        <v>0</v>
      </c>
      <c r="Q192" s="72"/>
      <c r="R192" s="72"/>
      <c r="S192" s="131"/>
      <c r="T192" s="10"/>
      <c r="U192" s="10">
        <f>Tabella3[[#This Row],[region data]]*NOT(ISBLANK(Tabella3[[#This Row],[region data]]))</f>
        <v>0</v>
      </c>
      <c r="V192"/>
      <c r="W192" s="72">
        <f>Tabella3[[#This Row],[6-days moving avg]]*NOT(ISBLANK(Tabella3[[#This Row],[6-days moving avg]]))</f>
        <v>0</v>
      </c>
      <c r="X192" s="77" t="e">
        <f>Tabella8[[#This Row],[region fit]]</f>
        <v>#VALUE!</v>
      </c>
      <c r="Y192" s="72" t="e">
        <f>Tabella3[[#This Row],[region cumul. fit]]/Kl</f>
        <v>#VALUE!</v>
      </c>
      <c r="Z192" s="72">
        <f>IFERROR(Kl*psi_l*_xlfn.SECH(psi_l*(Tabella3[[#This Row],[Day]]-pl)-phi_l)^2/(1+TANH(phi_l)),0)</f>
        <v>12.067452429700822</v>
      </c>
      <c r="AA192" s="72">
        <f>Tabella3[[#This Row],[region fit]]/y_l_peak</f>
        <v>8.75726831431273E-2</v>
      </c>
      <c r="AB192" s="10">
        <f>Tabella3[[#This Row],[region fit]]*NOT(ISBLANK(Tabella3[[#This Row],[region data]]))</f>
        <v>0</v>
      </c>
      <c r="AC192" s="166">
        <f>IFERROR(kl_m*psi_l_m*_xlfn.SECH(psi_l_m*(Tabella3[[#This Row],[Day]]-pl_m)-phi_l_m)^2/(1+TANH(phi_l_m)),0)</f>
        <v>12.067452429700822</v>
      </c>
      <c r="AD192" s="72">
        <f>Tabella3[[#This Row],[6-days moving avg fit]]*NOT(ISBLANK(Tabella3[[#This Row],[6-days moving avg]]))</f>
        <v>0</v>
      </c>
      <c r="AE192" s="131"/>
      <c r="AF192" s="131"/>
      <c r="AG192" s="131"/>
      <c r="AH192" s="10"/>
      <c r="AI192" s="10">
        <f>Tabella3[[#This Row],[rest of Italy data]]*NOT(ISBLANK(Tabella3[[#This Row],[rest of Italy data]]))</f>
        <v>0</v>
      </c>
      <c r="AJ192" s="77" t="e">
        <f>Tabella8[[#This Row],[rest of Italy fit]]</f>
        <v>#VALUE!</v>
      </c>
      <c r="AK192" s="72" t="e">
        <f>Tabella3[[#This Row],[rest of Italy cumul. fit]]/Ka</f>
        <v>#VALUE!</v>
      </c>
      <c r="AL192" s="72">
        <f>IFERROR(Ka*psi_a*_xlfn.SECH(psi_a*(Tabella3[[#This Row],[Day]]-pa)-phi_a)^2/(1+TANH(phi_a)),0)</f>
        <v>456.31720264138278</v>
      </c>
      <c r="AM192" s="72">
        <f>Tabella3[[#This Row],[rest of Italy fit]]/y_a_peak</f>
        <v>0.15945160195939295</v>
      </c>
      <c r="AN192" s="10">
        <f>Tabella3[[#This Row],[rest of Italy fit]]*NOT(ISBLANK(Tabella3[[#This Row],[rest of Italy data]]))</f>
        <v>0</v>
      </c>
      <c r="AO192" s="131"/>
      <c r="AP192" s="131"/>
    </row>
    <row r="193" spans="2:42" x14ac:dyDescent="0.3">
      <c r="B193" s="9">
        <v>44016</v>
      </c>
      <c r="C193" s="4">
        <v>186</v>
      </c>
      <c r="D193" s="131"/>
      <c r="E193" s="10"/>
      <c r="F193" s="10">
        <f>Tabella3[[#This Row],[Italy remov. rate data]]*NOT(ISBLANK(Tabella3[[#This Row],[Italy remov. rate data]]))</f>
        <v>0</v>
      </c>
      <c r="G193" s="77" t="e">
        <f>Tabella8[[#This Row],[Italy fit]]</f>
        <v>#VALUE!</v>
      </c>
      <c r="H193" s="77" t="e">
        <f>Tabella3[[#This Row],[Italy cumul. fit]]/Kf</f>
        <v>#VALUE!</v>
      </c>
      <c r="I193" s="77">
        <f>Tabella3[[#This Row],[region fit]]+Tabella3[[#This Row],[rest of Italy fit]]</f>
        <v>447.65294494587931</v>
      </c>
      <c r="J193" s="77">
        <f>Tabella3[[#This Row],[Italy (fit of selected region + fitted sum of the other regions)]]/(y_l_peak+y_a_peak)</f>
        <v>0.14923801691026825</v>
      </c>
      <c r="K193" s="72">
        <f>IFERROR(Kf*psi_f*_xlfn.SECH(psi_f*(Tabella3[[#This Row],[Day]]-pf)-phi_f)^2/(1+TANH(phi_f)),0)</f>
        <v>445.54477567951307</v>
      </c>
      <c r="L193" s="292">
        <f>Tabella3[[#This Row],[Italy remov. rate fit]]-Tabella3[[#This Row],[Italy remov. rate data]]</f>
        <v>445.54477567951307</v>
      </c>
      <c r="M193" s="293">
        <f>Tabella3[[#This Row],[rem. rate residuals]]*NOT(ISBLANK(Tabella3[[#This Row],[Italy remov. rate data]]))</f>
        <v>0</v>
      </c>
      <c r="N193" s="72">
        <f>Tabella3[[#This Row],[Italy remov. rate fit]]/y_f_peak</f>
        <v>0.14844535342808135</v>
      </c>
      <c r="O193" s="10">
        <f>Tabella3[[#This Row],[Italy (fit of selected region + fitted sum of the other regions)]]*NOT(ISBLANK(Tabella3[[#This Row],[Italy remov. rate data]]))</f>
        <v>0</v>
      </c>
      <c r="P193" s="10">
        <f>Tabella3[[#This Row],[Italy remov. rate fit]]*NOT(ISBLANK(Tabella3[[#This Row],[Italy remov. rate data]]))</f>
        <v>0</v>
      </c>
      <c r="Q193" s="72"/>
      <c r="R193" s="72"/>
      <c r="S193" s="131"/>
      <c r="T193" s="10"/>
      <c r="U193" s="10">
        <f>Tabella3[[#This Row],[region data]]*NOT(ISBLANK(Tabella3[[#This Row],[region data]]))</f>
        <v>0</v>
      </c>
      <c r="V193"/>
      <c r="W193" s="72">
        <f>Tabella3[[#This Row],[6-days moving avg]]*NOT(ISBLANK(Tabella3[[#This Row],[6-days moving avg]]))</f>
        <v>0</v>
      </c>
      <c r="X193" s="77" t="e">
        <f>Tabella8[[#This Row],[region fit]]</f>
        <v>#VALUE!</v>
      </c>
      <c r="Y193" s="72" t="e">
        <f>Tabella3[[#This Row],[region cumul. fit]]/Kl</f>
        <v>#VALUE!</v>
      </c>
      <c r="Z193" s="72">
        <f>IFERROR(Kl*psi_l*_xlfn.SECH(psi_l*(Tabella3[[#This Row],[Day]]-pl)-phi_l)^2/(1+TANH(phi_l)),0)</f>
        <v>11.433661550095387</v>
      </c>
      <c r="AA193" s="72">
        <f>Tabella3[[#This Row],[region fit]]/y_l_peak</f>
        <v>8.2973305751583959E-2</v>
      </c>
      <c r="AB193" s="10">
        <f>Tabella3[[#This Row],[region fit]]*NOT(ISBLANK(Tabella3[[#This Row],[region data]]))</f>
        <v>0</v>
      </c>
      <c r="AC193" s="166">
        <f>IFERROR(kl_m*psi_l_m*_xlfn.SECH(psi_l_m*(Tabella3[[#This Row],[Day]]-pl_m)-phi_l_m)^2/(1+TANH(phi_l_m)),0)</f>
        <v>11.433661550095387</v>
      </c>
      <c r="AD193" s="72">
        <f>Tabella3[[#This Row],[6-days moving avg fit]]*NOT(ISBLANK(Tabella3[[#This Row],[6-days moving avg]]))</f>
        <v>0</v>
      </c>
      <c r="AE193" s="131"/>
      <c r="AF193" s="131"/>
      <c r="AG193" s="131"/>
      <c r="AH193" s="10"/>
      <c r="AI193" s="10">
        <f>Tabella3[[#This Row],[rest of Italy data]]*NOT(ISBLANK(Tabella3[[#This Row],[rest of Italy data]]))</f>
        <v>0</v>
      </c>
      <c r="AJ193" s="77" t="e">
        <f>Tabella8[[#This Row],[rest of Italy fit]]</f>
        <v>#VALUE!</v>
      </c>
      <c r="AK193" s="72" t="e">
        <f>Tabella3[[#This Row],[rest of Italy cumul. fit]]/Ka</f>
        <v>#VALUE!</v>
      </c>
      <c r="AL193" s="72">
        <f>IFERROR(Ka*psi_a*_xlfn.SECH(psi_a*(Tabella3[[#This Row],[Day]]-pa)-phi_a)^2/(1+TANH(phi_a)),0)</f>
        <v>436.21928339578392</v>
      </c>
      <c r="AM193" s="72">
        <f>Tabella3[[#This Row],[rest of Italy fit]]/y_a_peak</f>
        <v>0.15242875600659689</v>
      </c>
      <c r="AN193" s="10">
        <f>Tabella3[[#This Row],[rest of Italy fit]]*NOT(ISBLANK(Tabella3[[#This Row],[rest of Italy data]]))</f>
        <v>0</v>
      </c>
      <c r="AO193" s="131"/>
      <c r="AP193" s="131"/>
    </row>
    <row r="194" spans="2:42" x14ac:dyDescent="0.3">
      <c r="B194" s="9">
        <v>44017</v>
      </c>
      <c r="C194" s="4">
        <v>187</v>
      </c>
      <c r="D194" s="131"/>
      <c r="E194" s="10"/>
      <c r="F194" s="10">
        <f>Tabella3[[#This Row],[Italy remov. rate data]]*NOT(ISBLANK(Tabella3[[#This Row],[Italy remov. rate data]]))</f>
        <v>0</v>
      </c>
      <c r="G194" s="77" t="e">
        <f>Tabella8[[#This Row],[Italy fit]]</f>
        <v>#VALUE!</v>
      </c>
      <c r="H194" s="77" t="e">
        <f>Tabella3[[#This Row],[Italy cumul. fit]]/Kf</f>
        <v>#VALUE!</v>
      </c>
      <c r="I194" s="77">
        <f>Tabella3[[#This Row],[region fit]]+Tabella3[[#This Row],[rest of Italy fit]]</f>
        <v>427.76188181756328</v>
      </c>
      <c r="J194" s="77">
        <f>Tabella3[[#This Row],[Italy (fit of selected region + fitted sum of the other regions)]]/(y_l_peak+y_a_peak)</f>
        <v>0.14260675747363988</v>
      </c>
      <c r="K194" s="72">
        <f>IFERROR(Kf*psi_f*_xlfn.SECH(psi_f*(Tabella3[[#This Row],[Day]]-pf)-phi_f)^2/(1+TANH(phi_f)),0)</f>
        <v>425.65497278466734</v>
      </c>
      <c r="L194" s="292">
        <f>Tabella3[[#This Row],[Italy remov. rate fit]]-Tabella3[[#This Row],[Italy remov. rate data]]</f>
        <v>425.65497278466734</v>
      </c>
      <c r="M194" s="293">
        <f>Tabella3[[#This Row],[rem. rate residuals]]*NOT(ISBLANK(Tabella3[[#This Row],[Italy remov. rate data]]))</f>
        <v>0</v>
      </c>
      <c r="N194" s="72">
        <f>Tabella3[[#This Row],[Italy remov. rate fit]]/y_f_peak</f>
        <v>0.14181852492170455</v>
      </c>
      <c r="O194" s="10">
        <f>Tabella3[[#This Row],[Italy (fit of selected region + fitted sum of the other regions)]]*NOT(ISBLANK(Tabella3[[#This Row],[Italy remov. rate data]]))</f>
        <v>0</v>
      </c>
      <c r="P194" s="10">
        <f>Tabella3[[#This Row],[Italy remov. rate fit]]*NOT(ISBLANK(Tabella3[[#This Row],[Italy remov. rate data]]))</f>
        <v>0</v>
      </c>
      <c r="Q194" s="72"/>
      <c r="R194" s="72"/>
      <c r="S194" s="131"/>
      <c r="T194" s="10"/>
      <c r="U194" s="10">
        <f>Tabella3[[#This Row],[region data]]*NOT(ISBLANK(Tabella3[[#This Row],[region data]]))</f>
        <v>0</v>
      </c>
      <c r="V194"/>
      <c r="W194" s="72">
        <f>Tabella3[[#This Row],[6-days moving avg]]*NOT(ISBLANK(Tabella3[[#This Row],[6-days moving avg]]))</f>
        <v>0</v>
      </c>
      <c r="X194" s="77" t="e">
        <f>Tabella8[[#This Row],[region fit]]</f>
        <v>#VALUE!</v>
      </c>
      <c r="Y194" s="72" t="e">
        <f>Tabella3[[#This Row],[region cumul. fit]]/Kl</f>
        <v>#VALUE!</v>
      </c>
      <c r="Z194" s="72">
        <f>IFERROR(Kl*psi_l*_xlfn.SECH(psi_l*(Tabella3[[#This Row],[Day]]-pl)-phi_l)^2/(1+TANH(phi_l)),0)</f>
        <v>10.831727523497044</v>
      </c>
      <c r="AA194" s="72">
        <f>Tabella3[[#This Row],[region fit]]/y_l_peak</f>
        <v>7.8605111379868475E-2</v>
      </c>
      <c r="AB194" s="10">
        <f>Tabella3[[#This Row],[region fit]]*NOT(ISBLANK(Tabella3[[#This Row],[region data]]))</f>
        <v>0</v>
      </c>
      <c r="AC194" s="166">
        <f>IFERROR(kl_m*psi_l_m*_xlfn.SECH(psi_l_m*(Tabella3[[#This Row],[Day]]-pl_m)-phi_l_m)^2/(1+TANH(phi_l_m)),0)</f>
        <v>10.831727523497044</v>
      </c>
      <c r="AD194" s="72">
        <f>Tabella3[[#This Row],[6-days moving avg fit]]*NOT(ISBLANK(Tabella3[[#This Row],[6-days moving avg]]))</f>
        <v>0</v>
      </c>
      <c r="AE194" s="131"/>
      <c r="AF194" s="131"/>
      <c r="AG194" s="131"/>
      <c r="AH194" s="10"/>
      <c r="AI194" s="10">
        <f>Tabella3[[#This Row],[rest of Italy data]]*NOT(ISBLANK(Tabella3[[#This Row],[rest of Italy data]]))</f>
        <v>0</v>
      </c>
      <c r="AJ194" s="77" t="e">
        <f>Tabella8[[#This Row],[rest of Italy fit]]</f>
        <v>#VALUE!</v>
      </c>
      <c r="AK194" s="72" t="e">
        <f>Tabella3[[#This Row],[rest of Italy cumul. fit]]/Ka</f>
        <v>#VALUE!</v>
      </c>
      <c r="AL194" s="72">
        <f>IFERROR(Ka*psi_a*_xlfn.SECH(psi_a*(Tabella3[[#This Row],[Day]]-pa)-phi_a)^2/(1+TANH(phi_a)),0)</f>
        <v>416.93015429406626</v>
      </c>
      <c r="AM194" s="72">
        <f>Tabella3[[#This Row],[rest of Italy fit]]/y_a_peak</f>
        <v>0.14568852680229141</v>
      </c>
      <c r="AN194" s="10">
        <f>Tabella3[[#This Row],[rest of Italy fit]]*NOT(ISBLANK(Tabella3[[#This Row],[rest of Italy data]]))</f>
        <v>0</v>
      </c>
      <c r="AO194" s="131"/>
      <c r="AP194" s="131"/>
    </row>
    <row r="195" spans="2:42" x14ac:dyDescent="0.3">
      <c r="B195" s="9">
        <v>44018</v>
      </c>
      <c r="C195" s="4">
        <v>188</v>
      </c>
      <c r="D195" s="131"/>
      <c r="E195" s="10"/>
      <c r="F195" s="10">
        <f>Tabella3[[#This Row],[Italy remov. rate data]]*NOT(ISBLANK(Tabella3[[#This Row],[Italy remov. rate data]]))</f>
        <v>0</v>
      </c>
      <c r="G195" s="77" t="e">
        <f>Tabella8[[#This Row],[Italy fit]]</f>
        <v>#VALUE!</v>
      </c>
      <c r="H195" s="77" t="e">
        <f>Tabella3[[#This Row],[Italy cumul. fit]]/Kf</f>
        <v>#VALUE!</v>
      </c>
      <c r="I195" s="77">
        <f>Tabella3[[#This Row],[region fit]]+Tabella3[[#This Row],[rest of Italy fit]]</f>
        <v>408.68439010708875</v>
      </c>
      <c r="J195" s="77">
        <f>Tabella3[[#This Row],[Italy (fit of selected region + fitted sum of the other regions)]]/(y_l_peak+y_a_peak)</f>
        <v>0.13624672552782635</v>
      </c>
      <c r="K195" s="72">
        <f>IFERROR(Kf*psi_f*_xlfn.SECH(psi_f*(Tabella3[[#This Row],[Day]]-pf)-phi_f)^2/(1+TANH(phi_f)),0)</f>
        <v>406.582727827459</v>
      </c>
      <c r="L195" s="292">
        <f>Tabella3[[#This Row],[Italy remov. rate fit]]-Tabella3[[#This Row],[Italy remov. rate data]]</f>
        <v>406.582727827459</v>
      </c>
      <c r="M195" s="293">
        <f>Tabella3[[#This Row],[rem. rate residuals]]*NOT(ISBLANK(Tabella3[[#This Row],[Italy remov. rate data]]))</f>
        <v>0</v>
      </c>
      <c r="N195" s="72">
        <f>Tabella3[[#This Row],[Italy remov. rate fit]]/y_f_peak</f>
        <v>0.13546408806623517</v>
      </c>
      <c r="O195" s="10">
        <f>Tabella3[[#This Row],[Italy (fit of selected region + fitted sum of the other regions)]]*NOT(ISBLANK(Tabella3[[#This Row],[Italy remov. rate data]]))</f>
        <v>0</v>
      </c>
      <c r="P195" s="10">
        <f>Tabella3[[#This Row],[Italy remov. rate fit]]*NOT(ISBLANK(Tabella3[[#This Row],[Italy remov. rate data]]))</f>
        <v>0</v>
      </c>
      <c r="Q195" s="72"/>
      <c r="R195" s="72"/>
      <c r="S195" s="131"/>
      <c r="T195" s="10"/>
      <c r="U195" s="10">
        <f>Tabella3[[#This Row],[region data]]*NOT(ISBLANK(Tabella3[[#This Row],[region data]]))</f>
        <v>0</v>
      </c>
      <c r="V195"/>
      <c r="W195" s="72">
        <f>Tabella3[[#This Row],[6-days moving avg]]*NOT(ISBLANK(Tabella3[[#This Row],[6-days moving avg]]))</f>
        <v>0</v>
      </c>
      <c r="X195" s="77" t="e">
        <f>Tabella8[[#This Row],[region fit]]</f>
        <v>#VALUE!</v>
      </c>
      <c r="Y195" s="72" t="e">
        <f>Tabella3[[#This Row],[region cumul. fit]]/Kl</f>
        <v>#VALUE!</v>
      </c>
      <c r="Z195" s="72">
        <f>IFERROR(Kl*psi_l*_xlfn.SECH(psi_l*(Tabella3[[#This Row],[Day]]-pl)-phi_l)^2/(1+TANH(phi_l)),0)</f>
        <v>10.260199299210324</v>
      </c>
      <c r="AA195" s="72">
        <f>Tabella3[[#This Row],[region fit]]/y_l_peak</f>
        <v>7.4457569851581223E-2</v>
      </c>
      <c r="AB195" s="10">
        <f>Tabella3[[#This Row],[region fit]]*NOT(ISBLANK(Tabella3[[#This Row],[region data]]))</f>
        <v>0</v>
      </c>
      <c r="AC195" s="166">
        <f>IFERROR(kl_m*psi_l_m*_xlfn.SECH(psi_l_m*(Tabella3[[#This Row],[Day]]-pl_m)-phi_l_m)^2/(1+TANH(phi_l_m)),0)</f>
        <v>10.260199299210324</v>
      </c>
      <c r="AD195" s="72">
        <f>Tabella3[[#This Row],[6-days moving avg fit]]*NOT(ISBLANK(Tabella3[[#This Row],[6-days moving avg]]))</f>
        <v>0</v>
      </c>
      <c r="AE195" s="131"/>
      <c r="AF195" s="131"/>
      <c r="AG195" s="131"/>
      <c r="AH195" s="10"/>
      <c r="AI195" s="10">
        <f>Tabella3[[#This Row],[rest of Italy data]]*NOT(ISBLANK(Tabella3[[#This Row],[rest of Italy data]]))</f>
        <v>0</v>
      </c>
      <c r="AJ195" s="77" t="e">
        <f>Tabella8[[#This Row],[rest of Italy fit]]</f>
        <v>#VALUE!</v>
      </c>
      <c r="AK195" s="72" t="e">
        <f>Tabella3[[#This Row],[rest of Italy cumul. fit]]/Ka</f>
        <v>#VALUE!</v>
      </c>
      <c r="AL195" s="72">
        <f>IFERROR(Ka*psi_a*_xlfn.SECH(psi_a*(Tabella3[[#This Row],[Day]]-pa)-phi_a)^2/(1+TANH(phi_a)),0)</f>
        <v>398.4241908078784</v>
      </c>
      <c r="AM195" s="72">
        <f>Tabella3[[#This Row],[rest of Italy fit]]/y_a_peak</f>
        <v>0.13922196032924591</v>
      </c>
      <c r="AN195" s="10">
        <f>Tabella3[[#This Row],[rest of Italy fit]]*NOT(ISBLANK(Tabella3[[#This Row],[rest of Italy data]]))</f>
        <v>0</v>
      </c>
      <c r="AO195" s="131"/>
      <c r="AP195" s="131"/>
    </row>
    <row r="196" spans="2:42" x14ac:dyDescent="0.3">
      <c r="B196" s="9">
        <v>44019</v>
      </c>
      <c r="C196" s="4">
        <v>189</v>
      </c>
      <c r="D196" s="131"/>
      <c r="E196" s="10"/>
      <c r="F196" s="10">
        <f>Tabella3[[#This Row],[Italy remov. rate data]]*NOT(ISBLANK(Tabella3[[#This Row],[Italy remov. rate data]]))</f>
        <v>0</v>
      </c>
      <c r="G196" s="77" t="e">
        <f>Tabella8[[#This Row],[Italy fit]]</f>
        <v>#VALUE!</v>
      </c>
      <c r="H196" s="77" t="e">
        <f>Tabella3[[#This Row],[Italy cumul. fit]]/Kf</f>
        <v>#VALUE!</v>
      </c>
      <c r="I196" s="77">
        <f>Tabella3[[#This Row],[region fit]]+Tabella3[[#This Row],[rest of Italy fit]]</f>
        <v>390.39360297928113</v>
      </c>
      <c r="J196" s="77">
        <f>Tabella3[[#This Row],[Italy (fit of selected region + fitted sum of the other regions)]]/(y_l_peak+y_a_peak)</f>
        <v>0.13014896423863861</v>
      </c>
      <c r="K196" s="72">
        <f>IFERROR(Kf*psi_f*_xlfn.SECH(psi_f*(Tabella3[[#This Row],[Day]]-pf)-phi_f)^2/(1+TANH(phi_f)),0)</f>
        <v>388.30087018971028</v>
      </c>
      <c r="L196" s="292">
        <f>Tabella3[[#This Row],[Italy remov. rate fit]]-Tabella3[[#This Row],[Italy remov. rate data]]</f>
        <v>388.30087018971028</v>
      </c>
      <c r="M196" s="293">
        <f>Tabella3[[#This Row],[rem. rate residuals]]*NOT(ISBLANK(Tabella3[[#This Row],[Italy remov. rate data]]))</f>
        <v>0</v>
      </c>
      <c r="N196" s="72">
        <f>Tabella3[[#This Row],[Italy remov. rate fit]]/y_f_peak</f>
        <v>0.1293729902316382</v>
      </c>
      <c r="O196" s="10">
        <f>Tabella3[[#This Row],[Italy (fit of selected region + fitted sum of the other regions)]]*NOT(ISBLANK(Tabella3[[#This Row],[Italy remov. rate data]]))</f>
        <v>0</v>
      </c>
      <c r="P196" s="10">
        <f>Tabella3[[#This Row],[Italy remov. rate fit]]*NOT(ISBLANK(Tabella3[[#This Row],[Italy remov. rate data]]))</f>
        <v>0</v>
      </c>
      <c r="Q196" s="72"/>
      <c r="R196" s="72"/>
      <c r="S196" s="131"/>
      <c r="T196" s="10"/>
      <c r="U196" s="10">
        <f>Tabella3[[#This Row],[region data]]*NOT(ISBLANK(Tabella3[[#This Row],[region data]]))</f>
        <v>0</v>
      </c>
      <c r="V196"/>
      <c r="W196" s="72">
        <f>Tabella3[[#This Row],[6-days moving avg]]*NOT(ISBLANK(Tabella3[[#This Row],[6-days moving avg]]))</f>
        <v>0</v>
      </c>
      <c r="X196" s="77" t="e">
        <f>Tabella8[[#This Row],[region fit]]</f>
        <v>#VALUE!</v>
      </c>
      <c r="Y196" s="72" t="e">
        <f>Tabella3[[#This Row],[region cumul. fit]]/Kl</f>
        <v>#VALUE!</v>
      </c>
      <c r="Z196" s="72">
        <f>IFERROR(Kl*psi_l*_xlfn.SECH(psi_l*(Tabella3[[#This Row],[Day]]-pl)-phi_l)^2/(1+TANH(phi_l)),0)</f>
        <v>9.7176758713717604</v>
      </c>
      <c r="AA196" s="72">
        <f>Tabella3[[#This Row],[region fit]]/y_l_peak</f>
        <v>7.0520514162271355E-2</v>
      </c>
      <c r="AB196" s="10">
        <f>Tabella3[[#This Row],[region fit]]*NOT(ISBLANK(Tabella3[[#This Row],[region data]]))</f>
        <v>0</v>
      </c>
      <c r="AC196" s="166">
        <f>IFERROR(kl_m*psi_l_m*_xlfn.SECH(psi_l_m*(Tabella3[[#This Row],[Day]]-pl_m)-phi_l_m)^2/(1+TANH(phi_l_m)),0)</f>
        <v>9.7176758713717604</v>
      </c>
      <c r="AD196" s="72">
        <f>Tabella3[[#This Row],[6-days moving avg fit]]*NOT(ISBLANK(Tabella3[[#This Row],[6-days moving avg]]))</f>
        <v>0</v>
      </c>
      <c r="AE196" s="131"/>
      <c r="AF196" s="131"/>
      <c r="AG196" s="131"/>
      <c r="AH196" s="10"/>
      <c r="AI196" s="10">
        <f>Tabella3[[#This Row],[rest of Italy data]]*NOT(ISBLANK(Tabella3[[#This Row],[rest of Italy data]]))</f>
        <v>0</v>
      </c>
      <c r="AJ196" s="77" t="e">
        <f>Tabella8[[#This Row],[rest of Italy fit]]</f>
        <v>#VALUE!</v>
      </c>
      <c r="AK196" s="72" t="e">
        <f>Tabella3[[#This Row],[rest of Italy cumul. fit]]/Ka</f>
        <v>#VALUE!</v>
      </c>
      <c r="AL196" s="72">
        <f>IFERROR(Ka*psi_a*_xlfn.SECH(psi_a*(Tabella3[[#This Row],[Day]]-pa)-phi_a)^2/(1+TANH(phi_a)),0)</f>
        <v>380.67592710790939</v>
      </c>
      <c r="AM196" s="72">
        <f>Tabella3[[#This Row],[rest of Italy fit]]/y_a_peak</f>
        <v>0.13302015802467254</v>
      </c>
      <c r="AN196" s="10">
        <f>Tabella3[[#This Row],[rest of Italy fit]]*NOT(ISBLANK(Tabella3[[#This Row],[rest of Italy data]]))</f>
        <v>0</v>
      </c>
      <c r="AO196" s="131"/>
      <c r="AP196" s="131"/>
    </row>
    <row r="197" spans="2:42" x14ac:dyDescent="0.3">
      <c r="B197" s="9">
        <v>44020</v>
      </c>
      <c r="C197" s="4">
        <v>190</v>
      </c>
      <c r="D197" s="131"/>
      <c r="E197" s="10"/>
      <c r="F197" s="10">
        <f>Tabella3[[#This Row],[Italy remov. rate data]]*NOT(ISBLANK(Tabella3[[#This Row],[Italy remov. rate data]]))</f>
        <v>0</v>
      </c>
      <c r="G197" s="77" t="e">
        <f>Tabella8[[#This Row],[Italy fit]]</f>
        <v>#VALUE!</v>
      </c>
      <c r="H197" s="77" t="e">
        <f>Tabella3[[#This Row],[Italy cumul. fit]]/Kf</f>
        <v>#VALUE!</v>
      </c>
      <c r="I197" s="77">
        <f>Tabella3[[#This Row],[region fit]]+Tabella3[[#This Row],[rest of Italy fit]]</f>
        <v>372.8629352702896</v>
      </c>
      <c r="J197" s="77">
        <f>Tabella3[[#This Row],[Italy (fit of selected region + fitted sum of the other regions)]]/(y_l_peak+y_a_peak)</f>
        <v>0.1243046106751452</v>
      </c>
      <c r="K197" s="72">
        <f>IFERROR(Kf*psi_f*_xlfn.SECH(psi_f*(Tabella3[[#This Row],[Day]]-pf)-phi_f)^2/(1+TANH(phi_f)),0)</f>
        <v>370.78252212068071</v>
      </c>
      <c r="L197" s="292">
        <f>Tabella3[[#This Row],[Italy remov. rate fit]]-Tabella3[[#This Row],[Italy remov. rate data]]</f>
        <v>370.78252212068071</v>
      </c>
      <c r="M197" s="293">
        <f>Tabella3[[#This Row],[rem. rate residuals]]*NOT(ISBLANK(Tabella3[[#This Row],[Italy remov. rate data]]))</f>
        <v>0</v>
      </c>
      <c r="N197" s="72">
        <f>Tabella3[[#This Row],[Italy remov. rate fit]]/y_f_peak</f>
        <v>0.12353627636462648</v>
      </c>
      <c r="O197" s="10">
        <f>Tabella3[[#This Row],[Italy (fit of selected region + fitted sum of the other regions)]]*NOT(ISBLANK(Tabella3[[#This Row],[Italy remov. rate data]]))</f>
        <v>0</v>
      </c>
      <c r="P197" s="10">
        <f>Tabella3[[#This Row],[Italy remov. rate fit]]*NOT(ISBLANK(Tabella3[[#This Row],[Italy remov. rate data]]))</f>
        <v>0</v>
      </c>
      <c r="Q197" s="72"/>
      <c r="R197" s="72"/>
      <c r="S197" s="131"/>
      <c r="T197" s="10"/>
      <c r="U197" s="10">
        <f>Tabella3[[#This Row],[region data]]*NOT(ISBLANK(Tabella3[[#This Row],[region data]]))</f>
        <v>0</v>
      </c>
      <c r="V197"/>
      <c r="W197" s="72">
        <f>Tabella3[[#This Row],[6-days moving avg]]*NOT(ISBLANK(Tabella3[[#This Row],[6-days moving avg]]))</f>
        <v>0</v>
      </c>
      <c r="X197" s="77" t="e">
        <f>Tabella8[[#This Row],[region fit]]</f>
        <v>#VALUE!</v>
      </c>
      <c r="Y197" s="72" t="e">
        <f>Tabella3[[#This Row],[region cumul. fit]]/Kl</f>
        <v>#VALUE!</v>
      </c>
      <c r="Z197" s="72">
        <f>IFERROR(Kl*psi_l*_xlfn.SECH(psi_l*(Tabella3[[#This Row],[Day]]-pl)-phi_l)^2/(1+TANH(phi_l)),0)</f>
        <v>9.2028063789247465</v>
      </c>
      <c r="AA197" s="72">
        <f>Tabella3[[#This Row],[region fit]]/y_l_peak</f>
        <v>6.6784141204947592E-2</v>
      </c>
      <c r="AB197" s="10">
        <f>Tabella3[[#This Row],[region fit]]*NOT(ISBLANK(Tabella3[[#This Row],[region data]]))</f>
        <v>0</v>
      </c>
      <c r="AC197" s="166">
        <f>IFERROR(kl_m*psi_l_m*_xlfn.SECH(psi_l_m*(Tabella3[[#This Row],[Day]]-pl_m)-phi_l_m)^2/(1+TANH(phi_l_m)),0)</f>
        <v>9.2028063789247465</v>
      </c>
      <c r="AD197" s="72">
        <f>Tabella3[[#This Row],[6-days moving avg fit]]*NOT(ISBLANK(Tabella3[[#This Row],[6-days moving avg]]))</f>
        <v>0</v>
      </c>
      <c r="AE197" s="131"/>
      <c r="AF197" s="131"/>
      <c r="AG197" s="131"/>
      <c r="AH197" s="10"/>
      <c r="AI197" s="10">
        <f>Tabella3[[#This Row],[rest of Italy data]]*NOT(ISBLANK(Tabella3[[#This Row],[rest of Italy data]]))</f>
        <v>0</v>
      </c>
      <c r="AJ197" s="77" t="e">
        <f>Tabella8[[#This Row],[rest of Italy fit]]</f>
        <v>#VALUE!</v>
      </c>
      <c r="AK197" s="72" t="e">
        <f>Tabella3[[#This Row],[rest of Italy cumul. fit]]/Ka</f>
        <v>#VALUE!</v>
      </c>
      <c r="AL197" s="72">
        <f>IFERROR(Ka*psi_a*_xlfn.SECH(psi_a*(Tabella3[[#This Row],[Day]]-pa)-phi_a)^2/(1+TANH(phi_a)),0)</f>
        <v>363.66012889136488</v>
      </c>
      <c r="AM197" s="72">
        <f>Tabella3[[#This Row],[rest of Italy fit]]/y_a_peak</f>
        <v>0.12707430222844016</v>
      </c>
      <c r="AN197" s="10">
        <f>Tabella3[[#This Row],[rest of Italy fit]]*NOT(ISBLANK(Tabella3[[#This Row],[rest of Italy data]]))</f>
        <v>0</v>
      </c>
      <c r="AO197" s="131"/>
      <c r="AP197" s="131"/>
    </row>
    <row r="198" spans="2:42" x14ac:dyDescent="0.3">
      <c r="B198" s="9">
        <v>44021</v>
      </c>
      <c r="C198" s="4">
        <v>191</v>
      </c>
      <c r="D198" s="131"/>
      <c r="E198" s="10"/>
      <c r="F198" s="10">
        <f>Tabella3[[#This Row],[Italy remov. rate data]]*NOT(ISBLANK(Tabella3[[#This Row],[Italy remov. rate data]]))</f>
        <v>0</v>
      </c>
      <c r="G198" s="77" t="e">
        <f>Tabella8[[#This Row],[Italy fit]]</f>
        <v>#VALUE!</v>
      </c>
      <c r="H198" s="77" t="e">
        <f>Tabella3[[#This Row],[Italy cumul. fit]]/Kf</f>
        <v>#VALUE!</v>
      </c>
      <c r="I198" s="77">
        <f>Tabella3[[#This Row],[region fit]]+Tabella3[[#This Row],[rest of Italy fit]]</f>
        <v>356.06614750002092</v>
      </c>
      <c r="J198" s="77">
        <f>Tabella3[[#This Row],[Italy (fit of selected region + fitted sum of the other regions)]]/(y_l_peak+y_a_peak)</f>
        <v>0.11870491715006272</v>
      </c>
      <c r="K198" s="72">
        <f>IFERROR(Kf*psi_f*_xlfn.SECH(psi_f*(Tabella3[[#This Row],[Day]]-pf)-phi_f)^2/(1+TANH(phi_f)),0)</f>
        <v>354.00116323092527</v>
      </c>
      <c r="L198" s="292">
        <f>Tabella3[[#This Row],[Italy remov. rate fit]]-Tabella3[[#This Row],[Italy remov. rate data]]</f>
        <v>354.00116323092527</v>
      </c>
      <c r="M198" s="293">
        <f>Tabella3[[#This Row],[rem. rate residuals]]*NOT(ISBLANK(Tabella3[[#This Row],[Italy remov. rate data]]))</f>
        <v>0</v>
      </c>
      <c r="N198" s="72">
        <f>Tabella3[[#This Row],[Italy remov. rate fit]]/y_f_peak</f>
        <v>0.11794511047654273</v>
      </c>
      <c r="O198" s="10">
        <f>Tabella3[[#This Row],[Italy (fit of selected region + fitted sum of the other regions)]]*NOT(ISBLANK(Tabella3[[#This Row],[Italy remov. rate data]]))</f>
        <v>0</v>
      </c>
      <c r="P198" s="10">
        <f>Tabella3[[#This Row],[Italy remov. rate fit]]*NOT(ISBLANK(Tabella3[[#This Row],[Italy remov. rate data]]))</f>
        <v>0</v>
      </c>
      <c r="Q198" s="72"/>
      <c r="R198" s="72"/>
      <c r="S198" s="131"/>
      <c r="T198" s="10"/>
      <c r="U198" s="10">
        <f>Tabella3[[#This Row],[region data]]*NOT(ISBLANK(Tabella3[[#This Row],[region data]]))</f>
        <v>0</v>
      </c>
      <c r="V198"/>
      <c r="W198" s="72">
        <f>Tabella3[[#This Row],[6-days moving avg]]*NOT(ISBLANK(Tabella3[[#This Row],[6-days moving avg]]))</f>
        <v>0</v>
      </c>
      <c r="X198" s="77" t="e">
        <f>Tabella8[[#This Row],[region fit]]</f>
        <v>#VALUE!</v>
      </c>
      <c r="Y198" s="72" t="e">
        <f>Tabella3[[#This Row],[region cumul. fit]]/Kl</f>
        <v>#VALUE!</v>
      </c>
      <c r="Z198" s="72">
        <f>IFERROR(Kl*psi_l*_xlfn.SECH(psi_l*(Tabella3[[#This Row],[Day]]-pl)-phi_l)^2/(1+TANH(phi_l)),0)</f>
        <v>8.7142899416852622</v>
      </c>
      <c r="AA198" s="72">
        <f>Tabella3[[#This Row],[region fit]]/y_l_peak</f>
        <v>6.3239010580418295E-2</v>
      </c>
      <c r="AB198" s="10">
        <f>Tabella3[[#This Row],[region fit]]*NOT(ISBLANK(Tabella3[[#This Row],[region data]]))</f>
        <v>0</v>
      </c>
      <c r="AC198" s="166">
        <f>IFERROR(kl_m*psi_l_m*_xlfn.SECH(psi_l_m*(Tabella3[[#This Row],[Day]]-pl_m)-phi_l_m)^2/(1+TANH(phi_l_m)),0)</f>
        <v>8.7142899416852622</v>
      </c>
      <c r="AD198" s="72">
        <f>Tabella3[[#This Row],[6-days moving avg fit]]*NOT(ISBLANK(Tabella3[[#This Row],[6-days moving avg]]))</f>
        <v>0</v>
      </c>
      <c r="AE198" s="131"/>
      <c r="AF198" s="131"/>
      <c r="AG198" s="131"/>
      <c r="AH198" s="10"/>
      <c r="AI198" s="10">
        <f>Tabella3[[#This Row],[rest of Italy data]]*NOT(ISBLANK(Tabella3[[#This Row],[rest of Italy data]]))</f>
        <v>0</v>
      </c>
      <c r="AJ198" s="77" t="e">
        <f>Tabella8[[#This Row],[rest of Italy fit]]</f>
        <v>#VALUE!</v>
      </c>
      <c r="AK198" s="72" t="e">
        <f>Tabella3[[#This Row],[rest of Italy cumul. fit]]/Ka</f>
        <v>#VALUE!</v>
      </c>
      <c r="AL198" s="72">
        <f>IFERROR(Ka*psi_a*_xlfn.SECH(psi_a*(Tabella3[[#This Row],[Day]]-pa)-phi_a)^2/(1+TANH(phi_a)),0)</f>
        <v>347.35185755833567</v>
      </c>
      <c r="AM198" s="72">
        <f>Tabella3[[#This Row],[rest of Italy fit]]/y_a_peak</f>
        <v>0.12137567860831867</v>
      </c>
      <c r="AN198" s="10">
        <f>Tabella3[[#This Row],[rest of Italy fit]]*NOT(ISBLANK(Tabella3[[#This Row],[rest of Italy data]]))</f>
        <v>0</v>
      </c>
      <c r="AO198" s="131"/>
      <c r="AP198" s="131"/>
    </row>
    <row r="199" spans="2:42" x14ac:dyDescent="0.3">
      <c r="B199" s="9">
        <v>44022</v>
      </c>
      <c r="C199" s="4">
        <v>192</v>
      </c>
      <c r="D199" s="131"/>
      <c r="E199" s="10"/>
      <c r="F199" s="10">
        <f>Tabella3[[#This Row],[Italy remov. rate data]]*NOT(ISBLANK(Tabella3[[#This Row],[Italy remov. rate data]]))</f>
        <v>0</v>
      </c>
      <c r="G199" s="77" t="e">
        <f>Tabella8[[#This Row],[Italy fit]]</f>
        <v>#VALUE!</v>
      </c>
      <c r="H199" s="77" t="e">
        <f>Tabella3[[#This Row],[Italy cumul. fit]]/Kf</f>
        <v>#VALUE!</v>
      </c>
      <c r="I199" s="77">
        <f>Tabella3[[#This Row],[region fit]]+Tabella3[[#This Row],[rest of Italy fit]]</f>
        <v>339.97740162850005</v>
      </c>
      <c r="J199" s="77">
        <f>Tabella3[[#This Row],[Italy (fit of selected region + fitted sum of the other regions)]]/(y_l_peak+y_a_peak)</f>
        <v>0.11334126980774641</v>
      </c>
      <c r="K199" s="72">
        <f>IFERROR(Kf*psi_f*_xlfn.SECH(psi_f*(Tabella3[[#This Row],[Day]]-pf)-phi_f)^2/(1+TANH(phi_f)),0)</f>
        <v>337.93068658840389</v>
      </c>
      <c r="L199" s="292">
        <f>Tabella3[[#This Row],[Italy remov. rate fit]]-Tabella3[[#This Row],[Italy remov. rate data]]</f>
        <v>337.93068658840389</v>
      </c>
      <c r="M199" s="293">
        <f>Tabella3[[#This Row],[rem. rate residuals]]*NOT(ISBLANK(Tabella3[[#This Row],[Italy remov. rate data]]))</f>
        <v>0</v>
      </c>
      <c r="N199" s="72">
        <f>Tabella3[[#This Row],[Italy remov. rate fit]]/y_f_peak</f>
        <v>0.11259079433330328</v>
      </c>
      <c r="O199" s="10">
        <f>Tabella3[[#This Row],[Italy (fit of selected region + fitted sum of the other regions)]]*NOT(ISBLANK(Tabella3[[#This Row],[Italy remov. rate data]]))</f>
        <v>0</v>
      </c>
      <c r="P199" s="10">
        <f>Tabella3[[#This Row],[Italy remov. rate fit]]*NOT(ISBLANK(Tabella3[[#This Row],[Italy remov. rate data]]))</f>
        <v>0</v>
      </c>
      <c r="Q199" s="72"/>
      <c r="R199" s="72"/>
      <c r="S199" s="131"/>
      <c r="T199" s="10"/>
      <c r="U199" s="10">
        <f>Tabella3[[#This Row],[region data]]*NOT(ISBLANK(Tabella3[[#This Row],[region data]]))</f>
        <v>0</v>
      </c>
      <c r="V199"/>
      <c r="W199" s="72">
        <f>Tabella3[[#This Row],[6-days moving avg]]*NOT(ISBLANK(Tabella3[[#This Row],[6-days moving avg]]))</f>
        <v>0</v>
      </c>
      <c r="X199" s="77" t="e">
        <f>Tabella8[[#This Row],[region fit]]</f>
        <v>#VALUE!</v>
      </c>
      <c r="Y199" s="72" t="e">
        <f>Tabella3[[#This Row],[region cumul. fit]]/Kl</f>
        <v>#VALUE!</v>
      </c>
      <c r="Z199" s="72">
        <f>IFERROR(Kl*psi_l*_xlfn.SECH(psi_l*(Tabella3[[#This Row],[Day]]-pl)-phi_l)^2/(1+TANH(phi_l)),0)</f>
        <v>8.2508752680478796</v>
      </c>
      <c r="AA199" s="72">
        <f>Tabella3[[#This Row],[region fit]]/y_l_peak</f>
        <v>5.9876041750440624E-2</v>
      </c>
      <c r="AB199" s="10">
        <f>Tabella3[[#This Row],[region fit]]*NOT(ISBLANK(Tabella3[[#This Row],[region data]]))</f>
        <v>0</v>
      </c>
      <c r="AC199" s="166">
        <f>IFERROR(kl_m*psi_l_m*_xlfn.SECH(psi_l_m*(Tabella3[[#This Row],[Day]]-pl_m)-phi_l_m)^2/(1+TANH(phi_l_m)),0)</f>
        <v>8.2508752680478796</v>
      </c>
      <c r="AD199" s="72">
        <f>Tabella3[[#This Row],[6-days moving avg fit]]*NOT(ISBLANK(Tabella3[[#This Row],[6-days moving avg]]))</f>
        <v>0</v>
      </c>
      <c r="AE199" s="131"/>
      <c r="AF199" s="131"/>
      <c r="AG199" s="131"/>
      <c r="AH199" s="10"/>
      <c r="AI199" s="10">
        <f>Tabella3[[#This Row],[rest of Italy data]]*NOT(ISBLANK(Tabella3[[#This Row],[rest of Italy data]]))</f>
        <v>0</v>
      </c>
      <c r="AJ199" s="77" t="e">
        <f>Tabella8[[#This Row],[rest of Italy fit]]</f>
        <v>#VALUE!</v>
      </c>
      <c r="AK199" s="72" t="e">
        <f>Tabella3[[#This Row],[rest of Italy cumul. fit]]/Ka</f>
        <v>#VALUE!</v>
      </c>
      <c r="AL199" s="72">
        <f>IFERROR(Ka*psi_a*_xlfn.SECH(psi_a*(Tabella3[[#This Row],[Day]]-pa)-phi_a)^2/(1+TANH(phi_a)),0)</f>
        <v>331.72652636045217</v>
      </c>
      <c r="AM199" s="72">
        <f>Tabella3[[#This Row],[rest of Italy fit]]/y_a_peak</f>
        <v>0.11591569578008712</v>
      </c>
      <c r="AN199" s="10">
        <f>Tabella3[[#This Row],[rest of Italy fit]]*NOT(ISBLANK(Tabella3[[#This Row],[rest of Italy data]]))</f>
        <v>0</v>
      </c>
      <c r="AO199" s="131"/>
      <c r="AP199" s="131"/>
    </row>
    <row r="200" spans="2:42" x14ac:dyDescent="0.3">
      <c r="B200" s="9">
        <v>44023</v>
      </c>
      <c r="C200" s="4">
        <v>193</v>
      </c>
      <c r="D200" s="131"/>
      <c r="E200" s="10"/>
      <c r="F200" s="10">
        <f>Tabella3[[#This Row],[Italy remov. rate data]]*NOT(ISBLANK(Tabella3[[#This Row],[Italy remov. rate data]]))</f>
        <v>0</v>
      </c>
      <c r="G200" s="77" t="e">
        <f>Tabella8[[#This Row],[Italy fit]]</f>
        <v>#VALUE!</v>
      </c>
      <c r="H200" s="77" t="e">
        <f>Tabella3[[#This Row],[Italy cumul. fit]]/Kf</f>
        <v>#VALUE!</v>
      </c>
      <c r="I200" s="77">
        <f>Tabella3[[#This Row],[region fit]]+Tabella3[[#This Row],[rest of Italy fit]]</f>
        <v>324.57130919211943</v>
      </c>
      <c r="J200" s="77">
        <f>Tabella3[[#This Row],[Italy (fit of selected region + fitted sum of the other regions)]]/(y_l_peak+y_a_peak)</f>
        <v>0.10820520467179673</v>
      </c>
      <c r="K200" s="72">
        <f>IFERROR(Kf*psi_f*_xlfn.SECH(psi_f*(Tabella3[[#This Row],[Day]]-pf)-phi_f)^2/(1+TANH(phi_f)),0)</f>
        <v>322.54544706886622</v>
      </c>
      <c r="L200" s="292">
        <f>Tabella3[[#This Row],[Italy remov. rate fit]]-Tabella3[[#This Row],[Italy remov. rate data]]</f>
        <v>322.54544706886622</v>
      </c>
      <c r="M200" s="293">
        <f>Tabella3[[#This Row],[rem. rate residuals]]*NOT(ISBLANK(Tabella3[[#This Row],[Italy remov. rate data]]))</f>
        <v>0</v>
      </c>
      <c r="N200" s="72">
        <f>Tabella3[[#This Row],[Italy remov. rate fit]]/y_f_peak</f>
        <v>0.10746478356464315</v>
      </c>
      <c r="O200" s="10">
        <f>Tabella3[[#This Row],[Italy (fit of selected region + fitted sum of the other regions)]]*NOT(ISBLANK(Tabella3[[#This Row],[Italy remov. rate data]]))</f>
        <v>0</v>
      </c>
      <c r="P200" s="10">
        <f>Tabella3[[#This Row],[Italy remov. rate fit]]*NOT(ISBLANK(Tabella3[[#This Row],[Italy remov. rate data]]))</f>
        <v>0</v>
      </c>
      <c r="Q200" s="72"/>
      <c r="R200" s="72"/>
      <c r="S200" s="131"/>
      <c r="T200" s="10"/>
      <c r="U200" s="10">
        <f>Tabella3[[#This Row],[region data]]*NOT(ISBLANK(Tabella3[[#This Row],[region data]]))</f>
        <v>0</v>
      </c>
      <c r="V200"/>
      <c r="W200" s="72">
        <f>Tabella3[[#This Row],[6-days moving avg]]*NOT(ISBLANK(Tabella3[[#This Row],[6-days moving avg]]))</f>
        <v>0</v>
      </c>
      <c r="X200" s="77" t="e">
        <f>Tabella8[[#This Row],[region fit]]</f>
        <v>#VALUE!</v>
      </c>
      <c r="Y200" s="72" t="e">
        <f>Tabella3[[#This Row],[region cumul. fit]]/Kl</f>
        <v>#VALUE!</v>
      </c>
      <c r="Z200" s="72">
        <f>IFERROR(Kl*psi_l*_xlfn.SECH(psi_l*(Tabella3[[#This Row],[Day]]-pl)-phi_l)^2/(1+TANH(phi_l)),0)</f>
        <v>7.8113600665945588</v>
      </c>
      <c r="AA200" s="72">
        <f>Tabella3[[#This Row],[region fit]]/y_l_peak</f>
        <v>5.668650976780544E-2</v>
      </c>
      <c r="AB200" s="10">
        <f>Tabella3[[#This Row],[region fit]]*NOT(ISBLANK(Tabella3[[#This Row],[region data]]))</f>
        <v>0</v>
      </c>
      <c r="AC200" s="166">
        <f>IFERROR(kl_m*psi_l_m*_xlfn.SECH(psi_l_m*(Tabella3[[#This Row],[Day]]-pl_m)-phi_l_m)^2/(1+TANH(phi_l_m)),0)</f>
        <v>7.8113600665945588</v>
      </c>
      <c r="AD200" s="72">
        <f>Tabella3[[#This Row],[6-days moving avg fit]]*NOT(ISBLANK(Tabella3[[#This Row],[6-days moving avg]]))</f>
        <v>0</v>
      </c>
      <c r="AE200" s="131"/>
      <c r="AF200" s="131"/>
      <c r="AG200" s="131"/>
      <c r="AH200" s="10"/>
      <c r="AI200" s="10">
        <f>Tabella3[[#This Row],[rest of Italy data]]*NOT(ISBLANK(Tabella3[[#This Row],[rest of Italy data]]))</f>
        <v>0</v>
      </c>
      <c r="AJ200" s="77" t="e">
        <f>Tabella8[[#This Row],[rest of Italy fit]]</f>
        <v>#VALUE!</v>
      </c>
      <c r="AK200" s="72" t="e">
        <f>Tabella3[[#This Row],[rest of Italy cumul. fit]]/Ka</f>
        <v>#VALUE!</v>
      </c>
      <c r="AL200" s="72">
        <f>IFERROR(Ka*psi_a*_xlfn.SECH(psi_a*(Tabella3[[#This Row],[Day]]-pa)-phi_a)^2/(1+TANH(phi_a)),0)</f>
        <v>316.75994912552488</v>
      </c>
      <c r="AM200" s="72">
        <f>Tabella3[[#This Row],[rest of Italy fit]]/y_a_peak</f>
        <v>0.11068590233345778</v>
      </c>
      <c r="AN200" s="10">
        <f>Tabella3[[#This Row],[rest of Italy fit]]*NOT(ISBLANK(Tabella3[[#This Row],[rest of Italy data]]))</f>
        <v>0</v>
      </c>
      <c r="AO200" s="131"/>
      <c r="AP200" s="131"/>
    </row>
    <row r="201" spans="2:42" x14ac:dyDescent="0.3">
      <c r="B201" s="9">
        <v>44024</v>
      </c>
      <c r="C201" s="4">
        <v>194</v>
      </c>
      <c r="D201" s="131"/>
      <c r="E201" s="10"/>
      <c r="F201" s="10">
        <f>Tabella3[[#This Row],[Italy remov. rate data]]*NOT(ISBLANK(Tabella3[[#This Row],[Italy remov. rate data]]))</f>
        <v>0</v>
      </c>
      <c r="G201" s="77" t="e">
        <f>Tabella8[[#This Row],[Italy fit]]</f>
        <v>#VALUE!</v>
      </c>
      <c r="H201" s="77" t="e">
        <f>Tabella3[[#This Row],[Italy cumul. fit]]/Kf</f>
        <v>#VALUE!</v>
      </c>
      <c r="I201" s="77">
        <f>Tabella3[[#This Row],[region fit]]+Tabella3[[#This Row],[rest of Italy fit]]</f>
        <v>309.82297243011851</v>
      </c>
      <c r="J201" s="77">
        <f>Tabella3[[#This Row],[Italy (fit of selected region + fitted sum of the other regions)]]/(y_l_peak+y_a_peak)</f>
        <v>0.10328842135575729</v>
      </c>
      <c r="K201" s="72">
        <f>IFERROR(Kf*psi_f*_xlfn.SECH(psi_f*(Tabella3[[#This Row],[Day]]-pf)-phi_f)^2/(1+TANH(phi_f)),0)</f>
        <v>307.8203025858794</v>
      </c>
      <c r="L201" s="292">
        <f>Tabella3[[#This Row],[Italy remov. rate fit]]-Tabella3[[#This Row],[Italy remov. rate data]]</f>
        <v>307.8203025858794</v>
      </c>
      <c r="M201" s="293">
        <f>Tabella3[[#This Row],[rem. rate residuals]]*NOT(ISBLANK(Tabella3[[#This Row],[Italy remov. rate data]]))</f>
        <v>0</v>
      </c>
      <c r="N201" s="72">
        <f>Tabella3[[#This Row],[Italy remov. rate fit]]/y_f_peak</f>
        <v>0.10255870140102043</v>
      </c>
      <c r="O201" s="10">
        <f>Tabella3[[#This Row],[Italy (fit of selected region + fitted sum of the other regions)]]*NOT(ISBLANK(Tabella3[[#This Row],[Italy remov. rate data]]))</f>
        <v>0</v>
      </c>
      <c r="P201" s="10">
        <f>Tabella3[[#This Row],[Italy remov. rate fit]]*NOT(ISBLANK(Tabella3[[#This Row],[Italy remov. rate data]]))</f>
        <v>0</v>
      </c>
      <c r="Q201" s="72"/>
      <c r="R201" s="72"/>
      <c r="S201" s="131"/>
      <c r="T201" s="10"/>
      <c r="U201" s="10">
        <f>Tabella3[[#This Row],[region data]]*NOT(ISBLANK(Tabella3[[#This Row],[region data]]))</f>
        <v>0</v>
      </c>
      <c r="V201"/>
      <c r="W201" s="72">
        <f>Tabella3[[#This Row],[6-days moving avg]]*NOT(ISBLANK(Tabella3[[#This Row],[6-days moving avg]]))</f>
        <v>0</v>
      </c>
      <c r="X201" s="77" t="e">
        <f>Tabella8[[#This Row],[region fit]]</f>
        <v>#VALUE!</v>
      </c>
      <c r="Y201" s="72" t="e">
        <f>Tabella3[[#This Row],[region cumul. fit]]/Kl</f>
        <v>#VALUE!</v>
      </c>
      <c r="Z201" s="72">
        <f>IFERROR(Kl*psi_l*_xlfn.SECH(psi_l*(Tabella3[[#This Row],[Day]]-pl)-phi_l)^2/(1+TANH(phi_l)),0)</f>
        <v>7.3945902907820749</v>
      </c>
      <c r="AA201" s="72">
        <f>Tabella3[[#This Row],[region fit]]/y_l_peak</f>
        <v>5.3662039795085298E-2</v>
      </c>
      <c r="AB201" s="10">
        <f>Tabella3[[#This Row],[region fit]]*NOT(ISBLANK(Tabella3[[#This Row],[region data]]))</f>
        <v>0</v>
      </c>
      <c r="AC201" s="166">
        <f>IFERROR(kl_m*psi_l_m*_xlfn.SECH(psi_l_m*(Tabella3[[#This Row],[Day]]-pl_m)-phi_l_m)^2/(1+TANH(phi_l_m)),0)</f>
        <v>7.3945902907820749</v>
      </c>
      <c r="AD201" s="72">
        <f>Tabella3[[#This Row],[6-days moving avg fit]]*NOT(ISBLANK(Tabella3[[#This Row],[6-days moving avg]]))</f>
        <v>0</v>
      </c>
      <c r="AE201" s="131"/>
      <c r="AF201" s="131"/>
      <c r="AG201" s="131"/>
      <c r="AH201" s="10"/>
      <c r="AI201" s="10">
        <f>Tabella3[[#This Row],[rest of Italy data]]*NOT(ISBLANK(Tabella3[[#This Row],[rest of Italy data]]))</f>
        <v>0</v>
      </c>
      <c r="AJ201" s="77" t="e">
        <f>Tabella8[[#This Row],[rest of Italy fit]]</f>
        <v>#VALUE!</v>
      </c>
      <c r="AK201" s="72" t="e">
        <f>Tabella3[[#This Row],[rest of Italy cumul. fit]]/Ka</f>
        <v>#VALUE!</v>
      </c>
      <c r="AL201" s="72">
        <f>IFERROR(Ka*psi_a*_xlfn.SECH(psi_a*(Tabella3[[#This Row],[Day]]-pa)-phi_a)^2/(1+TANH(phi_a)),0)</f>
        <v>302.42838213933646</v>
      </c>
      <c r="AM201" s="72">
        <f>Tabella3[[#This Row],[rest of Italy fit]]/y_a_peak</f>
        <v>0.10567800146689323</v>
      </c>
      <c r="AN201" s="10">
        <f>Tabella3[[#This Row],[rest of Italy fit]]*NOT(ISBLANK(Tabella3[[#This Row],[rest of Italy data]]))</f>
        <v>0</v>
      </c>
      <c r="AO201" s="131"/>
      <c r="AP201" s="131"/>
    </row>
    <row r="202" spans="2:42" x14ac:dyDescent="0.3">
      <c r="B202" s="9">
        <v>44025</v>
      </c>
      <c r="C202" s="4">
        <v>195</v>
      </c>
      <c r="D202" s="131"/>
      <c r="E202" s="10"/>
      <c r="F202" s="10">
        <f>Tabella3[[#This Row],[Italy remov. rate data]]*NOT(ISBLANK(Tabella3[[#This Row],[Italy remov. rate data]]))</f>
        <v>0</v>
      </c>
      <c r="G202" s="77" t="e">
        <f>Tabella8[[#This Row],[Italy fit]]</f>
        <v>#VALUE!</v>
      </c>
      <c r="H202" s="77" t="e">
        <f>Tabella3[[#This Row],[Italy cumul. fit]]/Kf</f>
        <v>#VALUE!</v>
      </c>
      <c r="I202" s="77">
        <f>Tabella3[[#This Row],[region fit]]+Tabella3[[#This Row],[rest of Italy fit]]</f>
        <v>295.70801898402306</v>
      </c>
      <c r="J202" s="77">
        <f>Tabella3[[#This Row],[Italy (fit of selected region + fitted sum of the other regions)]]/(y_l_peak+y_a_peak)</f>
        <v>9.8582794631173323E-2</v>
      </c>
      <c r="K202" s="72">
        <f>IFERROR(Kf*psi_f*_xlfn.SECH(psi_f*(Tabella3[[#This Row],[Day]]-pf)-phi_f)^2/(1+TANH(phi_f)),0)</f>
        <v>293.73064879718771</v>
      </c>
      <c r="L202" s="292">
        <f>Tabella3[[#This Row],[Italy remov. rate fit]]-Tabella3[[#This Row],[Italy remov. rate data]]</f>
        <v>293.73064879718771</v>
      </c>
      <c r="M202" s="293">
        <f>Tabella3[[#This Row],[rem. rate residuals]]*NOT(ISBLANK(Tabella3[[#This Row],[Italy remov. rate data]]))</f>
        <v>0</v>
      </c>
      <c r="N202" s="72">
        <f>Tabella3[[#This Row],[Italy remov. rate fit]]/y_f_peak</f>
        <v>9.7864350236983616E-2</v>
      </c>
      <c r="O202" s="10">
        <f>Tabella3[[#This Row],[Italy (fit of selected region + fitted sum of the other regions)]]*NOT(ISBLANK(Tabella3[[#This Row],[Italy remov. rate data]]))</f>
        <v>0</v>
      </c>
      <c r="P202" s="10">
        <f>Tabella3[[#This Row],[Italy remov. rate fit]]*NOT(ISBLANK(Tabella3[[#This Row],[Italy remov. rate data]]))</f>
        <v>0</v>
      </c>
      <c r="Q202" s="72"/>
      <c r="R202" s="72"/>
      <c r="S202" s="131"/>
      <c r="T202" s="10"/>
      <c r="U202" s="10">
        <f>Tabella3[[#This Row],[region data]]*NOT(ISBLANK(Tabella3[[#This Row],[region data]]))</f>
        <v>0</v>
      </c>
      <c r="V202"/>
      <c r="W202" s="72">
        <f>Tabella3[[#This Row],[6-days moving avg]]*NOT(ISBLANK(Tabella3[[#This Row],[6-days moving avg]]))</f>
        <v>0</v>
      </c>
      <c r="X202" s="77" t="e">
        <f>Tabella8[[#This Row],[region fit]]</f>
        <v>#VALUE!</v>
      </c>
      <c r="Y202" s="72" t="e">
        <f>Tabella3[[#This Row],[region cumul. fit]]/Kl</f>
        <v>#VALUE!</v>
      </c>
      <c r="Z202" s="72">
        <f>IFERROR(Kl*psi_l*_xlfn.SECH(psi_l*(Tabella3[[#This Row],[Day]]-pl)-phi_l)^2/(1+TANH(phi_l)),0)</f>
        <v>6.9994592429989844</v>
      </c>
      <c r="AA202" s="72">
        <f>Tabella3[[#This Row],[region fit]]/y_l_peak</f>
        <v>5.079460060283663E-2</v>
      </c>
      <c r="AB202" s="10">
        <f>Tabella3[[#This Row],[region fit]]*NOT(ISBLANK(Tabella3[[#This Row],[region data]]))</f>
        <v>0</v>
      </c>
      <c r="AC202" s="166">
        <f>IFERROR(kl_m*psi_l_m*_xlfn.SECH(psi_l_m*(Tabella3[[#This Row],[Day]]-pl_m)-phi_l_m)^2/(1+TANH(phi_l_m)),0)</f>
        <v>6.9994592429989844</v>
      </c>
      <c r="AD202" s="72">
        <f>Tabella3[[#This Row],[6-days moving avg fit]]*NOT(ISBLANK(Tabella3[[#This Row],[6-days moving avg]]))</f>
        <v>0</v>
      </c>
      <c r="AE202" s="131"/>
      <c r="AF202" s="131"/>
      <c r="AG202" s="131"/>
      <c r="AH202" s="10"/>
      <c r="AI202" s="10">
        <f>Tabella3[[#This Row],[rest of Italy data]]*NOT(ISBLANK(Tabella3[[#This Row],[rest of Italy data]]))</f>
        <v>0</v>
      </c>
      <c r="AJ202" s="77" t="e">
        <f>Tabella8[[#This Row],[rest of Italy fit]]</f>
        <v>#VALUE!</v>
      </c>
      <c r="AK202" s="72" t="e">
        <f>Tabella3[[#This Row],[rest of Italy cumul. fit]]/Ka</f>
        <v>#VALUE!</v>
      </c>
      <c r="AL202" s="72">
        <f>IFERROR(Ka*psi_a*_xlfn.SECH(psi_a*(Tabella3[[#This Row],[Day]]-pa)-phi_a)^2/(1+TANH(phi_a)),0)</f>
        <v>288.70855974102409</v>
      </c>
      <c r="AM202" s="72">
        <f>Tabella3[[#This Row],[rest of Italy fit]]/y_a_peak</f>
        <v>0.10088386342575405</v>
      </c>
      <c r="AN202" s="10">
        <f>Tabella3[[#This Row],[rest of Italy fit]]*NOT(ISBLANK(Tabella3[[#This Row],[rest of Italy data]]))</f>
        <v>0</v>
      </c>
      <c r="AO202" s="131"/>
      <c r="AP202" s="131"/>
    </row>
    <row r="203" spans="2:42" x14ac:dyDescent="0.3">
      <c r="B203" s="9">
        <v>44026</v>
      </c>
      <c r="C203" s="4">
        <v>196</v>
      </c>
      <c r="D203" s="131"/>
      <c r="E203" s="10"/>
      <c r="F203" s="10">
        <f>Tabella3[[#This Row],[Italy remov. rate data]]*NOT(ISBLANK(Tabella3[[#This Row],[Italy remov. rate data]]))</f>
        <v>0</v>
      </c>
      <c r="G203" s="77" t="e">
        <f>Tabella8[[#This Row],[Italy fit]]</f>
        <v>#VALUE!</v>
      </c>
      <c r="H203" s="77" t="e">
        <f>Tabella3[[#This Row],[Italy cumul. fit]]/Kf</f>
        <v>#VALUE!</v>
      </c>
      <c r="I203" s="77">
        <f>Tabella3[[#This Row],[region fit]]+Tabella3[[#This Row],[rest of Italy fit]]</f>
        <v>282.20263072380737</v>
      </c>
      <c r="J203" s="77">
        <f>Tabella3[[#This Row],[Italy (fit of selected region + fitted sum of the other regions)]]/(y_l_peak+y_a_peak)</f>
        <v>9.4080384037624157E-2</v>
      </c>
      <c r="K203" s="72">
        <f>IFERROR(Kf*psi_f*_xlfn.SECH(psi_f*(Tabella3[[#This Row],[Day]]-pf)-phi_f)^2/(1+TANH(phi_f)),0)</f>
        <v>280.25244785407506</v>
      </c>
      <c r="L203" s="292">
        <f>Tabella3[[#This Row],[Italy remov. rate fit]]-Tabella3[[#This Row],[Italy remov. rate data]]</f>
        <v>280.25244785407506</v>
      </c>
      <c r="M203" s="293">
        <f>Tabella3[[#This Row],[rem. rate residuals]]*NOT(ISBLANK(Tabella3[[#This Row],[Italy remov. rate data]]))</f>
        <v>0</v>
      </c>
      <c r="N203" s="72">
        <f>Tabella3[[#This Row],[Italy remov. rate fit]]/y_f_peak</f>
        <v>9.3373721209803084E-2</v>
      </c>
      <c r="O203" s="10">
        <f>Tabella3[[#This Row],[Italy (fit of selected region + fitted sum of the other regions)]]*NOT(ISBLANK(Tabella3[[#This Row],[Italy remov. rate data]]))</f>
        <v>0</v>
      </c>
      <c r="P203" s="10">
        <f>Tabella3[[#This Row],[Italy remov. rate fit]]*NOT(ISBLANK(Tabella3[[#This Row],[Italy remov. rate data]]))</f>
        <v>0</v>
      </c>
      <c r="Q203" s="72"/>
      <c r="R203" s="72"/>
      <c r="S203" s="131"/>
      <c r="T203" s="10"/>
      <c r="U203" s="10">
        <f>Tabella3[[#This Row],[region data]]*NOT(ISBLANK(Tabella3[[#This Row],[region data]]))</f>
        <v>0</v>
      </c>
      <c r="V203"/>
      <c r="W203" s="72">
        <f>Tabella3[[#This Row],[6-days moving avg]]*NOT(ISBLANK(Tabella3[[#This Row],[6-days moving avg]]))</f>
        <v>0</v>
      </c>
      <c r="X203" s="77" t="e">
        <f>Tabella8[[#This Row],[region fit]]</f>
        <v>#VALUE!</v>
      </c>
      <c r="Y203" s="72" t="e">
        <f>Tabella3[[#This Row],[region cumul. fit]]/Kl</f>
        <v>#VALUE!</v>
      </c>
      <c r="Z203" s="72">
        <f>IFERROR(Kl*psi_l*_xlfn.SECH(psi_l*(Tabella3[[#This Row],[Day]]-pl)-phi_l)^2/(1+TANH(phi_l)),0)</f>
        <v>6.6249065616008798</v>
      </c>
      <c r="AA203" s="72">
        <f>Tabella3[[#This Row],[region fit]]/y_l_peak</f>
        <v>4.8076497218583383E-2</v>
      </c>
      <c r="AB203" s="10">
        <f>Tabella3[[#This Row],[region fit]]*NOT(ISBLANK(Tabella3[[#This Row],[region data]]))</f>
        <v>0</v>
      </c>
      <c r="AC203" s="166">
        <f>IFERROR(kl_m*psi_l_m*_xlfn.SECH(psi_l_m*(Tabella3[[#This Row],[Day]]-pl_m)-phi_l_m)^2/(1+TANH(phi_l_m)),0)</f>
        <v>6.6249065616008798</v>
      </c>
      <c r="AD203" s="72">
        <f>Tabella3[[#This Row],[6-days moving avg fit]]*NOT(ISBLANK(Tabella3[[#This Row],[6-days moving avg]]))</f>
        <v>0</v>
      </c>
      <c r="AE203" s="131"/>
      <c r="AF203" s="131"/>
      <c r="AG203" s="131"/>
      <c r="AH203" s="10"/>
      <c r="AI203" s="10">
        <f>Tabella3[[#This Row],[rest of Italy data]]*NOT(ISBLANK(Tabella3[[#This Row],[rest of Italy data]]))</f>
        <v>0</v>
      </c>
      <c r="AJ203" s="77" t="e">
        <f>Tabella8[[#This Row],[rest of Italy fit]]</f>
        <v>#VALUE!</v>
      </c>
      <c r="AK203" s="72" t="e">
        <f>Tabella3[[#This Row],[rest of Italy cumul. fit]]/Ka</f>
        <v>#VALUE!</v>
      </c>
      <c r="AL203" s="72">
        <f>IFERROR(Ka*psi_a*_xlfn.SECH(psi_a*(Tabella3[[#This Row],[Day]]-pa)-phi_a)^2/(1+TANH(phi_a)),0)</f>
        <v>275.57772416220649</v>
      </c>
      <c r="AM203" s="72">
        <f>Tabella3[[#This Row],[rest of Italy fit]]/y_a_peak</f>
        <v>9.6295535929029563E-2</v>
      </c>
      <c r="AN203" s="10">
        <f>Tabella3[[#This Row],[rest of Italy fit]]*NOT(ISBLANK(Tabella3[[#This Row],[rest of Italy data]]))</f>
        <v>0</v>
      </c>
      <c r="AO203" s="131"/>
      <c r="AP203" s="131"/>
    </row>
    <row r="204" spans="2:42" x14ac:dyDescent="0.3">
      <c r="B204" s="9">
        <v>44027</v>
      </c>
      <c r="C204" s="4">
        <v>197</v>
      </c>
      <c r="D204" s="131"/>
      <c r="E204" s="10"/>
      <c r="F204" s="10">
        <f>Tabella3[[#This Row],[Italy remov. rate data]]*NOT(ISBLANK(Tabella3[[#This Row],[Italy remov. rate data]]))</f>
        <v>0</v>
      </c>
      <c r="G204" s="77" t="e">
        <f>Tabella8[[#This Row],[Italy fit]]</f>
        <v>#VALUE!</v>
      </c>
      <c r="H204" s="77" t="e">
        <f>Tabella3[[#This Row],[Italy cumul. fit]]/Kf</f>
        <v>#VALUE!</v>
      </c>
      <c r="I204" s="77">
        <f>Tabella3[[#This Row],[region fit]]+Tabella3[[#This Row],[rest of Italy fit]]</f>
        <v>269.28356722476747</v>
      </c>
      <c r="J204" s="77">
        <f>Tabella3[[#This Row],[Italy (fit of selected region + fitted sum of the other regions)]]/(y_l_peak+y_a_peak)</f>
        <v>8.9773441709415772E-2</v>
      </c>
      <c r="K204" s="72">
        <f>IFERROR(Kf*psi_f*_xlfn.SECH(psi_f*(Tabella3[[#This Row],[Day]]-pf)-phi_f)^2/(1+TANH(phi_f)),0)</f>
        <v>267.3622517295546</v>
      </c>
      <c r="L204" s="292">
        <f>Tabella3[[#This Row],[Italy remov. rate fit]]-Tabella3[[#This Row],[Italy remov. rate data]]</f>
        <v>267.3622517295546</v>
      </c>
      <c r="M204" s="293">
        <f>Tabella3[[#This Row],[rem. rate residuals]]*NOT(ISBLANK(Tabella3[[#This Row],[Italy remov. rate data]]))</f>
        <v>0</v>
      </c>
      <c r="N204" s="72">
        <f>Tabella3[[#This Row],[Italy remov. rate fit]]/y_f_peak</f>
        <v>8.9079001971891697E-2</v>
      </c>
      <c r="O204" s="10">
        <f>Tabella3[[#This Row],[Italy (fit of selected region + fitted sum of the other regions)]]*NOT(ISBLANK(Tabella3[[#This Row],[Italy remov. rate data]]))</f>
        <v>0</v>
      </c>
      <c r="P204" s="10">
        <f>Tabella3[[#This Row],[Italy remov. rate fit]]*NOT(ISBLANK(Tabella3[[#This Row],[Italy remov. rate data]]))</f>
        <v>0</v>
      </c>
      <c r="Q204" s="72"/>
      <c r="R204" s="72"/>
      <c r="S204" s="131"/>
      <c r="T204" s="10"/>
      <c r="U204" s="10">
        <f>Tabella3[[#This Row],[region data]]*NOT(ISBLANK(Tabella3[[#This Row],[region data]]))</f>
        <v>0</v>
      </c>
      <c r="V204"/>
      <c r="W204" s="72">
        <f>Tabella3[[#This Row],[6-days moving avg]]*NOT(ISBLANK(Tabella3[[#This Row],[6-days moving avg]]))</f>
        <v>0</v>
      </c>
      <c r="X204" s="77" t="e">
        <f>Tabella8[[#This Row],[region fit]]</f>
        <v>#VALUE!</v>
      </c>
      <c r="Y204" s="72" t="e">
        <f>Tabella3[[#This Row],[region cumul. fit]]/Kl</f>
        <v>#VALUE!</v>
      </c>
      <c r="Z204" s="72">
        <f>IFERROR(Kl*psi_l*_xlfn.SECH(psi_l*(Tabella3[[#This Row],[Day]]-pl)-phi_l)^2/(1+TANH(phi_l)),0)</f>
        <v>6.2699171120481791</v>
      </c>
      <c r="AA204" s="72">
        <f>Tabella3[[#This Row],[region fit]]/y_l_peak</f>
        <v>4.5500362879879172E-2</v>
      </c>
      <c r="AB204" s="10">
        <f>Tabella3[[#This Row],[region fit]]*NOT(ISBLANK(Tabella3[[#This Row],[region data]]))</f>
        <v>0</v>
      </c>
      <c r="AC204" s="166">
        <f>IFERROR(kl_m*psi_l_m*_xlfn.SECH(psi_l_m*(Tabella3[[#This Row],[Day]]-pl_m)-phi_l_m)^2/(1+TANH(phi_l_m)),0)</f>
        <v>6.2699171120481791</v>
      </c>
      <c r="AD204" s="72">
        <f>Tabella3[[#This Row],[6-days moving avg fit]]*NOT(ISBLANK(Tabella3[[#This Row],[6-days moving avg]]))</f>
        <v>0</v>
      </c>
      <c r="AE204" s="131"/>
      <c r="AF204" s="131"/>
      <c r="AG204" s="131"/>
      <c r="AH204" s="10"/>
      <c r="AI204" s="10">
        <f>Tabella3[[#This Row],[rest of Italy data]]*NOT(ISBLANK(Tabella3[[#This Row],[rest of Italy data]]))</f>
        <v>0</v>
      </c>
      <c r="AJ204" s="77" t="e">
        <f>Tabella8[[#This Row],[rest of Italy fit]]</f>
        <v>#VALUE!</v>
      </c>
      <c r="AK204" s="72" t="e">
        <f>Tabella3[[#This Row],[rest of Italy cumul. fit]]/Ka</f>
        <v>#VALUE!</v>
      </c>
      <c r="AL204" s="72">
        <f>IFERROR(Ka*psi_a*_xlfn.SECH(psi_a*(Tabella3[[#This Row],[Day]]-pa)-phi_a)^2/(1+TANH(phi_a)),0)</f>
        <v>263.01365011271929</v>
      </c>
      <c r="AM204" s="72">
        <f>Tabella3[[#This Row],[rest of Italy fit]]/y_a_peak</f>
        <v>9.1905252760368039E-2</v>
      </c>
      <c r="AN204" s="10">
        <f>Tabella3[[#This Row],[rest of Italy fit]]*NOT(ISBLANK(Tabella3[[#This Row],[rest of Italy data]]))</f>
        <v>0</v>
      </c>
      <c r="AO204" s="131"/>
      <c r="AP204" s="131"/>
    </row>
    <row r="205" spans="2:42" x14ac:dyDescent="0.3">
      <c r="B205" s="9">
        <v>44028</v>
      </c>
      <c r="C205" s="4">
        <v>198</v>
      </c>
      <c r="D205" s="131"/>
      <c r="E205" s="10"/>
      <c r="F205" s="10">
        <f>Tabella3[[#This Row],[Italy remov. rate data]]*NOT(ISBLANK(Tabella3[[#This Row],[Italy remov. rate data]]))</f>
        <v>0</v>
      </c>
      <c r="G205" s="77" t="e">
        <f>Tabella8[[#This Row],[Italy fit]]</f>
        <v>#VALUE!</v>
      </c>
      <c r="H205" s="77" t="e">
        <f>Tabella3[[#This Row],[Italy cumul. fit]]/Kf</f>
        <v>#VALUE!</v>
      </c>
      <c r="I205" s="77">
        <f>Tabella3[[#This Row],[region fit]]+Tabella3[[#This Row],[rest of Italy fit]]</f>
        <v>256.92818438892618</v>
      </c>
      <c r="J205" s="77">
        <f>Tabella3[[#This Row],[Italy (fit of selected region + fitted sum of the other regions)]]/(y_l_peak+y_a_peak)</f>
        <v>8.5654418583563124E-2</v>
      </c>
      <c r="K205" s="72">
        <f>IFERROR(Kf*psi_f*_xlfn.SECH(psi_f*(Tabella3[[#This Row],[Day]]-pf)-phi_f)^2/(1+TANH(phi_f)),0)</f>
        <v>255.03722063003667</v>
      </c>
      <c r="L205" s="292">
        <f>Tabella3[[#This Row],[Italy remov. rate fit]]-Tabella3[[#This Row],[Italy remov. rate data]]</f>
        <v>255.03722063003667</v>
      </c>
      <c r="M205" s="293">
        <f>Tabella3[[#This Row],[rem. rate residuals]]*NOT(ISBLANK(Tabella3[[#This Row],[Italy remov. rate data]]))</f>
        <v>0</v>
      </c>
      <c r="N205" s="72">
        <f>Tabella3[[#This Row],[Italy remov. rate fit]]/y_f_peak</f>
        <v>8.4972582825152354E-2</v>
      </c>
      <c r="O205" s="10">
        <f>Tabella3[[#This Row],[Italy (fit of selected region + fitted sum of the other regions)]]*NOT(ISBLANK(Tabella3[[#This Row],[Italy remov. rate data]]))</f>
        <v>0</v>
      </c>
      <c r="P205" s="10">
        <f>Tabella3[[#This Row],[Italy remov. rate fit]]*NOT(ISBLANK(Tabella3[[#This Row],[Italy remov. rate data]]))</f>
        <v>0</v>
      </c>
      <c r="Q205" s="72"/>
      <c r="R205" s="72"/>
      <c r="S205" s="131"/>
      <c r="T205" s="10"/>
      <c r="U205" s="10">
        <f>Tabella3[[#This Row],[region data]]*NOT(ISBLANK(Tabella3[[#This Row],[region data]]))</f>
        <v>0</v>
      </c>
      <c r="V205"/>
      <c r="W205" s="72">
        <f>Tabella3[[#This Row],[6-days moving avg]]*NOT(ISBLANK(Tabella3[[#This Row],[6-days moving avg]]))</f>
        <v>0</v>
      </c>
      <c r="X205" s="77" t="e">
        <f>Tabella8[[#This Row],[region fit]]</f>
        <v>#VALUE!</v>
      </c>
      <c r="Y205" s="72" t="e">
        <f>Tabella3[[#This Row],[region cumul. fit]]/Kl</f>
        <v>#VALUE!</v>
      </c>
      <c r="Z205" s="72">
        <f>IFERROR(Kl*psi_l*_xlfn.SECH(psi_l*(Tabella3[[#This Row],[Day]]-pl)-phi_l)^2/(1+TANH(phi_l)),0)</f>
        <v>5.9335198009784289</v>
      </c>
      <c r="AA205" s="72">
        <f>Tabella3[[#This Row],[region fit]]/y_l_peak</f>
        <v>4.3059150428110544E-2</v>
      </c>
      <c r="AB205" s="10">
        <f>Tabella3[[#This Row],[region fit]]*NOT(ISBLANK(Tabella3[[#This Row],[region data]]))</f>
        <v>0</v>
      </c>
      <c r="AC205" s="166">
        <f>IFERROR(kl_m*psi_l_m*_xlfn.SECH(psi_l_m*(Tabella3[[#This Row],[Day]]-pl_m)-phi_l_m)^2/(1+TANH(phi_l_m)),0)</f>
        <v>5.9335198009784289</v>
      </c>
      <c r="AD205" s="72">
        <f>Tabella3[[#This Row],[6-days moving avg fit]]*NOT(ISBLANK(Tabella3[[#This Row],[6-days moving avg]]))</f>
        <v>0</v>
      </c>
      <c r="AE205" s="131"/>
      <c r="AF205" s="131"/>
      <c r="AG205" s="131"/>
      <c r="AH205" s="10"/>
      <c r="AI205" s="10">
        <f>Tabella3[[#This Row],[rest of Italy data]]*NOT(ISBLANK(Tabella3[[#This Row],[rest of Italy data]]))</f>
        <v>0</v>
      </c>
      <c r="AJ205" s="77" t="e">
        <f>Tabella8[[#This Row],[rest of Italy fit]]</f>
        <v>#VALUE!</v>
      </c>
      <c r="AK205" s="72" t="e">
        <f>Tabella3[[#This Row],[rest of Italy cumul. fit]]/Ka</f>
        <v>#VALUE!</v>
      </c>
      <c r="AL205" s="72">
        <f>IFERROR(Ka*psi_a*_xlfn.SECH(psi_a*(Tabella3[[#This Row],[Day]]-pa)-phi_a)^2/(1+TANH(phi_a)),0)</f>
        <v>250.99466458794774</v>
      </c>
      <c r="AM205" s="72">
        <f>Tabella3[[#This Row],[rest of Italy fit]]/y_a_peak</f>
        <v>8.7705440689382616E-2</v>
      </c>
      <c r="AN205" s="10">
        <f>Tabella3[[#This Row],[rest of Italy fit]]*NOT(ISBLANK(Tabella3[[#This Row],[rest of Italy data]]))</f>
        <v>0</v>
      </c>
      <c r="AO205" s="131"/>
      <c r="AP205" s="131"/>
    </row>
    <row r="206" spans="2:42" x14ac:dyDescent="0.3">
      <c r="B206" s="9">
        <v>44029</v>
      </c>
      <c r="C206" s="4">
        <v>199</v>
      </c>
      <c r="D206" s="131"/>
      <c r="E206" s="10"/>
      <c r="F206" s="10">
        <f>Tabella3[[#This Row],[Italy remov. rate data]]*NOT(ISBLANK(Tabella3[[#This Row],[Italy remov. rate data]]))</f>
        <v>0</v>
      </c>
      <c r="G206" s="77" t="e">
        <f>Tabella8[[#This Row],[Italy fit]]</f>
        <v>#VALUE!</v>
      </c>
      <c r="H206" s="77" t="e">
        <f>Tabella3[[#This Row],[Italy cumul. fit]]/Kf</f>
        <v>#VALUE!</v>
      </c>
      <c r="I206" s="77">
        <f>Tabella3[[#This Row],[region fit]]+Tabella3[[#This Row],[rest of Italy fit]]</f>
        <v>245.11444867465906</v>
      </c>
      <c r="J206" s="77">
        <f>Tabella3[[#This Row],[Italy (fit of selected region + fitted sum of the other regions)]]/(y_l_peak+y_a_peak)</f>
        <v>8.1715969143646247E-2</v>
      </c>
      <c r="K206" s="72">
        <f>IFERROR(Kf*psi_f*_xlfn.SECH(psi_f*(Tabella3[[#This Row],[Day]]-pf)-phi_f)^2/(1+TANH(phi_f)),0)</f>
        <v>243.25513696397755</v>
      </c>
      <c r="L206" s="292">
        <f>Tabella3[[#This Row],[Italy remov. rate fit]]-Tabella3[[#This Row],[Italy remov. rate data]]</f>
        <v>243.25513696397755</v>
      </c>
      <c r="M206" s="293">
        <f>Tabella3[[#This Row],[rem. rate residuals]]*NOT(ISBLANK(Tabella3[[#This Row],[Italy remov. rate data]]))</f>
        <v>0</v>
      </c>
      <c r="N206" s="72">
        <f>Tabella3[[#This Row],[Italy remov. rate fit]]/y_f_peak</f>
        <v>8.1047061375013191E-2</v>
      </c>
      <c r="O206" s="10">
        <f>Tabella3[[#This Row],[Italy (fit of selected region + fitted sum of the other regions)]]*NOT(ISBLANK(Tabella3[[#This Row],[Italy remov. rate data]]))</f>
        <v>0</v>
      </c>
      <c r="P206" s="10">
        <f>Tabella3[[#This Row],[Italy remov. rate fit]]*NOT(ISBLANK(Tabella3[[#This Row],[Italy remov. rate data]]))</f>
        <v>0</v>
      </c>
      <c r="Q206" s="72"/>
      <c r="R206" s="72"/>
      <c r="S206" s="131"/>
      <c r="T206" s="10"/>
      <c r="U206" s="10">
        <f>Tabella3[[#This Row],[region data]]*NOT(ISBLANK(Tabella3[[#This Row],[region data]]))</f>
        <v>0</v>
      </c>
      <c r="V206"/>
      <c r="W206" s="72">
        <f>Tabella3[[#This Row],[6-days moving avg]]*NOT(ISBLANK(Tabella3[[#This Row],[6-days moving avg]]))</f>
        <v>0</v>
      </c>
      <c r="X206" s="77" t="e">
        <f>Tabella8[[#This Row],[region fit]]</f>
        <v>#VALUE!</v>
      </c>
      <c r="Y206" s="72" t="e">
        <f>Tabella3[[#This Row],[region cumul. fit]]/Kl</f>
        <v>#VALUE!</v>
      </c>
      <c r="Z206" s="72">
        <f>IFERROR(Kl*psi_l*_xlfn.SECH(psi_l*(Tabella3[[#This Row],[Day]]-pl)-phi_l)^2/(1+TANH(phi_l)),0)</f>
        <v>5.6147863299392062</v>
      </c>
      <c r="AA206" s="72">
        <f>Tabella3[[#This Row],[region fit]]/y_l_peak</f>
        <v>4.0746123264421195E-2</v>
      </c>
      <c r="AB206" s="10">
        <f>Tabella3[[#This Row],[region fit]]*NOT(ISBLANK(Tabella3[[#This Row],[region data]]))</f>
        <v>0</v>
      </c>
      <c r="AC206" s="166">
        <f>IFERROR(kl_m*psi_l_m*_xlfn.SECH(psi_l_m*(Tabella3[[#This Row],[Day]]-pl_m)-phi_l_m)^2/(1+TANH(phi_l_m)),0)</f>
        <v>5.6147863299392062</v>
      </c>
      <c r="AD206" s="72">
        <f>Tabella3[[#This Row],[6-days moving avg fit]]*NOT(ISBLANK(Tabella3[[#This Row],[6-days moving avg]]))</f>
        <v>0</v>
      </c>
      <c r="AE206" s="131"/>
      <c r="AF206" s="131"/>
      <c r="AG206" s="131"/>
      <c r="AH206" s="10"/>
      <c r="AI206" s="10">
        <f>Tabella3[[#This Row],[rest of Italy data]]*NOT(ISBLANK(Tabella3[[#This Row],[rest of Italy data]]))</f>
        <v>0</v>
      </c>
      <c r="AJ206" s="77" t="e">
        <f>Tabella8[[#This Row],[rest of Italy fit]]</f>
        <v>#VALUE!</v>
      </c>
      <c r="AK206" s="72" t="e">
        <f>Tabella3[[#This Row],[rest of Italy cumul. fit]]/Ka</f>
        <v>#VALUE!</v>
      </c>
      <c r="AL206" s="72">
        <f>IFERROR(Ka*psi_a*_xlfn.SECH(psi_a*(Tabella3[[#This Row],[Day]]-pa)-phi_a)^2/(1+TANH(phi_a)),0)</f>
        <v>239.49966234471987</v>
      </c>
      <c r="AM206" s="72">
        <f>Tabella3[[#This Row],[rest of Italy fit]]/y_a_peak</f>
        <v>8.3688724879415741E-2</v>
      </c>
      <c r="AN206" s="10">
        <f>Tabella3[[#This Row],[rest of Italy fit]]*NOT(ISBLANK(Tabella3[[#This Row],[rest of Italy data]]))</f>
        <v>0</v>
      </c>
      <c r="AO206" s="131"/>
      <c r="AP206" s="131"/>
    </row>
    <row r="207" spans="2:42" x14ac:dyDescent="0.3">
      <c r="B207" s="9">
        <v>44030</v>
      </c>
      <c r="C207" s="4">
        <v>200</v>
      </c>
      <c r="D207" s="131"/>
      <c r="E207" s="10"/>
      <c r="F207" s="10">
        <f>Tabella3[[#This Row],[Italy remov. rate data]]*NOT(ISBLANK(Tabella3[[#This Row],[Italy remov. rate data]]))</f>
        <v>0</v>
      </c>
      <c r="G207" s="77" t="e">
        <f>Tabella8[[#This Row],[Italy fit]]</f>
        <v>#VALUE!</v>
      </c>
      <c r="H207" s="77" t="e">
        <f>Tabella3[[#This Row],[Italy cumul. fit]]/Kf</f>
        <v>#VALUE!</v>
      </c>
      <c r="I207" s="77">
        <f>Tabella3[[#This Row],[region fit]]+Tabella3[[#This Row],[rest of Italy fit]]</f>
        <v>233.82094736838499</v>
      </c>
      <c r="J207" s="77">
        <f>Tabella3[[#This Row],[Italy (fit of selected region + fitted sum of the other regions)]]/(y_l_peak+y_a_peak)</f>
        <v>7.7950954844174525E-2</v>
      </c>
      <c r="K207" s="72">
        <f>IFERROR(Kf*psi_f*_xlfn.SECH(psi_f*(Tabella3[[#This Row],[Day]]-pf)-phi_f)^2/(1+TANH(phi_f)),0)</f>
        <v>231.9944153102509</v>
      </c>
      <c r="L207" s="292">
        <f>Tabella3[[#This Row],[Italy remov. rate fit]]-Tabella3[[#This Row],[Italy remov. rate data]]</f>
        <v>231.9944153102509</v>
      </c>
      <c r="M207" s="293">
        <f>Tabella3[[#This Row],[rem. rate residuals]]*NOT(ISBLANK(Tabella3[[#This Row],[Italy remov. rate data]]))</f>
        <v>0</v>
      </c>
      <c r="N207" s="72">
        <f>Tabella3[[#This Row],[Italy remov. rate fit]]/y_f_peak</f>
        <v>7.7295245851661379E-2</v>
      </c>
      <c r="O207" s="10">
        <f>Tabella3[[#This Row],[Italy (fit of selected region + fitted sum of the other regions)]]*NOT(ISBLANK(Tabella3[[#This Row],[Italy remov. rate data]]))</f>
        <v>0</v>
      </c>
      <c r="P207" s="10">
        <f>Tabella3[[#This Row],[Italy remov. rate fit]]*NOT(ISBLANK(Tabella3[[#This Row],[Italy remov. rate data]]))</f>
        <v>0</v>
      </c>
      <c r="Q207" s="72"/>
      <c r="R207" s="72"/>
      <c r="S207" s="131"/>
      <c r="T207" s="10"/>
      <c r="U207" s="10">
        <f>Tabella3[[#This Row],[region data]]*NOT(ISBLANK(Tabella3[[#This Row],[region data]]))</f>
        <v>0</v>
      </c>
      <c r="V207"/>
      <c r="W207" s="72">
        <f>Tabella3[[#This Row],[6-days moving avg]]*NOT(ISBLANK(Tabella3[[#This Row],[6-days moving avg]]))</f>
        <v>0</v>
      </c>
      <c r="X207" s="77" t="e">
        <f>Tabella8[[#This Row],[region fit]]</f>
        <v>#VALUE!</v>
      </c>
      <c r="Y207" s="72" t="e">
        <f>Tabella3[[#This Row],[region cumul. fit]]/Kl</f>
        <v>#VALUE!</v>
      </c>
      <c r="Z207" s="72">
        <f>IFERROR(Kl*psi_l*_xlfn.SECH(psi_l*(Tabella3[[#This Row],[Day]]-pl)-phi_l)^2/(1+TANH(phi_l)),0)</f>
        <v>5.3128299035783479</v>
      </c>
      <c r="AA207" s="72">
        <f>Tabella3[[#This Row],[region fit]]/y_l_peak</f>
        <v>3.8554845975136198E-2</v>
      </c>
      <c r="AB207" s="10">
        <f>Tabella3[[#This Row],[region fit]]*NOT(ISBLANK(Tabella3[[#This Row],[region data]]))</f>
        <v>0</v>
      </c>
      <c r="AC207" s="166">
        <f>IFERROR(kl_m*psi_l_m*_xlfn.SECH(psi_l_m*(Tabella3[[#This Row],[Day]]-pl_m)-phi_l_m)^2/(1+TANH(phi_l_m)),0)</f>
        <v>5.3128299035783479</v>
      </c>
      <c r="AD207" s="72">
        <f>Tabella3[[#This Row],[6-days moving avg fit]]*NOT(ISBLANK(Tabella3[[#This Row],[6-days moving avg]]))</f>
        <v>0</v>
      </c>
      <c r="AE207" s="131"/>
      <c r="AF207" s="131"/>
      <c r="AG207" s="131"/>
      <c r="AH207" s="10"/>
      <c r="AI207" s="10">
        <f>Tabella3[[#This Row],[rest of Italy data]]*NOT(ISBLANK(Tabella3[[#This Row],[rest of Italy data]]))</f>
        <v>0</v>
      </c>
      <c r="AJ207" s="77" t="e">
        <f>Tabella8[[#This Row],[rest of Italy fit]]</f>
        <v>#VALUE!</v>
      </c>
      <c r="AK207" s="72" t="e">
        <f>Tabella3[[#This Row],[rest of Italy cumul. fit]]/Ka</f>
        <v>#VALUE!</v>
      </c>
      <c r="AL207" s="72">
        <f>IFERROR(Ka*psi_a*_xlfn.SECH(psi_a*(Tabella3[[#This Row],[Day]]-pa)-phi_a)^2/(1+TANH(phi_a)),0)</f>
        <v>228.50811746480665</v>
      </c>
      <c r="AM207" s="72">
        <f>Tabella3[[#This Row],[rest of Italy fit]]/y_a_peak</f>
        <v>7.9847932928190313E-2</v>
      </c>
      <c r="AN207" s="10">
        <f>Tabella3[[#This Row],[rest of Italy fit]]*NOT(ISBLANK(Tabella3[[#This Row],[rest of Italy data]]))</f>
        <v>0</v>
      </c>
      <c r="AO207" s="131"/>
      <c r="AP207" s="131"/>
    </row>
    <row r="208" spans="2:42" x14ac:dyDescent="0.3">
      <c r="B208" s="9">
        <v>44031</v>
      </c>
      <c r="C208" s="4">
        <v>201</v>
      </c>
      <c r="D208" s="131"/>
      <c r="E208" s="10"/>
      <c r="F208" s="10">
        <f>Tabella3[[#This Row],[Italy remov. rate data]]*NOT(ISBLANK(Tabella3[[#This Row],[Italy remov. rate data]]))</f>
        <v>0</v>
      </c>
      <c r="G208" s="77" t="e">
        <f>Tabella8[[#This Row],[Italy fit]]</f>
        <v>#VALUE!</v>
      </c>
      <c r="H208" s="77" t="e">
        <f>Tabella3[[#This Row],[Italy cumul. fit]]/Kf</f>
        <v>#VALUE!</v>
      </c>
      <c r="I208" s="77">
        <f>Tabella3[[#This Row],[region fit]]+Tabella3[[#This Row],[rest of Italy fit]]</f>
        <v>223.02689530294828</v>
      </c>
      <c r="J208" s="77">
        <f>Tabella3[[#This Row],[Italy (fit of selected region + fitted sum of the other regions)]]/(y_l_peak+y_a_peak)</f>
        <v>7.4352446350353013E-2</v>
      </c>
      <c r="K208" s="72">
        <f>IFERROR(Kf*psi_f*_xlfn.SECH(psi_f*(Tabella3[[#This Row],[Day]]-pf)-phi_f)^2/(1+TANH(phi_f)),0)</f>
        <v>221.23410879882871</v>
      </c>
      <c r="L208" s="292">
        <f>Tabella3[[#This Row],[Italy remov. rate fit]]-Tabella3[[#This Row],[Italy remov. rate data]]</f>
        <v>221.23410879882871</v>
      </c>
      <c r="M208" s="293">
        <f>Tabella3[[#This Row],[rem. rate residuals]]*NOT(ISBLANK(Tabella3[[#This Row],[Italy remov. rate data]]))</f>
        <v>0</v>
      </c>
      <c r="N208" s="72">
        <f>Tabella3[[#This Row],[Italy remov. rate fit]]/y_f_peak</f>
        <v>7.371015723594046E-2</v>
      </c>
      <c r="O208" s="10">
        <f>Tabella3[[#This Row],[Italy (fit of selected region + fitted sum of the other regions)]]*NOT(ISBLANK(Tabella3[[#This Row],[Italy remov. rate data]]))</f>
        <v>0</v>
      </c>
      <c r="P208" s="10">
        <f>Tabella3[[#This Row],[Italy remov. rate fit]]*NOT(ISBLANK(Tabella3[[#This Row],[Italy remov. rate data]]))</f>
        <v>0</v>
      </c>
      <c r="Q208" s="72"/>
      <c r="R208" s="72"/>
      <c r="S208" s="131"/>
      <c r="T208" s="10"/>
      <c r="U208" s="10">
        <f>Tabella3[[#This Row],[region data]]*NOT(ISBLANK(Tabella3[[#This Row],[region data]]))</f>
        <v>0</v>
      </c>
      <c r="V208"/>
      <c r="W208" s="72">
        <f>Tabella3[[#This Row],[6-days moving avg]]*NOT(ISBLANK(Tabella3[[#This Row],[6-days moving avg]]))</f>
        <v>0</v>
      </c>
      <c r="X208" s="77" t="e">
        <f>Tabella8[[#This Row],[region fit]]</f>
        <v>#VALUE!</v>
      </c>
      <c r="Y208" s="72" t="e">
        <f>Tabella3[[#This Row],[region cumul. fit]]/Kl</f>
        <v>#VALUE!</v>
      </c>
      <c r="Z208" s="72">
        <f>IFERROR(Kl*psi_l*_xlfn.SECH(psi_l*(Tabella3[[#This Row],[Day]]-pl)-phi_l)^2/(1+TANH(phi_l)),0)</f>
        <v>5.0268039053267994</v>
      </c>
      <c r="AA208" s="72">
        <f>Tabella3[[#This Row],[region fit]]/y_l_peak</f>
        <v>3.6479174721282287E-2</v>
      </c>
      <c r="AB208" s="10">
        <f>Tabella3[[#This Row],[region fit]]*NOT(ISBLANK(Tabella3[[#This Row],[region data]]))</f>
        <v>0</v>
      </c>
      <c r="AC208" s="166">
        <f>IFERROR(kl_m*psi_l_m*_xlfn.SECH(psi_l_m*(Tabella3[[#This Row],[Day]]-pl_m)-phi_l_m)^2/(1+TANH(phi_l_m)),0)</f>
        <v>5.0268039053267994</v>
      </c>
      <c r="AD208" s="72">
        <f>Tabella3[[#This Row],[6-days moving avg fit]]*NOT(ISBLANK(Tabella3[[#This Row],[6-days moving avg]]))</f>
        <v>0</v>
      </c>
      <c r="AE208" s="131"/>
      <c r="AF208" s="131"/>
      <c r="AG208" s="131"/>
      <c r="AH208" s="10"/>
      <c r="AI208" s="10">
        <f>Tabella3[[#This Row],[rest of Italy data]]*NOT(ISBLANK(Tabella3[[#This Row],[rest of Italy data]]))</f>
        <v>0</v>
      </c>
      <c r="AJ208" s="77" t="e">
        <f>Tabella8[[#This Row],[rest of Italy fit]]</f>
        <v>#VALUE!</v>
      </c>
      <c r="AK208" s="72" t="e">
        <f>Tabella3[[#This Row],[rest of Italy cumul. fit]]/Ka</f>
        <v>#VALUE!</v>
      </c>
      <c r="AL208" s="72">
        <f>IFERROR(Ka*psi_a*_xlfn.SECH(psi_a*(Tabella3[[#This Row],[Day]]-pa)-phi_a)^2/(1+TANH(phi_a)),0)</f>
        <v>218.00009139762147</v>
      </c>
      <c r="AM208" s="72">
        <f>Tabella3[[#This Row],[rest of Italy fit]]/y_a_peak</f>
        <v>7.6176097678182175E-2</v>
      </c>
      <c r="AN208" s="10">
        <f>Tabella3[[#This Row],[rest of Italy fit]]*NOT(ISBLANK(Tabella3[[#This Row],[rest of Italy data]]))</f>
        <v>0</v>
      </c>
      <c r="AO208" s="131"/>
      <c r="AP208" s="131"/>
    </row>
    <row r="209" spans="2:42" x14ac:dyDescent="0.3">
      <c r="B209" s="9">
        <v>44032</v>
      </c>
      <c r="C209" s="4">
        <v>202</v>
      </c>
      <c r="D209" s="131"/>
      <c r="E209" s="10"/>
      <c r="F209" s="10">
        <f>Tabella3[[#This Row],[Italy remov. rate data]]*NOT(ISBLANK(Tabella3[[#This Row],[Italy remov. rate data]]))</f>
        <v>0</v>
      </c>
      <c r="G209" s="77" t="e">
        <f>Tabella8[[#This Row],[Italy fit]]</f>
        <v>#VALUE!</v>
      </c>
      <c r="H209" s="77" t="e">
        <f>Tabella3[[#This Row],[Italy cumul. fit]]/Kf</f>
        <v>#VALUE!</v>
      </c>
      <c r="I209" s="77">
        <f>Tabella3[[#This Row],[region fit]]+Tabella3[[#This Row],[rest of Italy fit]]</f>
        <v>212.71213839884012</v>
      </c>
      <c r="J209" s="77">
        <f>Tabella3[[#This Row],[Italy (fit of selected region + fitted sum of the other regions)]]/(y_l_peak+y_a_peak)</f>
        <v>7.0913724718650789E-2</v>
      </c>
      <c r="K209" s="72">
        <f>IFERROR(Kf*psi_f*_xlfn.SECH(psi_f*(Tabella3[[#This Row],[Day]]-pf)-phi_f)^2/(1+TANH(phi_f)),0)</f>
        <v>210.95391228706976</v>
      </c>
      <c r="L209" s="292">
        <f>Tabella3[[#This Row],[Italy remov. rate fit]]-Tabella3[[#This Row],[Italy remov. rate data]]</f>
        <v>210.95391228706976</v>
      </c>
      <c r="M209" s="293">
        <f>Tabella3[[#This Row],[rem. rate residuals]]*NOT(ISBLANK(Tabella3[[#This Row],[Italy remov. rate data]]))</f>
        <v>0</v>
      </c>
      <c r="N209" s="72">
        <f>Tabella3[[#This Row],[Italy remov. rate fit]]/y_f_peak</f>
        <v>7.0285030317617223E-2</v>
      </c>
      <c r="O209" s="10">
        <f>Tabella3[[#This Row],[Italy (fit of selected region + fitted sum of the other regions)]]*NOT(ISBLANK(Tabella3[[#This Row],[Italy remov. rate data]]))</f>
        <v>0</v>
      </c>
      <c r="P209" s="10">
        <f>Tabella3[[#This Row],[Italy remov. rate fit]]*NOT(ISBLANK(Tabella3[[#This Row],[Italy remov. rate data]]))</f>
        <v>0</v>
      </c>
      <c r="Q209" s="72"/>
      <c r="R209" s="72"/>
      <c r="S209" s="131"/>
      <c r="T209" s="10"/>
      <c r="U209" s="10">
        <f>Tabella3[[#This Row],[region data]]*NOT(ISBLANK(Tabella3[[#This Row],[region data]]))</f>
        <v>0</v>
      </c>
      <c r="V209"/>
      <c r="W209" s="72">
        <f>Tabella3[[#This Row],[6-days moving avg]]*NOT(ISBLANK(Tabella3[[#This Row],[6-days moving avg]]))</f>
        <v>0</v>
      </c>
      <c r="X209" s="77" t="e">
        <f>Tabella8[[#This Row],[region fit]]</f>
        <v>#VALUE!</v>
      </c>
      <c r="Y209" s="72" t="e">
        <f>Tabella3[[#This Row],[region cumul. fit]]/Kl</f>
        <v>#VALUE!</v>
      </c>
      <c r="Z209" s="72">
        <f>IFERROR(Kl*psi_l*_xlfn.SECH(psi_l*(Tabella3[[#This Row],[Day]]-pl)-phi_l)^2/(1+TANH(phi_l)),0)</f>
        <v>4.7559005520070867</v>
      </c>
      <c r="AA209" s="72">
        <f>Tabella3[[#This Row],[region fit]]/y_l_peak</f>
        <v>3.4513247475172891E-2</v>
      </c>
      <c r="AB209" s="10">
        <f>Tabella3[[#This Row],[region fit]]*NOT(ISBLANK(Tabella3[[#This Row],[region data]]))</f>
        <v>0</v>
      </c>
      <c r="AC209" s="166">
        <f>IFERROR(kl_m*psi_l_m*_xlfn.SECH(psi_l_m*(Tabella3[[#This Row],[Day]]-pl_m)-phi_l_m)^2/(1+TANH(phi_l_m)),0)</f>
        <v>4.7559005520070867</v>
      </c>
      <c r="AD209" s="72">
        <f>Tabella3[[#This Row],[6-days moving avg fit]]*NOT(ISBLANK(Tabella3[[#This Row],[6-days moving avg]]))</f>
        <v>0</v>
      </c>
      <c r="AE209" s="131"/>
      <c r="AF209" s="131"/>
      <c r="AG209" s="131"/>
      <c r="AH209" s="10"/>
      <c r="AI209" s="10">
        <f>Tabella3[[#This Row],[rest of Italy data]]*NOT(ISBLANK(Tabella3[[#This Row],[rest of Italy data]]))</f>
        <v>0</v>
      </c>
      <c r="AJ209" s="77" t="e">
        <f>Tabella8[[#This Row],[rest of Italy fit]]</f>
        <v>#VALUE!</v>
      </c>
      <c r="AK209" s="72" t="e">
        <f>Tabella3[[#This Row],[rest of Italy cumul. fit]]/Ka</f>
        <v>#VALUE!</v>
      </c>
      <c r="AL209" s="72">
        <f>IFERROR(Ka*psi_a*_xlfn.SECH(psi_a*(Tabella3[[#This Row],[Day]]-pa)-phi_a)^2/(1+TANH(phi_a)),0)</f>
        <v>207.95623784683303</v>
      </c>
      <c r="AM209" s="72">
        <f>Tabella3[[#This Row],[rest of Italy fit]]/y_a_peak</f>
        <v>7.266645892415656E-2</v>
      </c>
      <c r="AN209" s="10">
        <f>Tabella3[[#This Row],[rest of Italy fit]]*NOT(ISBLANK(Tabella3[[#This Row],[rest of Italy data]]))</f>
        <v>0</v>
      </c>
      <c r="AO209" s="131"/>
      <c r="AP209" s="131"/>
    </row>
    <row r="210" spans="2:42" x14ac:dyDescent="0.3">
      <c r="B210" s="9">
        <v>44033</v>
      </c>
      <c r="C210" s="4">
        <v>203</v>
      </c>
      <c r="D210" s="131"/>
      <c r="E210" s="10"/>
      <c r="F210" s="10">
        <f>Tabella3[[#This Row],[Italy remov. rate data]]*NOT(ISBLANK(Tabella3[[#This Row],[Italy remov. rate data]]))</f>
        <v>0</v>
      </c>
      <c r="G210" s="77" t="e">
        <f>Tabella8[[#This Row],[Italy fit]]</f>
        <v>#VALUE!</v>
      </c>
      <c r="H210" s="77" t="e">
        <f>Tabella3[[#This Row],[Italy cumul. fit]]/Kf</f>
        <v>#VALUE!</v>
      </c>
      <c r="I210" s="77">
        <f>Tabella3[[#This Row],[region fit]]+Tabella3[[#This Row],[rest of Italy fit]]</f>
        <v>202.85715437692011</v>
      </c>
      <c r="J210" s="77">
        <f>Tabella3[[#This Row],[Italy (fit of selected region + fitted sum of the other regions)]]/(y_l_peak+y_a_peak)</f>
        <v>6.7628281634407192E-2</v>
      </c>
      <c r="K210" s="72">
        <f>IFERROR(Kf*psi_f*_xlfn.SECH(psi_f*(Tabella3[[#This Row],[Day]]-pf)-phi_f)^2/(1+TANH(phi_f)),0)</f>
        <v>201.1341626866124</v>
      </c>
      <c r="L210" s="292">
        <f>Tabella3[[#This Row],[Italy remov. rate fit]]-Tabella3[[#This Row],[Italy remov. rate data]]</f>
        <v>201.1341626866124</v>
      </c>
      <c r="M210" s="293">
        <f>Tabella3[[#This Row],[rem. rate residuals]]*NOT(ISBLANK(Tabella3[[#This Row],[Italy remov. rate data]]))</f>
        <v>0</v>
      </c>
      <c r="N210" s="72">
        <f>Tabella3[[#This Row],[Italy remov. rate fit]]/y_f_peak</f>
        <v>6.7013313804294899E-2</v>
      </c>
      <c r="O210" s="10">
        <f>Tabella3[[#This Row],[Italy (fit of selected region + fitted sum of the other regions)]]*NOT(ISBLANK(Tabella3[[#This Row],[Italy remov. rate data]]))</f>
        <v>0</v>
      </c>
      <c r="P210" s="10">
        <f>Tabella3[[#This Row],[Italy remov. rate fit]]*NOT(ISBLANK(Tabella3[[#This Row],[Italy remov. rate data]]))</f>
        <v>0</v>
      </c>
      <c r="Q210" s="72"/>
      <c r="R210" s="72"/>
      <c r="S210" s="131"/>
      <c r="T210" s="10"/>
      <c r="U210" s="10">
        <f>Tabella3[[#This Row],[region data]]*NOT(ISBLANK(Tabella3[[#This Row],[region data]]))</f>
        <v>0</v>
      </c>
      <c r="V210"/>
      <c r="W210" s="72">
        <f>Tabella3[[#This Row],[6-days moving avg]]*NOT(ISBLANK(Tabella3[[#This Row],[6-days moving avg]]))</f>
        <v>0</v>
      </c>
      <c r="X210" s="77" t="e">
        <f>Tabella8[[#This Row],[region fit]]</f>
        <v>#VALUE!</v>
      </c>
      <c r="Y210" s="72" t="e">
        <f>Tabella3[[#This Row],[region cumul. fit]]/Kl</f>
        <v>#VALUE!</v>
      </c>
      <c r="Z210" s="72">
        <f>IFERROR(Kl*psi_l*_xlfn.SECH(psi_l*(Tabella3[[#This Row],[Day]]-pl)-phi_l)^2/(1+TANH(phi_l)),0)</f>
        <v>4.4993495373462773</v>
      </c>
      <c r="AA210" s="72">
        <f>Tabella3[[#This Row],[region fit]]/y_l_peak</f>
        <v>3.2651474176473766E-2</v>
      </c>
      <c r="AB210" s="10">
        <f>Tabella3[[#This Row],[region fit]]*NOT(ISBLANK(Tabella3[[#This Row],[region data]]))</f>
        <v>0</v>
      </c>
      <c r="AC210" s="166">
        <f>IFERROR(kl_m*psi_l_m*_xlfn.SECH(psi_l_m*(Tabella3[[#This Row],[Day]]-pl_m)-phi_l_m)^2/(1+TANH(phi_l_m)),0)</f>
        <v>4.4993495373462773</v>
      </c>
      <c r="AD210" s="72">
        <f>Tabella3[[#This Row],[6-days moving avg fit]]*NOT(ISBLANK(Tabella3[[#This Row],[6-days moving avg]]))</f>
        <v>0</v>
      </c>
      <c r="AE210" s="131"/>
      <c r="AF210" s="131"/>
      <c r="AG210" s="131"/>
      <c r="AH210" s="10"/>
      <c r="AI210" s="10">
        <f>Tabella3[[#This Row],[rest of Italy data]]*NOT(ISBLANK(Tabella3[[#This Row],[rest of Italy data]]))</f>
        <v>0</v>
      </c>
      <c r="AJ210" s="77" t="e">
        <f>Tabella8[[#This Row],[rest of Italy fit]]</f>
        <v>#VALUE!</v>
      </c>
      <c r="AK210" s="72" t="e">
        <f>Tabella3[[#This Row],[rest of Italy cumul. fit]]/Ka</f>
        <v>#VALUE!</v>
      </c>
      <c r="AL210" s="72">
        <f>IFERROR(Ka*psi_a*_xlfn.SECH(psi_a*(Tabella3[[#This Row],[Day]]-pa)-phi_a)^2/(1+TANH(phi_a)),0)</f>
        <v>198.35780483957382</v>
      </c>
      <c r="AM210" s="72">
        <f>Tabella3[[#This Row],[rest of Italy fit]]/y_a_peak</f>
        <v>6.9312464136214738E-2</v>
      </c>
      <c r="AN210" s="10">
        <f>Tabella3[[#This Row],[rest of Italy fit]]*NOT(ISBLANK(Tabella3[[#This Row],[rest of Italy data]]))</f>
        <v>0</v>
      </c>
      <c r="AO210" s="131"/>
      <c r="AP210" s="131"/>
    </row>
    <row r="211" spans="2:42" x14ac:dyDescent="0.3">
      <c r="B211" s="9">
        <v>44034</v>
      </c>
      <c r="C211" s="4">
        <v>204</v>
      </c>
      <c r="D211" s="131"/>
      <c r="E211" s="10"/>
      <c r="F211" s="10">
        <f>Tabella3[[#This Row],[Italy remov. rate data]]*NOT(ISBLANK(Tabella3[[#This Row],[Italy remov. rate data]]))</f>
        <v>0</v>
      </c>
      <c r="G211" s="77" t="e">
        <f>Tabella8[[#This Row],[Italy fit]]</f>
        <v>#VALUE!</v>
      </c>
      <c r="H211" s="77" t="e">
        <f>Tabella3[[#This Row],[Italy cumul. fit]]/Kf</f>
        <v>#VALUE!</v>
      </c>
      <c r="I211" s="77">
        <f>Tabella3[[#This Row],[region fit]]+Tabella3[[#This Row],[rest of Italy fit]]</f>
        <v>193.44305096486966</v>
      </c>
      <c r="J211" s="77">
        <f>Tabella3[[#This Row],[Italy (fit of selected region + fitted sum of the other regions)]]/(y_l_peak+y_a_peak)</f>
        <v>6.4489818813901326E-2</v>
      </c>
      <c r="K211" s="72">
        <f>IFERROR(Kf*psi_f*_xlfn.SECH(psi_f*(Tabella3[[#This Row],[Day]]-pf)-phi_f)^2/(1+TANH(phi_f)),0)</f>
        <v>191.75583676871486</v>
      </c>
      <c r="L211" s="292">
        <f>Tabella3[[#This Row],[Italy remov. rate fit]]-Tabella3[[#This Row],[Italy remov. rate data]]</f>
        <v>191.75583676871486</v>
      </c>
      <c r="M211" s="293">
        <f>Tabella3[[#This Row],[rem. rate residuals]]*NOT(ISBLANK(Tabella3[[#This Row],[Italy remov. rate data]]))</f>
        <v>0</v>
      </c>
      <c r="N211" s="72">
        <f>Tabella3[[#This Row],[Italy remov. rate fit]]/y_f_peak</f>
        <v>6.3888669590202618E-2</v>
      </c>
      <c r="O211" s="10">
        <f>Tabella3[[#This Row],[Italy (fit of selected region + fitted sum of the other regions)]]*NOT(ISBLANK(Tabella3[[#This Row],[Italy remov. rate data]]))</f>
        <v>0</v>
      </c>
      <c r="P211" s="10">
        <f>Tabella3[[#This Row],[Italy remov. rate fit]]*NOT(ISBLANK(Tabella3[[#This Row],[Italy remov. rate data]]))</f>
        <v>0</v>
      </c>
      <c r="Q211" s="72"/>
      <c r="R211" s="72"/>
      <c r="S211" s="131"/>
      <c r="T211" s="10"/>
      <c r="U211" s="10">
        <f>Tabella3[[#This Row],[region data]]*NOT(ISBLANK(Tabella3[[#This Row],[region data]]))</f>
        <v>0</v>
      </c>
      <c r="V211"/>
      <c r="W211" s="72">
        <f>Tabella3[[#This Row],[6-days moving avg]]*NOT(ISBLANK(Tabella3[[#This Row],[6-days moving avg]]))</f>
        <v>0</v>
      </c>
      <c r="X211" s="77" t="e">
        <f>Tabella8[[#This Row],[region fit]]</f>
        <v>#VALUE!</v>
      </c>
      <c r="Y211" s="72" t="e">
        <f>Tabella3[[#This Row],[region cumul. fit]]/Kl</f>
        <v>#VALUE!</v>
      </c>
      <c r="Z211" s="72">
        <f>IFERROR(Kl*psi_l*_xlfn.SECH(psi_l*(Tabella3[[#This Row],[Day]]-pl)-phi_l)^2/(1+TANH(phi_l)),0)</f>
        <v>4.2564166730567949</v>
      </c>
      <c r="AA211" s="72">
        <f>Tabella3[[#This Row],[region fit]]/y_l_peak</f>
        <v>3.0888526870618702E-2</v>
      </c>
      <c r="AB211" s="10">
        <f>Tabella3[[#This Row],[region fit]]*NOT(ISBLANK(Tabella3[[#This Row],[region data]]))</f>
        <v>0</v>
      </c>
      <c r="AC211" s="166">
        <f>IFERROR(kl_m*psi_l_m*_xlfn.SECH(psi_l_m*(Tabella3[[#This Row],[Day]]-pl_m)-phi_l_m)^2/(1+TANH(phi_l_m)),0)</f>
        <v>4.2564166730567949</v>
      </c>
      <c r="AD211" s="72">
        <f>Tabella3[[#This Row],[6-days moving avg fit]]*NOT(ISBLANK(Tabella3[[#This Row],[6-days moving avg]]))</f>
        <v>0</v>
      </c>
      <c r="AE211" s="131"/>
      <c r="AF211" s="131"/>
      <c r="AG211" s="131"/>
      <c r="AH211" s="10"/>
      <c r="AI211" s="10">
        <f>Tabella3[[#This Row],[rest of Italy data]]*NOT(ISBLANK(Tabella3[[#This Row],[rest of Italy data]]))</f>
        <v>0</v>
      </c>
      <c r="AJ211" s="77" t="e">
        <f>Tabella8[[#This Row],[rest of Italy fit]]</f>
        <v>#VALUE!</v>
      </c>
      <c r="AK211" s="72" t="e">
        <f>Tabella3[[#This Row],[rest of Italy cumul. fit]]/Ka</f>
        <v>#VALUE!</v>
      </c>
      <c r="AL211" s="72">
        <f>IFERROR(Ka*psi_a*_xlfn.SECH(psi_a*(Tabella3[[#This Row],[Day]]-pa)-phi_a)^2/(1+TANH(phi_a)),0)</f>
        <v>189.18663429181285</v>
      </c>
      <c r="AM211" s="72">
        <f>Tabella3[[#This Row],[rest of Italy fit]]/y_a_peak</f>
        <v>6.6107768307921477E-2</v>
      </c>
      <c r="AN211" s="10">
        <f>Tabella3[[#This Row],[rest of Italy fit]]*NOT(ISBLANK(Tabella3[[#This Row],[rest of Italy data]]))</f>
        <v>0</v>
      </c>
      <c r="AO211" s="131"/>
      <c r="AP211" s="131"/>
    </row>
    <row r="212" spans="2:42" x14ac:dyDescent="0.3">
      <c r="B212" s="9">
        <v>44035</v>
      </c>
      <c r="C212" s="4">
        <v>205</v>
      </c>
      <c r="D212" s="131"/>
      <c r="E212" s="10"/>
      <c r="F212" s="10">
        <f>Tabella3[[#This Row],[Italy remov. rate data]]*NOT(ISBLANK(Tabella3[[#This Row],[Italy remov. rate data]]))</f>
        <v>0</v>
      </c>
      <c r="G212" s="77" t="e">
        <f>Tabella8[[#This Row],[Italy fit]]</f>
        <v>#VALUE!</v>
      </c>
      <c r="H212" s="77" t="e">
        <f>Tabella3[[#This Row],[Italy cumul. fit]]/Kf</f>
        <v>#VALUE!</v>
      </c>
      <c r="I212" s="77">
        <f>Tabella3[[#This Row],[region fit]]+Tabella3[[#This Row],[rest of Italy fit]]</f>
        <v>184.45156189434067</v>
      </c>
      <c r="J212" s="77">
        <f>Tabella3[[#This Row],[Italy (fit of selected region + fitted sum of the other regions)]]/(y_l_peak+y_a_peak)</f>
        <v>6.1492246669886216E-2</v>
      </c>
      <c r="K212" s="72">
        <f>IFERROR(Kf*psi_f*_xlfn.SECH(psi_f*(Tabella3[[#This Row],[Day]]-pf)-phi_f)^2/(1+TANH(phi_f)),0)</f>
        <v>182.80054674993622</v>
      </c>
      <c r="L212" s="292">
        <f>Tabella3[[#This Row],[Italy remov. rate fit]]-Tabella3[[#This Row],[Italy remov. rate data]]</f>
        <v>182.80054674993622</v>
      </c>
      <c r="M212" s="293">
        <f>Tabella3[[#This Row],[rem. rate residuals]]*NOT(ISBLANK(Tabella3[[#This Row],[Italy remov. rate data]]))</f>
        <v>0</v>
      </c>
      <c r="N212" s="72">
        <f>Tabella3[[#This Row],[Italy remov. rate fit]]/y_f_peak</f>
        <v>6.0904971285445024E-2</v>
      </c>
      <c r="O212" s="10">
        <f>Tabella3[[#This Row],[Italy (fit of selected region + fitted sum of the other regions)]]*NOT(ISBLANK(Tabella3[[#This Row],[Italy remov. rate data]]))</f>
        <v>0</v>
      </c>
      <c r="P212" s="10">
        <f>Tabella3[[#This Row],[Italy remov. rate fit]]*NOT(ISBLANK(Tabella3[[#This Row],[Italy remov. rate data]]))</f>
        <v>0</v>
      </c>
      <c r="Q212" s="72"/>
      <c r="R212" s="72"/>
      <c r="S212" s="131"/>
      <c r="T212" s="10"/>
      <c r="U212" s="10">
        <f>Tabella3[[#This Row],[region data]]*NOT(ISBLANK(Tabella3[[#This Row],[region data]]))</f>
        <v>0</v>
      </c>
      <c r="V212"/>
      <c r="W212" s="72">
        <f>Tabella3[[#This Row],[6-days moving avg]]*NOT(ISBLANK(Tabella3[[#This Row],[6-days moving avg]]))</f>
        <v>0</v>
      </c>
      <c r="X212" s="77" t="e">
        <f>Tabella8[[#This Row],[region fit]]</f>
        <v>#VALUE!</v>
      </c>
      <c r="Y212" s="72" t="e">
        <f>Tabella3[[#This Row],[region cumul. fit]]/Kl</f>
        <v>#VALUE!</v>
      </c>
      <c r="Z212" s="72">
        <f>IFERROR(Kl*psi_l*_xlfn.SECH(psi_l*(Tabella3[[#This Row],[Day]]-pl)-phi_l)^2/(1+TANH(phi_l)),0)</f>
        <v>4.0264025349624477</v>
      </c>
      <c r="AA212" s="72">
        <f>Tabella3[[#This Row],[region fit]]/y_l_peak</f>
        <v>2.9219329883838022E-2</v>
      </c>
      <c r="AB212" s="10">
        <f>Tabella3[[#This Row],[region fit]]*NOT(ISBLANK(Tabella3[[#This Row],[region data]]))</f>
        <v>0</v>
      </c>
      <c r="AC212" s="166">
        <f>IFERROR(kl_m*psi_l_m*_xlfn.SECH(psi_l_m*(Tabella3[[#This Row],[Day]]-pl_m)-phi_l_m)^2/(1+TANH(phi_l_m)),0)</f>
        <v>4.0264025349624477</v>
      </c>
      <c r="AD212" s="72">
        <f>Tabella3[[#This Row],[6-days moving avg fit]]*NOT(ISBLANK(Tabella3[[#This Row],[6-days moving avg]]))</f>
        <v>0</v>
      </c>
      <c r="AE212" s="131"/>
      <c r="AF212" s="131"/>
      <c r="AG212" s="131"/>
      <c r="AH212" s="10"/>
      <c r="AI212" s="10">
        <f>Tabella3[[#This Row],[rest of Italy data]]*NOT(ISBLANK(Tabella3[[#This Row],[rest of Italy data]]))</f>
        <v>0</v>
      </c>
      <c r="AJ212" s="77" t="e">
        <f>Tabella8[[#This Row],[rest of Italy fit]]</f>
        <v>#VALUE!</v>
      </c>
      <c r="AK212" s="72" t="e">
        <f>Tabella3[[#This Row],[rest of Italy cumul. fit]]/Ka</f>
        <v>#VALUE!</v>
      </c>
      <c r="AL212" s="72">
        <f>IFERROR(Ka*psi_a*_xlfn.SECH(psi_a*(Tabella3[[#This Row],[Day]]-pa)-phi_a)^2/(1+TANH(phi_a)),0)</f>
        <v>180.42515935937823</v>
      </c>
      <c r="AM212" s="72">
        <f>Tabella3[[#This Row],[rest of Italy fit]]/y_a_peak</f>
        <v>6.3046233030668988E-2</v>
      </c>
      <c r="AN212" s="10">
        <f>Tabella3[[#This Row],[rest of Italy fit]]*NOT(ISBLANK(Tabella3[[#This Row],[rest of Italy data]]))</f>
        <v>0</v>
      </c>
      <c r="AO212" s="131"/>
      <c r="AP212" s="131"/>
    </row>
    <row r="213" spans="2:42" x14ac:dyDescent="0.3">
      <c r="B213" s="9">
        <v>44036</v>
      </c>
      <c r="C213" s="4">
        <v>206</v>
      </c>
      <c r="D213" s="131"/>
      <c r="E213" s="10"/>
      <c r="F213" s="10">
        <f>Tabella3[[#This Row],[Italy remov. rate data]]*NOT(ISBLANK(Tabella3[[#This Row],[Italy remov. rate data]]))</f>
        <v>0</v>
      </c>
      <c r="G213" s="77" t="e">
        <f>Tabella8[[#This Row],[Italy fit]]</f>
        <v>#VALUE!</v>
      </c>
      <c r="H213" s="77" t="e">
        <f>Tabella3[[#This Row],[Italy cumul. fit]]/Kf</f>
        <v>#VALUE!</v>
      </c>
      <c r="I213" s="77">
        <f>Tabella3[[#This Row],[region fit]]+Tabella3[[#This Row],[rest of Italy fit]]</f>
        <v>175.86504096174596</v>
      </c>
      <c r="J213" s="77">
        <f>Tabella3[[#This Row],[Italy (fit of selected region + fitted sum of the other regions)]]/(y_l_peak+y_a_peak)</f>
        <v>5.8629682331581986E-2</v>
      </c>
      <c r="K213" s="72">
        <f>IFERROR(Kf*psi_f*_xlfn.SECH(psi_f*(Tabella3[[#This Row],[Day]]-pf)-phi_f)^2/(1+TANH(phi_f)),0)</f>
        <v>174.25053393541145</v>
      </c>
      <c r="L213" s="292">
        <f>Tabella3[[#This Row],[Italy remov. rate fit]]-Tabella3[[#This Row],[Italy remov. rate data]]</f>
        <v>174.25053393541145</v>
      </c>
      <c r="M213" s="293">
        <f>Tabella3[[#This Row],[rem. rate residuals]]*NOT(ISBLANK(Tabella3[[#This Row],[Italy remov. rate data]]))</f>
        <v>0</v>
      </c>
      <c r="N213" s="72">
        <f>Tabella3[[#This Row],[Italy remov. rate fit]]/y_f_peak</f>
        <v>5.8056302098086592E-2</v>
      </c>
      <c r="O213" s="10">
        <f>Tabella3[[#This Row],[Italy (fit of selected region + fitted sum of the other regions)]]*NOT(ISBLANK(Tabella3[[#This Row],[Italy remov. rate data]]))</f>
        <v>0</v>
      </c>
      <c r="P213" s="10">
        <f>Tabella3[[#This Row],[Italy remov. rate fit]]*NOT(ISBLANK(Tabella3[[#This Row],[Italy remov. rate data]]))</f>
        <v>0</v>
      </c>
      <c r="Q213" s="72"/>
      <c r="R213" s="72"/>
      <c r="S213" s="131"/>
      <c r="T213" s="10"/>
      <c r="U213" s="10">
        <f>Tabella3[[#This Row],[region data]]*NOT(ISBLANK(Tabella3[[#This Row],[region data]]))</f>
        <v>0</v>
      </c>
      <c r="V213"/>
      <c r="W213" s="72">
        <f>Tabella3[[#This Row],[6-days moving avg]]*NOT(ISBLANK(Tabella3[[#This Row],[6-days moving avg]]))</f>
        <v>0</v>
      </c>
      <c r="X213" s="77" t="e">
        <f>Tabella8[[#This Row],[region fit]]</f>
        <v>#VALUE!</v>
      </c>
      <c r="Y213" s="72" t="e">
        <f>Tabella3[[#This Row],[region cumul. fit]]/Kl</f>
        <v>#VALUE!</v>
      </c>
      <c r="Z213" s="72">
        <f>IFERROR(Kl*psi_l*_xlfn.SECH(psi_l*(Tabella3[[#This Row],[Day]]-pl)-phi_l)^2/(1+TANH(phi_l)),0)</f>
        <v>3.8086411205799044</v>
      </c>
      <c r="AA213" s="72">
        <f>Tabella3[[#This Row],[region fit]]/y_l_peak</f>
        <v>2.7639050081318471E-2</v>
      </c>
      <c r="AB213" s="10">
        <f>Tabella3[[#This Row],[region fit]]*NOT(ISBLANK(Tabella3[[#This Row],[region data]]))</f>
        <v>0</v>
      </c>
      <c r="AC213" s="166">
        <f>IFERROR(kl_m*psi_l_m*_xlfn.SECH(psi_l_m*(Tabella3[[#This Row],[Day]]-pl_m)-phi_l_m)^2/(1+TANH(phi_l_m)),0)</f>
        <v>3.8086411205799044</v>
      </c>
      <c r="AD213" s="72">
        <f>Tabella3[[#This Row],[6-days moving avg fit]]*NOT(ISBLANK(Tabella3[[#This Row],[6-days moving avg]]))</f>
        <v>0</v>
      </c>
      <c r="AE213" s="131"/>
      <c r="AF213" s="131"/>
      <c r="AG213" s="131"/>
      <c r="AH213" s="10"/>
      <c r="AI213" s="10">
        <f>Tabella3[[#This Row],[rest of Italy data]]*NOT(ISBLANK(Tabella3[[#This Row],[rest of Italy data]]))</f>
        <v>0</v>
      </c>
      <c r="AJ213" s="77" t="e">
        <f>Tabella8[[#This Row],[rest of Italy fit]]</f>
        <v>#VALUE!</v>
      </c>
      <c r="AK213" s="72" t="e">
        <f>Tabella3[[#This Row],[rest of Italy cumul. fit]]/Ka</f>
        <v>#VALUE!</v>
      </c>
      <c r="AL213" s="72">
        <f>IFERROR(Ka*psi_a*_xlfn.SECH(psi_a*(Tabella3[[#This Row],[Day]]-pa)-phi_a)^2/(1+TANH(phi_a)),0)</f>
        <v>172.05639984116607</v>
      </c>
      <c r="AM213" s="72">
        <f>Tabella3[[#This Row],[rest of Italy fit]]/y_a_peak</f>
        <v>6.012192488741331E-2</v>
      </c>
      <c r="AN213" s="10">
        <f>Tabella3[[#This Row],[rest of Italy fit]]*NOT(ISBLANK(Tabella3[[#This Row],[rest of Italy data]]))</f>
        <v>0</v>
      </c>
      <c r="AO213" s="131"/>
      <c r="AP213" s="131"/>
    </row>
    <row r="214" spans="2:42" x14ac:dyDescent="0.3">
      <c r="B214" s="9">
        <v>44037</v>
      </c>
      <c r="C214" s="4">
        <v>207</v>
      </c>
      <c r="D214" s="131"/>
      <c r="E214" s="10"/>
      <c r="F214" s="10">
        <f>Tabella3[[#This Row],[Italy remov. rate data]]*NOT(ISBLANK(Tabella3[[#This Row],[Italy remov. rate data]]))</f>
        <v>0</v>
      </c>
      <c r="G214" s="77" t="e">
        <f>Tabella8[[#This Row],[Italy fit]]</f>
        <v>#VALUE!</v>
      </c>
      <c r="H214" s="77" t="e">
        <f>Tabella3[[#This Row],[Italy cumul. fit]]/Kf</f>
        <v>#VALUE!</v>
      </c>
      <c r="I214" s="77">
        <f>Tabella3[[#This Row],[region fit]]+Tabella3[[#This Row],[rest of Italy fit]]</f>
        <v>167.6664544028651</v>
      </c>
      <c r="J214" s="77">
        <f>Tabella3[[#This Row],[Italy (fit of selected region + fitted sum of the other regions)]]/(y_l_peak+y_a_peak)</f>
        <v>5.5896447102530861E-2</v>
      </c>
      <c r="K214" s="72">
        <f>IFERROR(Kf*psi_f*_xlfn.SECH(psi_f*(Tabella3[[#This Row],[Day]]-pf)-phi_f)^2/(1+TANH(phi_f)),0)</f>
        <v>166.0886606736309</v>
      </c>
      <c r="L214" s="292">
        <f>Tabella3[[#This Row],[Italy remov. rate fit]]-Tabella3[[#This Row],[Italy remov. rate data]]</f>
        <v>166.0886606736309</v>
      </c>
      <c r="M214" s="293">
        <f>Tabella3[[#This Row],[rem. rate residuals]]*NOT(ISBLANK(Tabella3[[#This Row],[Italy remov. rate data]]))</f>
        <v>0</v>
      </c>
      <c r="N214" s="72">
        <f>Tabella3[[#This Row],[Italy remov. rate fit]]/y_f_peak</f>
        <v>5.5336952153667678E-2</v>
      </c>
      <c r="O214" s="10">
        <f>Tabella3[[#This Row],[Italy (fit of selected region + fitted sum of the other regions)]]*NOT(ISBLANK(Tabella3[[#This Row],[Italy remov. rate data]]))</f>
        <v>0</v>
      </c>
      <c r="P214" s="10">
        <f>Tabella3[[#This Row],[Italy remov. rate fit]]*NOT(ISBLANK(Tabella3[[#This Row],[Italy remov. rate data]]))</f>
        <v>0</v>
      </c>
      <c r="Q214" s="72"/>
      <c r="R214" s="72"/>
      <c r="S214" s="131"/>
      <c r="T214" s="10"/>
      <c r="U214" s="10">
        <f>Tabella3[[#This Row],[region data]]*NOT(ISBLANK(Tabella3[[#This Row],[region data]]))</f>
        <v>0</v>
      </c>
      <c r="V214"/>
      <c r="W214" s="72">
        <f>Tabella3[[#This Row],[6-days moving avg]]*NOT(ISBLANK(Tabella3[[#This Row],[6-days moving avg]]))</f>
        <v>0</v>
      </c>
      <c r="X214" s="77" t="e">
        <f>Tabella8[[#This Row],[region fit]]</f>
        <v>#VALUE!</v>
      </c>
      <c r="Y214" s="72" t="e">
        <f>Tabella3[[#This Row],[region cumul. fit]]/Kl</f>
        <v>#VALUE!</v>
      </c>
      <c r="Z214" s="72">
        <f>IFERROR(Kl*psi_l*_xlfn.SECH(psi_l*(Tabella3[[#This Row],[Day]]-pl)-phi_l)^2/(1+TANH(phi_l)),0)</f>
        <v>3.6024985236090048</v>
      </c>
      <c r="AA214" s="72">
        <f>Tabella3[[#This Row],[region fit]]/y_l_peak</f>
        <v>2.6143087248069369E-2</v>
      </c>
      <c r="AB214" s="10">
        <f>Tabella3[[#This Row],[region fit]]*NOT(ISBLANK(Tabella3[[#This Row],[region data]]))</f>
        <v>0</v>
      </c>
      <c r="AC214" s="166">
        <f>IFERROR(kl_m*psi_l_m*_xlfn.SECH(psi_l_m*(Tabella3[[#This Row],[Day]]-pl_m)-phi_l_m)^2/(1+TANH(phi_l_m)),0)</f>
        <v>3.6024985236090048</v>
      </c>
      <c r="AD214" s="72">
        <f>Tabella3[[#This Row],[6-days moving avg fit]]*NOT(ISBLANK(Tabella3[[#This Row],[6-days moving avg]]))</f>
        <v>0</v>
      </c>
      <c r="AE214" s="131"/>
      <c r="AF214" s="131"/>
      <c r="AG214" s="131"/>
      <c r="AH214" s="10"/>
      <c r="AI214" s="10">
        <f>Tabella3[[#This Row],[rest of Italy data]]*NOT(ISBLANK(Tabella3[[#This Row],[rest of Italy data]]))</f>
        <v>0</v>
      </c>
      <c r="AJ214" s="77" t="e">
        <f>Tabella8[[#This Row],[rest of Italy fit]]</f>
        <v>#VALUE!</v>
      </c>
      <c r="AK214" s="72" t="e">
        <f>Tabella3[[#This Row],[rest of Italy cumul. fit]]/Ka</f>
        <v>#VALUE!</v>
      </c>
      <c r="AL214" s="72">
        <f>IFERROR(Ka*psi_a*_xlfn.SECH(psi_a*(Tabella3[[#This Row],[Day]]-pa)-phi_a)^2/(1+TANH(phi_a)),0)</f>
        <v>164.0639558792561</v>
      </c>
      <c r="AM214" s="72">
        <f>Tabella3[[#This Row],[rest of Italy fit]]/y_a_peak</f>
        <v>5.732911325129629E-2</v>
      </c>
      <c r="AN214" s="10">
        <f>Tabella3[[#This Row],[rest of Italy fit]]*NOT(ISBLANK(Tabella3[[#This Row],[rest of Italy data]]))</f>
        <v>0</v>
      </c>
      <c r="AO214" s="131"/>
      <c r="AP214" s="131"/>
    </row>
    <row r="215" spans="2:42" x14ac:dyDescent="0.3">
      <c r="B215" s="9">
        <v>44038</v>
      </c>
      <c r="C215" s="4">
        <v>208</v>
      </c>
      <c r="D215" s="131"/>
      <c r="E215" s="10"/>
      <c r="F215" s="10">
        <f>Tabella3[[#This Row],[Italy remov. rate data]]*NOT(ISBLANK(Tabella3[[#This Row],[Italy remov. rate data]]))</f>
        <v>0</v>
      </c>
      <c r="G215" s="77" t="e">
        <f>Tabella8[[#This Row],[Italy fit]]</f>
        <v>#VALUE!</v>
      </c>
      <c r="H215" s="77" t="e">
        <f>Tabella3[[#This Row],[Italy cumul. fit]]/Kf</f>
        <v>#VALUE!</v>
      </c>
      <c r="I215" s="77">
        <f>Tabella3[[#This Row],[region fit]]+Tabella3[[#This Row],[rest of Italy fit]]</f>
        <v>159.83937180996006</v>
      </c>
      <c r="J215" s="77">
        <f>Tabella3[[#This Row],[Italy (fit of selected region + fitted sum of the other regions)]]/(y_l_peak+y_a_peak)</f>
        <v>5.3287063432555785E-2</v>
      </c>
      <c r="K215" s="72">
        <f>IFERROR(Kf*psi_f*_xlfn.SECH(psi_f*(Tabella3[[#This Row],[Day]]-pf)-phi_f)^2/(1+TANH(phi_f)),0)</f>
        <v>158.29840085463564</v>
      </c>
      <c r="L215" s="292">
        <f>Tabella3[[#This Row],[Italy remov. rate fit]]-Tabella3[[#This Row],[Italy remov. rate data]]</f>
        <v>158.29840085463564</v>
      </c>
      <c r="M215" s="293">
        <f>Tabella3[[#This Row],[rem. rate residuals]]*NOT(ISBLANK(Tabella3[[#This Row],[Italy remov. rate data]]))</f>
        <v>0</v>
      </c>
      <c r="N215" s="72">
        <f>Tabella3[[#This Row],[Italy remov. rate fit]]/y_f_peak</f>
        <v>5.274141532942004E-2</v>
      </c>
      <c r="O215" s="10">
        <f>Tabella3[[#This Row],[Italy (fit of selected region + fitted sum of the other regions)]]*NOT(ISBLANK(Tabella3[[#This Row],[Italy remov. rate data]]))</f>
        <v>0</v>
      </c>
      <c r="P215" s="10">
        <f>Tabella3[[#This Row],[Italy remov. rate fit]]*NOT(ISBLANK(Tabella3[[#This Row],[Italy remov. rate data]]))</f>
        <v>0</v>
      </c>
      <c r="Q215" s="72"/>
      <c r="R215" s="72"/>
      <c r="S215" s="131"/>
      <c r="T215" s="10"/>
      <c r="U215" s="10">
        <f>Tabella3[[#This Row],[region data]]*NOT(ISBLANK(Tabella3[[#This Row],[region data]]))</f>
        <v>0</v>
      </c>
      <c r="V215"/>
      <c r="W215" s="72">
        <f>Tabella3[[#This Row],[6-days moving avg]]*NOT(ISBLANK(Tabella3[[#This Row],[6-days moving avg]]))</f>
        <v>0</v>
      </c>
      <c r="X215" s="77" t="e">
        <f>Tabella8[[#This Row],[region fit]]</f>
        <v>#VALUE!</v>
      </c>
      <c r="Y215" s="72" t="e">
        <f>Tabella3[[#This Row],[region cumul. fit]]/Kl</f>
        <v>#VALUE!</v>
      </c>
      <c r="Z215" s="72">
        <f>IFERROR(Kl*psi_l*_xlfn.SECH(psi_l*(Tabella3[[#This Row],[Day]]-pl)-phi_l)^2/(1+TANH(phi_l)),0)</f>
        <v>3.4073716299295653</v>
      </c>
      <c r="AA215" s="72">
        <f>Tabella3[[#This Row],[region fit]]/y_l_peak</f>
        <v>2.4727064625859965E-2</v>
      </c>
      <c r="AB215" s="10">
        <f>Tabella3[[#This Row],[region fit]]*NOT(ISBLANK(Tabella3[[#This Row],[region data]]))</f>
        <v>0</v>
      </c>
      <c r="AC215" s="166">
        <f>IFERROR(kl_m*psi_l_m*_xlfn.SECH(psi_l_m*(Tabella3[[#This Row],[Day]]-pl_m)-phi_l_m)^2/(1+TANH(phi_l_m)),0)</f>
        <v>3.4073716299295653</v>
      </c>
      <c r="AD215" s="72">
        <f>Tabella3[[#This Row],[6-days moving avg fit]]*NOT(ISBLANK(Tabella3[[#This Row],[6-days moving avg]]))</f>
        <v>0</v>
      </c>
      <c r="AE215" s="131"/>
      <c r="AF215" s="131"/>
      <c r="AG215" s="131"/>
      <c r="AH215" s="10"/>
      <c r="AI215" s="10">
        <f>Tabella3[[#This Row],[rest of Italy data]]*NOT(ISBLANK(Tabella3[[#This Row],[rest of Italy data]]))</f>
        <v>0</v>
      </c>
      <c r="AJ215" s="77" t="e">
        <f>Tabella8[[#This Row],[rest of Italy fit]]</f>
        <v>#VALUE!</v>
      </c>
      <c r="AK215" s="72" t="e">
        <f>Tabella3[[#This Row],[rest of Italy cumul. fit]]/Ka</f>
        <v>#VALUE!</v>
      </c>
      <c r="AL215" s="72">
        <f>IFERROR(Ka*psi_a*_xlfn.SECH(psi_a*(Tabella3[[#This Row],[Day]]-pa)-phi_a)^2/(1+TANH(phi_a)),0)</f>
        <v>156.43200018003049</v>
      </c>
      <c r="AM215" s="72">
        <f>Tabella3[[#This Row],[rest of Italy fit]]/y_a_peak</f>
        <v>5.466226756745951E-2</v>
      </c>
      <c r="AN215" s="10">
        <f>Tabella3[[#This Row],[rest of Italy fit]]*NOT(ISBLANK(Tabella3[[#This Row],[rest of Italy data]]))</f>
        <v>0</v>
      </c>
      <c r="AO215" s="131"/>
      <c r="AP215" s="131"/>
    </row>
    <row r="216" spans="2:42" x14ac:dyDescent="0.3">
      <c r="B216" s="9">
        <v>44039</v>
      </c>
      <c r="C216" s="4">
        <v>209</v>
      </c>
      <c r="D216" s="131"/>
      <c r="E216" s="10"/>
      <c r="F216" s="10">
        <f>Tabella3[[#This Row],[Italy remov. rate data]]*NOT(ISBLANK(Tabella3[[#This Row],[Italy remov. rate data]]))</f>
        <v>0</v>
      </c>
      <c r="G216" s="77" t="e">
        <f>Tabella8[[#This Row],[Italy fit]]</f>
        <v>#VALUE!</v>
      </c>
      <c r="H216" s="77" t="e">
        <f>Tabella3[[#This Row],[Italy cumul. fit]]/Kf</f>
        <v>#VALUE!</v>
      </c>
      <c r="I216" s="77">
        <f>Tabella3[[#This Row],[region fit]]+Tabella3[[#This Row],[rest of Italy fit]]</f>
        <v>152.3679557999142</v>
      </c>
      <c r="J216" s="77">
        <f>Tabella3[[#This Row],[Italy (fit of selected region + fitted sum of the other regions)]]/(y_l_peak+y_a_peak)</f>
        <v>5.0796251473336627E-2</v>
      </c>
      <c r="K216" s="72">
        <f>IFERROR(Kf*psi_f*_xlfn.SECH(psi_f*(Tabella3[[#This Row],[Day]]-pf)-phi_f)^2/(1+TANH(phi_f)),0)</f>
        <v>150.86382916288954</v>
      </c>
      <c r="L216" s="292">
        <f>Tabella3[[#This Row],[Italy remov. rate fit]]-Tabella3[[#This Row],[Italy remov. rate data]]</f>
        <v>150.86382916288954</v>
      </c>
      <c r="M216" s="293">
        <f>Tabella3[[#This Row],[rem. rate residuals]]*NOT(ISBLANK(Tabella3[[#This Row],[Italy remov. rate data]]))</f>
        <v>0</v>
      </c>
      <c r="N216" s="72">
        <f>Tabella3[[#This Row],[Italy remov. rate fit]]/y_f_peak</f>
        <v>5.0264385673568987E-2</v>
      </c>
      <c r="O216" s="10">
        <f>Tabella3[[#This Row],[Italy (fit of selected region + fitted sum of the other regions)]]*NOT(ISBLANK(Tabella3[[#This Row],[Italy remov. rate data]]))</f>
        <v>0</v>
      </c>
      <c r="P216" s="10">
        <f>Tabella3[[#This Row],[Italy remov. rate fit]]*NOT(ISBLANK(Tabella3[[#This Row],[Italy remov. rate data]]))</f>
        <v>0</v>
      </c>
      <c r="Q216" s="72"/>
      <c r="R216" s="72"/>
      <c r="S216" s="131"/>
      <c r="T216" s="10"/>
      <c r="U216" s="10">
        <f>Tabella3[[#This Row],[region data]]*NOT(ISBLANK(Tabella3[[#This Row],[region data]]))</f>
        <v>0</v>
      </c>
      <c r="V216"/>
      <c r="W216" s="72">
        <f>Tabella3[[#This Row],[6-days moving avg]]*NOT(ISBLANK(Tabella3[[#This Row],[6-days moving avg]]))</f>
        <v>0</v>
      </c>
      <c r="X216" s="77" t="e">
        <f>Tabella8[[#This Row],[region fit]]</f>
        <v>#VALUE!</v>
      </c>
      <c r="Y216" s="72" t="e">
        <f>Tabella3[[#This Row],[region cumul. fit]]/Kl</f>
        <v>#VALUE!</v>
      </c>
      <c r="Z216" s="72">
        <f>IFERROR(Kl*psi_l*_xlfn.SECH(psi_l*(Tabella3[[#This Row],[Day]]-pl)-phi_l)^2/(1+TANH(phi_l)),0)</f>
        <v>3.2226868389395111</v>
      </c>
      <c r="AA216" s="72">
        <f>Tabella3[[#This Row],[region fit]]/y_l_peak</f>
        <v>2.3386819634057025E-2</v>
      </c>
      <c r="AB216" s="10">
        <f>Tabella3[[#This Row],[region fit]]*NOT(ISBLANK(Tabella3[[#This Row],[region data]]))</f>
        <v>0</v>
      </c>
      <c r="AC216" s="166">
        <f>IFERROR(kl_m*psi_l_m*_xlfn.SECH(psi_l_m*(Tabella3[[#This Row],[Day]]-pl_m)-phi_l_m)^2/(1+TANH(phi_l_m)),0)</f>
        <v>3.2226868389395111</v>
      </c>
      <c r="AD216" s="72">
        <f>Tabella3[[#This Row],[6-days moving avg fit]]*NOT(ISBLANK(Tabella3[[#This Row],[6-days moving avg]]))</f>
        <v>0</v>
      </c>
      <c r="AE216" s="131"/>
      <c r="AF216" s="131"/>
      <c r="AG216" s="131"/>
      <c r="AH216" s="10"/>
      <c r="AI216" s="10">
        <f>Tabella3[[#This Row],[rest of Italy data]]*NOT(ISBLANK(Tabella3[[#This Row],[rest of Italy data]]))</f>
        <v>0</v>
      </c>
      <c r="AJ216" s="77" t="e">
        <f>Tabella8[[#This Row],[rest of Italy fit]]</f>
        <v>#VALUE!</v>
      </c>
      <c r="AK216" s="72" t="e">
        <f>Tabella3[[#This Row],[rest of Italy cumul. fit]]/Ka</f>
        <v>#VALUE!</v>
      </c>
      <c r="AL216" s="72">
        <f>IFERROR(Ka*psi_a*_xlfn.SECH(psi_a*(Tabella3[[#This Row],[Day]]-pa)-phi_a)^2/(1+TANH(phi_a)),0)</f>
        <v>149.14526896097468</v>
      </c>
      <c r="AM216" s="72">
        <f>Tabella3[[#This Row],[rest of Italy fit]]/y_a_peak</f>
        <v>5.2116054189571402E-2</v>
      </c>
      <c r="AN216" s="10">
        <f>Tabella3[[#This Row],[rest of Italy fit]]*NOT(ISBLANK(Tabella3[[#This Row],[rest of Italy data]]))</f>
        <v>0</v>
      </c>
      <c r="AO216" s="131"/>
      <c r="AP216" s="131"/>
    </row>
    <row r="217" spans="2:42" x14ac:dyDescent="0.3">
      <c r="B217" s="9">
        <v>44040</v>
      </c>
      <c r="C217" s="4">
        <v>210</v>
      </c>
      <c r="D217" s="131"/>
      <c r="E217" s="10"/>
      <c r="F217" s="10">
        <f>Tabella3[[#This Row],[Italy remov. rate data]]*NOT(ISBLANK(Tabella3[[#This Row],[Italy remov. rate data]]))</f>
        <v>0</v>
      </c>
      <c r="G217" s="77" t="e">
        <f>Tabella8[[#This Row],[Italy fit]]</f>
        <v>#VALUE!</v>
      </c>
      <c r="H217" s="77" t="e">
        <f>Tabella3[[#This Row],[Italy cumul. fit]]/Kf</f>
        <v>#VALUE!</v>
      </c>
      <c r="I217" s="77">
        <f>Tabella3[[#This Row],[region fit]]+Tabella3[[#This Row],[rest of Italy fit]]</f>
        <v>145.23695062297247</v>
      </c>
      <c r="J217" s="77">
        <f>Tabella3[[#This Row],[Italy (fit of selected region + fitted sum of the other regions)]]/(y_l_peak+y_a_peak)</f>
        <v>4.8418925280805263E-2</v>
      </c>
      <c r="K217" s="72">
        <f>IFERROR(Kf*psi_f*_xlfn.SECH(psi_f*(Tabella3[[#This Row],[Day]]-pf)-phi_f)^2/(1+TANH(phi_f)),0)</f>
        <v>143.76960927672826</v>
      </c>
      <c r="L217" s="292">
        <f>Tabella3[[#This Row],[Italy remov. rate fit]]-Tabella3[[#This Row],[Italy remov. rate data]]</f>
        <v>143.76960927672826</v>
      </c>
      <c r="M217" s="293">
        <f>Tabella3[[#This Row],[rem. rate residuals]]*NOT(ISBLANK(Tabella3[[#This Row],[Italy remov. rate data]]))</f>
        <v>0</v>
      </c>
      <c r="N217" s="72">
        <f>Tabella3[[#This Row],[Italy remov. rate fit]]/y_f_peak</f>
        <v>4.7900753473659075E-2</v>
      </c>
      <c r="O217" s="10">
        <f>Tabella3[[#This Row],[Italy (fit of selected region + fitted sum of the other regions)]]*NOT(ISBLANK(Tabella3[[#This Row],[Italy remov. rate data]]))</f>
        <v>0</v>
      </c>
      <c r="P217" s="10">
        <f>Tabella3[[#This Row],[Italy remov. rate fit]]*NOT(ISBLANK(Tabella3[[#This Row],[Italy remov. rate data]]))</f>
        <v>0</v>
      </c>
      <c r="Q217" s="72"/>
      <c r="R217" s="72"/>
      <c r="S217" s="131"/>
      <c r="T217" s="10"/>
      <c r="U217" s="10">
        <f>Tabella3[[#This Row],[region data]]*NOT(ISBLANK(Tabella3[[#This Row],[region data]]))</f>
        <v>0</v>
      </c>
      <c r="V217"/>
      <c r="W217" s="72">
        <f>Tabella3[[#This Row],[6-days moving avg]]*NOT(ISBLANK(Tabella3[[#This Row],[6-days moving avg]]))</f>
        <v>0</v>
      </c>
      <c r="X217" s="77" t="e">
        <f>Tabella8[[#This Row],[region fit]]</f>
        <v>#VALUE!</v>
      </c>
      <c r="Y217" s="72" t="e">
        <f>Tabella3[[#This Row],[region cumul. fit]]/Kl</f>
        <v>#VALUE!</v>
      </c>
      <c r="Z217" s="72">
        <f>IFERROR(Kl*psi_l*_xlfn.SECH(psi_l*(Tabella3[[#This Row],[Day]]-pl)-phi_l)^2/(1+TANH(phi_l)),0)</f>
        <v>3.047898813390939</v>
      </c>
      <c r="AA217" s="72">
        <f>Tabella3[[#This Row],[region fit]]/y_l_peak</f>
        <v>2.2118394797270045E-2</v>
      </c>
      <c r="AB217" s="10">
        <f>Tabella3[[#This Row],[region fit]]*NOT(ISBLANK(Tabella3[[#This Row],[region data]]))</f>
        <v>0</v>
      </c>
      <c r="AC217" s="166">
        <f>IFERROR(kl_m*psi_l_m*_xlfn.SECH(psi_l_m*(Tabella3[[#This Row],[Day]]-pl_m)-phi_l_m)^2/(1+TANH(phi_l_m)),0)</f>
        <v>3.047898813390939</v>
      </c>
      <c r="AD217" s="72">
        <f>Tabella3[[#This Row],[6-days moving avg fit]]*NOT(ISBLANK(Tabella3[[#This Row],[6-days moving avg]]))</f>
        <v>0</v>
      </c>
      <c r="AE217" s="131"/>
      <c r="AF217" s="131"/>
      <c r="AG217" s="131"/>
      <c r="AH217" s="10"/>
      <c r="AI217" s="10">
        <f>Tabella3[[#This Row],[rest of Italy data]]*NOT(ISBLANK(Tabella3[[#This Row],[rest of Italy data]]))</f>
        <v>0</v>
      </c>
      <c r="AJ217" s="77" t="e">
        <f>Tabella8[[#This Row],[rest of Italy fit]]</f>
        <v>#VALUE!</v>
      </c>
      <c r="AK217" s="72" t="e">
        <f>Tabella3[[#This Row],[rest of Italy cumul. fit]]/Ka</f>
        <v>#VALUE!</v>
      </c>
      <c r="AL217" s="72">
        <f>IFERROR(Ka*psi_a*_xlfn.SECH(psi_a*(Tabella3[[#This Row],[Day]]-pa)-phi_a)^2/(1+TANH(phi_a)),0)</f>
        <v>142.18905180958154</v>
      </c>
      <c r="AM217" s="72">
        <f>Tabella3[[#This Row],[rest of Italy fit]]/y_a_peak</f>
        <v>4.9685332836208927E-2</v>
      </c>
      <c r="AN217" s="10">
        <f>Tabella3[[#This Row],[rest of Italy fit]]*NOT(ISBLANK(Tabella3[[#This Row],[rest of Italy data]]))</f>
        <v>0</v>
      </c>
      <c r="AO217" s="131"/>
      <c r="AP217" s="131"/>
    </row>
    <row r="218" spans="2:42" x14ac:dyDescent="0.3">
      <c r="B218" s="9">
        <v>44041</v>
      </c>
      <c r="C218" s="4">
        <v>211</v>
      </c>
      <c r="D218" s="131"/>
      <c r="E218" s="10"/>
      <c r="F218" s="10">
        <f>Tabella3[[#This Row],[Italy remov. rate data]]*NOT(ISBLANK(Tabella3[[#This Row],[Italy remov. rate data]]))</f>
        <v>0</v>
      </c>
      <c r="G218" s="77" t="e">
        <f>Tabella8[[#This Row],[Italy fit]]</f>
        <v>#VALUE!</v>
      </c>
      <c r="H218" s="77" t="e">
        <f>Tabella3[[#This Row],[Italy cumul. fit]]/Kf</f>
        <v>#VALUE!</v>
      </c>
      <c r="I218" s="77">
        <f>Tabella3[[#This Row],[region fit]]+Tabella3[[#This Row],[rest of Italy fit]]</f>
        <v>138.43166988399884</v>
      </c>
      <c r="J218" s="77">
        <f>Tabella3[[#This Row],[Italy (fit of selected region + fitted sum of the other regions)]]/(y_l_peak+y_a_peak)</f>
        <v>4.6150188721672702E-2</v>
      </c>
      <c r="K218" s="72">
        <f>IFERROR(Kf*psi_f*_xlfn.SECH(psi_f*(Tabella3[[#This Row],[Day]]-pf)-phi_f)^2/(1+TANH(phi_f)),0)</f>
        <v>137.00098118824474</v>
      </c>
      <c r="L218" s="292">
        <f>Tabella3[[#This Row],[Italy remov. rate fit]]-Tabella3[[#This Row],[Italy remov. rate data]]</f>
        <v>137.00098118824474</v>
      </c>
      <c r="M218" s="293">
        <f>Tabella3[[#This Row],[rem. rate residuals]]*NOT(ISBLANK(Tabella3[[#This Row],[Italy remov. rate data]]))</f>
        <v>0</v>
      </c>
      <c r="N218" s="72">
        <f>Tabella3[[#This Row],[Italy remov. rate fit]]/y_f_peak</f>
        <v>4.5645601031829248E-2</v>
      </c>
      <c r="O218" s="10">
        <f>Tabella3[[#This Row],[Italy (fit of selected region + fitted sum of the other regions)]]*NOT(ISBLANK(Tabella3[[#This Row],[Italy remov. rate data]]))</f>
        <v>0</v>
      </c>
      <c r="P218" s="10">
        <f>Tabella3[[#This Row],[Italy remov. rate fit]]*NOT(ISBLANK(Tabella3[[#This Row],[Italy remov. rate data]]))</f>
        <v>0</v>
      </c>
      <c r="Q218" s="72"/>
      <c r="R218" s="72"/>
      <c r="S218" s="131"/>
      <c r="T218" s="10"/>
      <c r="U218" s="10">
        <f>Tabella3[[#This Row],[region data]]*NOT(ISBLANK(Tabella3[[#This Row],[region data]]))</f>
        <v>0</v>
      </c>
      <c r="V218"/>
      <c r="W218" s="72">
        <f>Tabella3[[#This Row],[6-days moving avg]]*NOT(ISBLANK(Tabella3[[#This Row],[6-days moving avg]]))</f>
        <v>0</v>
      </c>
      <c r="X218" s="77" t="e">
        <f>Tabella8[[#This Row],[region fit]]</f>
        <v>#VALUE!</v>
      </c>
      <c r="Y218" s="72" t="e">
        <f>Tabella3[[#This Row],[region cumul. fit]]/Kl</f>
        <v>#VALUE!</v>
      </c>
      <c r="Z218" s="72">
        <f>IFERROR(Kl*psi_l*_xlfn.SECH(psi_l*(Tabella3[[#This Row],[Day]]-pl)-phi_l)^2/(1+TANH(phi_l)),0)</f>
        <v>2.8824892602795051</v>
      </c>
      <c r="AA218" s="72">
        <f>Tabella3[[#This Row],[region fit]]/y_l_peak</f>
        <v>2.0918028898348245E-2</v>
      </c>
      <c r="AB218" s="10">
        <f>Tabella3[[#This Row],[region fit]]*NOT(ISBLANK(Tabella3[[#This Row],[region data]]))</f>
        <v>0</v>
      </c>
      <c r="AC218" s="166">
        <f>IFERROR(kl_m*psi_l_m*_xlfn.SECH(psi_l_m*(Tabella3[[#This Row],[Day]]-pl_m)-phi_l_m)^2/(1+TANH(phi_l_m)),0)</f>
        <v>2.8824892602795051</v>
      </c>
      <c r="AD218" s="72">
        <f>Tabella3[[#This Row],[6-days moving avg fit]]*NOT(ISBLANK(Tabella3[[#This Row],[6-days moving avg]]))</f>
        <v>0</v>
      </c>
      <c r="AE218" s="131"/>
      <c r="AF218" s="131"/>
      <c r="AG218" s="131"/>
      <c r="AH218" s="10"/>
      <c r="AI218" s="10">
        <f>Tabella3[[#This Row],[rest of Italy data]]*NOT(ISBLANK(Tabella3[[#This Row],[rest of Italy data]]))</f>
        <v>0</v>
      </c>
      <c r="AJ218" s="77" t="e">
        <f>Tabella8[[#This Row],[rest of Italy fit]]</f>
        <v>#VALUE!</v>
      </c>
      <c r="AK218" s="72" t="e">
        <f>Tabella3[[#This Row],[rest of Italy cumul. fit]]/Ka</f>
        <v>#VALUE!</v>
      </c>
      <c r="AL218" s="72">
        <f>IFERROR(Ka*psi_a*_xlfn.SECH(psi_a*(Tabella3[[#This Row],[Day]]-pa)-phi_a)^2/(1+TANH(phi_a)),0)</f>
        <v>135.54918062371934</v>
      </c>
      <c r="AM218" s="72">
        <f>Tabella3[[#This Row],[rest of Italy fit]]/y_a_peak</f>
        <v>4.7365152726273868E-2</v>
      </c>
      <c r="AN218" s="10">
        <f>Tabella3[[#This Row],[rest of Italy fit]]*NOT(ISBLANK(Tabella3[[#This Row],[rest of Italy data]]))</f>
        <v>0</v>
      </c>
      <c r="AO218" s="131"/>
      <c r="AP218" s="131"/>
    </row>
    <row r="219" spans="2:42" x14ac:dyDescent="0.3">
      <c r="B219" s="9">
        <v>44042</v>
      </c>
      <c r="C219" s="4">
        <v>212</v>
      </c>
      <c r="D219" s="131"/>
      <c r="E219" s="10"/>
      <c r="F219" s="10">
        <f>Tabella3[[#This Row],[Italy remov. rate data]]*NOT(ISBLANK(Tabella3[[#This Row],[Italy remov. rate data]]))</f>
        <v>0</v>
      </c>
      <c r="G219" s="77" t="e">
        <f>Tabella8[[#This Row],[Italy fit]]</f>
        <v>#VALUE!</v>
      </c>
      <c r="H219" s="77" t="e">
        <f>Tabella3[[#This Row],[Italy cumul. fit]]/Kf</f>
        <v>#VALUE!</v>
      </c>
      <c r="I219" s="77">
        <f>Tabella3[[#This Row],[region fit]]+Tabella3[[#This Row],[rest of Italy fit]]</f>
        <v>131.93798353169637</v>
      </c>
      <c r="J219" s="77">
        <f>Tabella3[[#This Row],[Italy (fit of selected region + fitted sum of the other regions)]]/(y_l_peak+y_a_peak)</f>
        <v>4.3985331135910466E-2</v>
      </c>
      <c r="K219" s="72">
        <f>IFERROR(Kf*psi_f*_xlfn.SECH(psi_f*(Tabella3[[#This Row],[Day]]-pf)-phi_f)^2/(1+TANH(phi_f)),0)</f>
        <v>130.5437478006632</v>
      </c>
      <c r="L219" s="292">
        <f>Tabella3[[#This Row],[Italy remov. rate fit]]-Tabella3[[#This Row],[Italy remov. rate data]]</f>
        <v>130.5437478006632</v>
      </c>
      <c r="M219" s="293">
        <f>Tabella3[[#This Row],[rem. rate residuals]]*NOT(ISBLANK(Tabella3[[#This Row],[Italy remov. rate data]]))</f>
        <v>0</v>
      </c>
      <c r="N219" s="72">
        <f>Tabella3[[#This Row],[Italy remov. rate fit]]/y_f_peak</f>
        <v>4.3494198199363662E-2</v>
      </c>
      <c r="O219" s="10">
        <f>Tabella3[[#This Row],[Italy (fit of selected region + fitted sum of the other regions)]]*NOT(ISBLANK(Tabella3[[#This Row],[Italy remov. rate data]]))</f>
        <v>0</v>
      </c>
      <c r="P219" s="10">
        <f>Tabella3[[#This Row],[Italy remov. rate fit]]*NOT(ISBLANK(Tabella3[[#This Row],[Italy remov. rate data]]))</f>
        <v>0</v>
      </c>
      <c r="Q219" s="72"/>
      <c r="R219" s="72"/>
      <c r="S219" s="131"/>
      <c r="T219" s="10"/>
      <c r="U219" s="10">
        <f>Tabella3[[#This Row],[region data]]*NOT(ISBLANK(Tabella3[[#This Row],[region data]]))</f>
        <v>0</v>
      </c>
      <c r="V219"/>
      <c r="W219" s="72">
        <f>Tabella3[[#This Row],[6-days moving avg]]*NOT(ISBLANK(Tabella3[[#This Row],[6-days moving avg]]))</f>
        <v>0</v>
      </c>
      <c r="X219" s="77" t="e">
        <f>Tabella8[[#This Row],[region fit]]</f>
        <v>#VALUE!</v>
      </c>
      <c r="Y219" s="72" t="e">
        <f>Tabella3[[#This Row],[region cumul. fit]]/Kl</f>
        <v>#VALUE!</v>
      </c>
      <c r="Z219" s="72">
        <f>IFERROR(Kl*psi_l*_xlfn.SECH(psi_l*(Tabella3[[#This Row],[Day]]-pl)-phi_l)^2/(1+TANH(phi_l)),0)</f>
        <v>2.7259657448118055</v>
      </c>
      <c r="AA219" s="72">
        <f>Tabella3[[#This Row],[region fit]]/y_l_peak</f>
        <v>1.9782148371422389E-2</v>
      </c>
      <c r="AB219" s="10">
        <f>Tabella3[[#This Row],[region fit]]*NOT(ISBLANK(Tabella3[[#This Row],[region data]]))</f>
        <v>0</v>
      </c>
      <c r="AC219" s="166">
        <f>IFERROR(kl_m*psi_l_m*_xlfn.SECH(psi_l_m*(Tabella3[[#This Row],[Day]]-pl_m)-phi_l_m)^2/(1+TANH(phi_l_m)),0)</f>
        <v>2.7259657448118055</v>
      </c>
      <c r="AD219" s="72">
        <f>Tabella3[[#This Row],[6-days moving avg fit]]*NOT(ISBLANK(Tabella3[[#This Row],[6-days moving avg]]))</f>
        <v>0</v>
      </c>
      <c r="AE219" s="131"/>
      <c r="AF219" s="131"/>
      <c r="AG219" s="131"/>
      <c r="AH219" s="10"/>
      <c r="AI219" s="10">
        <f>Tabella3[[#This Row],[rest of Italy data]]*NOT(ISBLANK(Tabella3[[#This Row],[rest of Italy data]]))</f>
        <v>0</v>
      </c>
      <c r="AJ219" s="77" t="e">
        <f>Tabella8[[#This Row],[rest of Italy fit]]</f>
        <v>#VALUE!</v>
      </c>
      <c r="AK219" s="72" t="e">
        <f>Tabella3[[#This Row],[rest of Italy cumul. fit]]/Ka</f>
        <v>#VALUE!</v>
      </c>
      <c r="AL219" s="72">
        <f>IFERROR(Ka*psi_a*_xlfn.SECH(psi_a*(Tabella3[[#This Row],[Day]]-pa)-phi_a)^2/(1+TANH(phi_a)),0)</f>
        <v>129.21201778688456</v>
      </c>
      <c r="AM219" s="72">
        <f>Tabella3[[#This Row],[rest of Italy fit]]/y_a_peak</f>
        <v>4.5150748447053739E-2</v>
      </c>
      <c r="AN219" s="10">
        <f>Tabella3[[#This Row],[rest of Italy fit]]*NOT(ISBLANK(Tabella3[[#This Row],[rest of Italy data]]))</f>
        <v>0</v>
      </c>
      <c r="AO219" s="131"/>
      <c r="AP219" s="131"/>
    </row>
    <row r="220" spans="2:42" x14ac:dyDescent="0.3">
      <c r="B220" s="9">
        <v>44043</v>
      </c>
      <c r="C220" s="4">
        <v>213</v>
      </c>
      <c r="D220" s="131"/>
      <c r="E220" s="10"/>
      <c r="F220" s="10">
        <f>Tabella3[[#This Row],[Italy remov. rate data]]*NOT(ISBLANK(Tabella3[[#This Row],[Italy remov. rate data]]))</f>
        <v>0</v>
      </c>
      <c r="G220" s="77" t="e">
        <f>Tabella8[[#This Row],[Italy fit]]</f>
        <v>#VALUE!</v>
      </c>
      <c r="H220" s="77" t="e">
        <f>Tabella3[[#This Row],[Italy cumul. fit]]/Kf</f>
        <v>#VALUE!</v>
      </c>
      <c r="I220" s="77">
        <f>Tabella3[[#This Row],[region fit]]+Tabella3[[#This Row],[rest of Italy fit]]</f>
        <v>125.74230425595793</v>
      </c>
      <c r="J220" s="77">
        <f>Tabella3[[#This Row],[Italy (fit of selected region + fitted sum of the other regions)]]/(y_l_peak+y_a_peak)</f>
        <v>4.1919822801915169E-2</v>
      </c>
      <c r="K220" s="72">
        <f>IFERROR(Kf*psi_f*_xlfn.SECH(psi_f*(Tabella3[[#This Row],[Day]]-pf)-phi_f)^2/(1+TANH(phi_f)),0)</f>
        <v>124.38426094466021</v>
      </c>
      <c r="L220" s="292">
        <f>Tabella3[[#This Row],[Italy remov. rate fit]]-Tabella3[[#This Row],[Italy remov. rate data]]</f>
        <v>124.38426094466021</v>
      </c>
      <c r="M220" s="293">
        <f>Tabella3[[#This Row],[rem. rate residuals]]*NOT(ISBLANK(Tabella3[[#This Row],[Italy remov. rate data]]))</f>
        <v>0</v>
      </c>
      <c r="N220" s="72">
        <f>Tabella3[[#This Row],[Italy remov. rate fit]]/y_f_peak</f>
        <v>4.1441997717648921E-2</v>
      </c>
      <c r="O220" s="10">
        <f>Tabella3[[#This Row],[Italy (fit of selected region + fitted sum of the other regions)]]*NOT(ISBLANK(Tabella3[[#This Row],[Italy remov. rate data]]))</f>
        <v>0</v>
      </c>
      <c r="P220" s="10">
        <f>Tabella3[[#This Row],[Italy remov. rate fit]]*NOT(ISBLANK(Tabella3[[#This Row],[Italy remov. rate data]]))</f>
        <v>0</v>
      </c>
      <c r="Q220" s="72"/>
      <c r="R220" s="72"/>
      <c r="S220" s="131"/>
      <c r="T220" s="10"/>
      <c r="U220" s="10">
        <f>Tabella3[[#This Row],[region data]]*NOT(ISBLANK(Tabella3[[#This Row],[region data]]))</f>
        <v>0</v>
      </c>
      <c r="V220"/>
      <c r="W220" s="72">
        <f>Tabella3[[#This Row],[6-days moving avg]]*NOT(ISBLANK(Tabella3[[#This Row],[6-days moving avg]]))</f>
        <v>0</v>
      </c>
      <c r="X220" s="77" t="e">
        <f>Tabella8[[#This Row],[region fit]]</f>
        <v>#VALUE!</v>
      </c>
      <c r="Y220" s="72" t="e">
        <f>Tabella3[[#This Row],[region cumul. fit]]/Kl</f>
        <v>#VALUE!</v>
      </c>
      <c r="Z220" s="72">
        <f>IFERROR(Kl*psi_l*_xlfn.SECH(psi_l*(Tabella3[[#This Row],[Day]]-pl)-phi_l)^2/(1+TANH(phi_l)),0)</f>
        <v>2.5778605390080598</v>
      </c>
      <c r="AA220" s="72">
        <f>Tabella3[[#This Row],[region fit]]/y_l_peak</f>
        <v>1.8707358946292611E-2</v>
      </c>
      <c r="AB220" s="10">
        <f>Tabella3[[#This Row],[region fit]]*NOT(ISBLANK(Tabella3[[#This Row],[region data]]))</f>
        <v>0</v>
      </c>
      <c r="AC220" s="166">
        <f>IFERROR(kl_m*psi_l_m*_xlfn.SECH(psi_l_m*(Tabella3[[#This Row],[Day]]-pl_m)-phi_l_m)^2/(1+TANH(phi_l_m)),0)</f>
        <v>2.5778605390080598</v>
      </c>
      <c r="AD220" s="72">
        <f>Tabella3[[#This Row],[6-days moving avg fit]]*NOT(ISBLANK(Tabella3[[#This Row],[6-days moving avg]]))</f>
        <v>0</v>
      </c>
      <c r="AE220" s="131"/>
      <c r="AF220" s="131"/>
      <c r="AG220" s="131"/>
      <c r="AH220" s="10"/>
      <c r="AI220" s="10">
        <f>Tabella3[[#This Row],[rest of Italy data]]*NOT(ISBLANK(Tabella3[[#This Row],[rest of Italy data]]))</f>
        <v>0</v>
      </c>
      <c r="AJ220" s="77" t="e">
        <f>Tabella8[[#This Row],[rest of Italy fit]]</f>
        <v>#VALUE!</v>
      </c>
      <c r="AK220" s="72" t="e">
        <f>Tabella3[[#This Row],[rest of Italy cumul. fit]]/Ka</f>
        <v>#VALUE!</v>
      </c>
      <c r="AL220" s="72">
        <f>IFERROR(Ka*psi_a*_xlfn.SECH(psi_a*(Tabella3[[#This Row],[Day]]-pa)-phi_a)^2/(1+TANH(phi_a)),0)</f>
        <v>123.16444371694988</v>
      </c>
      <c r="AM220" s="72">
        <f>Tabella3[[#This Row],[rest of Italy fit]]/y_a_peak</f>
        <v>4.3037535603362188E-2</v>
      </c>
      <c r="AN220" s="10">
        <f>Tabella3[[#This Row],[rest of Italy fit]]*NOT(ISBLANK(Tabella3[[#This Row],[rest of Italy data]]))</f>
        <v>0</v>
      </c>
      <c r="AO220" s="131"/>
      <c r="AP220" s="131"/>
    </row>
    <row r="221" spans="2:42" x14ac:dyDescent="0.3">
      <c r="B221" s="9">
        <v>44044</v>
      </c>
      <c r="C221" s="4">
        <v>214</v>
      </c>
      <c r="D221" s="131"/>
      <c r="E221" s="10"/>
      <c r="F221" s="10">
        <f>Tabella3[[#This Row],[Italy remov. rate data]]*NOT(ISBLANK(Tabella3[[#This Row],[Italy remov. rate data]]))</f>
        <v>0</v>
      </c>
      <c r="G221" s="77" t="e">
        <f>Tabella8[[#This Row],[Italy fit]]</f>
        <v>#VALUE!</v>
      </c>
      <c r="H221" s="77" t="e">
        <f>Tabella3[[#This Row],[Italy cumul. fit]]/Kf</f>
        <v>#VALUE!</v>
      </c>
      <c r="I221" s="77">
        <f>Tabella3[[#This Row],[region fit]]+Tabella3[[#This Row],[rest of Italy fit]]</f>
        <v>119.83157341934482</v>
      </c>
      <c r="J221" s="77">
        <f>Tabella3[[#This Row],[Italy (fit of selected region + fitted sum of the other regions)]]/(y_l_peak+y_a_peak)</f>
        <v>3.9949310246361315E-2</v>
      </c>
      <c r="K221" s="72">
        <f>IFERROR(Kf*psi_f*_xlfn.SECH(psi_f*(Tabella3[[#This Row],[Day]]-pf)-phi_f)^2/(1+TANH(phi_f)),0)</f>
        <v>118.50940694067103</v>
      </c>
      <c r="L221" s="292">
        <f>Tabella3[[#This Row],[Italy remov. rate fit]]-Tabella3[[#This Row],[Italy remov. rate data]]</f>
        <v>118.50940694067103</v>
      </c>
      <c r="M221" s="293">
        <f>Tabella3[[#This Row],[rem. rate residuals]]*NOT(ISBLANK(Tabella3[[#This Row],[Italy remov. rate data]]))</f>
        <v>0</v>
      </c>
      <c r="N221" s="72">
        <f>Tabella3[[#This Row],[Italy remov. rate fit]]/y_f_peak</f>
        <v>3.9484630407863958E-2</v>
      </c>
      <c r="O221" s="10">
        <f>Tabella3[[#This Row],[Italy (fit of selected region + fitted sum of the other regions)]]*NOT(ISBLANK(Tabella3[[#This Row],[Italy remov. rate data]]))</f>
        <v>0</v>
      </c>
      <c r="P221" s="10">
        <f>Tabella3[[#This Row],[Italy remov. rate fit]]*NOT(ISBLANK(Tabella3[[#This Row],[Italy remov. rate data]]))</f>
        <v>0</v>
      </c>
      <c r="Q221" s="72"/>
      <c r="R221" s="72"/>
      <c r="S221" s="131"/>
      <c r="T221" s="10"/>
      <c r="U221" s="10">
        <f>Tabella3[[#This Row],[region data]]*NOT(ISBLANK(Tabella3[[#This Row],[region data]]))</f>
        <v>0</v>
      </c>
      <c r="V221"/>
      <c r="W221" s="72">
        <f>Tabella3[[#This Row],[6-days moving avg]]*NOT(ISBLANK(Tabella3[[#This Row],[6-days moving avg]]))</f>
        <v>0</v>
      </c>
      <c r="X221" s="77" t="e">
        <f>Tabella8[[#This Row],[region fit]]</f>
        <v>#VALUE!</v>
      </c>
      <c r="Y221" s="72" t="e">
        <f>Tabella3[[#This Row],[region cumul. fit]]/Kl</f>
        <v>#VALUE!</v>
      </c>
      <c r="Z221" s="72">
        <f>IFERROR(Kl*psi_l*_xlfn.SECH(psi_l*(Tabella3[[#This Row],[Day]]-pl)-phi_l)^2/(1+TANH(phi_l)),0)</f>
        <v>2.4377295060873636</v>
      </c>
      <c r="AA221" s="72">
        <f>Tabella3[[#This Row],[region fit]]/y_l_peak</f>
        <v>1.7690437552487913E-2</v>
      </c>
      <c r="AB221" s="10">
        <f>Tabella3[[#This Row],[region fit]]*NOT(ISBLANK(Tabella3[[#This Row],[region data]]))</f>
        <v>0</v>
      </c>
      <c r="AC221" s="166">
        <f>IFERROR(kl_m*psi_l_m*_xlfn.SECH(psi_l_m*(Tabella3[[#This Row],[Day]]-pl_m)-phi_l_m)^2/(1+TANH(phi_l_m)),0)</f>
        <v>2.4377295060873636</v>
      </c>
      <c r="AD221" s="72">
        <f>Tabella3[[#This Row],[6-days moving avg fit]]*NOT(ISBLANK(Tabella3[[#This Row],[6-days moving avg]]))</f>
        <v>0</v>
      </c>
      <c r="AE221" s="131"/>
      <c r="AF221" s="131"/>
      <c r="AG221" s="131"/>
      <c r="AH221" s="10"/>
      <c r="AI221" s="10">
        <f>Tabella3[[#This Row],[rest of Italy data]]*NOT(ISBLANK(Tabella3[[#This Row],[rest of Italy data]]))</f>
        <v>0</v>
      </c>
      <c r="AJ221" s="77" t="e">
        <f>Tabella8[[#This Row],[rest of Italy fit]]</f>
        <v>#VALUE!</v>
      </c>
      <c r="AK221" s="72" t="e">
        <f>Tabella3[[#This Row],[rest of Italy cumul. fit]]/Ka</f>
        <v>#VALUE!</v>
      </c>
      <c r="AL221" s="72">
        <f>IFERROR(Ka*psi_a*_xlfn.SECH(psi_a*(Tabella3[[#This Row],[Day]]-pa)-phi_a)^2/(1+TANH(phi_a)),0)</f>
        <v>117.39384391325746</v>
      </c>
      <c r="AM221" s="72">
        <f>Tabella3[[#This Row],[rest of Italy fit]]/y_a_peak</f>
        <v>4.1021106291385445E-2</v>
      </c>
      <c r="AN221" s="10">
        <f>Tabella3[[#This Row],[rest of Italy fit]]*NOT(ISBLANK(Tabella3[[#This Row],[rest of Italy data]]))</f>
        <v>0</v>
      </c>
      <c r="AO221" s="131"/>
      <c r="AP221" s="131"/>
    </row>
    <row r="222" spans="2:42" x14ac:dyDescent="0.3">
      <c r="B222" s="9">
        <v>44045</v>
      </c>
      <c r="C222" s="4">
        <v>215</v>
      </c>
      <c r="D222" s="131"/>
      <c r="E222" s="10"/>
      <c r="F222" s="10">
        <f>Tabella3[[#This Row],[Italy remov. rate data]]*NOT(ISBLANK(Tabella3[[#This Row],[Italy remov. rate data]]))</f>
        <v>0</v>
      </c>
      <c r="G222" s="77" t="e">
        <f>Tabella8[[#This Row],[Italy fit]]</f>
        <v>#VALUE!</v>
      </c>
      <c r="H222" s="77" t="e">
        <f>Tabella3[[#This Row],[Italy cumul. fit]]/Kf</f>
        <v>#VALUE!</v>
      </c>
      <c r="I222" s="77">
        <f>Tabella3[[#This Row],[region fit]]+Tabella3[[#This Row],[rest of Italy fit]]</f>
        <v>114.19324663560499</v>
      </c>
      <c r="J222" s="77">
        <f>Tabella3[[#This Row],[Italy (fit of selected region + fitted sum of the other regions)]]/(y_l_peak+y_a_peak)</f>
        <v>3.8069611436384508E-2</v>
      </c>
      <c r="K222" s="72">
        <f>IFERROR(Kf*psi_f*_xlfn.SECH(psi_f*(Tabella3[[#This Row],[Day]]-pf)-phi_f)^2/(1+TANH(phi_f)),0)</f>
        <v>112.90659182088766</v>
      </c>
      <c r="L222" s="292">
        <f>Tabella3[[#This Row],[Italy remov. rate fit]]-Tabella3[[#This Row],[Italy remov. rate data]]</f>
        <v>112.90659182088766</v>
      </c>
      <c r="M222" s="293">
        <f>Tabella3[[#This Row],[rem. rate residuals]]*NOT(ISBLANK(Tabella3[[#This Row],[Italy remov. rate data]]))</f>
        <v>0</v>
      </c>
      <c r="N222" s="72">
        <f>Tabella3[[#This Row],[Italy remov. rate fit]]/y_f_peak</f>
        <v>3.7617900247286999E-2</v>
      </c>
      <c r="O222" s="10">
        <f>Tabella3[[#This Row],[Italy (fit of selected region + fitted sum of the other regions)]]*NOT(ISBLANK(Tabella3[[#This Row],[Italy remov. rate data]]))</f>
        <v>0</v>
      </c>
      <c r="P222" s="10">
        <f>Tabella3[[#This Row],[Italy remov. rate fit]]*NOT(ISBLANK(Tabella3[[#This Row],[Italy remov. rate data]]))</f>
        <v>0</v>
      </c>
      <c r="Q222" s="72"/>
      <c r="R222" s="72"/>
      <c r="S222" s="131"/>
      <c r="T222" s="10"/>
      <c r="U222" s="10">
        <f>Tabella3[[#This Row],[region data]]*NOT(ISBLANK(Tabella3[[#This Row],[region data]]))</f>
        <v>0</v>
      </c>
      <c r="V222"/>
      <c r="W222" s="72">
        <f>Tabella3[[#This Row],[6-days moving avg]]*NOT(ISBLANK(Tabella3[[#This Row],[6-days moving avg]]))</f>
        <v>0</v>
      </c>
      <c r="X222" s="77" t="e">
        <f>Tabella8[[#This Row],[region fit]]</f>
        <v>#VALUE!</v>
      </c>
      <c r="Y222" s="72" t="e">
        <f>Tabella3[[#This Row],[region cumul. fit]]/Kl</f>
        <v>#VALUE!</v>
      </c>
      <c r="Z222" s="72">
        <f>IFERROR(Kl*psi_l*_xlfn.SECH(psi_l*(Tabella3[[#This Row],[Day]]-pl)-phi_l)^2/(1+TANH(phi_l)),0)</f>
        <v>2.3051510214248765</v>
      </c>
      <c r="AA222" s="72">
        <f>Tabella3[[#This Row],[region fit]]/y_l_peak</f>
        <v>1.6728324488725722E-2</v>
      </c>
      <c r="AB222" s="10">
        <f>Tabella3[[#This Row],[region fit]]*NOT(ISBLANK(Tabella3[[#This Row],[region data]]))</f>
        <v>0</v>
      </c>
      <c r="AC222" s="166">
        <f>IFERROR(kl_m*psi_l_m*_xlfn.SECH(psi_l_m*(Tabella3[[#This Row],[Day]]-pl_m)-phi_l_m)^2/(1+TANH(phi_l_m)),0)</f>
        <v>2.3051510214248765</v>
      </c>
      <c r="AD222" s="72">
        <f>Tabella3[[#This Row],[6-days moving avg fit]]*NOT(ISBLANK(Tabella3[[#This Row],[6-days moving avg]]))</f>
        <v>0</v>
      </c>
      <c r="AE222" s="131"/>
      <c r="AF222" s="131"/>
      <c r="AG222" s="131"/>
      <c r="AH222" s="10"/>
      <c r="AI222" s="10">
        <f>Tabella3[[#This Row],[rest of Italy data]]*NOT(ISBLANK(Tabella3[[#This Row],[rest of Italy data]]))</f>
        <v>0</v>
      </c>
      <c r="AJ222" s="77" t="e">
        <f>Tabella8[[#This Row],[rest of Italy fit]]</f>
        <v>#VALUE!</v>
      </c>
      <c r="AK222" s="72" t="e">
        <f>Tabella3[[#This Row],[rest of Italy cumul. fit]]/Ka</f>
        <v>#VALUE!</v>
      </c>
      <c r="AL222" s="72">
        <f>IFERROR(Ka*psi_a*_xlfn.SECH(psi_a*(Tabella3[[#This Row],[Day]]-pa)-phi_a)^2/(1+TANH(phi_a)),0)</f>
        <v>111.88809561418012</v>
      </c>
      <c r="AM222" s="72">
        <f>Tabella3[[#This Row],[rest of Italy fit]]/y_a_peak</f>
        <v>3.9097224436413995E-2</v>
      </c>
      <c r="AN222" s="10">
        <f>Tabella3[[#This Row],[rest of Italy fit]]*NOT(ISBLANK(Tabella3[[#This Row],[rest of Italy data]]))</f>
        <v>0</v>
      </c>
      <c r="AO222" s="131"/>
      <c r="AP222" s="131"/>
    </row>
    <row r="223" spans="2:42" x14ac:dyDescent="0.3">
      <c r="B223" s="9">
        <v>44046</v>
      </c>
      <c r="C223" s="4">
        <v>216</v>
      </c>
      <c r="D223" s="131"/>
      <c r="E223" s="10"/>
      <c r="F223" s="10">
        <f>Tabella3[[#This Row],[Italy remov. rate data]]*NOT(ISBLANK(Tabella3[[#This Row],[Italy remov. rate data]]))</f>
        <v>0</v>
      </c>
      <c r="G223" s="77" t="e">
        <f>Tabella8[[#This Row],[Italy fit]]</f>
        <v>#VALUE!</v>
      </c>
      <c r="H223" s="77" t="e">
        <f>Tabella3[[#This Row],[Italy cumul. fit]]/Kf</f>
        <v>#VALUE!</v>
      </c>
      <c r="I223" s="77">
        <f>Tabella3[[#This Row],[region fit]]+Tabella3[[#This Row],[rest of Italy fit]]</f>
        <v>108.81527909608735</v>
      </c>
      <c r="J223" s="77">
        <f>Tabella3[[#This Row],[Italy (fit of selected region + fitted sum of the other regions)]]/(y_l_peak+y_a_peak)</f>
        <v>3.6276710887718527E-2</v>
      </c>
      <c r="K223" s="72">
        <f>IFERROR(Kf*psi_f*_xlfn.SECH(psi_f*(Tabella3[[#This Row],[Day]]-pf)-phi_f)^2/(1+TANH(phi_f)),0)</f>
        <v>107.56372631238676</v>
      </c>
      <c r="L223" s="292">
        <f>Tabella3[[#This Row],[Italy remov. rate fit]]-Tabella3[[#This Row],[Italy remov. rate data]]</f>
        <v>107.56372631238676</v>
      </c>
      <c r="M223" s="293">
        <f>Tabella3[[#This Row],[rem. rate residuals]]*NOT(ISBLANK(Tabella3[[#This Row],[Italy remov. rate data]]))</f>
        <v>0</v>
      </c>
      <c r="N223" s="72">
        <f>Tabella3[[#This Row],[Italy remov. rate fit]]/y_f_peak</f>
        <v>3.5837779366016419E-2</v>
      </c>
      <c r="O223" s="10">
        <f>Tabella3[[#This Row],[Italy (fit of selected region + fitted sum of the other regions)]]*NOT(ISBLANK(Tabella3[[#This Row],[Italy remov. rate data]]))</f>
        <v>0</v>
      </c>
      <c r="P223" s="10">
        <f>Tabella3[[#This Row],[Italy remov. rate fit]]*NOT(ISBLANK(Tabella3[[#This Row],[Italy remov. rate data]]))</f>
        <v>0</v>
      </c>
      <c r="Q223" s="72"/>
      <c r="R223" s="72"/>
      <c r="S223" s="131"/>
      <c r="T223" s="10"/>
      <c r="U223" s="10">
        <f>Tabella3[[#This Row],[region data]]*NOT(ISBLANK(Tabella3[[#This Row],[region data]]))</f>
        <v>0</v>
      </c>
      <c r="V223"/>
      <c r="W223" s="72">
        <f>Tabella3[[#This Row],[6-days moving avg]]*NOT(ISBLANK(Tabella3[[#This Row],[6-days moving avg]]))</f>
        <v>0</v>
      </c>
      <c r="X223" s="77" t="e">
        <f>Tabella8[[#This Row],[region fit]]</f>
        <v>#VALUE!</v>
      </c>
      <c r="Y223" s="72" t="e">
        <f>Tabella3[[#This Row],[region cumul. fit]]/Kl</f>
        <v>#VALUE!</v>
      </c>
      <c r="Z223" s="72">
        <f>IFERROR(Kl*psi_l*_xlfn.SECH(psi_l*(Tabella3[[#This Row],[Day]]-pl)-phi_l)^2/(1+TANH(phi_l)),0)</f>
        <v>2.1797249305588728</v>
      </c>
      <c r="AA223" s="72">
        <f>Tabella3[[#This Row],[region fit]]/y_l_peak</f>
        <v>1.5818115861239799E-2</v>
      </c>
      <c r="AB223" s="10">
        <f>Tabella3[[#This Row],[region fit]]*NOT(ISBLANK(Tabella3[[#This Row],[region data]]))</f>
        <v>0</v>
      </c>
      <c r="AC223" s="166">
        <f>IFERROR(kl_m*psi_l_m*_xlfn.SECH(psi_l_m*(Tabella3[[#This Row],[Day]]-pl_m)-phi_l_m)^2/(1+TANH(phi_l_m)),0)</f>
        <v>2.1797249305588728</v>
      </c>
      <c r="AD223" s="72">
        <f>Tabella3[[#This Row],[6-days moving avg fit]]*NOT(ISBLANK(Tabella3[[#This Row],[6-days moving avg]]))</f>
        <v>0</v>
      </c>
      <c r="AE223" s="131"/>
      <c r="AF223" s="131"/>
      <c r="AG223" s="131"/>
      <c r="AH223" s="10"/>
      <c r="AI223" s="10">
        <f>Tabella3[[#This Row],[rest of Italy data]]*NOT(ISBLANK(Tabella3[[#This Row],[rest of Italy data]]))</f>
        <v>0</v>
      </c>
      <c r="AJ223" s="77" t="e">
        <f>Tabella8[[#This Row],[rest of Italy fit]]</f>
        <v>#VALUE!</v>
      </c>
      <c r="AK223" s="72" t="e">
        <f>Tabella3[[#This Row],[rest of Italy cumul. fit]]/Ka</f>
        <v>#VALUE!</v>
      </c>
      <c r="AL223" s="72">
        <f>IFERROR(Ka*psi_a*_xlfn.SECH(psi_a*(Tabella3[[#This Row],[Day]]-pa)-phi_a)^2/(1+TANH(phi_a)),0)</f>
        <v>106.63555416552848</v>
      </c>
      <c r="AM223" s="72">
        <f>Tabella3[[#This Row],[rest of Italy fit]]/y_a_peak</f>
        <v>3.7261821029534722E-2</v>
      </c>
      <c r="AN223" s="10">
        <f>Tabella3[[#This Row],[rest of Italy fit]]*NOT(ISBLANK(Tabella3[[#This Row],[rest of Italy data]]))</f>
        <v>0</v>
      </c>
      <c r="AO223" s="131"/>
      <c r="AP223" s="131"/>
    </row>
    <row r="224" spans="2:42" x14ac:dyDescent="0.3">
      <c r="B224" s="9">
        <v>44047</v>
      </c>
      <c r="C224" s="4">
        <v>217</v>
      </c>
      <c r="D224" s="131"/>
      <c r="E224" s="10"/>
      <c r="F224" s="10">
        <f>Tabella3[[#This Row],[Italy remov. rate data]]*NOT(ISBLANK(Tabella3[[#This Row],[Italy remov. rate data]]))</f>
        <v>0</v>
      </c>
      <c r="G224" s="77" t="e">
        <f>Tabella8[[#This Row],[Italy fit]]</f>
        <v>#VALUE!</v>
      </c>
      <c r="H224" s="77" t="e">
        <f>Tabella3[[#This Row],[Italy cumul. fit]]/Kf</f>
        <v>#VALUE!</v>
      </c>
      <c r="I224" s="77">
        <f>Tabella3[[#This Row],[region fit]]+Tabella3[[#This Row],[rest of Italy fit]]</f>
        <v>103.68611073380572</v>
      </c>
      <c r="J224" s="77">
        <f>Tabella3[[#This Row],[Italy (fit of selected region + fitted sum of the other regions)]]/(y_l_peak+y_a_peak)</f>
        <v>3.4566754718708306E-2</v>
      </c>
      <c r="K224" s="72">
        <f>IFERROR(Kf*psi_f*_xlfn.SECH(psi_f*(Tabella3[[#This Row],[Day]]-pf)-phi_f)^2/(1+TANH(phi_f)),0)</f>
        <v>102.46921067155877</v>
      </c>
      <c r="L224" s="292">
        <f>Tabella3[[#This Row],[Italy remov. rate fit]]-Tabella3[[#This Row],[Italy remov. rate data]]</f>
        <v>102.46921067155877</v>
      </c>
      <c r="M224" s="293">
        <f>Tabella3[[#This Row],[rem. rate residuals]]*NOT(ISBLANK(Tabella3[[#This Row],[Italy remov. rate data]]))</f>
        <v>0</v>
      </c>
      <c r="N224" s="72">
        <f>Tabella3[[#This Row],[Italy remov. rate fit]]/y_f_peak</f>
        <v>3.4140402994148493E-2</v>
      </c>
      <c r="O224" s="10">
        <f>Tabella3[[#This Row],[Italy (fit of selected region + fitted sum of the other regions)]]*NOT(ISBLANK(Tabella3[[#This Row],[Italy remov. rate data]]))</f>
        <v>0</v>
      </c>
      <c r="P224" s="10">
        <f>Tabella3[[#This Row],[Italy remov. rate fit]]*NOT(ISBLANK(Tabella3[[#This Row],[Italy remov. rate data]]))</f>
        <v>0</v>
      </c>
      <c r="Q224" s="72"/>
      <c r="R224" s="72"/>
      <c r="S224" s="131"/>
      <c r="T224" s="10"/>
      <c r="U224" s="10">
        <f>Tabella3[[#This Row],[region data]]*NOT(ISBLANK(Tabella3[[#This Row],[region data]]))</f>
        <v>0</v>
      </c>
      <c r="V224"/>
      <c r="W224" s="72">
        <f>Tabella3[[#This Row],[6-days moving avg]]*NOT(ISBLANK(Tabella3[[#This Row],[6-days moving avg]]))</f>
        <v>0</v>
      </c>
      <c r="X224" s="77" t="e">
        <f>Tabella8[[#This Row],[region fit]]</f>
        <v>#VALUE!</v>
      </c>
      <c r="Y224" s="72" t="e">
        <f>Tabella3[[#This Row],[region cumul. fit]]/Kl</f>
        <v>#VALUE!</v>
      </c>
      <c r="Z224" s="72">
        <f>IFERROR(Kl*psi_l*_xlfn.SECH(psi_l*(Tabella3[[#This Row],[Day]]-pl)-phi_l)^2/(1+TANH(phi_l)),0)</f>
        <v>2.0610715444558951</v>
      </c>
      <c r="AA224" s="72">
        <f>Tabella3[[#This Row],[region fit]]/y_l_peak</f>
        <v>1.4957056292487655E-2</v>
      </c>
      <c r="AB224" s="10">
        <f>Tabella3[[#This Row],[region fit]]*NOT(ISBLANK(Tabella3[[#This Row],[region data]]))</f>
        <v>0</v>
      </c>
      <c r="AC224" s="166">
        <f>IFERROR(kl_m*psi_l_m*_xlfn.SECH(psi_l_m*(Tabella3[[#This Row],[Day]]-pl_m)-phi_l_m)^2/(1+TANH(phi_l_m)),0)</f>
        <v>2.0610715444558951</v>
      </c>
      <c r="AD224" s="72">
        <f>Tabella3[[#This Row],[6-days moving avg fit]]*NOT(ISBLANK(Tabella3[[#This Row],[6-days moving avg]]))</f>
        <v>0</v>
      </c>
      <c r="AE224" s="131"/>
      <c r="AF224" s="131"/>
      <c r="AG224" s="131"/>
      <c r="AH224" s="10"/>
      <c r="AI224" s="10">
        <f>Tabella3[[#This Row],[rest of Italy data]]*NOT(ISBLANK(Tabella3[[#This Row],[rest of Italy data]]))</f>
        <v>0</v>
      </c>
      <c r="AJ224" s="77" t="e">
        <f>Tabella8[[#This Row],[rest of Italy fit]]</f>
        <v>#VALUE!</v>
      </c>
      <c r="AK224" s="72" t="e">
        <f>Tabella3[[#This Row],[rest of Italy cumul. fit]]/Ka</f>
        <v>#VALUE!</v>
      </c>
      <c r="AL224" s="72">
        <f>IFERROR(Ka*psi_a*_xlfn.SECH(psi_a*(Tabella3[[#This Row],[Day]]-pa)-phi_a)^2/(1+TANH(phi_a)),0)</f>
        <v>101.62503918934982</v>
      </c>
      <c r="AM224" s="72">
        <f>Tabella3[[#This Row],[rest of Italy fit]]/y_a_peak</f>
        <v>3.5510989294573601E-2</v>
      </c>
      <c r="AN224" s="10">
        <f>Tabella3[[#This Row],[rest of Italy fit]]*NOT(ISBLANK(Tabella3[[#This Row],[rest of Italy data]]))</f>
        <v>0</v>
      </c>
      <c r="AO224" s="131"/>
      <c r="AP224" s="131"/>
    </row>
    <row r="225" spans="2:42" x14ac:dyDescent="0.3">
      <c r="B225" s="9">
        <v>44048</v>
      </c>
      <c r="C225" s="4">
        <v>218</v>
      </c>
      <c r="D225" s="131"/>
      <c r="E225" s="10"/>
      <c r="F225" s="10">
        <f>Tabella3[[#This Row],[Italy remov. rate data]]*NOT(ISBLANK(Tabella3[[#This Row],[Italy remov. rate data]]))</f>
        <v>0</v>
      </c>
      <c r="G225" s="77" t="e">
        <f>Tabella8[[#This Row],[Italy fit]]</f>
        <v>#VALUE!</v>
      </c>
      <c r="H225" s="77" t="e">
        <f>Tabella3[[#This Row],[Italy cumul. fit]]/Kf</f>
        <v>#VALUE!</v>
      </c>
      <c r="I225" s="77">
        <f>Tabella3[[#This Row],[region fit]]+Tabella3[[#This Row],[rest of Italy fit]]</f>
        <v>98.79465130473092</v>
      </c>
      <c r="J225" s="77">
        <f>Tabella3[[#This Row],[Italy (fit of selected region + fitted sum of the other regions)]]/(y_l_peak+y_a_peak)</f>
        <v>3.2936045676728455E-2</v>
      </c>
      <c r="K225" s="72">
        <f>IFERROR(Kf*psi_f*_xlfn.SECH(psi_f*(Tabella3[[#This Row],[Day]]-pf)-phi_f)^2/(1+TANH(phi_f)),0)</f>
        <v>97.61191944966022</v>
      </c>
      <c r="L225" s="292">
        <f>Tabella3[[#This Row],[Italy remov. rate fit]]-Tabella3[[#This Row],[Italy remov. rate data]]</f>
        <v>97.61191944966022</v>
      </c>
      <c r="M225" s="293">
        <f>Tabella3[[#This Row],[rem. rate residuals]]*NOT(ISBLANK(Tabella3[[#This Row],[Italy remov. rate data]]))</f>
        <v>0</v>
      </c>
      <c r="N225" s="72">
        <f>Tabella3[[#This Row],[Italy remov. rate fit]]/y_f_peak</f>
        <v>3.2522064386007112E-2</v>
      </c>
      <c r="O225" s="10">
        <f>Tabella3[[#This Row],[Italy (fit of selected region + fitted sum of the other regions)]]*NOT(ISBLANK(Tabella3[[#This Row],[Italy remov. rate data]]))</f>
        <v>0</v>
      </c>
      <c r="P225" s="10">
        <f>Tabella3[[#This Row],[Italy remov. rate fit]]*NOT(ISBLANK(Tabella3[[#This Row],[Italy remov. rate data]]))</f>
        <v>0</v>
      </c>
      <c r="Q225" s="72"/>
      <c r="R225" s="72"/>
      <c r="S225" s="131"/>
      <c r="T225" s="10"/>
      <c r="U225" s="10">
        <f>Tabella3[[#This Row],[region data]]*NOT(ISBLANK(Tabella3[[#This Row],[region data]]))</f>
        <v>0</v>
      </c>
      <c r="V225"/>
      <c r="W225" s="72">
        <f>Tabella3[[#This Row],[6-days moving avg]]*NOT(ISBLANK(Tabella3[[#This Row],[6-days moving avg]]))</f>
        <v>0</v>
      </c>
      <c r="X225" s="77" t="e">
        <f>Tabella8[[#This Row],[region fit]]</f>
        <v>#VALUE!</v>
      </c>
      <c r="Y225" s="72" t="e">
        <f>Tabella3[[#This Row],[region cumul. fit]]/Kl</f>
        <v>#VALUE!</v>
      </c>
      <c r="Z225" s="72">
        <f>IFERROR(Kl*psi_l*_xlfn.SECH(psi_l*(Tabella3[[#This Row],[Day]]-pl)-phi_l)^2/(1+TANH(phi_l)),0)</f>
        <v>1.9488306720103019</v>
      </c>
      <c r="AA225" s="72">
        <f>Tabella3[[#This Row],[region fit]]/y_l_peak</f>
        <v>1.4142531900065435E-2</v>
      </c>
      <c r="AB225" s="10">
        <f>Tabella3[[#This Row],[region fit]]*NOT(ISBLANK(Tabella3[[#This Row],[region data]]))</f>
        <v>0</v>
      </c>
      <c r="AC225" s="166">
        <f>IFERROR(kl_m*psi_l_m*_xlfn.SECH(psi_l_m*(Tabella3[[#This Row],[Day]]-pl_m)-phi_l_m)^2/(1+TANH(phi_l_m)),0)</f>
        <v>1.9488306720103019</v>
      </c>
      <c r="AD225" s="72">
        <f>Tabella3[[#This Row],[6-days moving avg fit]]*NOT(ISBLANK(Tabella3[[#This Row],[6-days moving avg]]))</f>
        <v>0</v>
      </c>
      <c r="AE225" s="131"/>
      <c r="AF225" s="131"/>
      <c r="AG225" s="131"/>
      <c r="AH225" s="10"/>
      <c r="AI225" s="10">
        <f>Tabella3[[#This Row],[rest of Italy data]]*NOT(ISBLANK(Tabella3[[#This Row],[rest of Italy data]]))</f>
        <v>0</v>
      </c>
      <c r="AJ225" s="77" t="e">
        <f>Tabella8[[#This Row],[rest of Italy fit]]</f>
        <v>#VALUE!</v>
      </c>
      <c r="AK225" s="72" t="e">
        <f>Tabella3[[#This Row],[rest of Italy cumul. fit]]/Ka</f>
        <v>#VALUE!</v>
      </c>
      <c r="AL225" s="72">
        <f>IFERROR(Ka*psi_a*_xlfn.SECH(psi_a*(Tabella3[[#This Row],[Day]]-pa)-phi_a)^2/(1+TANH(phi_a)),0)</f>
        <v>96.845820632720617</v>
      </c>
      <c r="AM225" s="72">
        <f>Tabella3[[#This Row],[rest of Italy fit]]/y_a_peak</f>
        <v>3.3840979813104466E-2</v>
      </c>
      <c r="AN225" s="10">
        <f>Tabella3[[#This Row],[rest of Italy fit]]*NOT(ISBLANK(Tabella3[[#This Row],[rest of Italy data]]))</f>
        <v>0</v>
      </c>
      <c r="AO225" s="131"/>
      <c r="AP225" s="131"/>
    </row>
    <row r="226" spans="2:42" x14ac:dyDescent="0.3">
      <c r="B226" s="9">
        <v>44049</v>
      </c>
      <c r="C226" s="4">
        <v>219</v>
      </c>
      <c r="D226" s="131"/>
      <c r="E226" s="10"/>
      <c r="F226" s="10">
        <f>Tabella3[[#This Row],[Italy remov. rate data]]*NOT(ISBLANK(Tabella3[[#This Row],[Italy remov. rate data]]))</f>
        <v>0</v>
      </c>
      <c r="G226" s="77" t="e">
        <f>Tabella8[[#This Row],[Italy fit]]</f>
        <v>#VALUE!</v>
      </c>
      <c r="H226" s="77" t="e">
        <f>Tabella3[[#This Row],[Italy cumul. fit]]/Kf</f>
        <v>#VALUE!</v>
      </c>
      <c r="I226" s="77">
        <f>Tabella3[[#This Row],[region fit]]+Tabella3[[#This Row],[rest of Italy fit]]</f>
        <v>94.130265456573156</v>
      </c>
      <c r="J226" s="77">
        <f>Tabella3[[#This Row],[Italy (fit of selected region + fitted sum of the other regions)]]/(y_l_peak+y_a_peak)</f>
        <v>3.1381038160431328E-2</v>
      </c>
      <c r="K226" s="72">
        <f>IFERROR(Kf*psi_f*_xlfn.SECH(psi_f*(Tabella3[[#This Row],[Day]]-pf)-phi_f)^2/(1+TANH(phi_f)),0)</f>
        <v>92.981186259872644</v>
      </c>
      <c r="L226" s="292">
        <f>Tabella3[[#This Row],[Italy remov. rate fit]]-Tabella3[[#This Row],[Italy remov. rate data]]</f>
        <v>92.981186259872644</v>
      </c>
      <c r="M226" s="293">
        <f>Tabella3[[#This Row],[rem. rate residuals]]*NOT(ISBLANK(Tabella3[[#This Row],[Italy remov. rate data]]))</f>
        <v>0</v>
      </c>
      <c r="N226" s="72">
        <f>Tabella3[[#This Row],[Italy remov. rate fit]]/y_f_peak</f>
        <v>3.0979209744875311E-2</v>
      </c>
      <c r="O226" s="10">
        <f>Tabella3[[#This Row],[Italy (fit of selected region + fitted sum of the other regions)]]*NOT(ISBLANK(Tabella3[[#This Row],[Italy remov. rate data]]))</f>
        <v>0</v>
      </c>
      <c r="P226" s="10">
        <f>Tabella3[[#This Row],[Italy remov. rate fit]]*NOT(ISBLANK(Tabella3[[#This Row],[Italy remov. rate data]]))</f>
        <v>0</v>
      </c>
      <c r="Q226" s="72"/>
      <c r="R226" s="72"/>
      <c r="S226" s="131"/>
      <c r="T226" s="10"/>
      <c r="U226" s="10">
        <f>Tabella3[[#This Row],[region data]]*NOT(ISBLANK(Tabella3[[#This Row],[region data]]))</f>
        <v>0</v>
      </c>
      <c r="V226"/>
      <c r="W226" s="72">
        <f>Tabella3[[#This Row],[6-days moving avg]]*NOT(ISBLANK(Tabella3[[#This Row],[6-days moving avg]]))</f>
        <v>0</v>
      </c>
      <c r="X226" s="77" t="e">
        <f>Tabella8[[#This Row],[region fit]]</f>
        <v>#VALUE!</v>
      </c>
      <c r="Y226" s="72" t="e">
        <f>Tabella3[[#This Row],[region cumul. fit]]/Kl</f>
        <v>#VALUE!</v>
      </c>
      <c r="Z226" s="72">
        <f>IFERROR(Kl*psi_l*_xlfn.SECH(psi_l*(Tabella3[[#This Row],[Day]]-pl)-phi_l)^2/(1+TANH(phi_l)),0)</f>
        <v>1.8426606895559079</v>
      </c>
      <c r="AA226" s="72">
        <f>Tabella3[[#This Row],[region fit]]/y_l_peak</f>
        <v>1.3372063544217064E-2</v>
      </c>
      <c r="AB226" s="10">
        <f>Tabella3[[#This Row],[region fit]]*NOT(ISBLANK(Tabella3[[#This Row],[region data]]))</f>
        <v>0</v>
      </c>
      <c r="AC226" s="166">
        <f>IFERROR(kl_m*psi_l_m*_xlfn.SECH(psi_l_m*(Tabella3[[#This Row],[Day]]-pl_m)-phi_l_m)^2/(1+TANH(phi_l_m)),0)</f>
        <v>1.8426606895559079</v>
      </c>
      <c r="AD226" s="72">
        <f>Tabella3[[#This Row],[6-days moving avg fit]]*NOT(ISBLANK(Tabella3[[#This Row],[6-days moving avg]]))</f>
        <v>0</v>
      </c>
      <c r="AE226" s="131"/>
      <c r="AF226" s="131"/>
      <c r="AG226" s="131"/>
      <c r="AH226" s="10"/>
      <c r="AI226" s="10">
        <f>Tabella3[[#This Row],[rest of Italy data]]*NOT(ISBLANK(Tabella3[[#This Row],[rest of Italy data]]))</f>
        <v>0</v>
      </c>
      <c r="AJ226" s="77" t="e">
        <f>Tabella8[[#This Row],[rest of Italy fit]]</f>
        <v>#VALUE!</v>
      </c>
      <c r="AK226" s="72" t="e">
        <f>Tabella3[[#This Row],[rest of Italy cumul. fit]]/Ka</f>
        <v>#VALUE!</v>
      </c>
      <c r="AL226" s="72">
        <f>IFERROR(Ka*psi_a*_xlfn.SECH(psi_a*(Tabella3[[#This Row],[Day]]-pa)-phi_a)^2/(1+TANH(phi_a)),0)</f>
        <v>92.287604767017243</v>
      </c>
      <c r="AM226" s="72">
        <f>Tabella3[[#This Row],[rest of Italy fit]]/y_a_peak</f>
        <v>3.2248195632153205E-2</v>
      </c>
      <c r="AN226" s="10">
        <f>Tabella3[[#This Row],[rest of Italy fit]]*NOT(ISBLANK(Tabella3[[#This Row],[rest of Italy data]]))</f>
        <v>0</v>
      </c>
      <c r="AO226" s="131"/>
      <c r="AP226" s="131"/>
    </row>
    <row r="227" spans="2:42" x14ac:dyDescent="0.3">
      <c r="B227" s="9">
        <v>44050</v>
      </c>
      <c r="C227" s="4">
        <v>220</v>
      </c>
      <c r="D227" s="131"/>
      <c r="E227" s="10"/>
      <c r="F227" s="10">
        <f>Tabella3[[#This Row],[Italy remov. rate data]]*NOT(ISBLANK(Tabella3[[#This Row],[Italy remov. rate data]]))</f>
        <v>0</v>
      </c>
      <c r="G227" s="77" t="e">
        <f>Tabella8[[#This Row],[Italy fit]]</f>
        <v>#VALUE!</v>
      </c>
      <c r="H227" s="77" t="e">
        <f>Tabella3[[#This Row],[Italy cumul. fit]]/Kf</f>
        <v>#VALUE!</v>
      </c>
      <c r="I227" s="77">
        <f>Tabella3[[#This Row],[region fit]]+Tabella3[[#This Row],[rest of Italy fit]]</f>
        <v>89.682757846798836</v>
      </c>
      <c r="J227" s="77">
        <f>Tabella3[[#This Row],[Italy (fit of selected region + fitted sum of the other regions)]]/(y_l_peak+y_a_peak)</f>
        <v>2.989833325840887E-2</v>
      </c>
      <c r="K227" s="72">
        <f>IFERROR(Kf*psi_f*_xlfn.SECH(psi_f*(Tabella3[[#This Row],[Day]]-pf)-phi_f)^2/(1+TANH(phi_f)),0)</f>
        <v>88.566788607610107</v>
      </c>
      <c r="L227" s="292">
        <f>Tabella3[[#This Row],[Italy remov. rate fit]]-Tabella3[[#This Row],[Italy remov. rate data]]</f>
        <v>88.566788607610107</v>
      </c>
      <c r="M227" s="293">
        <f>Tabella3[[#This Row],[rem. rate residuals]]*NOT(ISBLANK(Tabella3[[#This Row],[Italy remov. rate data]]))</f>
        <v>0</v>
      </c>
      <c r="N227" s="72">
        <f>Tabella3[[#This Row],[Italy remov. rate fit]]/y_f_peak</f>
        <v>2.9508433168799891E-2</v>
      </c>
      <c r="O227" s="10">
        <f>Tabella3[[#This Row],[Italy (fit of selected region + fitted sum of the other regions)]]*NOT(ISBLANK(Tabella3[[#This Row],[Italy remov. rate data]]))</f>
        <v>0</v>
      </c>
      <c r="P227" s="10">
        <f>Tabella3[[#This Row],[Italy remov. rate fit]]*NOT(ISBLANK(Tabella3[[#This Row],[Italy remov. rate data]]))</f>
        <v>0</v>
      </c>
      <c r="Q227" s="72"/>
      <c r="R227" s="72"/>
      <c r="S227" s="131"/>
      <c r="T227" s="10"/>
      <c r="U227" s="10">
        <f>Tabella3[[#This Row],[region data]]*NOT(ISBLANK(Tabella3[[#This Row],[region data]]))</f>
        <v>0</v>
      </c>
      <c r="V227"/>
      <c r="W227" s="72">
        <f>Tabella3[[#This Row],[6-days moving avg]]*NOT(ISBLANK(Tabella3[[#This Row],[6-days moving avg]]))</f>
        <v>0</v>
      </c>
      <c r="X227" s="77" t="e">
        <f>Tabella8[[#This Row],[region fit]]</f>
        <v>#VALUE!</v>
      </c>
      <c r="Y227" s="72" t="e">
        <f>Tabella3[[#This Row],[region cumul. fit]]/Kl</f>
        <v>#VALUE!</v>
      </c>
      <c r="Z227" s="72">
        <f>IFERROR(Kl*psi_l*_xlfn.SECH(psi_l*(Tabella3[[#This Row],[Day]]-pl)-phi_l)^2/(1+TANH(phi_l)),0)</f>
        <v>1.7422376469985743</v>
      </c>
      <c r="AA227" s="72">
        <f>Tabella3[[#This Row],[region fit]]/y_l_peak</f>
        <v>1.2643300341099123E-2</v>
      </c>
      <c r="AB227" s="10">
        <f>Tabella3[[#This Row],[region fit]]*NOT(ISBLANK(Tabella3[[#This Row],[region data]]))</f>
        <v>0</v>
      </c>
      <c r="AC227" s="166">
        <f>IFERROR(kl_m*psi_l_m*_xlfn.SECH(psi_l_m*(Tabella3[[#This Row],[Day]]-pl_m)-phi_l_m)^2/(1+TANH(phi_l_m)),0)</f>
        <v>1.7422376469985743</v>
      </c>
      <c r="AD227" s="72">
        <f>Tabella3[[#This Row],[6-days moving avg fit]]*NOT(ISBLANK(Tabella3[[#This Row],[6-days moving avg]]))</f>
        <v>0</v>
      </c>
      <c r="AE227" s="131"/>
      <c r="AF227" s="131"/>
      <c r="AG227" s="131"/>
      <c r="AH227" s="10"/>
      <c r="AI227" s="10">
        <f>Tabella3[[#This Row],[rest of Italy data]]*NOT(ISBLANK(Tabella3[[#This Row],[rest of Italy data]]))</f>
        <v>0</v>
      </c>
      <c r="AJ227" s="77" t="e">
        <f>Tabella8[[#This Row],[rest of Italy fit]]</f>
        <v>#VALUE!</v>
      </c>
      <c r="AK227" s="72" t="e">
        <f>Tabella3[[#This Row],[rest of Italy cumul. fit]]/Ka</f>
        <v>#VALUE!</v>
      </c>
      <c r="AL227" s="72">
        <f>IFERROR(Ka*psi_a*_xlfn.SECH(psi_a*(Tabella3[[#This Row],[Day]]-pa)-phi_a)^2/(1+TANH(phi_a)),0)</f>
        <v>87.940520199800261</v>
      </c>
      <c r="AM227" s="72">
        <f>Tabella3[[#This Row],[rest of Italy fit]]/y_a_peak</f>
        <v>3.0729187376309638E-2</v>
      </c>
      <c r="AN227" s="10">
        <f>Tabella3[[#This Row],[rest of Italy fit]]*NOT(ISBLANK(Tabella3[[#This Row],[rest of Italy data]]))</f>
        <v>0</v>
      </c>
      <c r="AO227" s="131"/>
      <c r="AP227" s="131"/>
    </row>
    <row r="228" spans="2:42" x14ac:dyDescent="0.3">
      <c r="B228" s="9">
        <v>44051</v>
      </c>
      <c r="C228" s="4">
        <v>221</v>
      </c>
      <c r="D228" s="131"/>
      <c r="E228" s="10"/>
      <c r="F228" s="10">
        <f>Tabella3[[#This Row],[Italy remov. rate data]]*NOT(ISBLANK(Tabella3[[#This Row],[Italy remov. rate data]]))</f>
        <v>0</v>
      </c>
      <c r="G228" s="77" t="e">
        <f>Tabella8[[#This Row],[Italy fit]]</f>
        <v>#VALUE!</v>
      </c>
      <c r="H228" s="77" t="e">
        <f>Tabella3[[#This Row],[Italy cumul. fit]]/Kf</f>
        <v>#VALUE!</v>
      </c>
      <c r="I228" s="77">
        <f>Tabella3[[#This Row],[region fit]]+Tabella3[[#This Row],[rest of Italy fit]]</f>
        <v>85.442358363869275</v>
      </c>
      <c r="J228" s="77">
        <f>Tabella3[[#This Row],[Italy (fit of selected region + fitted sum of the other regions)]]/(y_l_peak+y_a_peak)</f>
        <v>2.848467382226634E-2</v>
      </c>
      <c r="K228" s="72">
        <f>IFERROR(Kf*psi_f*_xlfn.SECH(psi_f*(Tabella3[[#This Row],[Day]]-pf)-phi_f)^2/(1+TANH(phi_f)),0)</f>
        <v>84.35893283796419</v>
      </c>
      <c r="L228" s="292">
        <f>Tabella3[[#This Row],[Italy remov. rate fit]]-Tabella3[[#This Row],[Italy remov. rate data]]</f>
        <v>84.35893283796419</v>
      </c>
      <c r="M228" s="293">
        <f>Tabella3[[#This Row],[rem. rate residuals]]*NOT(ISBLANK(Tabella3[[#This Row],[Italy remov. rate data]]))</f>
        <v>0</v>
      </c>
      <c r="N228" s="72">
        <f>Tabella3[[#This Row],[Italy remov. rate fit]]/y_f_peak</f>
        <v>2.8106471635423527E-2</v>
      </c>
      <c r="O228" s="10">
        <f>Tabella3[[#This Row],[Italy (fit of selected region + fitted sum of the other regions)]]*NOT(ISBLANK(Tabella3[[#This Row],[Italy remov. rate data]]))</f>
        <v>0</v>
      </c>
      <c r="P228" s="10">
        <f>Tabella3[[#This Row],[Italy remov. rate fit]]*NOT(ISBLANK(Tabella3[[#This Row],[Italy remov. rate data]]))</f>
        <v>0</v>
      </c>
      <c r="Q228" s="72"/>
      <c r="R228" s="72"/>
      <c r="S228" s="131"/>
      <c r="T228" s="10"/>
      <c r="U228" s="10">
        <f>Tabella3[[#This Row],[region data]]*NOT(ISBLANK(Tabella3[[#This Row],[region data]]))</f>
        <v>0</v>
      </c>
      <c r="V228"/>
      <c r="W228" s="72">
        <f>Tabella3[[#This Row],[6-days moving avg]]*NOT(ISBLANK(Tabella3[[#This Row],[6-days moving avg]]))</f>
        <v>0</v>
      </c>
      <c r="X228" s="77" t="e">
        <f>Tabella8[[#This Row],[region fit]]</f>
        <v>#VALUE!</v>
      </c>
      <c r="Y228" s="72" t="e">
        <f>Tabella3[[#This Row],[region cumul. fit]]/Kl</f>
        <v>#VALUE!</v>
      </c>
      <c r="Z228" s="72">
        <f>IFERROR(Kl*psi_l*_xlfn.SECH(psi_l*(Tabella3[[#This Row],[Day]]-pl)-phi_l)^2/(1+TANH(phi_l)),0)</f>
        <v>1.6472544100366338</v>
      </c>
      <c r="AA228" s="72">
        <f>Tabella3[[#This Row],[region fit]]/y_l_peak</f>
        <v>1.19540134379327E-2</v>
      </c>
      <c r="AB228" s="10">
        <f>Tabella3[[#This Row],[region fit]]*NOT(ISBLANK(Tabella3[[#This Row],[region data]]))</f>
        <v>0</v>
      </c>
      <c r="AC228" s="166">
        <f>IFERROR(kl_m*psi_l_m*_xlfn.SECH(psi_l_m*(Tabella3[[#This Row],[Day]]-pl_m)-phi_l_m)^2/(1+TANH(phi_l_m)),0)</f>
        <v>1.6472544100366338</v>
      </c>
      <c r="AD228" s="72">
        <f>Tabella3[[#This Row],[6-days moving avg fit]]*NOT(ISBLANK(Tabella3[[#This Row],[6-days moving avg]]))</f>
        <v>0</v>
      </c>
      <c r="AE228" s="131"/>
      <c r="AF228" s="131"/>
      <c r="AG228" s="131"/>
      <c r="AH228" s="10"/>
      <c r="AI228" s="10">
        <f>Tabella3[[#This Row],[rest of Italy data]]*NOT(ISBLANK(Tabella3[[#This Row],[rest of Italy data]]))</f>
        <v>0</v>
      </c>
      <c r="AJ228" s="77" t="e">
        <f>Tabella8[[#This Row],[rest of Italy fit]]</f>
        <v>#VALUE!</v>
      </c>
      <c r="AK228" s="72" t="e">
        <f>Tabella3[[#This Row],[rest of Italy cumul. fit]]/Ka</f>
        <v>#VALUE!</v>
      </c>
      <c r="AL228" s="72">
        <f>IFERROR(Ka*psi_a*_xlfn.SECH(psi_a*(Tabella3[[#This Row],[Day]]-pa)-phi_a)^2/(1+TANH(phi_a)),0)</f>
        <v>83.795103953832637</v>
      </c>
      <c r="AM228" s="72">
        <f>Tabella3[[#This Row],[rest of Italy fit]]/y_a_peak</f>
        <v>2.9280648383298014E-2</v>
      </c>
      <c r="AN228" s="10">
        <f>Tabella3[[#This Row],[rest of Italy fit]]*NOT(ISBLANK(Tabella3[[#This Row],[rest of Italy data]]))</f>
        <v>0</v>
      </c>
      <c r="AO228" s="131"/>
      <c r="AP228" s="131"/>
    </row>
    <row r="229" spans="2:42" x14ac:dyDescent="0.3">
      <c r="B229" s="9">
        <v>44052</v>
      </c>
      <c r="C229" s="4">
        <v>222</v>
      </c>
      <c r="D229" s="131"/>
      <c r="E229" s="10"/>
      <c r="F229" s="10">
        <f>Tabella3[[#This Row],[Italy remov. rate data]]*NOT(ISBLANK(Tabella3[[#This Row],[Italy remov. rate data]]))</f>
        <v>0</v>
      </c>
      <c r="G229" s="77" t="e">
        <f>Tabella8[[#This Row],[Italy fit]]</f>
        <v>#VALUE!</v>
      </c>
      <c r="H229" s="77" t="e">
        <f>Tabella3[[#This Row],[Italy cumul. fit]]/Kf</f>
        <v>#VALUE!</v>
      </c>
      <c r="I229" s="77">
        <f>Tabella3[[#This Row],[region fit]]+Tabella3[[#This Row],[rest of Italy fit]]</f>
        <v>81.399707498627834</v>
      </c>
      <c r="J229" s="77">
        <f>Tabella3[[#This Row],[Italy (fit of selected region + fitted sum of the other regions)]]/(y_l_peak+y_a_peak)</f>
        <v>2.7136939589752457E-2</v>
      </c>
      <c r="K229" s="72">
        <f>IFERROR(Kf*psi_f*_xlfn.SECH(psi_f*(Tabella3[[#This Row],[Day]]-pf)-phi_f)^2/(1+TANH(phi_f)),0)</f>
        <v>80.348239247038123</v>
      </c>
      <c r="L229" s="292">
        <f>Tabella3[[#This Row],[Italy remov. rate fit]]-Tabella3[[#This Row],[Italy remov. rate data]]</f>
        <v>80.348239247038123</v>
      </c>
      <c r="M229" s="293">
        <f>Tabella3[[#This Row],[rem. rate residuals]]*NOT(ISBLANK(Tabella3[[#This Row],[Italy remov. rate data]]))</f>
        <v>0</v>
      </c>
      <c r="N229" s="72">
        <f>Tabella3[[#This Row],[Italy remov. rate fit]]/y_f_peak</f>
        <v>2.6770200041421E-2</v>
      </c>
      <c r="O229" s="10">
        <f>Tabella3[[#This Row],[Italy (fit of selected region + fitted sum of the other regions)]]*NOT(ISBLANK(Tabella3[[#This Row],[Italy remov. rate data]]))</f>
        <v>0</v>
      </c>
      <c r="P229" s="10">
        <f>Tabella3[[#This Row],[Italy remov. rate fit]]*NOT(ISBLANK(Tabella3[[#This Row],[Italy remov. rate data]]))</f>
        <v>0</v>
      </c>
      <c r="Q229" s="72"/>
      <c r="R229" s="72"/>
      <c r="S229" s="131"/>
      <c r="T229" s="10"/>
      <c r="U229" s="10">
        <f>Tabella3[[#This Row],[region data]]*NOT(ISBLANK(Tabella3[[#This Row],[region data]]))</f>
        <v>0</v>
      </c>
      <c r="V229"/>
      <c r="W229" s="72">
        <f>Tabella3[[#This Row],[6-days moving avg]]*NOT(ISBLANK(Tabella3[[#This Row],[6-days moving avg]]))</f>
        <v>0</v>
      </c>
      <c r="X229" s="77" t="e">
        <f>Tabella8[[#This Row],[region fit]]</f>
        <v>#VALUE!</v>
      </c>
      <c r="Y229" s="72" t="e">
        <f>Tabella3[[#This Row],[region cumul. fit]]/Kl</f>
        <v>#VALUE!</v>
      </c>
      <c r="Z229" s="72">
        <f>IFERROR(Kl*psi_l*_xlfn.SECH(psi_l*(Tabella3[[#This Row],[Day]]-pl)-phi_l)^2/(1+TANH(phi_l)),0)</f>
        <v>1.5574198378172184</v>
      </c>
      <c r="AA229" s="72">
        <f>Tabella3[[#This Row],[region fit]]/y_l_peak</f>
        <v>1.130209004531119E-2</v>
      </c>
      <c r="AB229" s="10">
        <f>Tabella3[[#This Row],[region fit]]*NOT(ISBLANK(Tabella3[[#This Row],[region data]]))</f>
        <v>0</v>
      </c>
      <c r="AC229" s="166">
        <f>IFERROR(kl_m*psi_l_m*_xlfn.SECH(psi_l_m*(Tabella3[[#This Row],[Day]]-pl_m)-phi_l_m)^2/(1+TANH(phi_l_m)),0)</f>
        <v>1.5574198378172184</v>
      </c>
      <c r="AD229" s="72">
        <f>Tabella3[[#This Row],[6-days moving avg fit]]*NOT(ISBLANK(Tabella3[[#This Row],[6-days moving avg]]))</f>
        <v>0</v>
      </c>
      <c r="AE229" s="131"/>
      <c r="AF229" s="131"/>
      <c r="AG229" s="131"/>
      <c r="AH229" s="10"/>
      <c r="AI229" s="10">
        <f>Tabella3[[#This Row],[rest of Italy data]]*NOT(ISBLANK(Tabella3[[#This Row],[rest of Italy data]]))</f>
        <v>0</v>
      </c>
      <c r="AJ229" s="77" t="e">
        <f>Tabella8[[#This Row],[rest of Italy fit]]</f>
        <v>#VALUE!</v>
      </c>
      <c r="AK229" s="72" t="e">
        <f>Tabella3[[#This Row],[rest of Italy cumul. fit]]/Ka</f>
        <v>#VALUE!</v>
      </c>
      <c r="AL229" s="72">
        <f>IFERROR(Ka*psi_a*_xlfn.SECH(psi_a*(Tabella3[[#This Row],[Day]]-pa)-phi_a)^2/(1+TANH(phi_a)),0)</f>
        <v>79.842287660810612</v>
      </c>
      <c r="AM229" s="72">
        <f>Tabella3[[#This Row],[rest of Italy fit]]/y_a_peak</f>
        <v>2.7899409879631767E-2</v>
      </c>
      <c r="AN229" s="10">
        <f>Tabella3[[#This Row],[rest of Italy fit]]*NOT(ISBLANK(Tabella3[[#This Row],[rest of Italy data]]))</f>
        <v>0</v>
      </c>
      <c r="AO229" s="131"/>
      <c r="AP229" s="131"/>
    </row>
    <row r="230" spans="2:42" x14ac:dyDescent="0.3">
      <c r="B230" s="9">
        <v>44053</v>
      </c>
      <c r="C230" s="4">
        <v>223</v>
      </c>
      <c r="D230" s="131"/>
      <c r="E230" s="10"/>
      <c r="F230" s="10">
        <f>Tabella3[[#This Row],[Italy remov. rate data]]*NOT(ISBLANK(Tabella3[[#This Row],[Italy remov. rate data]]))</f>
        <v>0</v>
      </c>
      <c r="G230" s="77" t="e">
        <f>Tabella8[[#This Row],[Italy fit]]</f>
        <v>#VALUE!</v>
      </c>
      <c r="H230" s="77" t="e">
        <f>Tabella3[[#This Row],[Italy cumul. fit]]/Kf</f>
        <v>#VALUE!</v>
      </c>
      <c r="I230" s="77">
        <f>Tabella3[[#This Row],[region fit]]+Tabella3[[#This Row],[rest of Italy fit]]</f>
        <v>77.545841906360153</v>
      </c>
      <c r="J230" s="77">
        <f>Tabella3[[#This Row],[Italy (fit of selected region + fitted sum of the other regions)]]/(y_l_peak+y_a_peak)</f>
        <v>2.5852142371455864E-2</v>
      </c>
      <c r="K230" s="72">
        <f>IFERROR(Kf*psi_f*_xlfn.SECH(psi_f*(Tabella3[[#This Row],[Day]]-pf)-phi_f)^2/(1+TANH(phi_f)),0)</f>
        <v>76.525727397438303</v>
      </c>
      <c r="L230" s="292">
        <f>Tabella3[[#This Row],[Italy remov. rate fit]]-Tabella3[[#This Row],[Italy remov. rate data]]</f>
        <v>76.525727397438303</v>
      </c>
      <c r="M230" s="293">
        <f>Tabella3[[#This Row],[rem. rate residuals]]*NOT(ISBLANK(Tabella3[[#This Row],[Italy remov. rate data]]))</f>
        <v>0</v>
      </c>
      <c r="N230" s="72">
        <f>Tabella3[[#This Row],[Italy remov. rate fit]]/y_f_peak</f>
        <v>2.5496626309956045E-2</v>
      </c>
      <c r="O230" s="10">
        <f>Tabella3[[#This Row],[Italy (fit of selected region + fitted sum of the other regions)]]*NOT(ISBLANK(Tabella3[[#This Row],[Italy remov. rate data]]))</f>
        <v>0</v>
      </c>
      <c r="P230" s="10">
        <f>Tabella3[[#This Row],[Italy remov. rate fit]]*NOT(ISBLANK(Tabella3[[#This Row],[Italy remov. rate data]]))</f>
        <v>0</v>
      </c>
      <c r="Q230" s="72"/>
      <c r="R230" s="72"/>
      <c r="S230" s="131"/>
      <c r="T230" s="10"/>
      <c r="U230" s="10">
        <f>Tabella3[[#This Row],[region data]]*NOT(ISBLANK(Tabella3[[#This Row],[region data]]))</f>
        <v>0</v>
      </c>
      <c r="V230"/>
      <c r="W230" s="72">
        <f>Tabella3[[#This Row],[6-days moving avg]]*NOT(ISBLANK(Tabella3[[#This Row],[6-days moving avg]]))</f>
        <v>0</v>
      </c>
      <c r="X230" s="77" t="e">
        <f>Tabella8[[#This Row],[region fit]]</f>
        <v>#VALUE!</v>
      </c>
      <c r="Y230" s="72" t="e">
        <f>Tabella3[[#This Row],[region cumul. fit]]/Kl</f>
        <v>#VALUE!</v>
      </c>
      <c r="Z230" s="72">
        <f>IFERROR(Kl*psi_l*_xlfn.SECH(psi_l*(Tabella3[[#This Row],[Day]]-pl)-phi_l)^2/(1+TANH(phi_l)),0)</f>
        <v>1.4724579952788883</v>
      </c>
      <c r="AA230" s="72">
        <f>Tabella3[[#This Row],[region fit]]/y_l_peak</f>
        <v>1.0685527721224206E-2</v>
      </c>
      <c r="AB230" s="10">
        <f>Tabella3[[#This Row],[region fit]]*NOT(ISBLANK(Tabella3[[#This Row],[region data]]))</f>
        <v>0</v>
      </c>
      <c r="AC230" s="166">
        <f>IFERROR(kl_m*psi_l_m*_xlfn.SECH(psi_l_m*(Tabella3[[#This Row],[Day]]-pl_m)-phi_l_m)^2/(1+TANH(phi_l_m)),0)</f>
        <v>1.4724579952788883</v>
      </c>
      <c r="AD230" s="72">
        <f>Tabella3[[#This Row],[6-days moving avg fit]]*NOT(ISBLANK(Tabella3[[#This Row],[6-days moving avg]]))</f>
        <v>0</v>
      </c>
      <c r="AE230" s="131"/>
      <c r="AF230" s="131"/>
      <c r="AG230" s="131"/>
      <c r="AH230" s="10"/>
      <c r="AI230" s="10">
        <f>Tabella3[[#This Row],[rest of Italy data]]*NOT(ISBLANK(Tabella3[[#This Row],[rest of Italy data]]))</f>
        <v>0</v>
      </c>
      <c r="AJ230" s="77" t="e">
        <f>Tabella8[[#This Row],[rest of Italy fit]]</f>
        <v>#VALUE!</v>
      </c>
      <c r="AK230" s="72" t="e">
        <f>Tabella3[[#This Row],[rest of Italy cumul. fit]]/Ka</f>
        <v>#VALUE!</v>
      </c>
      <c r="AL230" s="72">
        <f>IFERROR(Ka*psi_a*_xlfn.SECH(psi_a*(Tabella3[[#This Row],[Day]]-pa)-phi_a)^2/(1+TANH(phi_a)),0)</f>
        <v>76.073383911081265</v>
      </c>
      <c r="AM230" s="72">
        <f>Tabella3[[#This Row],[rest of Italy fit]]/y_a_peak</f>
        <v>2.6582436210774937E-2</v>
      </c>
      <c r="AN230" s="10">
        <f>Tabella3[[#This Row],[rest of Italy fit]]*NOT(ISBLANK(Tabella3[[#This Row],[rest of Italy data]]))</f>
        <v>0</v>
      </c>
      <c r="AO230" s="131"/>
      <c r="AP230" s="131"/>
    </row>
    <row r="231" spans="2:42" x14ac:dyDescent="0.3">
      <c r="B231" s="9">
        <v>44054</v>
      </c>
      <c r="C231" s="4">
        <v>224</v>
      </c>
      <c r="D231" s="131"/>
      <c r="E231" s="10"/>
      <c r="F231" s="10">
        <f>Tabella3[[#This Row],[Italy remov. rate data]]*NOT(ISBLANK(Tabella3[[#This Row],[Italy remov. rate data]]))</f>
        <v>0</v>
      </c>
      <c r="G231" s="77" t="e">
        <f>Tabella8[[#This Row],[Italy fit]]</f>
        <v>#VALUE!</v>
      </c>
      <c r="H231" s="77" t="e">
        <f>Tabella3[[#This Row],[Italy cumul. fit]]/Kf</f>
        <v>#VALUE!</v>
      </c>
      <c r="I231" s="77">
        <f>Tabella3[[#This Row],[region fit]]+Tabella3[[#This Row],[rest of Italy fit]]</f>
        <v>73.872180194247477</v>
      </c>
      <c r="J231" s="77">
        <f>Tabella3[[#This Row],[Italy (fit of selected region + fitted sum of the other regions)]]/(y_l_peak+y_a_peak)</f>
        <v>2.462742131264286E-2</v>
      </c>
      <c r="K231" s="72">
        <f>IFERROR(Kf*psi_f*_xlfn.SECH(psi_f*(Tabella3[[#This Row],[Day]]-pf)-phi_f)^2/(1+TANH(phi_f)),0)</f>
        <v>72.882801672343362</v>
      </c>
      <c r="L231" s="292">
        <f>Tabella3[[#This Row],[Italy remov. rate fit]]-Tabella3[[#This Row],[Italy remov. rate data]]</f>
        <v>72.882801672343362</v>
      </c>
      <c r="M231" s="293">
        <f>Tabella3[[#This Row],[rem. rate residuals]]*NOT(ISBLANK(Tabella3[[#This Row],[Italy remov. rate data]]))</f>
        <v>0</v>
      </c>
      <c r="N231" s="72">
        <f>Tabella3[[#This Row],[Italy remov. rate fit]]/y_f_peak</f>
        <v>2.4282886577626749E-2</v>
      </c>
      <c r="O231" s="10">
        <f>Tabella3[[#This Row],[Italy (fit of selected region + fitted sum of the other regions)]]*NOT(ISBLANK(Tabella3[[#This Row],[Italy remov. rate data]]))</f>
        <v>0</v>
      </c>
      <c r="P231" s="10">
        <f>Tabella3[[#This Row],[Italy remov. rate fit]]*NOT(ISBLANK(Tabella3[[#This Row],[Italy remov. rate data]]))</f>
        <v>0</v>
      </c>
      <c r="Q231" s="72"/>
      <c r="R231" s="72"/>
      <c r="S231" s="131"/>
      <c r="T231" s="10"/>
      <c r="U231" s="10">
        <f>Tabella3[[#This Row],[region data]]*NOT(ISBLANK(Tabella3[[#This Row],[region data]]))</f>
        <v>0</v>
      </c>
      <c r="V231"/>
      <c r="W231" s="72">
        <f>Tabella3[[#This Row],[6-days moving avg]]*NOT(ISBLANK(Tabella3[[#This Row],[6-days moving avg]]))</f>
        <v>0</v>
      </c>
      <c r="X231" s="77" t="e">
        <f>Tabella8[[#This Row],[region fit]]</f>
        <v>#VALUE!</v>
      </c>
      <c r="Y231" s="72" t="e">
        <f>Tabella3[[#This Row],[region cumul. fit]]/Kl</f>
        <v>#VALUE!</v>
      </c>
      <c r="Z231" s="72">
        <f>IFERROR(Kl*psi_l*_xlfn.SECH(psi_l*(Tabella3[[#This Row],[Day]]-pl)-phi_l)^2/(1+TANH(phi_l)),0)</f>
        <v>1.3921073993515625</v>
      </c>
      <c r="AA231" s="72">
        <f>Tabella3[[#This Row],[region fit]]/y_l_peak</f>
        <v>1.0102428900781652E-2</v>
      </c>
      <c r="AB231" s="10">
        <f>Tabella3[[#This Row],[region fit]]*NOT(ISBLANK(Tabella3[[#This Row],[region data]]))</f>
        <v>0</v>
      </c>
      <c r="AC231" s="166">
        <f>IFERROR(kl_m*psi_l_m*_xlfn.SECH(psi_l_m*(Tabella3[[#This Row],[Day]]-pl_m)-phi_l_m)^2/(1+TANH(phi_l_m)),0)</f>
        <v>1.3921073993515625</v>
      </c>
      <c r="AD231" s="72">
        <f>Tabella3[[#This Row],[6-days moving avg fit]]*NOT(ISBLANK(Tabella3[[#This Row],[6-days moving avg]]))</f>
        <v>0</v>
      </c>
      <c r="AE231" s="131"/>
      <c r="AF231" s="131"/>
      <c r="AG231" s="131"/>
      <c r="AH231" s="10"/>
      <c r="AI231" s="10">
        <f>Tabella3[[#This Row],[rest of Italy data]]*NOT(ISBLANK(Tabella3[[#This Row],[rest of Italy data]]))</f>
        <v>0</v>
      </c>
      <c r="AJ231" s="77" t="e">
        <f>Tabella8[[#This Row],[rest of Italy fit]]</f>
        <v>#VALUE!</v>
      </c>
      <c r="AK231" s="72" t="e">
        <f>Tabella3[[#This Row],[rest of Italy cumul. fit]]/Ka</f>
        <v>#VALUE!</v>
      </c>
      <c r="AL231" s="72">
        <f>IFERROR(Ka*psi_a*_xlfn.SECH(psi_a*(Tabella3[[#This Row],[Day]]-pa)-phi_a)^2/(1+TANH(phi_a)),0)</f>
        <v>72.480072794895918</v>
      </c>
      <c r="AM231" s="72">
        <f>Tabella3[[#This Row],[rest of Italy fit]]/y_a_peak</f>
        <v>2.5326820138232228E-2</v>
      </c>
      <c r="AN231" s="10">
        <f>Tabella3[[#This Row],[rest of Italy fit]]*NOT(ISBLANK(Tabella3[[#This Row],[rest of Italy data]]))</f>
        <v>0</v>
      </c>
      <c r="AO231" s="131"/>
      <c r="AP231" s="131"/>
    </row>
    <row r="232" spans="2:42" x14ac:dyDescent="0.3">
      <c r="B232" s="9">
        <v>44055</v>
      </c>
      <c r="C232" s="4">
        <v>225</v>
      </c>
      <c r="D232" s="131"/>
      <c r="E232" s="10"/>
      <c r="F232" s="10">
        <f>Tabella3[[#This Row],[Italy remov. rate data]]*NOT(ISBLANK(Tabella3[[#This Row],[Italy remov. rate data]]))</f>
        <v>0</v>
      </c>
      <c r="G232" s="77" t="e">
        <f>Tabella8[[#This Row],[Italy fit]]</f>
        <v>#VALUE!</v>
      </c>
      <c r="H232" s="77" t="e">
        <f>Tabella3[[#This Row],[Italy cumul. fit]]/Kf</f>
        <v>#VALUE!</v>
      </c>
      <c r="I232" s="77">
        <f>Tabella3[[#This Row],[region fit]]+Tabella3[[#This Row],[rest of Italy fit]]</f>
        <v>70.370508963692828</v>
      </c>
      <c r="J232" s="77">
        <f>Tabella3[[#This Row],[Italy (fit of selected region + fitted sum of the other regions)]]/(y_l_peak+y_a_peak)</f>
        <v>2.3460038240064405E-2</v>
      </c>
      <c r="K232" s="72">
        <f>IFERROR(Kf*psi_f*_xlfn.SECH(psi_f*(Tabella3[[#This Row],[Day]]-pf)-phi_f)^2/(1+TANH(phi_f)),0)</f>
        <v>69.411237097278303</v>
      </c>
      <c r="L232" s="292">
        <f>Tabella3[[#This Row],[Italy remov. rate fit]]-Tabella3[[#This Row],[Italy remov. rate data]]</f>
        <v>69.411237097278303</v>
      </c>
      <c r="M232" s="293">
        <f>Tabella3[[#This Row],[rem. rate residuals]]*NOT(ISBLANK(Tabella3[[#This Row],[Italy remov. rate data]]))</f>
        <v>0</v>
      </c>
      <c r="N232" s="72">
        <f>Tabella3[[#This Row],[Italy remov. rate fit]]/y_f_peak</f>
        <v>2.3126240470604208E-2</v>
      </c>
      <c r="O232" s="10">
        <f>Tabella3[[#This Row],[Italy (fit of selected region + fitted sum of the other regions)]]*NOT(ISBLANK(Tabella3[[#This Row],[Italy remov. rate data]]))</f>
        <v>0</v>
      </c>
      <c r="P232" s="10">
        <f>Tabella3[[#This Row],[Italy remov. rate fit]]*NOT(ISBLANK(Tabella3[[#This Row],[Italy remov. rate data]]))</f>
        <v>0</v>
      </c>
      <c r="Q232" s="72"/>
      <c r="R232" s="72"/>
      <c r="S232" s="131"/>
      <c r="T232" s="10"/>
      <c r="U232" s="10">
        <f>Tabella3[[#This Row],[region data]]*NOT(ISBLANK(Tabella3[[#This Row],[region data]]))</f>
        <v>0</v>
      </c>
      <c r="V232"/>
      <c r="W232" s="72">
        <f>Tabella3[[#This Row],[6-days moving avg]]*NOT(ISBLANK(Tabella3[[#This Row],[6-days moving avg]]))</f>
        <v>0</v>
      </c>
      <c r="X232" s="77" t="e">
        <f>Tabella8[[#This Row],[region fit]]</f>
        <v>#VALUE!</v>
      </c>
      <c r="Y232" s="72" t="e">
        <f>Tabella3[[#This Row],[region cumul. fit]]/Kl</f>
        <v>#VALUE!</v>
      </c>
      <c r="Z232" s="72">
        <f>IFERROR(Kl*psi_l*_xlfn.SECH(psi_l*(Tabella3[[#This Row],[Day]]-pl)-phi_l)^2/(1+TANH(phi_l)),0)</f>
        <v>1.3161202981214073</v>
      </c>
      <c r="AA232" s="72">
        <f>Tabella3[[#This Row],[region fit]]/y_l_peak</f>
        <v>9.550995665162253E-3</v>
      </c>
      <c r="AB232" s="10">
        <f>Tabella3[[#This Row],[region fit]]*NOT(ISBLANK(Tabella3[[#This Row],[region data]]))</f>
        <v>0</v>
      </c>
      <c r="AC232" s="166">
        <f>IFERROR(kl_m*psi_l_m*_xlfn.SECH(psi_l_m*(Tabella3[[#This Row],[Day]]-pl_m)-phi_l_m)^2/(1+TANH(phi_l_m)),0)</f>
        <v>1.3161202981214073</v>
      </c>
      <c r="AD232" s="72">
        <f>Tabella3[[#This Row],[6-days moving avg fit]]*NOT(ISBLANK(Tabella3[[#This Row],[6-days moving avg]]))</f>
        <v>0</v>
      </c>
      <c r="AE232" s="131"/>
      <c r="AF232" s="131"/>
      <c r="AG232" s="131"/>
      <c r="AH232" s="10"/>
      <c r="AI232" s="10">
        <f>Tabella3[[#This Row],[rest of Italy data]]*NOT(ISBLANK(Tabella3[[#This Row],[rest of Italy data]]))</f>
        <v>0</v>
      </c>
      <c r="AJ232" s="77" t="e">
        <f>Tabella8[[#This Row],[rest of Italy fit]]</f>
        <v>#VALUE!</v>
      </c>
      <c r="AK232" s="72" t="e">
        <f>Tabella3[[#This Row],[rest of Italy cumul. fit]]/Ka</f>
        <v>#VALUE!</v>
      </c>
      <c r="AL232" s="72">
        <f>IFERROR(Ka*psi_a*_xlfn.SECH(psi_a*(Tabella3[[#This Row],[Day]]-pa)-phi_a)^2/(1+TANH(phi_a)),0)</f>
        <v>69.054388665571423</v>
      </c>
      <c r="AM232" s="72">
        <f>Tabella3[[#This Row],[rest of Italy fit]]/y_a_peak</f>
        <v>2.4129778214180685E-2</v>
      </c>
      <c r="AN232" s="10">
        <f>Tabella3[[#This Row],[rest of Italy fit]]*NOT(ISBLANK(Tabella3[[#This Row],[rest of Italy data]]))</f>
        <v>0</v>
      </c>
      <c r="AO232" s="131"/>
      <c r="AP232" s="131"/>
    </row>
    <row r="233" spans="2:42" x14ac:dyDescent="0.3">
      <c r="B233" s="9">
        <v>44056</v>
      </c>
      <c r="C233" s="4">
        <v>226</v>
      </c>
      <c r="D233" s="131"/>
      <c r="E233" s="10"/>
      <c r="F233" s="10">
        <f>Tabella3[[#This Row],[Italy remov. rate data]]*NOT(ISBLANK(Tabella3[[#This Row],[Italy remov. rate data]]))</f>
        <v>0</v>
      </c>
      <c r="G233" s="77" t="e">
        <f>Tabella8[[#This Row],[Italy fit]]</f>
        <v>#VALUE!</v>
      </c>
      <c r="H233" s="77" t="e">
        <f>Tabella3[[#This Row],[Italy cumul. fit]]/Kf</f>
        <v>#VALUE!</v>
      </c>
      <c r="I233" s="77">
        <f>Tabella3[[#This Row],[region fit]]+Tabella3[[#This Row],[rest of Italy fit]]</f>
        <v>67.032969132277188</v>
      </c>
      <c r="J233" s="77">
        <f>Tabella3[[#This Row],[Italy (fit of selected region + fitted sum of the other regions)]]/(y_l_peak+y_a_peak)</f>
        <v>2.2347373101985799E-2</v>
      </c>
      <c r="K233" s="72">
        <f>IFERROR(Kf*psi_f*_xlfn.SECH(psi_f*(Tabella3[[#This Row],[Day]]-pf)-phi_f)^2/(1+TANH(phi_f)),0)</f>
        <v>66.103165453960813</v>
      </c>
      <c r="L233" s="292">
        <f>Tabella3[[#This Row],[Italy remov. rate fit]]-Tabella3[[#This Row],[Italy remov. rate data]]</f>
        <v>66.103165453960813</v>
      </c>
      <c r="M233" s="293">
        <f>Tabella3[[#This Row],[rem. rate residuals]]*NOT(ISBLANK(Tabella3[[#This Row],[Italy remov. rate data]]))</f>
        <v>0</v>
      </c>
      <c r="N233" s="72">
        <f>Tabella3[[#This Row],[Italy remov. rate fit]]/y_f_peak</f>
        <v>2.2024066478082947E-2</v>
      </c>
      <c r="O233" s="10">
        <f>Tabella3[[#This Row],[Italy (fit of selected region + fitted sum of the other regions)]]*NOT(ISBLANK(Tabella3[[#This Row],[Italy remov. rate data]]))</f>
        <v>0</v>
      </c>
      <c r="P233" s="10">
        <f>Tabella3[[#This Row],[Italy remov. rate fit]]*NOT(ISBLANK(Tabella3[[#This Row],[Italy remov. rate data]]))</f>
        <v>0</v>
      </c>
      <c r="Q233" s="72"/>
      <c r="R233" s="72"/>
      <c r="S233" s="131"/>
      <c r="T233" s="10"/>
      <c r="U233" s="10">
        <f>Tabella3[[#This Row],[region data]]*NOT(ISBLANK(Tabella3[[#This Row],[region data]]))</f>
        <v>0</v>
      </c>
      <c r="V233"/>
      <c r="W233" s="72">
        <f>Tabella3[[#This Row],[6-days moving avg]]*NOT(ISBLANK(Tabella3[[#This Row],[6-days moving avg]]))</f>
        <v>0</v>
      </c>
      <c r="X233" s="77" t="e">
        <f>Tabella8[[#This Row],[region fit]]</f>
        <v>#VALUE!</v>
      </c>
      <c r="Y233" s="72" t="e">
        <f>Tabella3[[#This Row],[region cumul. fit]]/Kl</f>
        <v>#VALUE!</v>
      </c>
      <c r="Z233" s="72">
        <f>IFERROR(Kl*psi_l*_xlfn.SECH(psi_l*(Tabella3[[#This Row],[Day]]-pl)-phi_l)^2/(1+TANH(phi_l)),0)</f>
        <v>1.2442619820193914</v>
      </c>
      <c r="AA233" s="72">
        <f>Tabella3[[#This Row],[region fit]]/y_l_peak</f>
        <v>9.0295247429556403E-3</v>
      </c>
      <c r="AB233" s="10">
        <f>Tabella3[[#This Row],[region fit]]*NOT(ISBLANK(Tabella3[[#This Row],[region data]]))</f>
        <v>0</v>
      </c>
      <c r="AC233" s="166">
        <f>IFERROR(kl_m*psi_l_m*_xlfn.SECH(psi_l_m*(Tabella3[[#This Row],[Day]]-pl_m)-phi_l_m)^2/(1+TANH(phi_l_m)),0)</f>
        <v>1.2442619820193914</v>
      </c>
      <c r="AD233" s="72">
        <f>Tabella3[[#This Row],[6-days moving avg fit]]*NOT(ISBLANK(Tabella3[[#This Row],[6-days moving avg]]))</f>
        <v>0</v>
      </c>
      <c r="AE233" s="131"/>
      <c r="AF233" s="131"/>
      <c r="AG233" s="131"/>
      <c r="AH233" s="10"/>
      <c r="AI233" s="10">
        <f>Tabella3[[#This Row],[rest of Italy data]]*NOT(ISBLANK(Tabella3[[#This Row],[rest of Italy data]]))</f>
        <v>0</v>
      </c>
      <c r="AJ233" s="77" t="e">
        <f>Tabella8[[#This Row],[rest of Italy fit]]</f>
        <v>#VALUE!</v>
      </c>
      <c r="AK233" s="72" t="e">
        <f>Tabella3[[#This Row],[rest of Italy cumul. fit]]/Ka</f>
        <v>#VALUE!</v>
      </c>
      <c r="AL233" s="72">
        <f>IFERROR(Ka*psi_a*_xlfn.SECH(psi_a*(Tabella3[[#This Row],[Day]]-pa)-phi_a)^2/(1+TANH(phi_a)),0)</f>
        <v>65.788707150257792</v>
      </c>
      <c r="AM233" s="72">
        <f>Tabella3[[#This Row],[rest of Italy fit]]/y_a_peak</f>
        <v>2.2988646242622809E-2</v>
      </c>
      <c r="AN233" s="10">
        <f>Tabella3[[#This Row],[rest of Italy fit]]*NOT(ISBLANK(Tabella3[[#This Row],[rest of Italy data]]))</f>
        <v>0</v>
      </c>
      <c r="AO233" s="131"/>
      <c r="AP233" s="131"/>
    </row>
    <row r="234" spans="2:42" x14ac:dyDescent="0.3">
      <c r="B234" s="9">
        <v>44057</v>
      </c>
      <c r="C234" s="4">
        <v>227</v>
      </c>
      <c r="D234" s="131"/>
      <c r="E234" s="10"/>
      <c r="F234" s="10">
        <f>Tabella3[[#This Row],[Italy remov. rate data]]*NOT(ISBLANK(Tabella3[[#This Row],[Italy remov. rate data]]))</f>
        <v>0</v>
      </c>
      <c r="G234" s="77" t="e">
        <f>Tabella8[[#This Row],[Italy fit]]</f>
        <v>#VALUE!</v>
      </c>
      <c r="H234" s="77" t="e">
        <f>Tabella3[[#This Row],[Italy cumul. fit]]/Kf</f>
        <v>#VALUE!</v>
      </c>
      <c r="I234" s="77">
        <f>Tabella3[[#This Row],[region fit]]+Tabella3[[#This Row],[rest of Italy fit]]</f>
        <v>63.852042555851042</v>
      </c>
      <c r="J234" s="77">
        <f>Tabella3[[#This Row],[Italy (fit of selected region + fitted sum of the other regions)]]/(y_l_peak+y_a_peak)</f>
        <v>2.1286919508275163E-2</v>
      </c>
      <c r="K234" s="72">
        <f>IFERROR(Kf*psi_f*_xlfn.SECH(psi_f*(Tabella3[[#This Row],[Day]]-pf)-phi_f)^2/(1+TANH(phi_f)),0)</f>
        <v>62.951061706314441</v>
      </c>
      <c r="L234" s="292">
        <f>Tabella3[[#This Row],[Italy remov. rate fit]]-Tabella3[[#This Row],[Italy remov. rate data]]</f>
        <v>62.951061706314441</v>
      </c>
      <c r="M234" s="293">
        <f>Tabella3[[#This Row],[rem. rate residuals]]*NOT(ISBLANK(Tabella3[[#This Row],[Italy remov. rate data]]))</f>
        <v>0</v>
      </c>
      <c r="N234" s="72">
        <f>Tabella3[[#This Row],[Italy remov. rate fit]]/y_f_peak</f>
        <v>2.0973857429738223E-2</v>
      </c>
      <c r="O234" s="10">
        <f>Tabella3[[#This Row],[Italy (fit of selected region + fitted sum of the other regions)]]*NOT(ISBLANK(Tabella3[[#This Row],[Italy remov. rate data]]))</f>
        <v>0</v>
      </c>
      <c r="P234" s="10">
        <f>Tabella3[[#This Row],[Italy remov. rate fit]]*NOT(ISBLANK(Tabella3[[#This Row],[Italy remov. rate data]]))</f>
        <v>0</v>
      </c>
      <c r="Q234" s="72"/>
      <c r="R234" s="72"/>
      <c r="S234" s="131"/>
      <c r="T234" s="10"/>
      <c r="U234" s="10">
        <f>Tabella3[[#This Row],[region data]]*NOT(ISBLANK(Tabella3[[#This Row],[region data]]))</f>
        <v>0</v>
      </c>
      <c r="V234"/>
      <c r="W234" s="72">
        <f>Tabella3[[#This Row],[6-days moving avg]]*NOT(ISBLANK(Tabella3[[#This Row],[6-days moving avg]]))</f>
        <v>0</v>
      </c>
      <c r="X234" s="77" t="e">
        <f>Tabella8[[#This Row],[region fit]]</f>
        <v>#VALUE!</v>
      </c>
      <c r="Y234" s="72" t="e">
        <f>Tabella3[[#This Row],[region cumul. fit]]/Kl</f>
        <v>#VALUE!</v>
      </c>
      <c r="Z234" s="72">
        <f>IFERROR(Kl*psi_l*_xlfn.SECH(psi_l*(Tabella3[[#This Row],[Day]]-pl)-phi_l)^2/(1+TANH(phi_l)),0)</f>
        <v>1.1763101260555269</v>
      </c>
      <c r="AA234" s="72">
        <f>Tabella3[[#This Row],[region fit]]/y_l_peak</f>
        <v>8.5364027368009018E-3</v>
      </c>
      <c r="AB234" s="10">
        <f>Tabella3[[#This Row],[region fit]]*NOT(ISBLANK(Tabella3[[#This Row],[region data]]))</f>
        <v>0</v>
      </c>
      <c r="AC234" s="166">
        <f>IFERROR(kl_m*psi_l_m*_xlfn.SECH(psi_l_m*(Tabella3[[#This Row],[Day]]-pl_m)-phi_l_m)^2/(1+TANH(phi_l_m)),0)</f>
        <v>1.1763101260555269</v>
      </c>
      <c r="AD234" s="72">
        <f>Tabella3[[#This Row],[6-days moving avg fit]]*NOT(ISBLANK(Tabella3[[#This Row],[6-days moving avg]]))</f>
        <v>0</v>
      </c>
      <c r="AE234" s="131"/>
      <c r="AF234" s="131"/>
      <c r="AG234" s="131"/>
      <c r="AH234" s="10"/>
      <c r="AI234" s="10">
        <f>Tabella3[[#This Row],[rest of Italy data]]*NOT(ISBLANK(Tabella3[[#This Row],[rest of Italy data]]))</f>
        <v>0</v>
      </c>
      <c r="AJ234" s="77" t="e">
        <f>Tabella8[[#This Row],[rest of Italy fit]]</f>
        <v>#VALUE!</v>
      </c>
      <c r="AK234" s="72" t="e">
        <f>Tabella3[[#This Row],[rest of Italy cumul. fit]]/Ka</f>
        <v>#VALUE!</v>
      </c>
      <c r="AL234" s="72">
        <f>IFERROR(Ka*psi_a*_xlfn.SECH(psi_a*(Tabella3[[#This Row],[Day]]-pa)-phi_a)^2/(1+TANH(phi_a)),0)</f>
        <v>62.675732429795517</v>
      </c>
      <c r="AM234" s="72">
        <f>Tabella3[[#This Row],[rest of Italy fit]]/y_a_peak</f>
        <v>2.1900874834568099E-2</v>
      </c>
      <c r="AN234" s="10">
        <f>Tabella3[[#This Row],[rest of Italy fit]]*NOT(ISBLANK(Tabella3[[#This Row],[rest of Italy data]]))</f>
        <v>0</v>
      </c>
      <c r="AO234" s="131"/>
      <c r="AP234" s="131"/>
    </row>
    <row r="235" spans="2:42" x14ac:dyDescent="0.3">
      <c r="B235" s="9">
        <v>44058</v>
      </c>
      <c r="C235" s="4">
        <v>228</v>
      </c>
      <c r="D235" s="131"/>
      <c r="E235" s="10"/>
      <c r="F235" s="10">
        <f>Tabella3[[#This Row],[Italy remov. rate data]]*NOT(ISBLANK(Tabella3[[#This Row],[Italy remov. rate data]]))</f>
        <v>0</v>
      </c>
      <c r="G235" s="77" t="e">
        <f>Tabella8[[#This Row],[Italy fit]]</f>
        <v>#VALUE!</v>
      </c>
      <c r="H235" s="77" t="e">
        <f>Tabella3[[#This Row],[Italy cumul. fit]]/Kf</f>
        <v>#VALUE!</v>
      </c>
      <c r="I235" s="77">
        <f>Tabella3[[#This Row],[region fit]]+Tabella3[[#This Row],[rest of Italy fit]]</f>
        <v>60.820538967459179</v>
      </c>
      <c r="J235" s="77">
        <f>Tabella3[[#This Row],[Italy (fit of selected region + fitted sum of the other regions)]]/(y_l_peak+y_a_peak)</f>
        <v>2.0276280376117416E-2</v>
      </c>
      <c r="K235" s="72">
        <f>IFERROR(Kf*psi_f*_xlfn.SECH(psi_f*(Tabella3[[#This Row],[Day]]-pf)-phi_f)^2/(1+TANH(phi_f)),0)</f>
        <v>59.947730754907283</v>
      </c>
      <c r="L235" s="292">
        <f>Tabella3[[#This Row],[Italy remov. rate fit]]-Tabella3[[#This Row],[Italy remov. rate data]]</f>
        <v>59.947730754907283</v>
      </c>
      <c r="M235" s="293">
        <f>Tabella3[[#This Row],[rem. rate residuals]]*NOT(ISBLANK(Tabella3[[#This Row],[Italy remov. rate data]]))</f>
        <v>0</v>
      </c>
      <c r="N235" s="72">
        <f>Tabella3[[#This Row],[Italy remov. rate fit]]/y_f_peak</f>
        <v>1.9973216082607211E-2</v>
      </c>
      <c r="O235" s="10">
        <f>Tabella3[[#This Row],[Italy (fit of selected region + fitted sum of the other regions)]]*NOT(ISBLANK(Tabella3[[#This Row],[Italy remov. rate data]]))</f>
        <v>0</v>
      </c>
      <c r="P235" s="10">
        <f>Tabella3[[#This Row],[Italy remov. rate fit]]*NOT(ISBLANK(Tabella3[[#This Row],[Italy remov. rate data]]))</f>
        <v>0</v>
      </c>
      <c r="Q235" s="72"/>
      <c r="R235" s="72"/>
      <c r="S235" s="131"/>
      <c r="T235" s="10"/>
      <c r="U235" s="10">
        <f>Tabella3[[#This Row],[region data]]*NOT(ISBLANK(Tabella3[[#This Row],[region data]]))</f>
        <v>0</v>
      </c>
      <c r="V235"/>
      <c r="W235" s="72">
        <f>Tabella3[[#This Row],[6-days moving avg]]*NOT(ISBLANK(Tabella3[[#This Row],[6-days moving avg]]))</f>
        <v>0</v>
      </c>
      <c r="X235" s="77" t="e">
        <f>Tabella8[[#This Row],[region fit]]</f>
        <v>#VALUE!</v>
      </c>
      <c r="Y235" s="72" t="e">
        <f>Tabella3[[#This Row],[region cumul. fit]]/Kl</f>
        <v>#VALUE!</v>
      </c>
      <c r="Z235" s="72">
        <f>IFERROR(Kl*psi_l*_xlfn.SECH(psi_l*(Tabella3[[#This Row],[Day]]-pl)-phi_l)^2/(1+TANH(phi_l)),0)</f>
        <v>1.1120541620948878</v>
      </c>
      <c r="AA235" s="72">
        <f>Tabella3[[#This Row],[region fit]]/y_l_peak</f>
        <v>8.0701015680362566E-3</v>
      </c>
      <c r="AB235" s="10">
        <f>Tabella3[[#This Row],[region fit]]*NOT(ISBLANK(Tabella3[[#This Row],[region data]]))</f>
        <v>0</v>
      </c>
      <c r="AC235" s="166">
        <f>IFERROR(kl_m*psi_l_m*_xlfn.SECH(psi_l_m*(Tabella3[[#This Row],[Day]]-pl_m)-phi_l_m)^2/(1+TANH(phi_l_m)),0)</f>
        <v>1.1120541620948878</v>
      </c>
      <c r="AD235" s="72">
        <f>Tabella3[[#This Row],[6-days moving avg fit]]*NOT(ISBLANK(Tabella3[[#This Row],[6-days moving avg]]))</f>
        <v>0</v>
      </c>
      <c r="AE235" s="131"/>
      <c r="AF235" s="131"/>
      <c r="AG235" s="131"/>
      <c r="AH235" s="10"/>
      <c r="AI235" s="10">
        <f>Tabella3[[#This Row],[rest of Italy data]]*NOT(ISBLANK(Tabella3[[#This Row],[rest of Italy data]]))</f>
        <v>0</v>
      </c>
      <c r="AJ235" s="77" t="e">
        <f>Tabella8[[#This Row],[rest of Italy fit]]</f>
        <v>#VALUE!</v>
      </c>
      <c r="AK235" s="72" t="e">
        <f>Tabella3[[#This Row],[rest of Italy cumul. fit]]/Ka</f>
        <v>#VALUE!</v>
      </c>
      <c r="AL235" s="72">
        <f>IFERROR(Ka*psi_a*_xlfn.SECH(psi_a*(Tabella3[[#This Row],[Day]]-pa)-phi_a)^2/(1+TANH(phi_a)),0)</f>
        <v>59.708484805364293</v>
      </c>
      <c r="AM235" s="72">
        <f>Tabella3[[#This Row],[rest of Italy fit]]/y_a_peak</f>
        <v>2.0864025063428538E-2</v>
      </c>
      <c r="AN235" s="10">
        <f>Tabella3[[#This Row],[rest of Italy fit]]*NOT(ISBLANK(Tabella3[[#This Row],[rest of Italy data]]))</f>
        <v>0</v>
      </c>
      <c r="AO235" s="131"/>
      <c r="AP235" s="131"/>
    </row>
    <row r="236" spans="2:42" x14ac:dyDescent="0.3">
      <c r="B236" s="9">
        <v>44059</v>
      </c>
      <c r="C236" s="4">
        <v>229</v>
      </c>
      <c r="D236" s="131"/>
      <c r="E236" s="10"/>
      <c r="F236" s="10">
        <f>Tabella3[[#This Row],[Italy remov. rate data]]*NOT(ISBLANK(Tabella3[[#This Row],[Italy remov. rate data]]))</f>
        <v>0</v>
      </c>
      <c r="G236" s="77" t="e">
        <f>Tabella8[[#This Row],[Italy fit]]</f>
        <v>#VALUE!</v>
      </c>
      <c r="H236" s="77" t="e">
        <f>Tabella3[[#This Row],[Italy cumul. fit]]/Kf</f>
        <v>#VALUE!</v>
      </c>
      <c r="I236" s="77">
        <f>Tabella3[[#This Row],[region fit]]+Tabella3[[#This Row],[rest of Italy fit]]</f>
        <v>57.931583246381528</v>
      </c>
      <c r="J236" s="77">
        <f>Tabella3[[#This Row],[Italy (fit of selected region + fitted sum of the other regions)]]/(y_l_peak+y_a_peak)</f>
        <v>1.9313163685781943E-2</v>
      </c>
      <c r="K236" s="72">
        <f>IFERROR(Kf*psi_f*_xlfn.SECH(psi_f*(Tabella3[[#This Row],[Day]]-pf)-phi_f)^2/(1+TANH(phi_f)),0)</f>
        <v>57.086294532651529</v>
      </c>
      <c r="L236" s="292">
        <f>Tabella3[[#This Row],[Italy remov. rate fit]]-Tabella3[[#This Row],[Italy remov. rate data]]</f>
        <v>57.086294532651529</v>
      </c>
      <c r="M236" s="293">
        <f>Tabella3[[#This Row],[rem. rate residuals]]*NOT(ISBLANK(Tabella3[[#This Row],[Italy remov. rate data]]))</f>
        <v>0</v>
      </c>
      <c r="N236" s="72">
        <f>Tabella3[[#This Row],[Italy remov. rate fit]]/y_f_peak</f>
        <v>1.9019850821670542E-2</v>
      </c>
      <c r="O236" s="10">
        <f>Tabella3[[#This Row],[Italy (fit of selected region + fitted sum of the other regions)]]*NOT(ISBLANK(Tabella3[[#This Row],[Italy remov. rate data]]))</f>
        <v>0</v>
      </c>
      <c r="P236" s="10">
        <f>Tabella3[[#This Row],[Italy remov. rate fit]]*NOT(ISBLANK(Tabella3[[#This Row],[Italy remov. rate data]]))</f>
        <v>0</v>
      </c>
      <c r="Q236" s="72"/>
      <c r="R236" s="72"/>
      <c r="S236" s="131"/>
      <c r="T236" s="10"/>
      <c r="U236" s="10">
        <f>Tabella3[[#This Row],[region data]]*NOT(ISBLANK(Tabella3[[#This Row],[region data]]))</f>
        <v>0</v>
      </c>
      <c r="V236"/>
      <c r="W236" s="72">
        <f>Tabella3[[#This Row],[6-days moving avg]]*NOT(ISBLANK(Tabella3[[#This Row],[6-days moving avg]]))</f>
        <v>0</v>
      </c>
      <c r="X236" s="77" t="e">
        <f>Tabella8[[#This Row],[region fit]]</f>
        <v>#VALUE!</v>
      </c>
      <c r="Y236" s="72" t="e">
        <f>Tabella3[[#This Row],[region cumul. fit]]/Kl</f>
        <v>#VALUE!</v>
      </c>
      <c r="Z236" s="72">
        <f>IFERROR(Kl*psi_l*_xlfn.SECH(psi_l*(Tabella3[[#This Row],[Day]]-pl)-phi_l)^2/(1+TANH(phi_l)),0)</f>
        <v>1.0512946801550551</v>
      </c>
      <c r="AA236" s="72">
        <f>Tabella3[[#This Row],[region fit]]/y_l_peak</f>
        <v>7.6291741319552469E-3</v>
      </c>
      <c r="AB236" s="10">
        <f>Tabella3[[#This Row],[region fit]]*NOT(ISBLANK(Tabella3[[#This Row],[region data]]))</f>
        <v>0</v>
      </c>
      <c r="AC236" s="166">
        <f>IFERROR(kl_m*psi_l_m*_xlfn.SECH(psi_l_m*(Tabella3[[#This Row],[Day]]-pl_m)-phi_l_m)^2/(1+TANH(phi_l_m)),0)</f>
        <v>1.0512946801550551</v>
      </c>
      <c r="AD236" s="72">
        <f>Tabella3[[#This Row],[6-days moving avg fit]]*NOT(ISBLANK(Tabella3[[#This Row],[6-days moving avg]]))</f>
        <v>0</v>
      </c>
      <c r="AE236" s="131"/>
      <c r="AF236" s="131"/>
      <c r="AG236" s="131"/>
      <c r="AH236" s="10"/>
      <c r="AI236" s="10">
        <f>Tabella3[[#This Row],[rest of Italy data]]*NOT(ISBLANK(Tabella3[[#This Row],[rest of Italy data]]))</f>
        <v>0</v>
      </c>
      <c r="AJ236" s="77" t="e">
        <f>Tabella8[[#This Row],[rest of Italy fit]]</f>
        <v>#VALUE!</v>
      </c>
      <c r="AK236" s="72" t="e">
        <f>Tabella3[[#This Row],[rest of Italy cumul. fit]]/Ka</f>
        <v>#VALUE!</v>
      </c>
      <c r="AL236" s="72">
        <f>IFERROR(Ka*psi_a*_xlfn.SECH(psi_a*(Tabella3[[#This Row],[Day]]-pa)-phi_a)^2/(1+TANH(phi_a)),0)</f>
        <v>56.880288566226476</v>
      </c>
      <c r="AM236" s="72">
        <f>Tabella3[[#This Row],[rest of Italy fit]]/y_a_peak</f>
        <v>1.9875764225626064E-2</v>
      </c>
      <c r="AN236" s="10">
        <f>Tabella3[[#This Row],[rest of Italy fit]]*NOT(ISBLANK(Tabella3[[#This Row],[rest of Italy data]]))</f>
        <v>0</v>
      </c>
      <c r="AO236" s="131"/>
      <c r="AP236" s="131"/>
    </row>
    <row r="237" spans="2:42" x14ac:dyDescent="0.3">
      <c r="B237" s="9">
        <v>44060</v>
      </c>
      <c r="C237" s="4">
        <v>230</v>
      </c>
      <c r="D237" s="131"/>
      <c r="E237" s="10"/>
      <c r="F237" s="10">
        <f>Tabella3[[#This Row],[Italy remov. rate data]]*NOT(ISBLANK(Tabella3[[#This Row],[Italy remov. rate data]]))</f>
        <v>0</v>
      </c>
      <c r="G237" s="77" t="e">
        <f>Tabella8[[#This Row],[Italy fit]]</f>
        <v>#VALUE!</v>
      </c>
      <c r="H237" s="77" t="e">
        <f>Tabella3[[#This Row],[Italy cumul. fit]]/Kf</f>
        <v>#VALUE!</v>
      </c>
      <c r="I237" s="77">
        <f>Tabella3[[#This Row],[region fit]]+Tabella3[[#This Row],[rest of Italy fit]]</f>
        <v>55.178603027538408</v>
      </c>
      <c r="J237" s="77">
        <f>Tabella3[[#This Row],[Italy (fit of selected region + fitted sum of the other regions)]]/(y_l_peak+y_a_peak)</f>
        <v>1.8395378349860575E-2</v>
      </c>
      <c r="K237" s="72">
        <f>IFERROR(Kf*psi_f*_xlfn.SECH(psi_f*(Tabella3[[#This Row],[Day]]-pf)-phi_f)^2/(1+TANH(phi_f)),0)</f>
        <v>54.360179451552732</v>
      </c>
      <c r="L237" s="292">
        <f>Tabella3[[#This Row],[Italy remov. rate fit]]-Tabella3[[#This Row],[Italy remov. rate data]]</f>
        <v>54.360179451552732</v>
      </c>
      <c r="M237" s="293">
        <f>Tabella3[[#This Row],[rem. rate residuals]]*NOT(ISBLANK(Tabella3[[#This Row],[Italy remov. rate data]]))</f>
        <v>0</v>
      </c>
      <c r="N237" s="72">
        <f>Tabella3[[#This Row],[Italy remov. rate fit]]/y_f_peak</f>
        <v>1.8111571477395557E-2</v>
      </c>
      <c r="O237" s="10">
        <f>Tabella3[[#This Row],[Italy (fit of selected region + fitted sum of the other regions)]]*NOT(ISBLANK(Tabella3[[#This Row],[Italy remov. rate data]]))</f>
        <v>0</v>
      </c>
      <c r="P237" s="10">
        <f>Tabella3[[#This Row],[Italy remov. rate fit]]*NOT(ISBLANK(Tabella3[[#This Row],[Italy remov. rate data]]))</f>
        <v>0</v>
      </c>
      <c r="Q237" s="72"/>
      <c r="R237" s="72"/>
      <c r="S237" s="131"/>
      <c r="T237" s="10"/>
      <c r="U237" s="10">
        <f>Tabella3[[#This Row],[region data]]*NOT(ISBLANK(Tabella3[[#This Row],[region data]]))</f>
        <v>0</v>
      </c>
      <c r="V237"/>
      <c r="W237" s="72">
        <f>Tabella3[[#This Row],[6-days moving avg]]*NOT(ISBLANK(Tabella3[[#This Row],[6-days moving avg]]))</f>
        <v>0</v>
      </c>
      <c r="X237" s="77" t="e">
        <f>Tabella8[[#This Row],[region fit]]</f>
        <v>#VALUE!</v>
      </c>
      <c r="Y237" s="72" t="e">
        <f>Tabella3[[#This Row],[region cumul. fit]]/Kl</f>
        <v>#VALUE!</v>
      </c>
      <c r="Z237" s="72">
        <f>IFERROR(Kl*psi_l*_xlfn.SECH(psi_l*(Tabella3[[#This Row],[Day]]-pl)-phi_l)^2/(1+TANH(phi_l)),0)</f>
        <v>0.99384285769620517</v>
      </c>
      <c r="AA237" s="72">
        <f>Tabella3[[#This Row],[region fit]]/y_l_peak</f>
        <v>7.2122501562036558E-3</v>
      </c>
      <c r="AB237" s="10">
        <f>Tabella3[[#This Row],[region fit]]*NOT(ISBLANK(Tabella3[[#This Row],[region data]]))</f>
        <v>0</v>
      </c>
      <c r="AC237" s="166">
        <f>IFERROR(kl_m*psi_l_m*_xlfn.SECH(psi_l_m*(Tabella3[[#This Row],[Day]]-pl_m)-phi_l_m)^2/(1+TANH(phi_l_m)),0)</f>
        <v>0.99384285769620517</v>
      </c>
      <c r="AD237" s="72">
        <f>Tabella3[[#This Row],[6-days moving avg fit]]*NOT(ISBLANK(Tabella3[[#This Row],[6-days moving avg]]))</f>
        <v>0</v>
      </c>
      <c r="AE237" s="131"/>
      <c r="AF237" s="131"/>
      <c r="AG237" s="131"/>
      <c r="AH237" s="10"/>
      <c r="AI237" s="10">
        <f>Tabella3[[#This Row],[rest of Italy data]]*NOT(ISBLANK(Tabella3[[#This Row],[rest of Italy data]]))</f>
        <v>0</v>
      </c>
      <c r="AJ237" s="77" t="e">
        <f>Tabella8[[#This Row],[rest of Italy fit]]</f>
        <v>#VALUE!</v>
      </c>
      <c r="AK237" s="72" t="e">
        <f>Tabella3[[#This Row],[rest of Italy cumul. fit]]/Ka</f>
        <v>#VALUE!</v>
      </c>
      <c r="AL237" s="72">
        <f>IFERROR(Ka*psi_a*_xlfn.SECH(psi_a*(Tabella3[[#This Row],[Day]]-pa)-phi_a)^2/(1+TANH(phi_a)),0)</f>
        <v>54.1847601698422</v>
      </c>
      <c r="AM237" s="72">
        <f>Tabella3[[#This Row],[rest of Italy fit]]/y_a_peak</f>
        <v>1.8933861710352516E-2</v>
      </c>
      <c r="AN237" s="10">
        <f>Tabella3[[#This Row],[rest of Italy fit]]*NOT(ISBLANK(Tabella3[[#This Row],[rest of Italy data]]))</f>
        <v>0</v>
      </c>
      <c r="AO237" s="131"/>
      <c r="AP237" s="131"/>
    </row>
    <row r="238" spans="2:42" x14ac:dyDescent="0.3">
      <c r="B238" s="9">
        <v>44061</v>
      </c>
      <c r="C238" s="4">
        <v>231</v>
      </c>
      <c r="D238" s="131"/>
      <c r="E238" s="10"/>
      <c r="F238" s="10">
        <f>Tabella3[[#This Row],[Italy remov. rate data]]*NOT(ISBLANK(Tabella3[[#This Row],[Italy remov. rate data]]))</f>
        <v>0</v>
      </c>
      <c r="G238" s="77" t="e">
        <f>Tabella8[[#This Row],[Italy fit]]</f>
        <v>#VALUE!</v>
      </c>
      <c r="H238" s="77" t="e">
        <f>Tabella3[[#This Row],[Italy cumul. fit]]/Kf</f>
        <v>#VALUE!</v>
      </c>
      <c r="I238" s="77">
        <f>Tabella3[[#This Row],[region fit]]+Tabella3[[#This Row],[rest of Italy fit]]</f>
        <v>52.555316658796386</v>
      </c>
      <c r="J238" s="77">
        <f>Tabella3[[#This Row],[Italy (fit of selected region + fitted sum of the other regions)]]/(y_l_peak+y_a_peak)</f>
        <v>1.7520830198488244E-2</v>
      </c>
      <c r="K238" s="72">
        <f>IFERROR(Kf*psi_f*_xlfn.SECH(psi_f*(Tabella3[[#This Row],[Day]]-pf)-phi_f)^2/(1+TANH(phi_f)),0)</f>
        <v>51.763104207580554</v>
      </c>
      <c r="L238" s="292">
        <f>Tabella3[[#This Row],[Italy remov. rate fit]]-Tabella3[[#This Row],[Italy remov. rate data]]</f>
        <v>51.763104207580554</v>
      </c>
      <c r="M238" s="293">
        <f>Tabella3[[#This Row],[rem. rate residuals]]*NOT(ISBLANK(Tabella3[[#This Row],[Italy remov. rate data]]))</f>
        <v>0</v>
      </c>
      <c r="N238" s="72">
        <f>Tabella3[[#This Row],[Italy remov. rate fit]]/y_f_peak</f>
        <v>1.724628526259751E-2</v>
      </c>
      <c r="O238" s="10">
        <f>Tabella3[[#This Row],[Italy (fit of selected region + fitted sum of the other regions)]]*NOT(ISBLANK(Tabella3[[#This Row],[Italy remov. rate data]]))</f>
        <v>0</v>
      </c>
      <c r="P238" s="10">
        <f>Tabella3[[#This Row],[Italy remov. rate fit]]*NOT(ISBLANK(Tabella3[[#This Row],[Italy remov. rate data]]))</f>
        <v>0</v>
      </c>
      <c r="Q238" s="72"/>
      <c r="R238" s="72"/>
      <c r="S238" s="131"/>
      <c r="T238" s="10"/>
      <c r="U238" s="10">
        <f>Tabella3[[#This Row],[region data]]*NOT(ISBLANK(Tabella3[[#This Row],[region data]]))</f>
        <v>0</v>
      </c>
      <c r="V238"/>
      <c r="W238" s="72">
        <f>Tabella3[[#This Row],[6-days moving avg]]*NOT(ISBLANK(Tabella3[[#This Row],[6-days moving avg]]))</f>
        <v>0</v>
      </c>
      <c r="X238" s="77" t="e">
        <f>Tabella8[[#This Row],[region fit]]</f>
        <v>#VALUE!</v>
      </c>
      <c r="Y238" s="72" t="e">
        <f>Tabella3[[#This Row],[region cumul. fit]]/Kl</f>
        <v>#VALUE!</v>
      </c>
      <c r="Z238" s="72">
        <f>IFERROR(Kl*psi_l*_xlfn.SECH(psi_l*(Tabella3[[#This Row],[Day]]-pl)-phi_l)^2/(1+TANH(phi_l)),0)</f>
        <v>0.93951991587351469</v>
      </c>
      <c r="AA238" s="72">
        <f>Tabella3[[#This Row],[region fit]]/y_l_peak</f>
        <v>6.8180322548401151E-3</v>
      </c>
      <c r="AB238" s="10">
        <f>Tabella3[[#This Row],[region fit]]*NOT(ISBLANK(Tabella3[[#This Row],[region data]]))</f>
        <v>0</v>
      </c>
      <c r="AC238" s="166">
        <f>IFERROR(kl_m*psi_l_m*_xlfn.SECH(psi_l_m*(Tabella3[[#This Row],[Day]]-pl_m)-phi_l_m)^2/(1+TANH(phi_l_m)),0)</f>
        <v>0.93951991587351469</v>
      </c>
      <c r="AD238" s="72">
        <f>Tabella3[[#This Row],[6-days moving avg fit]]*NOT(ISBLANK(Tabella3[[#This Row],[6-days moving avg]]))</f>
        <v>0</v>
      </c>
      <c r="AE238" s="131"/>
      <c r="AF238" s="131"/>
      <c r="AG238" s="131"/>
      <c r="AH238" s="10"/>
      <c r="AI238" s="10">
        <f>Tabella3[[#This Row],[rest of Italy data]]*NOT(ISBLANK(Tabella3[[#This Row],[rest of Italy data]]))</f>
        <v>0</v>
      </c>
      <c r="AJ238" s="77" t="e">
        <f>Tabella8[[#This Row],[rest of Italy fit]]</f>
        <v>#VALUE!</v>
      </c>
      <c r="AK238" s="72" t="e">
        <f>Tabella3[[#This Row],[rest of Italy cumul. fit]]/Ka</f>
        <v>#VALUE!</v>
      </c>
      <c r="AL238" s="72">
        <f>IFERROR(Ka*psi_a*_xlfn.SECH(psi_a*(Tabella3[[#This Row],[Day]]-pa)-phi_a)^2/(1+TANH(phi_a)),0)</f>
        <v>51.615796742922868</v>
      </c>
      <c r="AM238" s="72">
        <f>Tabella3[[#This Row],[rest of Italy fit]]/y_a_peak</f>
        <v>1.8036184981475606E-2</v>
      </c>
      <c r="AN238" s="10">
        <f>Tabella3[[#This Row],[rest of Italy fit]]*NOT(ISBLANK(Tabella3[[#This Row],[rest of Italy data]]))</f>
        <v>0</v>
      </c>
      <c r="AO238" s="131"/>
      <c r="AP238" s="131"/>
    </row>
    <row r="239" spans="2:42" x14ac:dyDescent="0.3">
      <c r="B239" s="9">
        <v>44062</v>
      </c>
      <c r="C239" s="4">
        <v>232</v>
      </c>
      <c r="D239" s="131"/>
      <c r="E239" s="10"/>
      <c r="F239" s="10">
        <f>Tabella3[[#This Row],[Italy remov. rate data]]*NOT(ISBLANK(Tabella3[[#This Row],[Italy remov. rate data]]))</f>
        <v>0</v>
      </c>
      <c r="G239" s="77" t="e">
        <f>Tabella8[[#This Row],[Italy fit]]</f>
        <v>#VALUE!</v>
      </c>
      <c r="H239" s="77" t="e">
        <f>Tabella3[[#This Row],[Italy cumul. fit]]/Kf</f>
        <v>#VALUE!</v>
      </c>
      <c r="I239" s="77">
        <f>Tabella3[[#This Row],[region fit]]+Tabella3[[#This Row],[rest of Italy fit]]</f>
        <v>50.055721511314296</v>
      </c>
      <c r="J239" s="77">
        <f>Tabella3[[#This Row],[Italy (fit of selected region + fitted sum of the other regions)]]/(y_l_peak+y_a_peak)</f>
        <v>1.6687518082259777E-2</v>
      </c>
      <c r="K239" s="72">
        <f>IFERROR(Kf*psi_f*_xlfn.SECH(psi_f*(Tabella3[[#This Row],[Day]]-pf)-phi_f)^2/(1+TANH(phi_f)),0)</f>
        <v>49.28906794834127</v>
      </c>
      <c r="L239" s="292">
        <f>Tabella3[[#This Row],[Italy remov. rate fit]]-Tabella3[[#This Row],[Italy remov. rate data]]</f>
        <v>49.28906794834127</v>
      </c>
      <c r="M239" s="293">
        <f>Tabella3[[#This Row],[rem. rate residuals]]*NOT(ISBLANK(Tabella3[[#This Row],[Italy remov. rate data]]))</f>
        <v>0</v>
      </c>
      <c r="N239" s="72">
        <f>Tabella3[[#This Row],[Italy remov. rate fit]]/y_f_peak</f>
        <v>1.6421992830178016E-2</v>
      </c>
      <c r="O239" s="10">
        <f>Tabella3[[#This Row],[Italy (fit of selected region + fitted sum of the other regions)]]*NOT(ISBLANK(Tabella3[[#This Row],[Italy remov. rate data]]))</f>
        <v>0</v>
      </c>
      <c r="P239" s="10">
        <f>Tabella3[[#This Row],[Italy remov. rate fit]]*NOT(ISBLANK(Tabella3[[#This Row],[Italy remov. rate data]]))</f>
        <v>0</v>
      </c>
      <c r="Q239" s="72"/>
      <c r="R239" s="72"/>
      <c r="S239" s="131"/>
      <c r="T239" s="10"/>
      <c r="U239" s="10">
        <f>Tabella3[[#This Row],[region data]]*NOT(ISBLANK(Tabella3[[#This Row],[region data]]))</f>
        <v>0</v>
      </c>
      <c r="V239"/>
      <c r="W239" s="72">
        <f>Tabella3[[#This Row],[6-days moving avg]]*NOT(ISBLANK(Tabella3[[#This Row],[6-days moving avg]]))</f>
        <v>0</v>
      </c>
      <c r="X239" s="77" t="e">
        <f>Tabella8[[#This Row],[region fit]]</f>
        <v>#VALUE!</v>
      </c>
      <c r="Y239" s="72" t="e">
        <f>Tabella3[[#This Row],[region cumul. fit]]/Kl</f>
        <v>#VALUE!</v>
      </c>
      <c r="Z239" s="72">
        <f>IFERROR(Kl*psi_l*_xlfn.SECH(psi_l*(Tabella3[[#This Row],[Day]]-pl)-phi_l)^2/(1+TANH(phi_l)),0)</f>
        <v>0.88815660172606781</v>
      </c>
      <c r="AA239" s="72">
        <f>Tabella3[[#This Row],[region fit]]/y_l_peak</f>
        <v>6.4452921706161584E-3</v>
      </c>
      <c r="AB239" s="10">
        <f>Tabella3[[#This Row],[region fit]]*NOT(ISBLANK(Tabella3[[#This Row],[region data]]))</f>
        <v>0</v>
      </c>
      <c r="AC239" s="166">
        <f>IFERROR(kl_m*psi_l_m*_xlfn.SECH(psi_l_m*(Tabella3[[#This Row],[Day]]-pl_m)-phi_l_m)^2/(1+TANH(phi_l_m)),0)</f>
        <v>0.88815660172606781</v>
      </c>
      <c r="AD239" s="72">
        <f>Tabella3[[#This Row],[6-days moving avg fit]]*NOT(ISBLANK(Tabella3[[#This Row],[6-days moving avg]]))</f>
        <v>0</v>
      </c>
      <c r="AE239" s="131"/>
      <c r="AF239" s="131"/>
      <c r="AG239" s="131"/>
      <c r="AH239" s="10"/>
      <c r="AI239" s="10">
        <f>Tabella3[[#This Row],[rest of Italy data]]*NOT(ISBLANK(Tabella3[[#This Row],[rest of Italy data]]))</f>
        <v>0</v>
      </c>
      <c r="AJ239" s="77" t="e">
        <f>Tabella8[[#This Row],[rest of Italy fit]]</f>
        <v>#VALUE!</v>
      </c>
      <c r="AK239" s="72" t="e">
        <f>Tabella3[[#This Row],[rest of Italy cumul. fit]]/Ka</f>
        <v>#VALUE!</v>
      </c>
      <c r="AL239" s="72">
        <f>IFERROR(Ka*psi_a*_xlfn.SECH(psi_a*(Tabella3[[#This Row],[Day]]-pa)-phi_a)^2/(1+TANH(phi_a)),0)</f>
        <v>49.167564909588229</v>
      </c>
      <c r="AM239" s="72">
        <f>Tabella3[[#This Row],[rest of Italy fit]]/y_a_peak</f>
        <v>1.7180695673745118E-2</v>
      </c>
      <c r="AN239" s="10">
        <f>Tabella3[[#This Row],[rest of Italy fit]]*NOT(ISBLANK(Tabella3[[#This Row],[rest of Italy data]]))</f>
        <v>0</v>
      </c>
      <c r="AO239" s="131"/>
      <c r="AP239" s="131"/>
    </row>
    <row r="240" spans="2:42" x14ac:dyDescent="0.3">
      <c r="B240" s="9">
        <v>44063</v>
      </c>
      <c r="C240" s="4">
        <v>233</v>
      </c>
      <c r="D240" s="131"/>
      <c r="E240" s="10"/>
      <c r="F240" s="10">
        <f>Tabella3[[#This Row],[Italy remov. rate data]]*NOT(ISBLANK(Tabella3[[#This Row],[Italy remov. rate data]]))</f>
        <v>0</v>
      </c>
      <c r="G240" s="77" t="e">
        <f>Tabella8[[#This Row],[Italy fit]]</f>
        <v>#VALUE!</v>
      </c>
      <c r="H240" s="77" t="e">
        <f>Tabella3[[#This Row],[Italy cumul. fit]]/Kf</f>
        <v>#VALUE!</v>
      </c>
      <c r="I240" s="77">
        <f>Tabella3[[#This Row],[region fit]]+Tabella3[[#This Row],[rest of Italy fit]]</f>
        <v>47.674082645951849</v>
      </c>
      <c r="J240" s="77">
        <f>Tabella3[[#This Row],[Italy (fit of selected region + fitted sum of the other regions)]]/(y_l_peak+y_a_peak)</f>
        <v>1.5893530093850399E-2</v>
      </c>
      <c r="K240" s="72">
        <f>IFERROR(Kf*psi_f*_xlfn.SECH(psi_f*(Tabella3[[#This Row],[Day]]-pf)-phi_f)^2/(1+TANH(phi_f)),0)</f>
        <v>46.932338806110216</v>
      </c>
      <c r="L240" s="292">
        <f>Tabella3[[#This Row],[Italy remov. rate fit]]-Tabella3[[#This Row],[Italy remov. rate data]]</f>
        <v>46.932338806110216</v>
      </c>
      <c r="M240" s="293">
        <f>Tabella3[[#This Row],[rem. rate residuals]]*NOT(ISBLANK(Tabella3[[#This Row],[Italy remov. rate data]]))</f>
        <v>0</v>
      </c>
      <c r="N240" s="72">
        <f>Tabella3[[#This Row],[Italy remov. rate fit]]/y_f_peak</f>
        <v>1.5636784452593096E-2</v>
      </c>
      <c r="O240" s="10">
        <f>Tabella3[[#This Row],[Italy (fit of selected region + fitted sum of the other regions)]]*NOT(ISBLANK(Tabella3[[#This Row],[Italy remov. rate data]]))</f>
        <v>0</v>
      </c>
      <c r="P240" s="10">
        <f>Tabella3[[#This Row],[Italy remov. rate fit]]*NOT(ISBLANK(Tabella3[[#This Row],[Italy remov. rate data]]))</f>
        <v>0</v>
      </c>
      <c r="Q240" s="72"/>
      <c r="R240" s="72"/>
      <c r="S240" s="131"/>
      <c r="T240" s="10"/>
      <c r="U240" s="10">
        <f>Tabella3[[#This Row],[region data]]*NOT(ISBLANK(Tabella3[[#This Row],[region data]]))</f>
        <v>0</v>
      </c>
      <c r="V240"/>
      <c r="W240" s="72">
        <f>Tabella3[[#This Row],[6-days moving avg]]*NOT(ISBLANK(Tabella3[[#This Row],[6-days moving avg]]))</f>
        <v>0</v>
      </c>
      <c r="X240" s="77" t="e">
        <f>Tabella8[[#This Row],[region fit]]</f>
        <v>#VALUE!</v>
      </c>
      <c r="Y240" s="72" t="e">
        <f>Tabella3[[#This Row],[region cumul. fit]]/Kl</f>
        <v>#VALUE!</v>
      </c>
      <c r="Z240" s="72">
        <f>IFERROR(Kl*psi_l*_xlfn.SECH(psi_l*(Tabella3[[#This Row],[Day]]-pl)-phi_l)^2/(1+TANH(phi_l)),0)</f>
        <v>0.83959269528591685</v>
      </c>
      <c r="AA240" s="72">
        <f>Tabella3[[#This Row],[region fit]]/y_l_peak</f>
        <v>6.0928671981001284E-3</v>
      </c>
      <c r="AB240" s="10">
        <f>Tabella3[[#This Row],[region fit]]*NOT(ISBLANK(Tabella3[[#This Row],[region data]]))</f>
        <v>0</v>
      </c>
      <c r="AC240" s="166">
        <f>IFERROR(kl_m*psi_l_m*_xlfn.SECH(psi_l_m*(Tabella3[[#This Row],[Day]]-pl_m)-phi_l_m)^2/(1+TANH(phi_l_m)),0)</f>
        <v>0.83959269528591685</v>
      </c>
      <c r="AD240" s="72">
        <f>Tabella3[[#This Row],[6-days moving avg fit]]*NOT(ISBLANK(Tabella3[[#This Row],[6-days moving avg]]))</f>
        <v>0</v>
      </c>
      <c r="AE240" s="131"/>
      <c r="AF240" s="131"/>
      <c r="AG240" s="131"/>
      <c r="AH240" s="10"/>
      <c r="AI240" s="10">
        <f>Tabella3[[#This Row],[rest of Italy data]]*NOT(ISBLANK(Tabella3[[#This Row],[rest of Italy data]]))</f>
        <v>0</v>
      </c>
      <c r="AJ240" s="77" t="e">
        <f>Tabella8[[#This Row],[rest of Italy fit]]</f>
        <v>#VALUE!</v>
      </c>
      <c r="AK240" s="72" t="e">
        <f>Tabella3[[#This Row],[rest of Italy cumul. fit]]/Ka</f>
        <v>#VALUE!</v>
      </c>
      <c r="AL240" s="72">
        <f>IFERROR(Ka*psi_a*_xlfn.SECH(psi_a*(Tabella3[[#This Row],[Day]]-pa)-phi_a)^2/(1+TANH(phi_a)),0)</f>
        <v>46.834489950665933</v>
      </c>
      <c r="AM240" s="72">
        <f>Tabella3[[#This Row],[rest of Italy fit]]/y_a_peak</f>
        <v>1.6365445804710773E-2</v>
      </c>
      <c r="AN240" s="10">
        <f>Tabella3[[#This Row],[rest of Italy fit]]*NOT(ISBLANK(Tabella3[[#This Row],[rest of Italy data]]))</f>
        <v>0</v>
      </c>
      <c r="AO240" s="131"/>
      <c r="AP240" s="131"/>
    </row>
    <row r="241" spans="2:42" x14ac:dyDescent="0.3">
      <c r="B241" s="9">
        <v>44064</v>
      </c>
      <c r="C241" s="4">
        <v>234</v>
      </c>
      <c r="D241" s="131"/>
      <c r="E241" s="10"/>
      <c r="F241" s="10">
        <f>Tabella3[[#This Row],[Italy remov. rate data]]*NOT(ISBLANK(Tabella3[[#This Row],[Italy remov. rate data]]))</f>
        <v>0</v>
      </c>
      <c r="G241" s="77" t="e">
        <f>Tabella8[[#This Row],[Italy fit]]</f>
        <v>#VALUE!</v>
      </c>
      <c r="H241" s="77" t="e">
        <f>Tabella3[[#This Row],[Italy cumul. fit]]/Kf</f>
        <v>#VALUE!</v>
      </c>
      <c r="I241" s="77">
        <f>Tabella3[[#This Row],[region fit]]+Tabella3[[#This Row],[rest of Italy fit]]</f>
        <v>45.404921836893372</v>
      </c>
      <c r="J241" s="77">
        <f>Tabella3[[#This Row],[Italy (fit of selected region + fitted sum of the other regions)]]/(y_l_peak+y_a_peak)</f>
        <v>1.5137039908724221E-2</v>
      </c>
      <c r="K241" s="72">
        <f>IFERROR(Kf*psi_f*_xlfn.SECH(psi_f*(Tabella3[[#This Row],[Day]]-pf)-phi_f)^2/(1+TANH(phi_f)),0)</f>
        <v>44.687442796924898</v>
      </c>
      <c r="L241" s="292">
        <f>Tabella3[[#This Row],[Italy remov. rate fit]]-Tabella3[[#This Row],[Italy remov. rate data]]</f>
        <v>44.687442796924898</v>
      </c>
      <c r="M241" s="293">
        <f>Tabella3[[#This Row],[rem. rate residuals]]*NOT(ISBLANK(Tabella3[[#This Row],[Italy remov. rate data]]))</f>
        <v>0</v>
      </c>
      <c r="N241" s="72">
        <f>Tabella3[[#This Row],[Italy remov. rate fit]]/y_f_peak</f>
        <v>1.4888836323284289E-2</v>
      </c>
      <c r="O241" s="10">
        <f>Tabella3[[#This Row],[Italy (fit of selected region + fitted sum of the other regions)]]*NOT(ISBLANK(Tabella3[[#This Row],[Italy remov. rate data]]))</f>
        <v>0</v>
      </c>
      <c r="P241" s="10">
        <f>Tabella3[[#This Row],[Italy remov. rate fit]]*NOT(ISBLANK(Tabella3[[#This Row],[Italy remov. rate data]]))</f>
        <v>0</v>
      </c>
      <c r="Q241" s="72"/>
      <c r="R241" s="72"/>
      <c r="S241" s="131"/>
      <c r="T241" s="10"/>
      <c r="U241" s="10">
        <f>Tabella3[[#This Row],[region data]]*NOT(ISBLANK(Tabella3[[#This Row],[region data]]))</f>
        <v>0</v>
      </c>
      <c r="V241"/>
      <c r="W241" s="72">
        <f>Tabella3[[#This Row],[6-days moving avg]]*NOT(ISBLANK(Tabella3[[#This Row],[6-days moving avg]]))</f>
        <v>0</v>
      </c>
      <c r="X241" s="77" t="e">
        <f>Tabella8[[#This Row],[region fit]]</f>
        <v>#VALUE!</v>
      </c>
      <c r="Y241" s="72" t="e">
        <f>Tabella3[[#This Row],[region cumul. fit]]/Kl</f>
        <v>#VALUE!</v>
      </c>
      <c r="Z241" s="72">
        <f>IFERROR(Kl*psi_l*_xlfn.SECH(psi_l*(Tabella3[[#This Row],[Day]]-pl)-phi_l)^2/(1+TANH(phi_l)),0)</f>
        <v>0.79367654060460469</v>
      </c>
      <c r="AA241" s="72">
        <f>Tabella3[[#This Row],[region fit]]/y_l_peak</f>
        <v>5.7596567803684827E-3</v>
      </c>
      <c r="AB241" s="10">
        <f>Tabella3[[#This Row],[region fit]]*NOT(ISBLANK(Tabella3[[#This Row],[region data]]))</f>
        <v>0</v>
      </c>
      <c r="AC241" s="166">
        <f>IFERROR(kl_m*psi_l_m*_xlfn.SECH(psi_l_m*(Tabella3[[#This Row],[Day]]-pl_m)-phi_l_m)^2/(1+TANH(phi_l_m)),0)</f>
        <v>0.79367654060460469</v>
      </c>
      <c r="AD241" s="72">
        <f>Tabella3[[#This Row],[6-days moving avg fit]]*NOT(ISBLANK(Tabella3[[#This Row],[6-days moving avg]]))</f>
        <v>0</v>
      </c>
      <c r="AE241" s="131"/>
      <c r="AF241" s="131"/>
      <c r="AG241" s="131"/>
      <c r="AH241" s="10"/>
      <c r="AI241" s="10">
        <f>Tabella3[[#This Row],[rest of Italy data]]*NOT(ISBLANK(Tabella3[[#This Row],[rest of Italy data]]))</f>
        <v>0</v>
      </c>
      <c r="AJ241" s="77" t="e">
        <f>Tabella8[[#This Row],[rest of Italy fit]]</f>
        <v>#VALUE!</v>
      </c>
      <c r="AK241" s="72" t="e">
        <f>Tabella3[[#This Row],[rest of Italy cumul. fit]]/Ka</f>
        <v>#VALUE!</v>
      </c>
      <c r="AL241" s="72">
        <f>IFERROR(Ka*psi_a*_xlfn.SECH(psi_a*(Tabella3[[#This Row],[Day]]-pa)-phi_a)^2/(1+TANH(phi_a)),0)</f>
        <v>44.611245296288764</v>
      </c>
      <c r="AM241" s="72">
        <f>Tabella3[[#This Row],[rest of Italy fit]]/y_a_peak</f>
        <v>1.5588574103104784E-2</v>
      </c>
      <c r="AN241" s="10">
        <f>Tabella3[[#This Row],[rest of Italy fit]]*NOT(ISBLANK(Tabella3[[#This Row],[rest of Italy data]]))</f>
        <v>0</v>
      </c>
      <c r="AO241" s="131"/>
      <c r="AP241" s="131"/>
    </row>
    <row r="242" spans="2:42" x14ac:dyDescent="0.3">
      <c r="B242" s="9">
        <v>44065</v>
      </c>
      <c r="C242" s="4">
        <v>235</v>
      </c>
      <c r="D242" s="131"/>
      <c r="E242" s="10"/>
      <c r="F242" s="10">
        <f>Tabella3[[#This Row],[Italy remov. rate data]]*NOT(ISBLANK(Tabella3[[#This Row],[Italy remov. rate data]]))</f>
        <v>0</v>
      </c>
      <c r="G242" s="77" t="e">
        <f>Tabella8[[#This Row],[Italy fit]]</f>
        <v>#VALUE!</v>
      </c>
      <c r="H242" s="77" t="e">
        <f>Tabella3[[#This Row],[Italy cumul. fit]]/Kf</f>
        <v>#VALUE!</v>
      </c>
      <c r="I242" s="77">
        <f>Tabella3[[#This Row],[region fit]]+Tabella3[[#This Row],[rest of Italy fit]]</f>
        <v>43.243006952009665</v>
      </c>
      <c r="J242" s="77">
        <f>Tabella3[[#This Row],[Italy (fit of selected region + fitted sum of the other regions)]]/(y_l_peak+y_a_peak)</f>
        <v>1.4416303244771653E-2</v>
      </c>
      <c r="K242" s="72">
        <f>IFERROR(Kf*psi_f*_xlfn.SECH(psi_f*(Tabella3[[#This Row],[Day]]-pf)-phi_f)^2/(1+TANH(phi_f)),0)</f>
        <v>42.549153084814684</v>
      </c>
      <c r="L242" s="292">
        <f>Tabella3[[#This Row],[Italy remov. rate fit]]-Tabella3[[#This Row],[Italy remov. rate data]]</f>
        <v>42.549153084814684</v>
      </c>
      <c r="M242" s="293">
        <f>Tabella3[[#This Row],[rem. rate residuals]]*NOT(ISBLANK(Tabella3[[#This Row],[Italy remov. rate data]]))</f>
        <v>0</v>
      </c>
      <c r="N242" s="72">
        <f>Tabella3[[#This Row],[Italy remov. rate fit]]/y_f_peak</f>
        <v>1.417640697976494E-2</v>
      </c>
      <c r="O242" s="10">
        <f>Tabella3[[#This Row],[Italy (fit of selected region + fitted sum of the other regions)]]*NOT(ISBLANK(Tabella3[[#This Row],[Italy remov. rate data]]))</f>
        <v>0</v>
      </c>
      <c r="P242" s="10">
        <f>Tabella3[[#This Row],[Italy remov. rate fit]]*NOT(ISBLANK(Tabella3[[#This Row],[Italy remov. rate data]]))</f>
        <v>0</v>
      </c>
      <c r="Q242" s="72"/>
      <c r="R242" s="72"/>
      <c r="S242" s="131"/>
      <c r="T242" s="10"/>
      <c r="U242" s="10">
        <f>Tabella3[[#This Row],[region data]]*NOT(ISBLANK(Tabella3[[#This Row],[region data]]))</f>
        <v>0</v>
      </c>
      <c r="V242"/>
      <c r="W242" s="72">
        <f>Tabella3[[#This Row],[6-days moving avg]]*NOT(ISBLANK(Tabella3[[#This Row],[6-days moving avg]]))</f>
        <v>0</v>
      </c>
      <c r="X242" s="77" t="e">
        <f>Tabella8[[#This Row],[region fit]]</f>
        <v>#VALUE!</v>
      </c>
      <c r="Y242" s="72" t="e">
        <f>Tabella3[[#This Row],[region cumul. fit]]/Kl</f>
        <v>#VALUE!</v>
      </c>
      <c r="Z242" s="72">
        <f>IFERROR(Kl*psi_l*_xlfn.SECH(psi_l*(Tabella3[[#This Row],[Day]]-pl)-phi_l)^2/(1+TANH(phi_l)),0)</f>
        <v>0.75026459971180126</v>
      </c>
      <c r="AA242" s="72">
        <f>Tabella3[[#This Row],[region fit]]/y_l_peak</f>
        <v>5.4446192721139012E-3</v>
      </c>
      <c r="AB242" s="10">
        <f>Tabella3[[#This Row],[region fit]]*NOT(ISBLANK(Tabella3[[#This Row],[region data]]))</f>
        <v>0</v>
      </c>
      <c r="AC242" s="166">
        <f>IFERROR(kl_m*psi_l_m*_xlfn.SECH(psi_l_m*(Tabella3[[#This Row],[Day]]-pl_m)-phi_l_m)^2/(1+TANH(phi_l_m)),0)</f>
        <v>0.75026459971180126</v>
      </c>
      <c r="AD242" s="72">
        <f>Tabella3[[#This Row],[6-days moving avg fit]]*NOT(ISBLANK(Tabella3[[#This Row],[6-days moving avg]]))</f>
        <v>0</v>
      </c>
      <c r="AE242" s="131"/>
      <c r="AF242" s="131"/>
      <c r="AG242" s="131"/>
      <c r="AH242" s="10"/>
      <c r="AI242" s="10">
        <f>Tabella3[[#This Row],[rest of Italy data]]*NOT(ISBLANK(Tabella3[[#This Row],[rest of Italy data]]))</f>
        <v>0</v>
      </c>
      <c r="AJ242" s="77" t="e">
        <f>Tabella8[[#This Row],[rest of Italy fit]]</f>
        <v>#VALUE!</v>
      </c>
      <c r="AK242" s="72" t="e">
        <f>Tabella3[[#This Row],[rest of Italy cumul. fit]]/Ka</f>
        <v>#VALUE!</v>
      </c>
      <c r="AL242" s="72">
        <f>IFERROR(Ka*psi_a*_xlfn.SECH(psi_a*(Tabella3[[#This Row],[Day]]-pa)-phi_a)^2/(1+TANH(phi_a)),0)</f>
        <v>42.492742352297867</v>
      </c>
      <c r="AM242" s="72">
        <f>Tabella3[[#This Row],[rest of Italy fit]]/y_a_peak</f>
        <v>1.4848302453866714E-2</v>
      </c>
      <c r="AN242" s="10">
        <f>Tabella3[[#This Row],[rest of Italy fit]]*NOT(ISBLANK(Tabella3[[#This Row],[rest of Italy data]]))</f>
        <v>0</v>
      </c>
      <c r="AO242" s="131"/>
      <c r="AP242" s="131"/>
    </row>
    <row r="243" spans="2:42" x14ac:dyDescent="0.3">
      <c r="B243" s="9">
        <v>44066</v>
      </c>
      <c r="C243" s="4">
        <v>236</v>
      </c>
      <c r="D243" s="131"/>
      <c r="E243" s="10"/>
      <c r="F243" s="10">
        <f>Tabella3[[#This Row],[Italy remov. rate data]]*NOT(ISBLANK(Tabella3[[#This Row],[Italy remov. rate data]]))</f>
        <v>0</v>
      </c>
      <c r="G243" s="77" t="e">
        <f>Tabella8[[#This Row],[Italy fit]]</f>
        <v>#VALUE!</v>
      </c>
      <c r="H243" s="77" t="e">
        <f>Tabella3[[#This Row],[Italy cumul. fit]]/Kf</f>
        <v>#VALUE!</v>
      </c>
      <c r="I243" s="77">
        <f>Tabella3[[#This Row],[region fit]]+Tabella3[[#This Row],[rest of Italy fit]]</f>
        <v>41.183341688050064</v>
      </c>
      <c r="J243" s="77">
        <f>Tabella3[[#This Row],[Italy (fit of selected region + fitted sum of the other regions)]]/(y_l_peak+y_a_peak)</f>
        <v>1.3729654440239703E-2</v>
      </c>
      <c r="K243" s="72">
        <f>IFERROR(Kf*psi_f*_xlfn.SECH(psi_f*(Tabella3[[#This Row],[Day]]-pf)-phi_f)^2/(1+TANH(phi_f)),0)</f>
        <v>40.512479608824734</v>
      </c>
      <c r="L243" s="292">
        <f>Tabella3[[#This Row],[Italy remov. rate fit]]-Tabella3[[#This Row],[Italy remov. rate data]]</f>
        <v>40.512479608824734</v>
      </c>
      <c r="M243" s="293">
        <f>Tabella3[[#This Row],[rem. rate residuals]]*NOT(ISBLANK(Tabella3[[#This Row],[Italy remov. rate data]]))</f>
        <v>0</v>
      </c>
      <c r="N243" s="72">
        <f>Tabella3[[#This Row],[Italy remov. rate fit]]/y_f_peak</f>
        <v>1.3497833847581249E-2</v>
      </c>
      <c r="O243" s="10">
        <f>Tabella3[[#This Row],[Italy (fit of selected region + fitted sum of the other regions)]]*NOT(ISBLANK(Tabella3[[#This Row],[Italy remov. rate data]]))</f>
        <v>0</v>
      </c>
      <c r="P243" s="10">
        <f>Tabella3[[#This Row],[Italy remov. rate fit]]*NOT(ISBLANK(Tabella3[[#This Row],[Italy remov. rate data]]))</f>
        <v>0</v>
      </c>
      <c r="Q243" s="72"/>
      <c r="R243" s="72"/>
      <c r="S243" s="131"/>
      <c r="T243" s="10"/>
      <c r="U243" s="10">
        <f>Tabella3[[#This Row],[region data]]*NOT(ISBLANK(Tabella3[[#This Row],[region data]]))</f>
        <v>0</v>
      </c>
      <c r="V243"/>
      <c r="W243" s="72">
        <f>Tabella3[[#This Row],[6-days moving avg]]*NOT(ISBLANK(Tabella3[[#This Row],[6-days moving avg]]))</f>
        <v>0</v>
      </c>
      <c r="X243" s="77" t="e">
        <f>Tabella8[[#This Row],[region fit]]</f>
        <v>#VALUE!</v>
      </c>
      <c r="Y243" s="72" t="e">
        <f>Tabella3[[#This Row],[region cumul. fit]]/Kl</f>
        <v>#VALUE!</v>
      </c>
      <c r="Z243" s="72">
        <f>IFERROR(Kl*psi_l*_xlfn.SECH(psi_l*(Tabella3[[#This Row],[Day]]-pl)-phi_l)^2/(1+TANH(phi_l)),0)</f>
        <v>0.70922102854076052</v>
      </c>
      <c r="AA243" s="72">
        <f>Tabella3[[#This Row],[region fit]]/y_l_peak</f>
        <v>5.1467688621651079E-3</v>
      </c>
      <c r="AB243" s="10">
        <f>Tabella3[[#This Row],[region fit]]*NOT(ISBLANK(Tabella3[[#This Row],[region data]]))</f>
        <v>0</v>
      </c>
      <c r="AC243" s="166">
        <f>IFERROR(kl_m*psi_l_m*_xlfn.SECH(psi_l_m*(Tabella3[[#This Row],[Day]]-pl_m)-phi_l_m)^2/(1+TANH(phi_l_m)),0)</f>
        <v>0.70922102854076052</v>
      </c>
      <c r="AD243" s="72">
        <f>Tabella3[[#This Row],[6-days moving avg fit]]*NOT(ISBLANK(Tabella3[[#This Row],[6-days moving avg]]))</f>
        <v>0</v>
      </c>
      <c r="AE243" s="131"/>
      <c r="AF243" s="131"/>
      <c r="AG243" s="131"/>
      <c r="AH243" s="10"/>
      <c r="AI243" s="10">
        <f>Tabella3[[#This Row],[rest of Italy data]]*NOT(ISBLANK(Tabella3[[#This Row],[rest of Italy data]]))</f>
        <v>0</v>
      </c>
      <c r="AJ243" s="77" t="e">
        <f>Tabella8[[#This Row],[rest of Italy fit]]</f>
        <v>#VALUE!</v>
      </c>
      <c r="AK243" s="72" t="e">
        <f>Tabella3[[#This Row],[rest of Italy cumul. fit]]/Ka</f>
        <v>#VALUE!</v>
      </c>
      <c r="AL243" s="72">
        <f>IFERROR(Ka*psi_a*_xlfn.SECH(psi_a*(Tabella3[[#This Row],[Day]]-pa)-phi_a)^2/(1+TANH(phi_a)),0)</f>
        <v>40.474120659509303</v>
      </c>
      <c r="AM243" s="72">
        <f>Tabella3[[#This Row],[rest of Italy fit]]/y_a_peak</f>
        <v>1.4142932459481304E-2</v>
      </c>
      <c r="AN243" s="10">
        <f>Tabella3[[#This Row],[rest of Italy fit]]*NOT(ISBLANK(Tabella3[[#This Row],[rest of Italy data]]))</f>
        <v>0</v>
      </c>
      <c r="AO243" s="131"/>
      <c r="AP243" s="131"/>
    </row>
    <row r="244" spans="2:42" x14ac:dyDescent="0.3">
      <c r="B244" s="9">
        <v>44067</v>
      </c>
      <c r="C244" s="4">
        <v>237</v>
      </c>
      <c r="D244" s="131"/>
      <c r="E244" s="10"/>
      <c r="F244" s="10">
        <f>Tabella3[[#This Row],[Italy remov. rate data]]*NOT(ISBLANK(Tabella3[[#This Row],[Italy remov. rate data]]))</f>
        <v>0</v>
      </c>
      <c r="G244" s="77" t="e">
        <f>Tabella8[[#This Row],[Italy fit]]</f>
        <v>#VALUE!</v>
      </c>
      <c r="H244" s="77" t="e">
        <f>Tabella3[[#This Row],[Italy cumul. fit]]/Kf</f>
        <v>#VALUE!</v>
      </c>
      <c r="I244" s="77">
        <f>Tabella3[[#This Row],[region fit]]+Tabella3[[#This Row],[rest of Italy fit]]</f>
        <v>39.221155657525586</v>
      </c>
      <c r="J244" s="77">
        <f>Tabella3[[#This Row],[Italy (fit of selected region + fitted sum of the other regions)]]/(y_l_peak+y_a_peak)</f>
        <v>1.3075503148908631E-2</v>
      </c>
      <c r="K244" s="72">
        <f>IFERROR(Kf*psi_f*_xlfn.SECH(psi_f*(Tabella3[[#This Row],[Day]]-pf)-phi_f)^2/(1+TANH(phi_f)),0)</f>
        <v>38.572659069267807</v>
      </c>
      <c r="L244" s="292">
        <f>Tabella3[[#This Row],[Italy remov. rate fit]]-Tabella3[[#This Row],[Italy remov. rate data]]</f>
        <v>38.572659069267807</v>
      </c>
      <c r="M244" s="293">
        <f>Tabella3[[#This Row],[rem. rate residuals]]*NOT(ISBLANK(Tabella3[[#This Row],[Italy remov. rate data]]))</f>
        <v>0</v>
      </c>
      <c r="N244" s="72">
        <f>Tabella3[[#This Row],[Italy remov. rate fit]]/y_f_peak</f>
        <v>1.2851529903959854E-2</v>
      </c>
      <c r="O244" s="10">
        <f>Tabella3[[#This Row],[Italy (fit of selected region + fitted sum of the other regions)]]*NOT(ISBLANK(Tabella3[[#This Row],[Italy remov. rate data]]))</f>
        <v>0</v>
      </c>
      <c r="P244" s="10">
        <f>Tabella3[[#This Row],[Italy remov. rate fit]]*NOT(ISBLANK(Tabella3[[#This Row],[Italy remov. rate data]]))</f>
        <v>0</v>
      </c>
      <c r="Q244" s="72"/>
      <c r="R244" s="72"/>
      <c r="S244" s="131"/>
      <c r="T244" s="10"/>
      <c r="U244" s="10">
        <f>Tabella3[[#This Row],[region data]]*NOT(ISBLANK(Tabella3[[#This Row],[region data]]))</f>
        <v>0</v>
      </c>
      <c r="V244"/>
      <c r="W244" s="72">
        <f>Tabella3[[#This Row],[6-days moving avg]]*NOT(ISBLANK(Tabella3[[#This Row],[6-days moving avg]]))</f>
        <v>0</v>
      </c>
      <c r="X244" s="77" t="e">
        <f>Tabella8[[#This Row],[region fit]]</f>
        <v>#VALUE!</v>
      </c>
      <c r="Y244" s="72" t="e">
        <f>Tabella3[[#This Row],[region cumul. fit]]/Kl</f>
        <v>#VALUE!</v>
      </c>
      <c r="Z244" s="72">
        <f>IFERROR(Kl*psi_l*_xlfn.SECH(psi_l*(Tabella3[[#This Row],[Day]]-pl)-phi_l)^2/(1+TANH(phi_l)),0)</f>
        <v>0.6704172738778934</v>
      </c>
      <c r="AA244" s="72">
        <f>Tabella3[[#This Row],[region fit]]/y_l_peak</f>
        <v>4.8651726485772866E-3</v>
      </c>
      <c r="AB244" s="10">
        <f>Tabella3[[#This Row],[region fit]]*NOT(ISBLANK(Tabella3[[#This Row],[region data]]))</f>
        <v>0</v>
      </c>
      <c r="AC244" s="166">
        <f>IFERROR(kl_m*psi_l_m*_xlfn.SECH(psi_l_m*(Tabella3[[#This Row],[Day]]-pl_m)-phi_l_m)^2/(1+TANH(phi_l_m)),0)</f>
        <v>0.6704172738778934</v>
      </c>
      <c r="AD244" s="72">
        <f>Tabella3[[#This Row],[6-days moving avg fit]]*NOT(ISBLANK(Tabella3[[#This Row],[6-days moving avg]]))</f>
        <v>0</v>
      </c>
      <c r="AE244" s="131"/>
      <c r="AF244" s="131"/>
      <c r="AG244" s="131"/>
      <c r="AH244" s="10"/>
      <c r="AI244" s="10">
        <f>Tabella3[[#This Row],[rest of Italy data]]*NOT(ISBLANK(Tabella3[[#This Row],[rest of Italy data]]))</f>
        <v>0</v>
      </c>
      <c r="AJ244" s="77" t="e">
        <f>Tabella8[[#This Row],[rest of Italy fit]]</f>
        <v>#VALUE!</v>
      </c>
      <c r="AK244" s="72" t="e">
        <f>Tabella3[[#This Row],[rest of Italy cumul. fit]]/Ka</f>
        <v>#VALUE!</v>
      </c>
      <c r="AL244" s="72">
        <f>IFERROR(Ka*psi_a*_xlfn.SECH(psi_a*(Tabella3[[#This Row],[Day]]-pa)-phi_a)^2/(1+TANH(phi_a)),0)</f>
        <v>38.55073838364769</v>
      </c>
      <c r="AM244" s="72">
        <f>Tabella3[[#This Row],[rest of Italy fit]]/y_a_peak</f>
        <v>1.3470842116861764E-2</v>
      </c>
      <c r="AN244" s="10">
        <f>Tabella3[[#This Row],[rest of Italy fit]]*NOT(ISBLANK(Tabella3[[#This Row],[rest of Italy data]]))</f>
        <v>0</v>
      </c>
      <c r="AO244" s="131"/>
      <c r="AP244" s="131"/>
    </row>
    <row r="245" spans="2:42" x14ac:dyDescent="0.3">
      <c r="B245" s="9">
        <v>44068</v>
      </c>
      <c r="C245" s="4">
        <v>238</v>
      </c>
      <c r="D245" s="131"/>
      <c r="E245" s="10"/>
      <c r="F245" s="10">
        <f>Tabella3[[#This Row],[Italy remov. rate data]]*NOT(ISBLANK(Tabella3[[#This Row],[Italy remov. rate data]]))</f>
        <v>0</v>
      </c>
      <c r="G245" s="77" t="e">
        <f>Tabella8[[#This Row],[Italy fit]]</f>
        <v>#VALUE!</v>
      </c>
      <c r="H245" s="77" t="e">
        <f>Tabella3[[#This Row],[Italy cumul. fit]]/Kf</f>
        <v>#VALUE!</v>
      </c>
      <c r="I245" s="77">
        <f>Tabella3[[#This Row],[region fit]]+Tabella3[[#This Row],[rest of Italy fit]]</f>
        <v>37.351894823073934</v>
      </c>
      <c r="J245" s="77">
        <f>Tabella3[[#This Row],[Italy (fit of selected region + fitted sum of the other regions)]]/(y_l_peak+y_a_peak)</f>
        <v>1.2452331151111712E-2</v>
      </c>
      <c r="K245" s="72">
        <f>IFERROR(Kf*psi_f*_xlfn.SECH(psi_f*(Tabella3[[#This Row],[Day]]-pf)-phi_f)^2/(1+TANH(phi_f)),0)</f>
        <v>36.725145268585827</v>
      </c>
      <c r="L245" s="292">
        <f>Tabella3[[#This Row],[Italy remov. rate fit]]-Tabella3[[#This Row],[Italy remov. rate data]]</f>
        <v>36.725145268585827</v>
      </c>
      <c r="M245" s="293">
        <f>Tabella3[[#This Row],[rem. rate residuals]]*NOT(ISBLANK(Tabella3[[#This Row],[Italy remov. rate data]]))</f>
        <v>0</v>
      </c>
      <c r="N245" s="72">
        <f>Tabella3[[#This Row],[Italy remov. rate fit]]/y_f_peak</f>
        <v>1.2235980459603288E-2</v>
      </c>
      <c r="O245" s="10">
        <f>Tabella3[[#This Row],[Italy (fit of selected region + fitted sum of the other regions)]]*NOT(ISBLANK(Tabella3[[#This Row],[Italy remov. rate data]]))</f>
        <v>0</v>
      </c>
      <c r="P245" s="10">
        <f>Tabella3[[#This Row],[Italy remov. rate fit]]*NOT(ISBLANK(Tabella3[[#This Row],[Italy remov. rate data]]))</f>
        <v>0</v>
      </c>
      <c r="Q245" s="72"/>
      <c r="R245" s="72"/>
      <c r="S245" s="131"/>
      <c r="T245" s="10"/>
      <c r="U245" s="10">
        <f>Tabella3[[#This Row],[region data]]*NOT(ISBLANK(Tabella3[[#This Row],[region data]]))</f>
        <v>0</v>
      </c>
      <c r="V245"/>
      <c r="W245" s="72">
        <f>Tabella3[[#This Row],[6-days moving avg]]*NOT(ISBLANK(Tabella3[[#This Row],[6-days moving avg]]))</f>
        <v>0</v>
      </c>
      <c r="X245" s="77" t="e">
        <f>Tabella8[[#This Row],[region fit]]</f>
        <v>#VALUE!</v>
      </c>
      <c r="Y245" s="72" t="e">
        <f>Tabella3[[#This Row],[region cumul. fit]]/Kl</f>
        <v>#VALUE!</v>
      </c>
      <c r="Z245" s="72">
        <f>IFERROR(Kl*psi_l*_xlfn.SECH(psi_l*(Tabella3[[#This Row],[Day]]-pl)-phi_l)^2/(1+TANH(phi_l)),0)</f>
        <v>0.63373169041816113</v>
      </c>
      <c r="AA245" s="72">
        <f>Tabella3[[#This Row],[region fit]]/y_l_peak</f>
        <v>4.598947859629058E-3</v>
      </c>
      <c r="AB245" s="10">
        <f>Tabella3[[#This Row],[region fit]]*NOT(ISBLANK(Tabella3[[#This Row],[region data]]))</f>
        <v>0</v>
      </c>
      <c r="AC245" s="166">
        <f>IFERROR(kl_m*psi_l_m*_xlfn.SECH(psi_l_m*(Tabella3[[#This Row],[Day]]-pl_m)-phi_l_m)^2/(1+TANH(phi_l_m)),0)</f>
        <v>0.63373169041816113</v>
      </c>
      <c r="AD245" s="72">
        <f>Tabella3[[#This Row],[6-days moving avg fit]]*NOT(ISBLANK(Tabella3[[#This Row],[6-days moving avg]]))</f>
        <v>0</v>
      </c>
      <c r="AE245" s="131"/>
      <c r="AF245" s="131"/>
      <c r="AG245" s="131"/>
      <c r="AH245" s="10"/>
      <c r="AI245" s="10">
        <f>Tabella3[[#This Row],[rest of Italy data]]*NOT(ISBLANK(Tabella3[[#This Row],[rest of Italy data]]))</f>
        <v>0</v>
      </c>
      <c r="AJ245" s="77" t="e">
        <f>Tabella8[[#This Row],[rest of Italy fit]]</f>
        <v>#VALUE!</v>
      </c>
      <c r="AK245" s="72" t="e">
        <f>Tabella3[[#This Row],[rest of Italy cumul. fit]]/Ka</f>
        <v>#VALUE!</v>
      </c>
      <c r="AL245" s="72">
        <f>IFERROR(Ka*psi_a*_xlfn.SECH(psi_a*(Tabella3[[#This Row],[Day]]-pa)-phi_a)^2/(1+TANH(phi_a)),0)</f>
        <v>36.718163132655775</v>
      </c>
      <c r="AM245" s="72">
        <f>Tabella3[[#This Row],[rest of Italy fit]]/y_a_peak</f>
        <v>1.2830482608628537E-2</v>
      </c>
      <c r="AN245" s="10">
        <f>Tabella3[[#This Row],[rest of Italy fit]]*NOT(ISBLANK(Tabella3[[#This Row],[rest of Italy data]]))</f>
        <v>0</v>
      </c>
      <c r="AO245" s="131"/>
      <c r="AP245" s="131"/>
    </row>
    <row r="246" spans="2:42" x14ac:dyDescent="0.3">
      <c r="B246" s="9">
        <v>44069</v>
      </c>
      <c r="C246" s="4">
        <v>239</v>
      </c>
      <c r="D246" s="131"/>
      <c r="E246" s="10"/>
      <c r="F246" s="10">
        <f>Tabella3[[#This Row],[Italy remov. rate data]]*NOT(ISBLANK(Tabella3[[#This Row],[Italy remov. rate data]]))</f>
        <v>0</v>
      </c>
      <c r="G246" s="77" t="e">
        <f>Tabella8[[#This Row],[Italy fit]]</f>
        <v>#VALUE!</v>
      </c>
      <c r="H246" s="77" t="e">
        <f>Tabella3[[#This Row],[Italy cumul. fit]]/Kf</f>
        <v>#VALUE!</v>
      </c>
      <c r="I246" s="77">
        <f>Tabella3[[#This Row],[region fit]]+Tabella3[[#This Row],[rest of Italy fit]]</f>
        <v>35.571212274186976</v>
      </c>
      <c r="J246" s="77">
        <f>Tabella3[[#This Row],[Italy (fit of selected region + fitted sum of the other regions)]]/(y_l_peak+y_a_peak)</f>
        <v>1.1858689278891393E-2</v>
      </c>
      <c r="K246" s="72">
        <f>IFERROR(Kf*psi_f*_xlfn.SECH(psi_f*(Tabella3[[#This Row],[Day]]-pf)-phi_f)^2/(1+TANH(phi_f)),0)</f>
        <v>34.965599801302631</v>
      </c>
      <c r="L246" s="292">
        <f>Tabella3[[#This Row],[Italy remov. rate fit]]-Tabella3[[#This Row],[Italy remov. rate data]]</f>
        <v>34.965599801302631</v>
      </c>
      <c r="M246" s="293">
        <f>Tabella3[[#This Row],[rem. rate residuals]]*NOT(ISBLANK(Tabella3[[#This Row],[Italy remov. rate data]]))</f>
        <v>0</v>
      </c>
      <c r="N246" s="72">
        <f>Tabella3[[#This Row],[Italy remov. rate fit]]/y_f_peak</f>
        <v>1.1649740056794672E-2</v>
      </c>
      <c r="O246" s="10">
        <f>Tabella3[[#This Row],[Italy (fit of selected region + fitted sum of the other regions)]]*NOT(ISBLANK(Tabella3[[#This Row],[Italy remov. rate data]]))</f>
        <v>0</v>
      </c>
      <c r="P246" s="10">
        <f>Tabella3[[#This Row],[Italy remov. rate fit]]*NOT(ISBLANK(Tabella3[[#This Row],[Italy remov. rate data]]))</f>
        <v>0</v>
      </c>
      <c r="Q246" s="72"/>
      <c r="R246" s="72"/>
      <c r="S246" s="131"/>
      <c r="T246" s="10"/>
      <c r="U246" s="10">
        <f>Tabella3[[#This Row],[region data]]*NOT(ISBLANK(Tabella3[[#This Row],[region data]]))</f>
        <v>0</v>
      </c>
      <c r="V246"/>
      <c r="W246" s="72">
        <f>Tabella3[[#This Row],[6-days moving avg]]*NOT(ISBLANK(Tabella3[[#This Row],[6-days moving avg]]))</f>
        <v>0</v>
      </c>
      <c r="X246" s="77" t="e">
        <f>Tabella8[[#This Row],[region fit]]</f>
        <v>#VALUE!</v>
      </c>
      <c r="Y246" s="72" t="e">
        <f>Tabella3[[#This Row],[region cumul. fit]]/Kl</f>
        <v>#VALUE!</v>
      </c>
      <c r="Z246" s="72">
        <f>IFERROR(Kl*psi_l*_xlfn.SECH(psi_l*(Tabella3[[#This Row],[Day]]-pl)-phi_l)^2/(1+TANH(phi_l)),0)</f>
        <v>0.59904917703382321</v>
      </c>
      <c r="AA246" s="72">
        <f>Tabella3[[#This Row],[region fit]]/y_l_peak</f>
        <v>4.3472592142494802E-3</v>
      </c>
      <c r="AB246" s="10">
        <f>Tabella3[[#This Row],[region fit]]*NOT(ISBLANK(Tabella3[[#This Row],[region data]]))</f>
        <v>0</v>
      </c>
      <c r="AC246" s="166">
        <f>IFERROR(kl_m*psi_l_m*_xlfn.SECH(psi_l_m*(Tabella3[[#This Row],[Day]]-pl_m)-phi_l_m)^2/(1+TANH(phi_l_m)),0)</f>
        <v>0.59904917703382321</v>
      </c>
      <c r="AD246" s="72">
        <f>Tabella3[[#This Row],[6-days moving avg fit]]*NOT(ISBLANK(Tabella3[[#This Row],[6-days moving avg]]))</f>
        <v>0</v>
      </c>
      <c r="AE246" s="131"/>
      <c r="AF246" s="131"/>
      <c r="AG246" s="131"/>
      <c r="AH246" s="10"/>
      <c r="AI246" s="10">
        <f>Tabella3[[#This Row],[rest of Italy data]]*NOT(ISBLANK(Tabella3[[#This Row],[rest of Italy data]]))</f>
        <v>0</v>
      </c>
      <c r="AJ246" s="77" t="e">
        <f>Tabella8[[#This Row],[rest of Italy fit]]</f>
        <v>#VALUE!</v>
      </c>
      <c r="AK246" s="72" t="e">
        <f>Tabella3[[#This Row],[rest of Italy cumul. fit]]/Ka</f>
        <v>#VALUE!</v>
      </c>
      <c r="AL246" s="72">
        <f>IFERROR(Ka*psi_a*_xlfn.SECH(psi_a*(Tabella3[[#This Row],[Day]]-pa)-phi_a)^2/(1+TANH(phi_a)),0)</f>
        <v>34.97216309715315</v>
      </c>
      <c r="AM246" s="72">
        <f>Tabella3[[#This Row],[rest of Italy fit]]/y_a_peak</f>
        <v>1.2220375207306554E-2</v>
      </c>
      <c r="AN246" s="10">
        <f>Tabella3[[#This Row],[rest of Italy fit]]*NOT(ISBLANK(Tabella3[[#This Row],[rest of Italy data]]))</f>
        <v>0</v>
      </c>
      <c r="AO246" s="131"/>
      <c r="AP246" s="131"/>
    </row>
    <row r="247" spans="2:42" x14ac:dyDescent="0.3">
      <c r="B247" s="9">
        <v>44070</v>
      </c>
      <c r="C247" s="4">
        <v>240</v>
      </c>
      <c r="D247" s="131"/>
      <c r="E247" s="10"/>
      <c r="F247" s="10">
        <f>Tabella3[[#This Row],[Italy remov. rate data]]*NOT(ISBLANK(Tabella3[[#This Row],[Italy remov. rate data]]))</f>
        <v>0</v>
      </c>
      <c r="G247" s="77" t="e">
        <f>Tabella8[[#This Row],[Italy fit]]</f>
        <v>#VALUE!</v>
      </c>
      <c r="H247" s="77" t="e">
        <f>Tabella3[[#This Row],[Italy cumul. fit]]/Kf</f>
        <v>#VALUE!</v>
      </c>
      <c r="I247" s="77">
        <f>Tabella3[[#This Row],[region fit]]+Tabella3[[#This Row],[rest of Italy fit]]</f>
        <v>33.874959340407386</v>
      </c>
      <c r="J247" s="77">
        <f>Tabella3[[#This Row],[Italy (fit of selected region + fitted sum of the other regions)]]/(y_l_peak+y_a_peak)</f>
        <v>1.1293194453327148E-2</v>
      </c>
      <c r="K247" s="72">
        <f>IFERROR(Kf*psi_f*_xlfn.SECH(psi_f*(Tabella3[[#This Row],[Day]]-pf)-phi_f)^2/(1+TANH(phi_f)),0)</f>
        <v>33.289883086790503</v>
      </c>
      <c r="L247" s="292">
        <f>Tabella3[[#This Row],[Italy remov. rate fit]]-Tabella3[[#This Row],[Italy remov. rate data]]</f>
        <v>33.289883086790503</v>
      </c>
      <c r="M247" s="293">
        <f>Tabella3[[#This Row],[rem. rate residuals]]*NOT(ISBLANK(Tabella3[[#This Row],[Italy remov. rate data]]))</f>
        <v>0</v>
      </c>
      <c r="N247" s="72">
        <f>Tabella3[[#This Row],[Italy remov. rate fit]]/y_f_peak</f>
        <v>1.109142948172011E-2</v>
      </c>
      <c r="O247" s="10">
        <f>Tabella3[[#This Row],[Italy (fit of selected region + fitted sum of the other regions)]]*NOT(ISBLANK(Tabella3[[#This Row],[Italy remov. rate data]]))</f>
        <v>0</v>
      </c>
      <c r="P247" s="10">
        <f>Tabella3[[#This Row],[Italy remov. rate fit]]*NOT(ISBLANK(Tabella3[[#This Row],[Italy remov. rate data]]))</f>
        <v>0</v>
      </c>
      <c r="Q247" s="72"/>
      <c r="R247" s="72"/>
      <c r="S247" s="131"/>
      <c r="T247" s="10"/>
      <c r="U247" s="10">
        <f>Tabella3[[#This Row],[region data]]*NOT(ISBLANK(Tabella3[[#This Row],[region data]]))</f>
        <v>0</v>
      </c>
      <c r="V247"/>
      <c r="W247" s="72">
        <f>Tabella3[[#This Row],[6-days moving avg]]*NOT(ISBLANK(Tabella3[[#This Row],[6-days moving avg]]))</f>
        <v>0</v>
      </c>
      <c r="X247" s="77" t="e">
        <f>Tabella8[[#This Row],[region fit]]</f>
        <v>#VALUE!</v>
      </c>
      <c r="Y247" s="72" t="e">
        <f>Tabella3[[#This Row],[region cumul. fit]]/Kl</f>
        <v>#VALUE!</v>
      </c>
      <c r="Z247" s="72">
        <f>IFERROR(Kl*psi_l*_xlfn.SECH(psi_l*(Tabella3[[#This Row],[Day]]-pl)-phi_l)^2/(1+TANH(phi_l)),0)</f>
        <v>0.56626083139112227</v>
      </c>
      <c r="AA247" s="72">
        <f>Tabella3[[#This Row],[region fit]]/y_l_peak</f>
        <v>4.1093164155947704E-3</v>
      </c>
      <c r="AB247" s="10">
        <f>Tabella3[[#This Row],[region fit]]*NOT(ISBLANK(Tabella3[[#This Row],[region data]]))</f>
        <v>0</v>
      </c>
      <c r="AC247" s="166">
        <f>IFERROR(kl_m*psi_l_m*_xlfn.SECH(psi_l_m*(Tabella3[[#This Row],[Day]]-pl_m)-phi_l_m)^2/(1+TANH(phi_l_m)),0)</f>
        <v>0.56626083139112227</v>
      </c>
      <c r="AD247" s="72">
        <f>Tabella3[[#This Row],[6-days moving avg fit]]*NOT(ISBLANK(Tabella3[[#This Row],[6-days moving avg]]))</f>
        <v>0</v>
      </c>
      <c r="AE247" s="131"/>
      <c r="AF247" s="131"/>
      <c r="AG247" s="131"/>
      <c r="AH247" s="10"/>
      <c r="AI247" s="10">
        <f>Tabella3[[#This Row],[rest of Italy data]]*NOT(ISBLANK(Tabella3[[#This Row],[rest of Italy data]]))</f>
        <v>0</v>
      </c>
      <c r="AJ247" s="77" t="e">
        <f>Tabella8[[#This Row],[rest of Italy fit]]</f>
        <v>#VALUE!</v>
      </c>
      <c r="AK247" s="72" t="e">
        <f>Tabella3[[#This Row],[rest of Italy cumul. fit]]/Ka</f>
        <v>#VALUE!</v>
      </c>
      <c r="AL247" s="72">
        <f>IFERROR(Ka*psi_a*_xlfn.SECH(psi_a*(Tabella3[[#This Row],[Day]]-pa)-phi_a)^2/(1+TANH(phi_a)),0)</f>
        <v>33.308698509016267</v>
      </c>
      <c r="AM247" s="72">
        <f>Tabella3[[#This Row],[rest of Italy fit]]/y_a_peak</f>
        <v>1.1639108290684083E-2</v>
      </c>
      <c r="AN247" s="10">
        <f>Tabella3[[#This Row],[rest of Italy fit]]*NOT(ISBLANK(Tabella3[[#This Row],[rest of Italy data]]))</f>
        <v>0</v>
      </c>
      <c r="AO247" s="131"/>
      <c r="AP247" s="131"/>
    </row>
    <row r="248" spans="2:42" x14ac:dyDescent="0.3">
      <c r="B248" s="9">
        <v>44071</v>
      </c>
      <c r="C248" s="4">
        <v>241</v>
      </c>
      <c r="D248" s="131"/>
      <c r="E248" s="10"/>
      <c r="F248" s="10">
        <f>Tabella3[[#This Row],[Italy remov. rate data]]*NOT(ISBLANK(Tabella3[[#This Row],[Italy remov. rate data]]))</f>
        <v>0</v>
      </c>
      <c r="G248" s="77" t="e">
        <f>Tabella8[[#This Row],[Italy fit]]</f>
        <v>#VALUE!</v>
      </c>
      <c r="H248" s="77" t="e">
        <f>Tabella3[[#This Row],[Italy cumul. fit]]/Kf</f>
        <v>#VALUE!</v>
      </c>
      <c r="I248" s="77">
        <f>Tabella3[[#This Row],[region fit]]+Tabella3[[#This Row],[rest of Italy fit]]</f>
        <v>32.259177034451085</v>
      </c>
      <c r="J248" s="77">
        <f>Tabella3[[#This Row],[Italy (fit of selected region + fitted sum of the other regions)]]/(y_l_peak+y_a_peak)</f>
        <v>1.0754526831853616E-2</v>
      </c>
      <c r="K248" s="72">
        <f>IFERROR(Kf*psi_f*_xlfn.SECH(psi_f*(Tabella3[[#This Row],[Day]]-pf)-phi_f)^2/(1+TANH(phi_f)),0)</f>
        <v>31.694045737939337</v>
      </c>
      <c r="L248" s="292">
        <f>Tabella3[[#This Row],[Italy remov. rate fit]]-Tabella3[[#This Row],[Italy remov. rate data]]</f>
        <v>31.694045737939337</v>
      </c>
      <c r="M248" s="293">
        <f>Tabella3[[#This Row],[rem. rate residuals]]*NOT(ISBLANK(Tabella3[[#This Row],[Italy remov. rate data]]))</f>
        <v>0</v>
      </c>
      <c r="N248" s="72">
        <f>Tabella3[[#This Row],[Italy remov. rate fit]]/y_f_peak</f>
        <v>1.0559732888706199E-2</v>
      </c>
      <c r="O248" s="10">
        <f>Tabella3[[#This Row],[Italy (fit of selected region + fitted sum of the other regions)]]*NOT(ISBLANK(Tabella3[[#This Row],[Italy remov. rate data]]))</f>
        <v>0</v>
      </c>
      <c r="P248" s="10">
        <f>Tabella3[[#This Row],[Italy remov. rate fit]]*NOT(ISBLANK(Tabella3[[#This Row],[Italy remov. rate data]]))</f>
        <v>0</v>
      </c>
      <c r="Q248" s="72"/>
      <c r="R248" s="72"/>
      <c r="S248" s="131"/>
      <c r="T248" s="10"/>
      <c r="U248" s="10">
        <f>Tabella3[[#This Row],[region data]]*NOT(ISBLANK(Tabella3[[#This Row],[region data]]))</f>
        <v>0</v>
      </c>
      <c r="V248"/>
      <c r="W248" s="72">
        <f>Tabella3[[#This Row],[6-days moving avg]]*NOT(ISBLANK(Tabella3[[#This Row],[6-days moving avg]]))</f>
        <v>0</v>
      </c>
      <c r="X248" s="77" t="e">
        <f>Tabella8[[#This Row],[region fit]]</f>
        <v>#VALUE!</v>
      </c>
      <c r="Y248" s="72" t="e">
        <f>Tabella3[[#This Row],[region cumul. fit]]/Kl</f>
        <v>#VALUE!</v>
      </c>
      <c r="Z248" s="72">
        <f>IFERROR(Kl*psi_l*_xlfn.SECH(psi_l*(Tabella3[[#This Row],[Day]]-pl)-phi_l)^2/(1+TANH(phi_l)),0)</f>
        <v>0.5352636220772401</v>
      </c>
      <c r="AA248" s="72">
        <f>Tabella3[[#This Row],[region fit]]/y_l_peak</f>
        <v>3.8843717716958845E-3</v>
      </c>
      <c r="AB248" s="10">
        <f>Tabella3[[#This Row],[region fit]]*NOT(ISBLANK(Tabella3[[#This Row],[region data]]))</f>
        <v>0</v>
      </c>
      <c r="AC248" s="166">
        <f>IFERROR(kl_m*psi_l_m*_xlfn.SECH(psi_l_m*(Tabella3[[#This Row],[Day]]-pl_m)-phi_l_m)^2/(1+TANH(phi_l_m)),0)</f>
        <v>0.5352636220772401</v>
      </c>
      <c r="AD248" s="72">
        <f>Tabella3[[#This Row],[6-days moving avg fit]]*NOT(ISBLANK(Tabella3[[#This Row],[6-days moving avg]]))</f>
        <v>0</v>
      </c>
      <c r="AE248" s="131"/>
      <c r="AF248" s="131"/>
      <c r="AG248" s="131"/>
      <c r="AH248" s="10"/>
      <c r="AI248" s="10">
        <f>Tabella3[[#This Row],[rest of Italy data]]*NOT(ISBLANK(Tabella3[[#This Row],[rest of Italy data]]))</f>
        <v>0</v>
      </c>
      <c r="AJ248" s="77" t="e">
        <f>Tabella8[[#This Row],[rest of Italy fit]]</f>
        <v>#VALUE!</v>
      </c>
      <c r="AK248" s="72" t="e">
        <f>Tabella3[[#This Row],[rest of Italy cumul. fit]]/Ka</f>
        <v>#VALUE!</v>
      </c>
      <c r="AL248" s="72">
        <f>IFERROR(Ka*psi_a*_xlfn.SECH(psi_a*(Tabella3[[#This Row],[Day]]-pa)-phi_a)^2/(1+TANH(phi_a)),0)</f>
        <v>31.723913412373847</v>
      </c>
      <c r="AM248" s="72">
        <f>Tabella3[[#This Row],[rest of Italy fit]]/y_a_peak</f>
        <v>1.1085334466339358E-2</v>
      </c>
      <c r="AN248" s="10">
        <f>Tabella3[[#This Row],[rest of Italy fit]]*NOT(ISBLANK(Tabella3[[#This Row],[rest of Italy data]]))</f>
        <v>0</v>
      </c>
      <c r="AO248" s="131"/>
      <c r="AP248" s="131"/>
    </row>
    <row r="249" spans="2:42" x14ac:dyDescent="0.3">
      <c r="B249" s="9">
        <v>44072</v>
      </c>
      <c r="C249" s="4">
        <v>242</v>
      </c>
      <c r="D249" s="131"/>
      <c r="E249" s="10"/>
      <c r="F249" s="10">
        <f>Tabella3[[#This Row],[Italy remov. rate data]]*NOT(ISBLANK(Tabella3[[#This Row],[Italy remov. rate data]]))</f>
        <v>0</v>
      </c>
      <c r="G249" s="77" t="e">
        <f>Tabella8[[#This Row],[Italy fit]]</f>
        <v>#VALUE!</v>
      </c>
      <c r="H249" s="77" t="e">
        <f>Tabella3[[#This Row],[Italy cumul. fit]]/Kf</f>
        <v>#VALUE!</v>
      </c>
      <c r="I249" s="77">
        <f>Tabella3[[#This Row],[region fit]]+Tabella3[[#This Row],[rest of Italy fit]]</f>
        <v>30.72008781817361</v>
      </c>
      <c r="J249" s="77">
        <f>Tabella3[[#This Row],[Italy (fit of selected region + fitted sum of the other regions)]]/(y_l_peak+y_a_peak)</f>
        <v>1.0241427063208066E-2</v>
      </c>
      <c r="K249" s="72">
        <f>IFERROR(Kf*psi_f*_xlfn.SECH(psi_f*(Tabella3[[#This Row],[Day]]-pf)-phi_f)^2/(1+TANH(phi_f)),0)</f>
        <v>30.174320258291665</v>
      </c>
      <c r="L249" s="292">
        <f>Tabella3[[#This Row],[Italy remov. rate fit]]-Tabella3[[#This Row],[Italy remov. rate data]]</f>
        <v>30.174320258291665</v>
      </c>
      <c r="M249" s="293">
        <f>Tabella3[[#This Row],[rem. rate residuals]]*NOT(ISBLANK(Tabella3[[#This Row],[Italy remov. rate data]]))</f>
        <v>0</v>
      </c>
      <c r="N249" s="72">
        <f>Tabella3[[#This Row],[Italy remov. rate fit]]/y_f_peak</f>
        <v>1.0053395033894871E-2</v>
      </c>
      <c r="O249" s="10">
        <f>Tabella3[[#This Row],[Italy (fit of selected region + fitted sum of the other regions)]]*NOT(ISBLANK(Tabella3[[#This Row],[Italy remov. rate data]]))</f>
        <v>0</v>
      </c>
      <c r="P249" s="10">
        <f>Tabella3[[#This Row],[Italy remov. rate fit]]*NOT(ISBLANK(Tabella3[[#This Row],[Italy remov. rate data]]))</f>
        <v>0</v>
      </c>
      <c r="Q249" s="72"/>
      <c r="R249" s="72"/>
      <c r="S249" s="131"/>
      <c r="T249" s="10"/>
      <c r="U249" s="10">
        <f>Tabella3[[#This Row],[region data]]*NOT(ISBLANK(Tabella3[[#This Row],[region data]]))</f>
        <v>0</v>
      </c>
      <c r="V249"/>
      <c r="W249" s="72">
        <f>Tabella3[[#This Row],[6-days moving avg]]*NOT(ISBLANK(Tabella3[[#This Row],[6-days moving avg]]))</f>
        <v>0</v>
      </c>
      <c r="X249" s="77" t="e">
        <f>Tabella8[[#This Row],[region fit]]</f>
        <v>#VALUE!</v>
      </c>
      <c r="Y249" s="72" t="e">
        <f>Tabella3[[#This Row],[region cumul. fit]]/Kl</f>
        <v>#VALUE!</v>
      </c>
      <c r="Z249" s="72">
        <f>IFERROR(Kl*psi_l*_xlfn.SECH(psi_l*(Tabella3[[#This Row],[Day]]-pl)-phi_l)^2/(1+TANH(phi_l)),0)</f>
        <v>0.50596007742813121</v>
      </c>
      <c r="AA249" s="72">
        <f>Tabella3[[#This Row],[region fit]]/y_l_peak</f>
        <v>3.6717179373032247E-3</v>
      </c>
      <c r="AB249" s="10">
        <f>Tabella3[[#This Row],[region fit]]*NOT(ISBLANK(Tabella3[[#This Row],[region data]]))</f>
        <v>0</v>
      </c>
      <c r="AC249" s="166">
        <f>IFERROR(kl_m*psi_l_m*_xlfn.SECH(psi_l_m*(Tabella3[[#This Row],[Day]]-pl_m)-phi_l_m)^2/(1+TANH(phi_l_m)),0)</f>
        <v>0.50596007742813121</v>
      </c>
      <c r="AD249" s="72">
        <f>Tabella3[[#This Row],[6-days moving avg fit]]*NOT(ISBLANK(Tabella3[[#This Row],[6-days moving avg]]))</f>
        <v>0</v>
      </c>
      <c r="AE249" s="131"/>
      <c r="AF249" s="131"/>
      <c r="AG249" s="131"/>
      <c r="AH249" s="10"/>
      <c r="AI249" s="10">
        <f>Tabella3[[#This Row],[rest of Italy data]]*NOT(ISBLANK(Tabella3[[#This Row],[rest of Italy data]]))</f>
        <v>0</v>
      </c>
      <c r="AJ249" s="77" t="e">
        <f>Tabella8[[#This Row],[rest of Italy fit]]</f>
        <v>#VALUE!</v>
      </c>
      <c r="AK249" s="72" t="e">
        <f>Tabella3[[#This Row],[rest of Italy cumul. fit]]/Ka</f>
        <v>#VALUE!</v>
      </c>
      <c r="AL249" s="72">
        <f>IFERROR(Ka*psi_a*_xlfn.SECH(psi_a*(Tabella3[[#This Row],[Day]]-pa)-phi_a)^2/(1+TANH(phi_a)),0)</f>
        <v>30.214127740745479</v>
      </c>
      <c r="AM249" s="72">
        <f>Tabella3[[#This Row],[rest of Italy fit]]/y_a_peak</f>
        <v>1.0557767803143284E-2</v>
      </c>
      <c r="AN249" s="10">
        <f>Tabella3[[#This Row],[rest of Italy fit]]*NOT(ISBLANK(Tabella3[[#This Row],[rest of Italy data]]))</f>
        <v>0</v>
      </c>
      <c r="AO249" s="131"/>
      <c r="AP249" s="131"/>
    </row>
    <row r="250" spans="2:42" x14ac:dyDescent="0.3">
      <c r="B250" s="9">
        <v>44073</v>
      </c>
      <c r="C250" s="4">
        <v>243</v>
      </c>
      <c r="D250" s="131"/>
      <c r="E250" s="10"/>
      <c r="F250" s="10">
        <f>Tabella3[[#This Row],[Italy remov. rate data]]*NOT(ISBLANK(Tabella3[[#This Row],[Italy remov. rate data]]))</f>
        <v>0</v>
      </c>
      <c r="G250" s="77" t="e">
        <f>Tabella8[[#This Row],[Italy fit]]</f>
        <v>#VALUE!</v>
      </c>
      <c r="H250" s="77" t="e">
        <f>Tabella3[[#This Row],[Italy cumul. fit]]/Kf</f>
        <v>#VALUE!</v>
      </c>
      <c r="I250" s="77">
        <f>Tabella3[[#This Row],[region fit]]+Tabella3[[#This Row],[rest of Italy fit]]</f>
        <v>29.254087683858909</v>
      </c>
      <c r="J250" s="77">
        <f>Tabella3[[#This Row],[Italy (fit of selected region + fitted sum of the other regions)]]/(y_l_peak+y_a_peak)</f>
        <v>9.7526936474996908E-3</v>
      </c>
      <c r="K250" s="72">
        <f>IFERROR(Kf*psi_f*_xlfn.SECH(psi_f*(Tabella3[[#This Row],[Day]]-pf)-phi_f)^2/(1+TANH(phi_f)),0)</f>
        <v>28.727113059784667</v>
      </c>
      <c r="L250" s="292">
        <f>Tabella3[[#This Row],[Italy remov. rate fit]]-Tabella3[[#This Row],[Italy remov. rate data]]</f>
        <v>28.727113059784667</v>
      </c>
      <c r="M250" s="293">
        <f>Tabella3[[#This Row],[rem. rate residuals]]*NOT(ISBLANK(Tabella3[[#This Row],[Italy remov. rate data]]))</f>
        <v>0</v>
      </c>
      <c r="N250" s="72">
        <f>Tabella3[[#This Row],[Italy remov. rate fit]]/y_f_peak</f>
        <v>9.5712186157371464E-3</v>
      </c>
      <c r="O250" s="10">
        <f>Tabella3[[#This Row],[Italy (fit of selected region + fitted sum of the other regions)]]*NOT(ISBLANK(Tabella3[[#This Row],[Italy remov. rate data]]))</f>
        <v>0</v>
      </c>
      <c r="P250" s="10">
        <f>Tabella3[[#This Row],[Italy remov. rate fit]]*NOT(ISBLANK(Tabella3[[#This Row],[Italy remov. rate data]]))</f>
        <v>0</v>
      </c>
      <c r="Q250" s="72"/>
      <c r="R250" s="72"/>
      <c r="S250" s="131"/>
      <c r="T250" s="10"/>
      <c r="U250" s="10">
        <f>Tabella3[[#This Row],[region data]]*NOT(ISBLANK(Tabella3[[#This Row],[region data]]))</f>
        <v>0</v>
      </c>
      <c r="V250"/>
      <c r="W250" s="72">
        <f>Tabella3[[#This Row],[6-days moving avg]]*NOT(ISBLANK(Tabella3[[#This Row],[6-days moving avg]]))</f>
        <v>0</v>
      </c>
      <c r="X250" s="77" t="e">
        <f>Tabella8[[#This Row],[region fit]]</f>
        <v>#VALUE!</v>
      </c>
      <c r="Y250" s="72" t="e">
        <f>Tabella3[[#This Row],[region cumul. fit]]/Kl</f>
        <v>#VALUE!</v>
      </c>
      <c r="Z250" s="72">
        <f>IFERROR(Kl*psi_l*_xlfn.SECH(psi_l*(Tabella3[[#This Row],[Day]]-pl)-phi_l)^2/(1+TANH(phi_l)),0)</f>
        <v>0.47825799027643984</v>
      </c>
      <c r="AA250" s="72">
        <f>Tabella3[[#This Row],[region fit]]/y_l_peak</f>
        <v>3.4706857712623177E-3</v>
      </c>
      <c r="AB250" s="10">
        <f>Tabella3[[#This Row],[region fit]]*NOT(ISBLANK(Tabella3[[#This Row],[region data]]))</f>
        <v>0</v>
      </c>
      <c r="AC250" s="166">
        <f>IFERROR(kl_m*psi_l_m*_xlfn.SECH(psi_l_m*(Tabella3[[#This Row],[Day]]-pl_m)-phi_l_m)^2/(1+TANH(phi_l_m)),0)</f>
        <v>0.47825799027643984</v>
      </c>
      <c r="AD250" s="72">
        <f>Tabella3[[#This Row],[6-days moving avg fit]]*NOT(ISBLANK(Tabella3[[#This Row],[6-days moving avg]]))</f>
        <v>0</v>
      </c>
      <c r="AE250" s="131"/>
      <c r="AF250" s="131"/>
      <c r="AG250" s="131"/>
      <c r="AH250" s="10"/>
      <c r="AI250" s="10">
        <f>Tabella3[[#This Row],[rest of Italy data]]*NOT(ISBLANK(Tabella3[[#This Row],[rest of Italy data]]))</f>
        <v>0</v>
      </c>
      <c r="AJ250" s="77" t="e">
        <f>Tabella8[[#This Row],[rest of Italy fit]]</f>
        <v>#VALUE!</v>
      </c>
      <c r="AK250" s="72" t="e">
        <f>Tabella3[[#This Row],[rest of Italy cumul. fit]]/Ka</f>
        <v>#VALUE!</v>
      </c>
      <c r="AL250" s="72">
        <f>IFERROR(Ka*psi_a*_xlfn.SECH(psi_a*(Tabella3[[#This Row],[Day]]-pa)-phi_a)^2/(1+TANH(phi_a)),0)</f>
        <v>28.77582969358247</v>
      </c>
      <c r="AM250" s="72">
        <f>Tabella3[[#This Row],[rest of Italy fit]]/y_a_peak</f>
        <v>1.0055181167382712E-2</v>
      </c>
      <c r="AN250" s="10">
        <f>Tabella3[[#This Row],[rest of Italy fit]]*NOT(ISBLANK(Tabella3[[#This Row],[rest of Italy data]]))</f>
        <v>0</v>
      </c>
      <c r="AO250" s="131"/>
      <c r="AP250" s="131"/>
    </row>
    <row r="251" spans="2:42" x14ac:dyDescent="0.3">
      <c r="B251" s="9">
        <v>44074</v>
      </c>
      <c r="C251" s="4">
        <v>244</v>
      </c>
      <c r="D251" s="131"/>
      <c r="E251" s="10"/>
      <c r="F251" s="10">
        <f>Tabella3[[#This Row],[Italy remov. rate data]]*NOT(ISBLANK(Tabella3[[#This Row],[Italy remov. rate data]]))</f>
        <v>0</v>
      </c>
      <c r="G251" s="77" t="e">
        <f>Tabella8[[#This Row],[Italy fit]]</f>
        <v>#VALUE!</v>
      </c>
      <c r="H251" s="77" t="e">
        <f>Tabella3[[#This Row],[Italy cumul. fit]]/Kf</f>
        <v>#VALUE!</v>
      </c>
      <c r="I251" s="77">
        <f>Tabella3[[#This Row],[region fit]]+Tabella3[[#This Row],[rest of Italy fit]]</f>
        <v>27.857738542959478</v>
      </c>
      <c r="J251" s="77">
        <f>Tabella3[[#This Row],[Italy (fit of selected region + fitted sum of the other regions)]]/(y_l_peak+y_a_peak)</f>
        <v>9.2871803987766618E-3</v>
      </c>
      <c r="K251" s="72">
        <f>IFERROR(Kf*psi_f*_xlfn.SECH(psi_f*(Tabella3[[#This Row],[Day]]-pf)-phi_f)^2/(1+TANH(phi_f)),0)</f>
        <v>27.348996792904011</v>
      </c>
      <c r="L251" s="292">
        <f>Tabella3[[#This Row],[Italy remov. rate fit]]-Tabella3[[#This Row],[Italy remov. rate data]]</f>
        <v>27.348996792904011</v>
      </c>
      <c r="M251" s="293">
        <f>Tabella3[[#This Row],[rem. rate residuals]]*NOT(ISBLANK(Tabella3[[#This Row],[Italy remov. rate data]]))</f>
        <v>0</v>
      </c>
      <c r="N251" s="72">
        <f>Tabella3[[#This Row],[Italy remov. rate fit]]/y_f_peak</f>
        <v>9.1120617195753987E-3</v>
      </c>
      <c r="O251" s="10">
        <f>Tabella3[[#This Row],[Italy (fit of selected region + fitted sum of the other regions)]]*NOT(ISBLANK(Tabella3[[#This Row],[Italy remov. rate data]]))</f>
        <v>0</v>
      </c>
      <c r="P251" s="10">
        <f>Tabella3[[#This Row],[Italy remov. rate fit]]*NOT(ISBLANK(Tabella3[[#This Row],[Italy remov. rate data]]))</f>
        <v>0</v>
      </c>
      <c r="Q251" s="72"/>
      <c r="R251" s="72"/>
      <c r="S251" s="131"/>
      <c r="T251" s="10"/>
      <c r="U251" s="10">
        <f>Tabella3[[#This Row],[region data]]*NOT(ISBLANK(Tabella3[[#This Row],[region data]]))</f>
        <v>0</v>
      </c>
      <c r="V251"/>
      <c r="W251" s="72">
        <f>Tabella3[[#This Row],[6-days moving avg]]*NOT(ISBLANK(Tabella3[[#This Row],[6-days moving avg]]))</f>
        <v>0</v>
      </c>
      <c r="X251" s="77" t="e">
        <f>Tabella8[[#This Row],[region fit]]</f>
        <v>#VALUE!</v>
      </c>
      <c r="Y251" s="72" t="e">
        <f>Tabella3[[#This Row],[region cumul. fit]]/Kl</f>
        <v>#VALUE!</v>
      </c>
      <c r="Z251" s="72">
        <f>IFERROR(Kl*psi_l*_xlfn.SECH(psi_l*(Tabella3[[#This Row],[Day]]-pl)-phi_l)^2/(1+TANH(phi_l)),0)</f>
        <v>0.45207013786734868</v>
      </c>
      <c r="AA251" s="72">
        <f>Tabella3[[#This Row],[region fit]]/y_l_peak</f>
        <v>3.2806423039621379E-3</v>
      </c>
      <c r="AB251" s="10">
        <f>Tabella3[[#This Row],[region fit]]*NOT(ISBLANK(Tabella3[[#This Row],[region data]]))</f>
        <v>0</v>
      </c>
      <c r="AC251" s="166">
        <f>IFERROR(kl_m*psi_l_m*_xlfn.SECH(psi_l_m*(Tabella3[[#This Row],[Day]]-pl_m)-phi_l_m)^2/(1+TANH(phi_l_m)),0)</f>
        <v>0.45207013786734868</v>
      </c>
      <c r="AD251" s="72">
        <f>Tabella3[[#This Row],[6-days moving avg fit]]*NOT(ISBLANK(Tabella3[[#This Row],[6-days moving avg]]))</f>
        <v>0</v>
      </c>
      <c r="AE251" s="131"/>
      <c r="AF251" s="131"/>
      <c r="AG251" s="131"/>
      <c r="AH251" s="10"/>
      <c r="AI251" s="10">
        <f>Tabella3[[#This Row],[rest of Italy data]]*NOT(ISBLANK(Tabella3[[#This Row],[rest of Italy data]]))</f>
        <v>0</v>
      </c>
      <c r="AJ251" s="77" t="e">
        <f>Tabella8[[#This Row],[rest of Italy fit]]</f>
        <v>#VALUE!</v>
      </c>
      <c r="AK251" s="72" t="e">
        <f>Tabella3[[#This Row],[rest of Italy cumul. fit]]/Ka</f>
        <v>#VALUE!</v>
      </c>
      <c r="AL251" s="72">
        <f>IFERROR(Ka*psi_a*_xlfn.SECH(psi_a*(Tabella3[[#This Row],[Day]]-pa)-phi_a)^2/(1+TANH(phi_a)),0)</f>
        <v>27.405668405092129</v>
      </c>
      <c r="AM251" s="72">
        <f>Tabella3[[#This Row],[rest of Italy fit]]/y_a_peak</f>
        <v>9.5764036610167542E-3</v>
      </c>
      <c r="AN251" s="10">
        <f>Tabella3[[#This Row],[rest of Italy fit]]*NOT(ISBLANK(Tabella3[[#This Row],[rest of Italy data]]))</f>
        <v>0</v>
      </c>
      <c r="AO251" s="131"/>
      <c r="AP251" s="131"/>
    </row>
    <row r="252" spans="2:42" x14ac:dyDescent="0.3">
      <c r="B252" s="9">
        <v>44075</v>
      </c>
      <c r="C252" s="4">
        <v>245</v>
      </c>
      <c r="D252" s="131"/>
      <c r="E252" s="10"/>
      <c r="F252" s="10">
        <f>Tabella3[[#This Row],[Italy remov. rate data]]*NOT(ISBLANK(Tabella3[[#This Row],[Italy remov. rate data]]))</f>
        <v>0</v>
      </c>
      <c r="G252" s="77" t="e">
        <f>Tabella8[[#This Row],[Italy fit]]</f>
        <v>#VALUE!</v>
      </c>
      <c r="H252" s="77" t="e">
        <f>Tabella3[[#This Row],[Italy cumul. fit]]/Kf</f>
        <v>#VALUE!</v>
      </c>
      <c r="I252" s="77">
        <f>Tabella3[[#This Row],[region fit]]+Tabella3[[#This Row],[rest of Italy fit]]</f>
        <v>26.527760914143716</v>
      </c>
      <c r="J252" s="77">
        <f>Tabella3[[#This Row],[Italy (fit of selected region + fitted sum of the other regions)]]/(y_l_peak+y_a_peak)</f>
        <v>8.8437940073758815E-3</v>
      </c>
      <c r="K252" s="72">
        <f>IFERROR(Kf*psi_f*_xlfn.SECH(psi_f*(Tabella3[[#This Row],[Day]]-pf)-phi_f)^2/(1+TANH(phi_f)),0)</f>
        <v>26.036702980796221</v>
      </c>
      <c r="L252" s="292">
        <f>Tabella3[[#This Row],[Italy remov. rate fit]]-Tabella3[[#This Row],[Italy remov. rate data]]</f>
        <v>26.036702980796221</v>
      </c>
      <c r="M252" s="293">
        <f>Tabella3[[#This Row],[rem. rate residuals]]*NOT(ISBLANK(Tabella3[[#This Row],[Italy remov. rate data]]))</f>
        <v>0</v>
      </c>
      <c r="N252" s="72">
        <f>Tabella3[[#This Row],[Italy remov. rate fit]]/y_f_peak</f>
        <v>8.6748353634976648E-3</v>
      </c>
      <c r="O252" s="10">
        <f>Tabella3[[#This Row],[Italy (fit of selected region + fitted sum of the other regions)]]*NOT(ISBLANK(Tabella3[[#This Row],[Italy remov. rate data]]))</f>
        <v>0</v>
      </c>
      <c r="P252" s="10">
        <f>Tabella3[[#This Row],[Italy remov. rate fit]]*NOT(ISBLANK(Tabella3[[#This Row],[Italy remov. rate data]]))</f>
        <v>0</v>
      </c>
      <c r="Q252" s="72"/>
      <c r="R252" s="72"/>
      <c r="S252" s="131"/>
      <c r="T252" s="10"/>
      <c r="U252" s="10">
        <f>Tabella3[[#This Row],[region data]]*NOT(ISBLANK(Tabella3[[#This Row],[region data]]))</f>
        <v>0</v>
      </c>
      <c r="V252"/>
      <c r="W252" s="72">
        <f>Tabella3[[#This Row],[6-days moving avg]]*NOT(ISBLANK(Tabella3[[#This Row],[6-days moving avg]]))</f>
        <v>0</v>
      </c>
      <c r="X252" s="77" t="e">
        <f>Tabella8[[#This Row],[region fit]]</f>
        <v>#VALUE!</v>
      </c>
      <c r="Y252" s="72" t="e">
        <f>Tabella3[[#This Row],[region cumul. fit]]/Kl</f>
        <v>#VALUE!</v>
      </c>
      <c r="Z252" s="72">
        <f>IFERROR(Kl*psi_l*_xlfn.SECH(psi_l*(Tabella3[[#This Row],[Day]]-pl)-phi_l)^2/(1+TANH(phi_l)),0)</f>
        <v>0.42731401621873172</v>
      </c>
      <c r="AA252" s="72">
        <f>Tabella3[[#This Row],[region fit]]/y_l_peak</f>
        <v>3.1009888096047711E-3</v>
      </c>
      <c r="AB252" s="10">
        <f>Tabella3[[#This Row],[region fit]]*NOT(ISBLANK(Tabella3[[#This Row],[region data]]))</f>
        <v>0</v>
      </c>
      <c r="AC252" s="166">
        <f>IFERROR(kl_m*psi_l_m*_xlfn.SECH(psi_l_m*(Tabella3[[#This Row],[Day]]-pl_m)-phi_l_m)^2/(1+TANH(phi_l_m)),0)</f>
        <v>0.42731401621873172</v>
      </c>
      <c r="AD252" s="72">
        <f>Tabella3[[#This Row],[6-days moving avg fit]]*NOT(ISBLANK(Tabella3[[#This Row],[6-days moving avg]]))</f>
        <v>0</v>
      </c>
      <c r="AE252" s="131"/>
      <c r="AF252" s="131"/>
      <c r="AG252" s="131"/>
      <c r="AH252" s="10"/>
      <c r="AI252" s="10">
        <f>Tabella3[[#This Row],[rest of Italy data]]*NOT(ISBLANK(Tabella3[[#This Row],[rest of Italy data]]))</f>
        <v>0</v>
      </c>
      <c r="AJ252" s="77" t="e">
        <f>Tabella8[[#This Row],[rest of Italy fit]]</f>
        <v>#VALUE!</v>
      </c>
      <c r="AK252" s="72" t="e">
        <f>Tabella3[[#This Row],[rest of Italy cumul. fit]]/Ka</f>
        <v>#VALUE!</v>
      </c>
      <c r="AL252" s="72">
        <f>IFERROR(Ka*psi_a*_xlfn.SECH(psi_a*(Tabella3[[#This Row],[Day]]-pa)-phi_a)^2/(1+TANH(phi_a)),0)</f>
        <v>26.100446897924986</v>
      </c>
      <c r="AM252" s="72">
        <f>Tabella3[[#This Row],[rest of Italy fit]]/y_a_peak</f>
        <v>9.1203181594731817E-3</v>
      </c>
      <c r="AN252" s="10">
        <f>Tabella3[[#This Row],[rest of Italy fit]]*NOT(ISBLANK(Tabella3[[#This Row],[rest of Italy data]]))</f>
        <v>0</v>
      </c>
      <c r="AO252" s="131"/>
      <c r="AP252" s="131"/>
    </row>
    <row r="253" spans="2:42" x14ac:dyDescent="0.3">
      <c r="B253" s="9">
        <v>44076</v>
      </c>
      <c r="C253" s="4">
        <v>246</v>
      </c>
      <c r="D253" s="131"/>
      <c r="E253" s="10"/>
      <c r="F253" s="10">
        <f>Tabella3[[#This Row],[Italy remov. rate data]]*NOT(ISBLANK(Tabella3[[#This Row],[Italy remov. rate data]]))</f>
        <v>0</v>
      </c>
      <c r="G253" s="77" t="e">
        <f>Tabella8[[#This Row],[Italy fit]]</f>
        <v>#VALUE!</v>
      </c>
      <c r="H253" s="77" t="e">
        <f>Tabella3[[#This Row],[Italy cumul. fit]]/Kf</f>
        <v>#VALUE!</v>
      </c>
      <c r="I253" s="77">
        <f>Tabella3[[#This Row],[region fit]]+Tabella3[[#This Row],[rest of Italy fit]]</f>
        <v>25.261026902303605</v>
      </c>
      <c r="J253" s="77">
        <f>Tabella3[[#This Row],[Italy (fit of selected region + fitted sum of the other regions)]]/(y_l_peak+y_a_peak)</f>
        <v>8.4214916992727557E-3</v>
      </c>
      <c r="K253" s="72">
        <f>IFERROR(Kf*psi_f*_xlfn.SECH(psi_f*(Tabella3[[#This Row],[Day]]-pf)-phi_f)^2/(1+TANH(phi_f)),0)</f>
        <v>24.787114948701795</v>
      </c>
      <c r="L253" s="292">
        <f>Tabella3[[#This Row],[Italy remov. rate fit]]-Tabella3[[#This Row],[Italy remov. rate data]]</f>
        <v>24.787114948701795</v>
      </c>
      <c r="M253" s="293">
        <f>Tabella3[[#This Row],[rem. rate residuals]]*NOT(ISBLANK(Tabella3[[#This Row],[Italy remov. rate data]]))</f>
        <v>0</v>
      </c>
      <c r="N253" s="72">
        <f>Tabella3[[#This Row],[Italy remov. rate fit]]/y_f_peak</f>
        <v>8.2585011425860781E-3</v>
      </c>
      <c r="O253" s="10">
        <f>Tabella3[[#This Row],[Italy (fit of selected region + fitted sum of the other regions)]]*NOT(ISBLANK(Tabella3[[#This Row],[Italy remov. rate data]]))</f>
        <v>0</v>
      </c>
      <c r="P253" s="10">
        <f>Tabella3[[#This Row],[Italy remov. rate fit]]*NOT(ISBLANK(Tabella3[[#This Row],[Italy remov. rate data]]))</f>
        <v>0</v>
      </c>
      <c r="Q253" s="72"/>
      <c r="R253" s="72"/>
      <c r="S253" s="131"/>
      <c r="T253" s="10"/>
      <c r="U253" s="10">
        <f>Tabella3[[#This Row],[region data]]*NOT(ISBLANK(Tabella3[[#This Row],[region data]]))</f>
        <v>0</v>
      </c>
      <c r="V253"/>
      <c r="W253" s="72">
        <f>Tabella3[[#This Row],[6-days moving avg]]*NOT(ISBLANK(Tabella3[[#This Row],[6-days moving avg]]))</f>
        <v>0</v>
      </c>
      <c r="X253" s="77" t="e">
        <f>Tabella8[[#This Row],[region fit]]</f>
        <v>#VALUE!</v>
      </c>
      <c r="Y253" s="72" t="e">
        <f>Tabella3[[#This Row],[region cumul. fit]]/Kl</f>
        <v>#VALUE!</v>
      </c>
      <c r="Z253" s="72">
        <f>IFERROR(Kl*psi_l*_xlfn.SECH(psi_l*(Tabella3[[#This Row],[Day]]-pl)-phi_l)^2/(1+TANH(phi_l)),0)</f>
        <v>0.4039115882303207</v>
      </c>
      <c r="AA253" s="72">
        <f>Tabella3[[#This Row],[region fit]]/y_l_peak</f>
        <v>2.9311589782507327E-3</v>
      </c>
      <c r="AB253" s="10">
        <f>Tabella3[[#This Row],[region fit]]*NOT(ISBLANK(Tabella3[[#This Row],[region data]]))</f>
        <v>0</v>
      </c>
      <c r="AC253" s="166">
        <f>IFERROR(kl_m*psi_l_m*_xlfn.SECH(psi_l_m*(Tabella3[[#This Row],[Day]]-pl_m)-phi_l_m)^2/(1+TANH(phi_l_m)),0)</f>
        <v>0.4039115882303207</v>
      </c>
      <c r="AD253" s="72">
        <f>Tabella3[[#This Row],[6-days moving avg fit]]*NOT(ISBLANK(Tabella3[[#This Row],[6-days moving avg]]))</f>
        <v>0</v>
      </c>
      <c r="AE253" s="131"/>
      <c r="AF253" s="131"/>
      <c r="AG253" s="131"/>
      <c r="AH253" s="10"/>
      <c r="AI253" s="10">
        <f>Tabella3[[#This Row],[rest of Italy data]]*NOT(ISBLANK(Tabella3[[#This Row],[rest of Italy data]]))</f>
        <v>0</v>
      </c>
      <c r="AJ253" s="77" t="e">
        <f>Tabella8[[#This Row],[rest of Italy fit]]</f>
        <v>#VALUE!</v>
      </c>
      <c r="AK253" s="72" t="e">
        <f>Tabella3[[#This Row],[rest of Italy cumul. fit]]/Ka</f>
        <v>#VALUE!</v>
      </c>
      <c r="AL253" s="72">
        <f>IFERROR(Ka*psi_a*_xlfn.SECH(psi_a*(Tabella3[[#This Row],[Day]]-pa)-phi_a)^2/(1+TANH(phi_a)),0)</f>
        <v>24.857115314073283</v>
      </c>
      <c r="AM253" s="72">
        <f>Tabella3[[#This Row],[rest of Italy fit]]/y_a_peak</f>
        <v>8.6858589463111747E-3</v>
      </c>
      <c r="AN253" s="10">
        <f>Tabella3[[#This Row],[rest of Italy fit]]*NOT(ISBLANK(Tabella3[[#This Row],[rest of Italy data]]))</f>
        <v>0</v>
      </c>
      <c r="AO253" s="131"/>
      <c r="AP253" s="131"/>
    </row>
    <row r="254" spans="2:42" x14ac:dyDescent="0.3">
      <c r="B254" s="9">
        <v>44077</v>
      </c>
      <c r="C254" s="4">
        <v>247</v>
      </c>
      <c r="D254" s="131"/>
      <c r="E254" s="10"/>
      <c r="F254" s="10">
        <f>Tabella3[[#This Row],[Italy remov. rate data]]*NOT(ISBLANK(Tabella3[[#This Row],[Italy remov. rate data]]))</f>
        <v>0</v>
      </c>
      <c r="G254" s="77" t="e">
        <f>Tabella8[[#This Row],[Italy fit]]</f>
        <v>#VALUE!</v>
      </c>
      <c r="H254" s="77" t="e">
        <f>Tabella3[[#This Row],[Italy cumul. fit]]/Kf</f>
        <v>#VALUE!</v>
      </c>
      <c r="I254" s="77">
        <f>Tabella3[[#This Row],[region fit]]+Tabella3[[#This Row],[rest of Italy fit]]</f>
        <v>24.054553460037226</v>
      </c>
      <c r="J254" s="77">
        <f>Tabella3[[#This Row],[Italy (fit of selected region + fitted sum of the other regions)]]/(y_l_peak+y_a_peak)</f>
        <v>8.019278989602082E-3</v>
      </c>
      <c r="K254" s="72">
        <f>IFERROR(Kf*psi_f*_xlfn.SECH(psi_f*(Tabella3[[#This Row],[Day]]-pf)-phi_f)^2/(1+TANH(phi_f)),0)</f>
        <v>23.597261039941738</v>
      </c>
      <c r="L254" s="292">
        <f>Tabella3[[#This Row],[Italy remov. rate fit]]-Tabella3[[#This Row],[Italy remov. rate data]]</f>
        <v>23.597261039941738</v>
      </c>
      <c r="M254" s="293">
        <f>Tabella3[[#This Row],[rem. rate residuals]]*NOT(ISBLANK(Tabella3[[#This Row],[Italy remov. rate data]]))</f>
        <v>0</v>
      </c>
      <c r="N254" s="72">
        <f>Tabella3[[#This Row],[Italy remov. rate fit]]/y_f_peak</f>
        <v>7.8620689686383759E-3</v>
      </c>
      <c r="O254" s="10">
        <f>Tabella3[[#This Row],[Italy (fit of selected region + fitted sum of the other regions)]]*NOT(ISBLANK(Tabella3[[#This Row],[Italy remov. rate data]]))</f>
        <v>0</v>
      </c>
      <c r="P254" s="10">
        <f>Tabella3[[#This Row],[Italy remov. rate fit]]*NOT(ISBLANK(Tabella3[[#This Row],[Italy remov. rate data]]))</f>
        <v>0</v>
      </c>
      <c r="Q254" s="72"/>
      <c r="R254" s="72"/>
      <c r="S254" s="131"/>
      <c r="T254" s="10"/>
      <c r="U254" s="10">
        <f>Tabella3[[#This Row],[region data]]*NOT(ISBLANK(Tabella3[[#This Row],[region data]]))</f>
        <v>0</v>
      </c>
      <c r="V254"/>
      <c r="W254" s="72">
        <f>Tabella3[[#This Row],[6-days moving avg]]*NOT(ISBLANK(Tabella3[[#This Row],[6-days moving avg]]))</f>
        <v>0</v>
      </c>
      <c r="X254" s="77" t="e">
        <f>Tabella8[[#This Row],[region fit]]</f>
        <v>#VALUE!</v>
      </c>
      <c r="Y254" s="72" t="e">
        <f>Tabella3[[#This Row],[region cumul. fit]]/Kl</f>
        <v>#VALUE!</v>
      </c>
      <c r="Z254" s="72">
        <f>IFERROR(Kl*psi_l*_xlfn.SECH(psi_l*(Tabella3[[#This Row],[Day]]-pl)-phi_l)^2/(1+TANH(phi_l)),0)</f>
        <v>0.3817890448745318</v>
      </c>
      <c r="AA254" s="72">
        <f>Tabella3[[#This Row],[region fit]]/y_l_peak</f>
        <v>2.7706171827970067E-3</v>
      </c>
      <c r="AB254" s="10">
        <f>Tabella3[[#This Row],[region fit]]*NOT(ISBLANK(Tabella3[[#This Row],[region data]]))</f>
        <v>0</v>
      </c>
      <c r="AC254" s="166">
        <f>IFERROR(kl_m*psi_l_m*_xlfn.SECH(psi_l_m*(Tabella3[[#This Row],[Day]]-pl_m)-phi_l_m)^2/(1+TANH(phi_l_m)),0)</f>
        <v>0.3817890448745318</v>
      </c>
      <c r="AD254" s="72">
        <f>Tabella3[[#This Row],[6-days moving avg fit]]*NOT(ISBLANK(Tabella3[[#This Row],[6-days moving avg]]))</f>
        <v>0</v>
      </c>
      <c r="AE254" s="131"/>
      <c r="AF254" s="131"/>
      <c r="AG254" s="131"/>
      <c r="AH254" s="10"/>
      <c r="AI254" s="10">
        <f>Tabella3[[#This Row],[rest of Italy data]]*NOT(ISBLANK(Tabella3[[#This Row],[rest of Italy data]]))</f>
        <v>0</v>
      </c>
      <c r="AJ254" s="77" t="e">
        <f>Tabella8[[#This Row],[rest of Italy fit]]</f>
        <v>#VALUE!</v>
      </c>
      <c r="AK254" s="72" t="e">
        <f>Tabella3[[#This Row],[rest of Italy cumul. fit]]/Ka</f>
        <v>#VALUE!</v>
      </c>
      <c r="AL254" s="72">
        <f>IFERROR(Ka*psi_a*_xlfn.SECH(psi_a*(Tabella3[[#This Row],[Day]]-pa)-phi_a)^2/(1+TANH(phi_a)),0)</f>
        <v>23.672764415162696</v>
      </c>
      <c r="AM254" s="72">
        <f>Tabella3[[#This Row],[rest of Italy fit]]/y_a_peak</f>
        <v>8.2720094420185367E-3</v>
      </c>
      <c r="AN254" s="10">
        <f>Tabella3[[#This Row],[rest of Italy fit]]*NOT(ISBLANK(Tabella3[[#This Row],[rest of Italy data]]))</f>
        <v>0</v>
      </c>
      <c r="AO254" s="131"/>
      <c r="AP254" s="131"/>
    </row>
    <row r="255" spans="2:42" x14ac:dyDescent="0.3">
      <c r="B255" s="9">
        <v>44078</v>
      </c>
      <c r="C255" s="4">
        <v>248</v>
      </c>
      <c r="D255" s="131"/>
      <c r="E255" s="10"/>
      <c r="F255" s="10">
        <f>Tabella3[[#This Row],[Italy remov. rate data]]*NOT(ISBLANK(Tabella3[[#This Row],[Italy remov. rate data]]))</f>
        <v>0</v>
      </c>
      <c r="G255" s="77" t="e">
        <f>Tabella8[[#This Row],[Italy fit]]</f>
        <v>#VALUE!</v>
      </c>
      <c r="H255" s="77" t="e">
        <f>Tabella3[[#This Row],[Italy cumul. fit]]/Kf</f>
        <v>#VALUE!</v>
      </c>
      <c r="I255" s="77">
        <f>Tabella3[[#This Row],[region fit]]+Tabella3[[#This Row],[rest of Italy fit]]</f>
        <v>22.905495923032181</v>
      </c>
      <c r="J255" s="77">
        <f>Tabella3[[#This Row],[Italy (fit of selected region + fitted sum of the other regions)]]/(y_l_peak+y_a_peak)</f>
        <v>7.6362075274917134E-3</v>
      </c>
      <c r="K255" s="72">
        <f>IFERROR(Kf*psi_f*_xlfn.SECH(psi_f*(Tabella3[[#This Row],[Day]]-pf)-phi_f)^2/(1+TANH(phi_f)),0)</f>
        <v>22.464308109621207</v>
      </c>
      <c r="L255" s="292">
        <f>Tabella3[[#This Row],[Italy remov. rate fit]]-Tabella3[[#This Row],[Italy remov. rate data]]</f>
        <v>22.464308109621207</v>
      </c>
      <c r="M255" s="293">
        <f>Tabella3[[#This Row],[rem. rate residuals]]*NOT(ISBLANK(Tabella3[[#This Row],[Italy remov. rate data]]))</f>
        <v>0</v>
      </c>
      <c r="N255" s="72">
        <f>Tabella3[[#This Row],[Italy remov. rate fit]]/y_f_peak</f>
        <v>7.484594902418402E-3</v>
      </c>
      <c r="O255" s="10">
        <f>Tabella3[[#This Row],[Italy (fit of selected region + fitted sum of the other regions)]]*NOT(ISBLANK(Tabella3[[#This Row],[Italy remov. rate data]]))</f>
        <v>0</v>
      </c>
      <c r="P255" s="10">
        <f>Tabella3[[#This Row],[Italy remov. rate fit]]*NOT(ISBLANK(Tabella3[[#This Row],[Italy remov. rate data]]))</f>
        <v>0</v>
      </c>
      <c r="Q255" s="72"/>
      <c r="R255" s="72"/>
      <c r="S255" s="131"/>
      <c r="T255" s="10"/>
      <c r="U255" s="10">
        <f>Tabella3[[#This Row],[region data]]*NOT(ISBLANK(Tabella3[[#This Row],[region data]]))</f>
        <v>0</v>
      </c>
      <c r="V255"/>
      <c r="W255" s="72">
        <f>Tabella3[[#This Row],[6-days moving avg]]*NOT(ISBLANK(Tabella3[[#This Row],[6-days moving avg]]))</f>
        <v>0</v>
      </c>
      <c r="X255" s="77" t="e">
        <f>Tabella8[[#This Row],[region fit]]</f>
        <v>#VALUE!</v>
      </c>
      <c r="Y255" s="72" t="e">
        <f>Tabella3[[#This Row],[region cumul. fit]]/Kl</f>
        <v>#VALUE!</v>
      </c>
      <c r="Z255" s="72">
        <f>IFERROR(Kl*psi_l*_xlfn.SECH(psi_l*(Tabella3[[#This Row],[Day]]-pl)-phi_l)^2/(1+TANH(phi_l)),0)</f>
        <v>0.36087657882905222</v>
      </c>
      <c r="AA255" s="72">
        <f>Tabella3[[#This Row],[region fit]]/y_l_peak</f>
        <v>2.6188568362440936E-3</v>
      </c>
      <c r="AB255" s="10">
        <f>Tabella3[[#This Row],[region fit]]*NOT(ISBLANK(Tabella3[[#This Row],[region data]]))</f>
        <v>0</v>
      </c>
      <c r="AC255" s="166">
        <f>IFERROR(kl_m*psi_l_m*_xlfn.SECH(psi_l_m*(Tabella3[[#This Row],[Day]]-pl_m)-phi_l_m)^2/(1+TANH(phi_l_m)),0)</f>
        <v>0.36087657882905222</v>
      </c>
      <c r="AD255" s="72">
        <f>Tabella3[[#This Row],[6-days moving avg fit]]*NOT(ISBLANK(Tabella3[[#This Row],[6-days moving avg]]))</f>
        <v>0</v>
      </c>
      <c r="AE255" s="131"/>
      <c r="AF255" s="131"/>
      <c r="AG255" s="131"/>
      <c r="AH255" s="10"/>
      <c r="AI255" s="10">
        <f>Tabella3[[#This Row],[rest of Italy data]]*NOT(ISBLANK(Tabella3[[#This Row],[rest of Italy data]]))</f>
        <v>0</v>
      </c>
      <c r="AJ255" s="77" t="e">
        <f>Tabella8[[#This Row],[rest of Italy fit]]</f>
        <v>#VALUE!</v>
      </c>
      <c r="AK255" s="72" t="e">
        <f>Tabella3[[#This Row],[rest of Italy cumul. fit]]/Ka</f>
        <v>#VALUE!</v>
      </c>
      <c r="AL255" s="72">
        <f>IFERROR(Ka*psi_a*_xlfn.SECH(psi_a*(Tabella3[[#This Row],[Day]]-pa)-phi_a)^2/(1+TANH(phi_a)),0)</f>
        <v>22.544619344203127</v>
      </c>
      <c r="AM255" s="72">
        <f>Tabella3[[#This Row],[rest of Italy fit]]/y_a_peak</f>
        <v>7.8778000241709542E-3</v>
      </c>
      <c r="AN255" s="10">
        <f>Tabella3[[#This Row],[rest of Italy fit]]*NOT(ISBLANK(Tabella3[[#This Row],[rest of Italy data]]))</f>
        <v>0</v>
      </c>
      <c r="AO255" s="131"/>
      <c r="AP255" s="131"/>
    </row>
    <row r="256" spans="2:42" x14ac:dyDescent="0.3">
      <c r="B256" s="9">
        <v>44079</v>
      </c>
      <c r="C256" s="4">
        <v>249</v>
      </c>
      <c r="D256" s="131"/>
      <c r="E256" s="10"/>
      <c r="F256" s="10">
        <f>Tabella3[[#This Row],[Italy remov. rate data]]*NOT(ISBLANK(Tabella3[[#This Row],[Italy remov. rate data]]))</f>
        <v>0</v>
      </c>
      <c r="G256" s="77" t="e">
        <f>Tabella8[[#This Row],[Italy fit]]</f>
        <v>#VALUE!</v>
      </c>
      <c r="H256" s="77" t="e">
        <f>Tabella3[[#This Row],[Italy cumul. fit]]/Kf</f>
        <v>#VALUE!</v>
      </c>
      <c r="I256" s="77">
        <f>Tabella3[[#This Row],[region fit]]+Tabella3[[#This Row],[rest of Italy fit]]</f>
        <v>21.811141810738892</v>
      </c>
      <c r="J256" s="77">
        <f>Tabella3[[#This Row],[Italy (fit of selected region + fitted sum of the other regions)]]/(y_l_peak+y_a_peak)</f>
        <v>7.2713730293382552E-3</v>
      </c>
      <c r="K256" s="72">
        <f>IFERROR(Kf*psi_f*_xlfn.SECH(psi_f*(Tabella3[[#This Row],[Day]]-pf)-phi_f)^2/(1+TANH(phi_f)),0)</f>
        <v>21.385555287187604</v>
      </c>
      <c r="L256" s="292">
        <f>Tabella3[[#This Row],[Italy remov. rate fit]]-Tabella3[[#This Row],[Italy remov. rate data]]</f>
        <v>21.385555287187604</v>
      </c>
      <c r="M256" s="293">
        <f>Tabella3[[#This Row],[rem. rate residuals]]*NOT(ISBLANK(Tabella3[[#This Row],[Italy remov. rate data]]))</f>
        <v>0</v>
      </c>
      <c r="N256" s="72">
        <f>Tabella3[[#This Row],[Italy remov. rate fit]]/y_f_peak</f>
        <v>7.1251790754827847E-3</v>
      </c>
      <c r="O256" s="10">
        <f>Tabella3[[#This Row],[Italy (fit of selected region + fitted sum of the other regions)]]*NOT(ISBLANK(Tabella3[[#This Row],[Italy remov. rate data]]))</f>
        <v>0</v>
      </c>
      <c r="P256" s="10">
        <f>Tabella3[[#This Row],[Italy remov. rate fit]]*NOT(ISBLANK(Tabella3[[#This Row],[Italy remov. rate data]]))</f>
        <v>0</v>
      </c>
      <c r="Q256" s="72"/>
      <c r="R256" s="72"/>
      <c r="S256" s="131"/>
      <c r="T256" s="10"/>
      <c r="U256" s="10">
        <f>Tabella3[[#This Row],[region data]]*NOT(ISBLANK(Tabella3[[#This Row],[region data]]))</f>
        <v>0</v>
      </c>
      <c r="V256"/>
      <c r="W256" s="72">
        <f>Tabella3[[#This Row],[6-days moving avg]]*NOT(ISBLANK(Tabella3[[#This Row],[6-days moving avg]]))</f>
        <v>0</v>
      </c>
      <c r="X256" s="77" t="e">
        <f>Tabella8[[#This Row],[region fit]]</f>
        <v>#VALUE!</v>
      </c>
      <c r="Y256" s="72" t="e">
        <f>Tabella3[[#This Row],[region cumul. fit]]/Kl</f>
        <v>#VALUE!</v>
      </c>
      <c r="Z256" s="72">
        <f>IFERROR(Kl*psi_l*_xlfn.SECH(psi_l*(Tabella3[[#This Row],[Day]]-pl)-phi_l)^2/(1+TANH(phi_l)),0)</f>
        <v>0.34110816993823334</v>
      </c>
      <c r="AA256" s="72">
        <f>Tabella3[[#This Row],[region fit]]/y_l_peak</f>
        <v>2.475398834803902E-3</v>
      </c>
      <c r="AB256" s="10">
        <f>Tabella3[[#This Row],[region fit]]*NOT(ISBLANK(Tabella3[[#This Row],[region data]]))</f>
        <v>0</v>
      </c>
      <c r="AC256" s="166">
        <f>IFERROR(kl_m*psi_l_m*_xlfn.SECH(psi_l_m*(Tabella3[[#This Row],[Day]]-pl_m)-phi_l_m)^2/(1+TANH(phi_l_m)),0)</f>
        <v>0.34110816993823334</v>
      </c>
      <c r="AD256" s="72">
        <f>Tabella3[[#This Row],[6-days moving avg fit]]*NOT(ISBLANK(Tabella3[[#This Row],[6-days moving avg]]))</f>
        <v>0</v>
      </c>
      <c r="AE256" s="131"/>
      <c r="AF256" s="131"/>
      <c r="AG256" s="131"/>
      <c r="AH256" s="10"/>
      <c r="AI256" s="10">
        <f>Tabella3[[#This Row],[rest of Italy data]]*NOT(ISBLANK(Tabella3[[#This Row],[rest of Italy data]]))</f>
        <v>0</v>
      </c>
      <c r="AJ256" s="77" t="e">
        <f>Tabella8[[#This Row],[rest of Italy fit]]</f>
        <v>#VALUE!</v>
      </c>
      <c r="AK256" s="72" t="e">
        <f>Tabella3[[#This Row],[rest of Italy cumul. fit]]/Ka</f>
        <v>#VALUE!</v>
      </c>
      <c r="AL256" s="72">
        <f>IFERROR(Ka*psi_a*_xlfn.SECH(psi_a*(Tabella3[[#This Row],[Day]]-pa)-phi_a)^2/(1+TANH(phi_a)),0)</f>
        <v>21.470033640800658</v>
      </c>
      <c r="AM256" s="72">
        <f>Tabella3[[#This Row],[rest of Italy fit]]/y_a_peak</f>
        <v>7.5023059361585785E-3</v>
      </c>
      <c r="AN256" s="10">
        <f>Tabella3[[#This Row],[rest of Italy fit]]*NOT(ISBLANK(Tabella3[[#This Row],[rest of Italy data]]))</f>
        <v>0</v>
      </c>
      <c r="AO256" s="131"/>
      <c r="AP256" s="131"/>
    </row>
    <row r="257" spans="2:42" x14ac:dyDescent="0.3">
      <c r="B257" s="9">
        <v>44080</v>
      </c>
      <c r="C257" s="4">
        <v>250</v>
      </c>
      <c r="D257" s="131"/>
      <c r="E257" s="10"/>
      <c r="F257" s="10">
        <f>Tabella3[[#This Row],[Italy remov. rate data]]*NOT(ISBLANK(Tabella3[[#This Row],[Italy remov. rate data]]))</f>
        <v>0</v>
      </c>
      <c r="G257" s="77" t="e">
        <f>Tabella8[[#This Row],[Italy fit]]</f>
        <v>#VALUE!</v>
      </c>
      <c r="H257" s="77" t="e">
        <f>Tabella3[[#This Row],[Italy cumul. fit]]/Kf</f>
        <v>#VALUE!</v>
      </c>
      <c r="I257" s="77">
        <f>Tabella3[[#This Row],[region fit]]+Tabella3[[#This Row],[rest of Italy fit]]</f>
        <v>20.768904883724606</v>
      </c>
      <c r="J257" s="77">
        <f>Tabella3[[#This Row],[Italy (fit of selected region + fitted sum of the other regions)]]/(y_l_peak+y_a_peak)</f>
        <v>6.9239132976546651E-3</v>
      </c>
      <c r="K257" s="72">
        <f>IFERROR(Kf*psi_f*_xlfn.SECH(psi_f*(Tabella3[[#This Row],[Day]]-pf)-phi_f)^2/(1+TANH(phi_f)),0)</f>
        <v>20.358427998996856</v>
      </c>
      <c r="L257" s="292">
        <f>Tabella3[[#This Row],[Italy remov. rate fit]]-Tabella3[[#This Row],[Italy remov. rate data]]</f>
        <v>20.358427998996856</v>
      </c>
      <c r="M257" s="293">
        <f>Tabella3[[#This Row],[rem. rate residuals]]*NOT(ISBLANK(Tabella3[[#This Row],[Italy remov. rate data]]))</f>
        <v>0</v>
      </c>
      <c r="N257" s="72">
        <f>Tabella3[[#This Row],[Italy remov. rate fit]]/y_f_peak</f>
        <v>6.7829636986364E-3</v>
      </c>
      <c r="O257" s="10">
        <f>Tabella3[[#This Row],[Italy (fit of selected region + fitted sum of the other regions)]]*NOT(ISBLANK(Tabella3[[#This Row],[Italy remov. rate data]]))</f>
        <v>0</v>
      </c>
      <c r="P257" s="10">
        <f>Tabella3[[#This Row],[Italy remov. rate fit]]*NOT(ISBLANK(Tabella3[[#This Row],[Italy remov. rate data]]))</f>
        <v>0</v>
      </c>
      <c r="Q257" s="72"/>
      <c r="R257" s="72"/>
      <c r="S257" s="131"/>
      <c r="T257" s="10"/>
      <c r="U257" s="10">
        <f>Tabella3[[#This Row],[region data]]*NOT(ISBLANK(Tabella3[[#This Row],[region data]]))</f>
        <v>0</v>
      </c>
      <c r="V257"/>
      <c r="W257" s="72">
        <f>Tabella3[[#This Row],[6-days moving avg]]*NOT(ISBLANK(Tabella3[[#This Row],[6-days moving avg]]))</f>
        <v>0</v>
      </c>
      <c r="X257" s="77" t="e">
        <f>Tabella8[[#This Row],[region fit]]</f>
        <v>#VALUE!</v>
      </c>
      <c r="Y257" s="72" t="e">
        <f>Tabella3[[#This Row],[region cumul. fit]]/Kl</f>
        <v>#VALUE!</v>
      </c>
      <c r="Z257" s="72">
        <f>IFERROR(Kl*psi_l*_xlfn.SECH(psi_l*(Tabella3[[#This Row],[Day]]-pl)-phi_l)^2/(1+TANH(phi_l)),0)</f>
        <v>0.32242138191663144</v>
      </c>
      <c r="AA257" s="72">
        <f>Tabella3[[#This Row],[region fit]]/y_l_peak</f>
        <v>2.3397900825911453E-3</v>
      </c>
      <c r="AB257" s="10">
        <f>Tabella3[[#This Row],[region fit]]*NOT(ISBLANK(Tabella3[[#This Row],[region data]]))</f>
        <v>0</v>
      </c>
      <c r="AC257" s="166">
        <f>IFERROR(kl_m*psi_l_m*_xlfn.SECH(psi_l_m*(Tabella3[[#This Row],[Day]]-pl_m)-phi_l_m)^2/(1+TANH(phi_l_m)),0)</f>
        <v>0.32242138191663144</v>
      </c>
      <c r="AD257" s="72">
        <f>Tabella3[[#This Row],[6-days moving avg fit]]*NOT(ISBLANK(Tabella3[[#This Row],[6-days moving avg]]))</f>
        <v>0</v>
      </c>
      <c r="AE257" s="131"/>
      <c r="AF257" s="131"/>
      <c r="AG257" s="131"/>
      <c r="AH257" s="10"/>
      <c r="AI257" s="10">
        <f>Tabella3[[#This Row],[rest of Italy data]]*NOT(ISBLANK(Tabella3[[#This Row],[rest of Italy data]]))</f>
        <v>0</v>
      </c>
      <c r="AJ257" s="77" t="e">
        <f>Tabella8[[#This Row],[rest of Italy fit]]</f>
        <v>#VALUE!</v>
      </c>
      <c r="AK257" s="72" t="e">
        <f>Tabella3[[#This Row],[rest of Italy cumul. fit]]/Ka</f>
        <v>#VALUE!</v>
      </c>
      <c r="AL257" s="72">
        <f>IFERROR(Ka*psi_a*_xlfn.SECH(psi_a*(Tabella3[[#This Row],[Day]]-pa)-phi_a)^2/(1+TANH(phi_a)),0)</f>
        <v>20.446483501807975</v>
      </c>
      <c r="AM257" s="72">
        <f>Tabella3[[#This Row],[rest of Italy fit]]/y_a_peak</f>
        <v>7.1446452816765118E-3</v>
      </c>
      <c r="AN257" s="10">
        <f>Tabella3[[#This Row],[rest of Italy fit]]*NOT(ISBLANK(Tabella3[[#This Row],[rest of Italy data]]))</f>
        <v>0</v>
      </c>
      <c r="AO257" s="131"/>
      <c r="AP257" s="131"/>
    </row>
    <row r="258" spans="2:42" x14ac:dyDescent="0.3">
      <c r="B258" s="9">
        <v>44081</v>
      </c>
      <c r="C258" s="4">
        <v>251</v>
      </c>
      <c r="D258" s="131"/>
      <c r="E258" s="10"/>
      <c r="F258" s="10">
        <f>Tabella3[[#This Row],[Italy remov. rate data]]*NOT(ISBLANK(Tabella3[[#This Row],[Italy remov. rate data]]))</f>
        <v>0</v>
      </c>
      <c r="G258" s="77" t="e">
        <f>Tabella8[[#This Row],[Italy fit]]</f>
        <v>#VALUE!</v>
      </c>
      <c r="H258" s="77" t="e">
        <f>Tabella3[[#This Row],[Italy cumul. fit]]/Kf</f>
        <v>#VALUE!</v>
      </c>
      <c r="I258" s="77">
        <f>Tabella3[[#This Row],[region fit]]+Tabella3[[#This Row],[rest of Italy fit]]</f>
        <v>19.776319449139947</v>
      </c>
      <c r="J258" s="77">
        <f>Tabella3[[#This Row],[Italy (fit of selected region + fitted sum of the other regions)]]/(y_l_peak+y_a_peak)</f>
        <v>6.5930063226333352E-3</v>
      </c>
      <c r="K258" s="72">
        <f>IFERROR(Kf*psi_f*_xlfn.SECH(psi_f*(Tabella3[[#This Row],[Day]]-pf)-phi_f)^2/(1+TANH(phi_f)),0)</f>
        <v>19.380472242095678</v>
      </c>
      <c r="L258" s="292">
        <f>Tabella3[[#This Row],[Italy remov. rate fit]]-Tabella3[[#This Row],[Italy remov. rate data]]</f>
        <v>19.380472242095678</v>
      </c>
      <c r="M258" s="293">
        <f>Tabella3[[#This Row],[rem. rate residuals]]*NOT(ISBLANK(Tabella3[[#This Row],[Italy remov. rate data]]))</f>
        <v>0</v>
      </c>
      <c r="N258" s="72">
        <f>Tabella3[[#This Row],[Italy remov. rate fit]]/y_f_peak</f>
        <v>6.4571311540872808E-3</v>
      </c>
      <c r="O258" s="10">
        <f>Tabella3[[#This Row],[Italy (fit of selected region + fitted sum of the other regions)]]*NOT(ISBLANK(Tabella3[[#This Row],[Italy remov. rate data]]))</f>
        <v>0</v>
      </c>
      <c r="P258" s="10">
        <f>Tabella3[[#This Row],[Italy remov. rate fit]]*NOT(ISBLANK(Tabella3[[#This Row],[Italy remov. rate data]]))</f>
        <v>0</v>
      </c>
      <c r="Q258" s="72"/>
      <c r="R258" s="72"/>
      <c r="S258" s="131"/>
      <c r="T258" s="10"/>
      <c r="U258" s="10">
        <f>Tabella3[[#This Row],[region data]]*NOT(ISBLANK(Tabella3[[#This Row],[region data]]))</f>
        <v>0</v>
      </c>
      <c r="V258"/>
      <c r="W258" s="72">
        <f>Tabella3[[#This Row],[6-days moving avg]]*NOT(ISBLANK(Tabella3[[#This Row],[6-days moving avg]]))</f>
        <v>0</v>
      </c>
      <c r="X258" s="77" t="e">
        <f>Tabella8[[#This Row],[region fit]]</f>
        <v>#VALUE!</v>
      </c>
      <c r="Y258" s="72" t="e">
        <f>Tabella3[[#This Row],[region cumul. fit]]/Kl</f>
        <v>#VALUE!</v>
      </c>
      <c r="Z258" s="72">
        <f>IFERROR(Kl*psi_l*_xlfn.SECH(psi_l*(Tabella3[[#This Row],[Day]]-pl)-phi_l)^2/(1+TANH(phi_l)),0)</f>
        <v>0.30475716973364858</v>
      </c>
      <c r="AA258" s="72">
        <f>Tabella3[[#This Row],[region fit]]/y_l_peak</f>
        <v>2.2116020938267528E-3</v>
      </c>
      <c r="AB258" s="10">
        <f>Tabella3[[#This Row],[region fit]]*NOT(ISBLANK(Tabella3[[#This Row],[region data]]))</f>
        <v>0</v>
      </c>
      <c r="AC258" s="166">
        <f>IFERROR(kl_m*psi_l_m*_xlfn.SECH(psi_l_m*(Tabella3[[#This Row],[Day]]-pl_m)-phi_l_m)^2/(1+TANH(phi_l_m)),0)</f>
        <v>0.30475716973364858</v>
      </c>
      <c r="AD258" s="72">
        <f>Tabella3[[#This Row],[6-days moving avg fit]]*NOT(ISBLANK(Tabella3[[#This Row],[6-days moving avg]]))</f>
        <v>0</v>
      </c>
      <c r="AE258" s="131"/>
      <c r="AF258" s="131"/>
      <c r="AG258" s="131"/>
      <c r="AH258" s="10"/>
      <c r="AI258" s="10">
        <f>Tabella3[[#This Row],[rest of Italy data]]*NOT(ISBLANK(Tabella3[[#This Row],[rest of Italy data]]))</f>
        <v>0</v>
      </c>
      <c r="AJ258" s="77" t="e">
        <f>Tabella8[[#This Row],[rest of Italy fit]]</f>
        <v>#VALUE!</v>
      </c>
      <c r="AK258" s="72" t="e">
        <f>Tabella3[[#This Row],[rest of Italy cumul. fit]]/Ka</f>
        <v>#VALUE!</v>
      </c>
      <c r="AL258" s="72">
        <f>IFERROR(Ka*psi_a*_xlfn.SECH(psi_a*(Tabella3[[#This Row],[Day]]-pa)-phi_a)^2/(1+TANH(phi_a)),0)</f>
        <v>19.471562279406299</v>
      </c>
      <c r="AM258" s="72">
        <f>Tabella3[[#This Row],[rest of Italy fit]]/y_a_peak</f>
        <v>6.8039771021813676E-3</v>
      </c>
      <c r="AN258" s="10">
        <f>Tabella3[[#This Row],[rest of Italy fit]]*NOT(ISBLANK(Tabella3[[#This Row],[rest of Italy data]]))</f>
        <v>0</v>
      </c>
      <c r="AO258" s="131"/>
      <c r="AP258" s="131"/>
    </row>
    <row r="259" spans="2:42" x14ac:dyDescent="0.3">
      <c r="B259" s="9">
        <v>44082</v>
      </c>
      <c r="C259" s="4">
        <v>252</v>
      </c>
      <c r="D259" s="131"/>
      <c r="E259" s="10"/>
      <c r="F259" s="10">
        <f>Tabella3[[#This Row],[Italy remov. rate data]]*NOT(ISBLANK(Tabella3[[#This Row],[Italy remov. rate data]]))</f>
        <v>0</v>
      </c>
      <c r="G259" s="77" t="e">
        <f>Tabella8[[#This Row],[Italy fit]]</f>
        <v>#VALUE!</v>
      </c>
      <c r="H259" s="77" t="e">
        <f>Tabella3[[#This Row],[Italy cumul. fit]]/Kf</f>
        <v>#VALUE!</v>
      </c>
      <c r="I259" s="77">
        <f>Tabella3[[#This Row],[region fit]]+Tabella3[[#This Row],[rest of Italy fit]]</f>
        <v>18.831034905799036</v>
      </c>
      <c r="J259" s="77">
        <f>Tabella3[[#This Row],[Italy (fit of selected region + fitted sum of the other regions)]]/(y_l_peak+y_a_peak)</f>
        <v>6.2778684635912555E-3</v>
      </c>
      <c r="K259" s="72">
        <f>IFERROR(Kf*psi_f*_xlfn.SECH(psi_f*(Tabella3[[#This Row],[Day]]-pf)-phi_f)^2/(1+TANH(phi_f)),0)</f>
        <v>18.449349100508417</v>
      </c>
      <c r="L259" s="292">
        <f>Tabella3[[#This Row],[Italy remov. rate fit]]-Tabella3[[#This Row],[Italy remov. rate data]]</f>
        <v>18.449349100508417</v>
      </c>
      <c r="M259" s="293">
        <f>Tabella3[[#This Row],[rem. rate residuals]]*NOT(ISBLANK(Tabella3[[#This Row],[Italy remov. rate data]]))</f>
        <v>0</v>
      </c>
      <c r="N259" s="72">
        <f>Tabella3[[#This Row],[Italy remov. rate fit]]/y_f_peak</f>
        <v>6.1469021683985105E-3</v>
      </c>
      <c r="O259" s="10">
        <f>Tabella3[[#This Row],[Italy (fit of selected region + fitted sum of the other regions)]]*NOT(ISBLANK(Tabella3[[#This Row],[Italy remov. rate data]]))</f>
        <v>0</v>
      </c>
      <c r="P259" s="10">
        <f>Tabella3[[#This Row],[Italy remov. rate fit]]*NOT(ISBLANK(Tabella3[[#This Row],[Italy remov. rate data]]))</f>
        <v>0</v>
      </c>
      <c r="Q259" s="72"/>
      <c r="R259" s="72"/>
      <c r="S259" s="131"/>
      <c r="T259" s="10"/>
      <c r="U259" s="10">
        <f>Tabella3[[#This Row],[region data]]*NOT(ISBLANK(Tabella3[[#This Row],[region data]]))</f>
        <v>0</v>
      </c>
      <c r="V259"/>
      <c r="W259" s="72">
        <f>Tabella3[[#This Row],[6-days moving avg]]*NOT(ISBLANK(Tabella3[[#This Row],[6-days moving avg]]))</f>
        <v>0</v>
      </c>
      <c r="X259" s="77" t="e">
        <f>Tabella8[[#This Row],[region fit]]</f>
        <v>#VALUE!</v>
      </c>
      <c r="Y259" s="72" t="e">
        <f>Tabella3[[#This Row],[region cumul. fit]]/Kl</f>
        <v>#VALUE!</v>
      </c>
      <c r="Z259" s="72">
        <f>IFERROR(Kl*psi_l*_xlfn.SECH(psi_l*(Tabella3[[#This Row],[Day]]-pl)-phi_l)^2/(1+TANH(phi_l)),0)</f>
        <v>0.28805969714315133</v>
      </c>
      <c r="AA259" s="72">
        <f>Tabella3[[#This Row],[region fit]]/y_l_peak</f>
        <v>2.0904296686627016E-3</v>
      </c>
      <c r="AB259" s="10">
        <f>Tabella3[[#This Row],[region fit]]*NOT(ISBLANK(Tabella3[[#This Row],[region data]]))</f>
        <v>0</v>
      </c>
      <c r="AC259" s="166">
        <f>IFERROR(kl_m*psi_l_m*_xlfn.SECH(psi_l_m*(Tabella3[[#This Row],[Day]]-pl_m)-phi_l_m)^2/(1+TANH(phi_l_m)),0)</f>
        <v>0.28805969714315133</v>
      </c>
      <c r="AD259" s="72">
        <f>Tabella3[[#This Row],[6-days moving avg fit]]*NOT(ISBLANK(Tabella3[[#This Row],[6-days moving avg]]))</f>
        <v>0</v>
      </c>
      <c r="AE259" s="131"/>
      <c r="AF259" s="131"/>
      <c r="AG259" s="131"/>
      <c r="AH259" s="10"/>
      <c r="AI259" s="10">
        <f>Tabella3[[#This Row],[rest of Italy data]]*NOT(ISBLANK(Tabella3[[#This Row],[rest of Italy data]]))</f>
        <v>0</v>
      </c>
      <c r="AJ259" s="77" t="e">
        <f>Tabella8[[#This Row],[rest of Italy fit]]</f>
        <v>#VALUE!</v>
      </c>
      <c r="AK259" s="72" t="e">
        <f>Tabella3[[#This Row],[rest of Italy cumul. fit]]/Ka</f>
        <v>#VALUE!</v>
      </c>
      <c r="AL259" s="72">
        <f>IFERROR(Ka*psi_a*_xlfn.SECH(psi_a*(Tabella3[[#This Row],[Day]]-pa)-phi_a)^2/(1+TANH(phi_a)),0)</f>
        <v>18.542975208655886</v>
      </c>
      <c r="AM259" s="72">
        <f>Tabella3[[#This Row],[rest of Italy fit]]/y_a_peak</f>
        <v>6.4794995345313555E-3</v>
      </c>
      <c r="AN259" s="10">
        <f>Tabella3[[#This Row],[rest of Italy fit]]*NOT(ISBLANK(Tabella3[[#This Row],[rest of Italy data]]))</f>
        <v>0</v>
      </c>
      <c r="AO259" s="131"/>
      <c r="AP259" s="131"/>
    </row>
    <row r="260" spans="2:42" x14ac:dyDescent="0.3">
      <c r="B260" s="9">
        <v>44083</v>
      </c>
      <c r="C260" s="4">
        <v>253</v>
      </c>
      <c r="D260" s="131"/>
      <c r="E260" s="10"/>
      <c r="F260" s="10">
        <f>Tabella3[[#This Row],[Italy remov. rate data]]*NOT(ISBLANK(Tabella3[[#This Row],[Italy remov. rate data]]))</f>
        <v>0</v>
      </c>
      <c r="G260" s="77" t="e">
        <f>Tabella8[[#This Row],[Italy fit]]</f>
        <v>#VALUE!</v>
      </c>
      <c r="H260" s="77" t="e">
        <f>Tabella3[[#This Row],[Italy cumul. fit]]/Kf</f>
        <v>#VALUE!</v>
      </c>
      <c r="I260" s="77">
        <f>Tabella3[[#This Row],[region fit]]+Tabella3[[#This Row],[rest of Italy fit]]</f>
        <v>17.930810520472455</v>
      </c>
      <c r="J260" s="77">
        <f>Tabella3[[#This Row],[Italy (fit of selected region + fitted sum of the other regions)]]/(y_l_peak+y_a_peak)</f>
        <v>5.9777527074966622E-3</v>
      </c>
      <c r="K260" s="72">
        <f>IFERROR(Kf*psi_f*_xlfn.SECH(psi_f*(Tabella3[[#This Row],[Day]]-pf)-phi_f)^2/(1+TANH(phi_f)),0)</f>
        <v>17.562829495429341</v>
      </c>
      <c r="L260" s="292">
        <f>Tabella3[[#This Row],[Italy remov. rate fit]]-Tabella3[[#This Row],[Italy remov. rate data]]</f>
        <v>17.562829495429341</v>
      </c>
      <c r="M260" s="293">
        <f>Tabella3[[#This Row],[rem. rate residuals]]*NOT(ISBLANK(Tabella3[[#This Row],[Italy remov. rate data]]))</f>
        <v>0</v>
      </c>
      <c r="N260" s="72">
        <f>Tabella3[[#This Row],[Italy remov. rate fit]]/y_f_peak</f>
        <v>5.8515340633720735E-3</v>
      </c>
      <c r="O260" s="10">
        <f>Tabella3[[#This Row],[Italy (fit of selected region + fitted sum of the other regions)]]*NOT(ISBLANK(Tabella3[[#This Row],[Italy remov. rate data]]))</f>
        <v>0</v>
      </c>
      <c r="P260" s="10">
        <f>Tabella3[[#This Row],[Italy remov. rate fit]]*NOT(ISBLANK(Tabella3[[#This Row],[Italy remov. rate data]]))</f>
        <v>0</v>
      </c>
      <c r="Q260" s="72"/>
      <c r="R260" s="72"/>
      <c r="S260" s="131"/>
      <c r="T260" s="10"/>
      <c r="U260" s="10">
        <f>Tabella3[[#This Row],[region data]]*NOT(ISBLANK(Tabella3[[#This Row],[region data]]))</f>
        <v>0</v>
      </c>
      <c r="V260"/>
      <c r="W260" s="72">
        <f>Tabella3[[#This Row],[6-days moving avg]]*NOT(ISBLANK(Tabella3[[#This Row],[6-days moving avg]]))</f>
        <v>0</v>
      </c>
      <c r="X260" s="77" t="e">
        <f>Tabella8[[#This Row],[region fit]]</f>
        <v>#VALUE!</v>
      </c>
      <c r="Y260" s="72" t="e">
        <f>Tabella3[[#This Row],[region cumul. fit]]/Kl</f>
        <v>#VALUE!</v>
      </c>
      <c r="Z260" s="72">
        <f>IFERROR(Kl*psi_l*_xlfn.SECH(psi_l*(Tabella3[[#This Row],[Day]]-pl)-phi_l)^2/(1+TANH(phi_l)),0)</f>
        <v>0.2722761638460991</v>
      </c>
      <c r="AA260" s="72">
        <f>Tabella3[[#This Row],[region fit]]/y_l_peak</f>
        <v>1.975889638912941E-3</v>
      </c>
      <c r="AB260" s="10">
        <f>Tabella3[[#This Row],[region fit]]*NOT(ISBLANK(Tabella3[[#This Row],[region data]]))</f>
        <v>0</v>
      </c>
      <c r="AC260" s="166">
        <f>IFERROR(kl_m*psi_l_m*_xlfn.SECH(psi_l_m*(Tabella3[[#This Row],[Day]]-pl_m)-phi_l_m)^2/(1+TANH(phi_l_m)),0)</f>
        <v>0.2722761638460991</v>
      </c>
      <c r="AD260" s="72">
        <f>Tabella3[[#This Row],[6-days moving avg fit]]*NOT(ISBLANK(Tabella3[[#This Row],[6-days moving avg]]))</f>
        <v>0</v>
      </c>
      <c r="AE260" s="131"/>
      <c r="AF260" s="131"/>
      <c r="AG260" s="131"/>
      <c r="AH260" s="10"/>
      <c r="AI260" s="10">
        <f>Tabella3[[#This Row],[rest of Italy data]]*NOT(ISBLANK(Tabella3[[#This Row],[rest of Italy data]]))</f>
        <v>0</v>
      </c>
      <c r="AJ260" s="77" t="e">
        <f>Tabella8[[#This Row],[rest of Italy fit]]</f>
        <v>#VALUE!</v>
      </c>
      <c r="AK260" s="72" t="e">
        <f>Tabella3[[#This Row],[rest of Italy cumul. fit]]/Ka</f>
        <v>#VALUE!</v>
      </c>
      <c r="AL260" s="72">
        <f>IFERROR(Ka*psi_a*_xlfn.SECH(psi_a*(Tabella3[[#This Row],[Day]]-pa)-phi_a)^2/(1+TANH(phi_a)),0)</f>
        <v>17.658534356626355</v>
      </c>
      <c r="AM260" s="72">
        <f>Tabella3[[#This Row],[rest of Italy fit]]/y_a_peak</f>
        <v>6.1704480460533498E-3</v>
      </c>
      <c r="AN260" s="10">
        <f>Tabella3[[#This Row],[rest of Italy fit]]*NOT(ISBLANK(Tabella3[[#This Row],[rest of Italy data]]))</f>
        <v>0</v>
      </c>
      <c r="AO260" s="131"/>
      <c r="AP260" s="131"/>
    </row>
    <row r="261" spans="2:42" x14ac:dyDescent="0.3">
      <c r="B261" s="9">
        <v>44084</v>
      </c>
      <c r="C261" s="4">
        <v>254</v>
      </c>
      <c r="D261" s="131"/>
      <c r="E261" s="10"/>
      <c r="F261" s="10">
        <f>Tabella3[[#This Row],[Italy remov. rate data]]*NOT(ISBLANK(Tabella3[[#This Row],[Italy remov. rate data]]))</f>
        <v>0</v>
      </c>
      <c r="G261" s="77" t="e">
        <f>Tabella8[[#This Row],[Italy fit]]</f>
        <v>#VALUE!</v>
      </c>
      <c r="H261" s="77" t="e">
        <f>Tabella3[[#This Row],[Italy cumul. fit]]/Kf</f>
        <v>#VALUE!</v>
      </c>
      <c r="I261" s="77">
        <f>Tabella3[[#This Row],[region fit]]+Tabella3[[#This Row],[rest of Italy fit]]</f>
        <v>17.073510427113881</v>
      </c>
      <c r="J261" s="77">
        <f>Tabella3[[#This Row],[Italy (fit of selected region + fitted sum of the other regions)]]/(y_l_peak+y_a_peak)</f>
        <v>5.6919470018170319E-3</v>
      </c>
      <c r="K261" s="72">
        <f>IFERROR(Kf*psi_f*_xlfn.SECH(psi_f*(Tabella3[[#This Row],[Day]]-pf)-phi_f)^2/(1+TANH(phi_f)),0)</f>
        <v>16.718789160851848</v>
      </c>
      <c r="L261" s="292">
        <f>Tabella3[[#This Row],[Italy remov. rate fit]]-Tabella3[[#This Row],[Italy remov. rate data]]</f>
        <v>16.718789160851848</v>
      </c>
      <c r="M261" s="293">
        <f>Tabella3[[#This Row],[rem. rate residuals]]*NOT(ISBLANK(Tabella3[[#This Row],[Italy remov. rate data]]))</f>
        <v>0</v>
      </c>
      <c r="N261" s="72">
        <f>Tabella3[[#This Row],[Italy remov. rate fit]]/y_f_peak</f>
        <v>5.5703190820431542E-3</v>
      </c>
      <c r="O261" s="10">
        <f>Tabella3[[#This Row],[Italy (fit of selected region + fitted sum of the other regions)]]*NOT(ISBLANK(Tabella3[[#This Row],[Italy remov. rate data]]))</f>
        <v>0</v>
      </c>
      <c r="P261" s="10">
        <f>Tabella3[[#This Row],[Italy remov. rate fit]]*NOT(ISBLANK(Tabella3[[#This Row],[Italy remov. rate data]]))</f>
        <v>0</v>
      </c>
      <c r="Q261" s="72"/>
      <c r="R261" s="72"/>
      <c r="S261" s="131"/>
      <c r="T261" s="10"/>
      <c r="U261" s="10">
        <f>Tabella3[[#This Row],[region data]]*NOT(ISBLANK(Tabella3[[#This Row],[region data]]))</f>
        <v>0</v>
      </c>
      <c r="V261"/>
      <c r="W261" s="72">
        <f>Tabella3[[#This Row],[6-days moving avg]]*NOT(ISBLANK(Tabella3[[#This Row],[6-days moving avg]]))</f>
        <v>0</v>
      </c>
      <c r="X261" s="77" t="e">
        <f>Tabella8[[#This Row],[region fit]]</f>
        <v>#VALUE!</v>
      </c>
      <c r="Y261" s="72" t="e">
        <f>Tabella3[[#This Row],[region cumul. fit]]/Kl</f>
        <v>#VALUE!</v>
      </c>
      <c r="Z261" s="72">
        <f>IFERROR(Kl*psi_l*_xlfn.SECH(psi_l*(Tabella3[[#This Row],[Day]]-pl)-phi_l)^2/(1+TANH(phi_l)),0)</f>
        <v>0.25735664179758161</v>
      </c>
      <c r="AA261" s="72">
        <f>Tabella3[[#This Row],[region fit]]/y_l_peak</f>
        <v>1.8676196801446748E-3</v>
      </c>
      <c r="AB261" s="10">
        <f>Tabella3[[#This Row],[region fit]]*NOT(ISBLANK(Tabella3[[#This Row],[region data]]))</f>
        <v>0</v>
      </c>
      <c r="AC261" s="166">
        <f>IFERROR(kl_m*psi_l_m*_xlfn.SECH(psi_l_m*(Tabella3[[#This Row],[Day]]-pl_m)-phi_l_m)^2/(1+TANH(phi_l_m)),0)</f>
        <v>0.25735664179758161</v>
      </c>
      <c r="AD261" s="72">
        <f>Tabella3[[#This Row],[6-days moving avg fit]]*NOT(ISBLANK(Tabella3[[#This Row],[6-days moving avg]]))</f>
        <v>0</v>
      </c>
      <c r="AE261" s="131"/>
      <c r="AF261" s="131"/>
      <c r="AG261" s="131"/>
      <c r="AH261" s="10"/>
      <c r="AI261" s="10">
        <f>Tabella3[[#This Row],[rest of Italy data]]*NOT(ISBLANK(Tabella3[[#This Row],[rest of Italy data]]))</f>
        <v>0</v>
      </c>
      <c r="AJ261" s="77" t="e">
        <f>Tabella8[[#This Row],[rest of Italy fit]]</f>
        <v>#VALUE!</v>
      </c>
      <c r="AK261" s="72" t="e">
        <f>Tabella3[[#This Row],[rest of Italy cumul. fit]]/Ka</f>
        <v>#VALUE!</v>
      </c>
      <c r="AL261" s="72">
        <f>IFERROR(Ka*psi_a*_xlfn.SECH(psi_a*(Tabella3[[#This Row],[Day]]-pa)-phi_a)^2/(1+TANH(phi_a)),0)</f>
        <v>16.816153785316299</v>
      </c>
      <c r="AM261" s="72">
        <f>Tabella3[[#This Row],[rest of Italy fit]]/y_a_peak</f>
        <v>5.8760937443146583E-3</v>
      </c>
      <c r="AN261" s="10">
        <f>Tabella3[[#This Row],[rest of Italy fit]]*NOT(ISBLANK(Tabella3[[#This Row],[rest of Italy data]]))</f>
        <v>0</v>
      </c>
      <c r="AO261" s="131"/>
      <c r="AP261" s="131"/>
    </row>
    <row r="262" spans="2:42" x14ac:dyDescent="0.3">
      <c r="B262" s="9">
        <v>44085</v>
      </c>
      <c r="C262" s="4">
        <v>255</v>
      </c>
      <c r="D262" s="131"/>
      <c r="E262" s="10"/>
      <c r="F262" s="10">
        <f>Tabella3[[#This Row],[Italy remov. rate data]]*NOT(ISBLANK(Tabella3[[#This Row],[Italy remov. rate data]]))</f>
        <v>0</v>
      </c>
      <c r="G262" s="77" t="e">
        <f>Tabella8[[#This Row],[Italy fit]]</f>
        <v>#VALUE!</v>
      </c>
      <c r="H262" s="77" t="e">
        <f>Tabella3[[#This Row],[Italy cumul. fit]]/Kf</f>
        <v>#VALUE!</v>
      </c>
      <c r="I262" s="77">
        <f>Tabella3[[#This Row],[region fit]]+Tabella3[[#This Row],[rest of Italy fit]]</f>
        <v>16.257098840880676</v>
      </c>
      <c r="J262" s="77">
        <f>Tabella3[[#This Row],[Italy (fit of selected region + fitted sum of the other regions)]]/(y_l_peak+y_a_peak)</f>
        <v>5.4197726589748554E-3</v>
      </c>
      <c r="K262" s="72">
        <f>IFERROR(Kf*psi_f*_xlfn.SECH(psi_f*(Tabella3[[#This Row],[Day]]-pf)-phi_f)^2/(1+TANH(phi_f)),0)</f>
        <v>15.91520383631797</v>
      </c>
      <c r="L262" s="292">
        <f>Tabella3[[#This Row],[Italy remov. rate fit]]-Tabella3[[#This Row],[Italy remov. rate data]]</f>
        <v>15.91520383631797</v>
      </c>
      <c r="M262" s="293">
        <f>Tabella3[[#This Row],[rem. rate residuals]]*NOT(ISBLANK(Tabella3[[#This Row],[Italy remov. rate data]]))</f>
        <v>0</v>
      </c>
      <c r="N262" s="72">
        <f>Tabella3[[#This Row],[Italy remov. rate fit]]/y_f_peak</f>
        <v>5.3025827870139489E-3</v>
      </c>
      <c r="O262" s="10">
        <f>Tabella3[[#This Row],[Italy (fit of selected region + fitted sum of the other regions)]]*NOT(ISBLANK(Tabella3[[#This Row],[Italy remov. rate data]]))</f>
        <v>0</v>
      </c>
      <c r="P262" s="10">
        <f>Tabella3[[#This Row],[Italy remov. rate fit]]*NOT(ISBLANK(Tabella3[[#This Row],[Italy remov. rate data]]))</f>
        <v>0</v>
      </c>
      <c r="Q262" s="72"/>
      <c r="R262" s="72"/>
      <c r="S262" s="131"/>
      <c r="T262" s="10"/>
      <c r="U262" s="10">
        <f>Tabella3[[#This Row],[region data]]*NOT(ISBLANK(Tabella3[[#This Row],[region data]]))</f>
        <v>0</v>
      </c>
      <c r="V262"/>
      <c r="W262" s="72">
        <f>Tabella3[[#This Row],[6-days moving avg]]*NOT(ISBLANK(Tabella3[[#This Row],[6-days moving avg]]))</f>
        <v>0</v>
      </c>
      <c r="X262" s="77" t="e">
        <f>Tabella8[[#This Row],[region fit]]</f>
        <v>#VALUE!</v>
      </c>
      <c r="Y262" s="72" t="e">
        <f>Tabella3[[#This Row],[region cumul. fit]]/Kl</f>
        <v>#VALUE!</v>
      </c>
      <c r="Z262" s="72">
        <f>IFERROR(Kl*psi_l*_xlfn.SECH(psi_l*(Tabella3[[#This Row],[Day]]-pl)-phi_l)^2/(1+TANH(phi_l)),0)</f>
        <v>0.2432539201922812</v>
      </c>
      <c r="AA262" s="72">
        <f>Tabella3[[#This Row],[region fit]]/y_l_peak</f>
        <v>1.7652771867483841E-3</v>
      </c>
      <c r="AB262" s="10">
        <f>Tabella3[[#This Row],[region fit]]*NOT(ISBLANK(Tabella3[[#This Row],[region data]]))</f>
        <v>0</v>
      </c>
      <c r="AC262" s="166">
        <f>IFERROR(kl_m*psi_l_m*_xlfn.SECH(psi_l_m*(Tabella3[[#This Row],[Day]]-pl_m)-phi_l_m)^2/(1+TANH(phi_l_m)),0)</f>
        <v>0.2432539201922812</v>
      </c>
      <c r="AD262" s="72">
        <f>Tabella3[[#This Row],[6-days moving avg fit]]*NOT(ISBLANK(Tabella3[[#This Row],[6-days moving avg]]))</f>
        <v>0</v>
      </c>
      <c r="AE262" s="131"/>
      <c r="AF262" s="131"/>
      <c r="AG262" s="131"/>
      <c r="AH262" s="10"/>
      <c r="AI262" s="10">
        <f>Tabella3[[#This Row],[rest of Italy data]]*NOT(ISBLANK(Tabella3[[#This Row],[rest of Italy data]]))</f>
        <v>0</v>
      </c>
      <c r="AJ262" s="77" t="e">
        <f>Tabella8[[#This Row],[rest of Italy fit]]</f>
        <v>#VALUE!</v>
      </c>
      <c r="AK262" s="72" t="e">
        <f>Tabella3[[#This Row],[rest of Italy cumul. fit]]/Ka</f>
        <v>#VALUE!</v>
      </c>
      <c r="AL262" s="72">
        <f>IFERROR(Ka*psi_a*_xlfn.SECH(psi_a*(Tabella3[[#This Row],[Day]]-pa)-phi_a)^2/(1+TANH(phi_a)),0)</f>
        <v>16.013844920688395</v>
      </c>
      <c r="AM262" s="72">
        <f>Tabella3[[#This Row],[rest of Italy fit]]/y_a_peak</f>
        <v>5.5957417589180434E-3</v>
      </c>
      <c r="AN262" s="10">
        <f>Tabella3[[#This Row],[rest of Italy fit]]*NOT(ISBLANK(Tabella3[[#This Row],[rest of Italy data]]))</f>
        <v>0</v>
      </c>
      <c r="AO262" s="131"/>
      <c r="AP262" s="131"/>
    </row>
    <row r="263" spans="2:42" x14ac:dyDescent="0.3">
      <c r="B263" s="9">
        <v>44086</v>
      </c>
      <c r="C263" s="4">
        <v>256</v>
      </c>
      <c r="D263" s="131"/>
      <c r="E263" s="10"/>
      <c r="F263" s="10">
        <f>Tabella3[[#This Row],[Italy remov. rate data]]*NOT(ISBLANK(Tabella3[[#This Row],[Italy remov. rate data]]))</f>
        <v>0</v>
      </c>
      <c r="G263" s="77" t="e">
        <f>Tabella8[[#This Row],[Italy fit]]</f>
        <v>#VALUE!</v>
      </c>
      <c r="H263" s="77" t="e">
        <f>Tabella3[[#This Row],[Italy cumul. fit]]/Kf</f>
        <v>#VALUE!</v>
      </c>
      <c r="I263" s="77">
        <f>Tabella3[[#This Row],[region fit]]+Tabella3[[#This Row],[rest of Italy fit]]</f>
        <v>15.479635478965399</v>
      </c>
      <c r="J263" s="77">
        <f>Tabella3[[#This Row],[Italy (fit of selected region + fitted sum of the other regions)]]/(y_l_peak+y_a_peak)</f>
        <v>5.1605828297497762E-3</v>
      </c>
      <c r="K263" s="72">
        <f>IFERROR(Kf*psi_f*_xlfn.SECH(psi_f*(Tabella3[[#This Row],[Day]]-pf)-phi_f)^2/(1+TANH(phi_f)),0)</f>
        <v>15.150144668639415</v>
      </c>
      <c r="L263" s="292">
        <f>Tabella3[[#This Row],[Italy remov. rate fit]]-Tabella3[[#This Row],[Italy remov. rate data]]</f>
        <v>15.150144668639415</v>
      </c>
      <c r="M263" s="293">
        <f>Tabella3[[#This Row],[rem. rate residuals]]*NOT(ISBLANK(Tabella3[[#This Row],[Italy remov. rate data]]))</f>
        <v>0</v>
      </c>
      <c r="N263" s="72">
        <f>Tabella3[[#This Row],[Italy remov. rate fit]]/y_f_peak</f>
        <v>5.0476825284120411E-3</v>
      </c>
      <c r="O263" s="10">
        <f>Tabella3[[#This Row],[Italy (fit of selected region + fitted sum of the other regions)]]*NOT(ISBLANK(Tabella3[[#This Row],[Italy remov. rate data]]))</f>
        <v>0</v>
      </c>
      <c r="P263" s="10">
        <f>Tabella3[[#This Row],[Italy remov. rate fit]]*NOT(ISBLANK(Tabella3[[#This Row],[Italy remov. rate data]]))</f>
        <v>0</v>
      </c>
      <c r="Q263" s="72"/>
      <c r="R263" s="72"/>
      <c r="S263" s="131"/>
      <c r="T263" s="10"/>
      <c r="U263" s="10">
        <f>Tabella3[[#This Row],[region data]]*NOT(ISBLANK(Tabella3[[#This Row],[region data]]))</f>
        <v>0</v>
      </c>
      <c r="V263"/>
      <c r="W263" s="72">
        <f>Tabella3[[#This Row],[6-days moving avg]]*NOT(ISBLANK(Tabella3[[#This Row],[6-days moving avg]]))</f>
        <v>0</v>
      </c>
      <c r="X263" s="77" t="e">
        <f>Tabella8[[#This Row],[region fit]]</f>
        <v>#VALUE!</v>
      </c>
      <c r="Y263" s="72" t="e">
        <f>Tabella3[[#This Row],[region cumul. fit]]/Kl</f>
        <v>#VALUE!</v>
      </c>
      <c r="Z263" s="72">
        <f>IFERROR(Kl*psi_l*_xlfn.SECH(psi_l*(Tabella3[[#This Row],[Day]]-pl)-phi_l)^2/(1+TANH(phi_l)),0)</f>
        <v>0.22992335868416242</v>
      </c>
      <c r="AA263" s="72">
        <f>Tabella3[[#This Row],[region fit]]/y_l_peak</f>
        <v>1.6685382067630785E-3</v>
      </c>
      <c r="AB263" s="10">
        <f>Tabella3[[#This Row],[region fit]]*NOT(ISBLANK(Tabella3[[#This Row],[region data]]))</f>
        <v>0</v>
      </c>
      <c r="AC263" s="166">
        <f>IFERROR(kl_m*psi_l_m*_xlfn.SECH(psi_l_m*(Tabella3[[#This Row],[Day]]-pl_m)-phi_l_m)^2/(1+TANH(phi_l_m)),0)</f>
        <v>0.22992335868416242</v>
      </c>
      <c r="AD263" s="72">
        <f>Tabella3[[#This Row],[6-days moving avg fit]]*NOT(ISBLANK(Tabella3[[#This Row],[6-days moving avg]]))</f>
        <v>0</v>
      </c>
      <c r="AE263" s="131"/>
      <c r="AF263" s="131"/>
      <c r="AG263" s="131"/>
      <c r="AH263" s="10"/>
      <c r="AI263" s="10">
        <f>Tabella3[[#This Row],[rest of Italy data]]*NOT(ISBLANK(Tabella3[[#This Row],[rest of Italy data]]))</f>
        <v>0</v>
      </c>
      <c r="AJ263" s="77" t="e">
        <f>Tabella8[[#This Row],[rest of Italy fit]]</f>
        <v>#VALUE!</v>
      </c>
      <c r="AK263" s="72" t="e">
        <f>Tabella3[[#This Row],[rest of Italy cumul. fit]]/Ka</f>
        <v>#VALUE!</v>
      </c>
      <c r="AL263" s="72">
        <f>IFERROR(Ka*psi_a*_xlfn.SECH(psi_a*(Tabella3[[#This Row],[Day]]-pa)-phi_a)^2/(1+TANH(phi_a)),0)</f>
        <v>15.249712120281236</v>
      </c>
      <c r="AM263" s="72">
        <f>Tabella3[[#This Row],[rest of Italy fit]]/y_a_peak</f>
        <v>5.3287296926857004E-3</v>
      </c>
      <c r="AN263" s="10">
        <f>Tabella3[[#This Row],[rest of Italy fit]]*NOT(ISBLANK(Tabella3[[#This Row],[rest of Italy data]]))</f>
        <v>0</v>
      </c>
      <c r="AO263" s="131"/>
      <c r="AP263" s="131"/>
    </row>
    <row r="264" spans="2:42" x14ac:dyDescent="0.3">
      <c r="B264" s="9">
        <v>44087</v>
      </c>
      <c r="C264" s="4">
        <v>257</v>
      </c>
      <c r="D264" s="131"/>
      <c r="E264" s="10"/>
      <c r="F264" s="10">
        <f>Tabella3[[#This Row],[Italy remov. rate data]]*NOT(ISBLANK(Tabella3[[#This Row],[Italy remov. rate data]]))</f>
        <v>0</v>
      </c>
      <c r="G264" s="77" t="e">
        <f>Tabella8[[#This Row],[Italy fit]]</f>
        <v>#VALUE!</v>
      </c>
      <c r="H264" s="77" t="e">
        <f>Tabella3[[#This Row],[Italy cumul. fit]]/Kf</f>
        <v>#VALUE!</v>
      </c>
      <c r="I264" s="77">
        <f>Tabella3[[#This Row],[region fit]]+Tabella3[[#This Row],[rest of Italy fit]]</f>
        <v>14.739271180426524</v>
      </c>
      <c r="J264" s="77">
        <f>Tabella3[[#This Row],[Italy (fit of selected region + fitted sum of the other regions)]]/(y_l_peak+y_a_peak)</f>
        <v>4.9137610430228691E-3</v>
      </c>
      <c r="K264" s="72">
        <f>IFERROR(Kf*psi_f*_xlfn.SECH(psi_f*(Tabella3[[#This Row],[Day]]-pf)-phi_f)^2/(1+TANH(phi_f)),0)</f>
        <v>14.421773814621025</v>
      </c>
      <c r="L264" s="292">
        <f>Tabella3[[#This Row],[Italy remov. rate fit]]-Tabella3[[#This Row],[Italy remov. rate data]]</f>
        <v>14.421773814621025</v>
      </c>
      <c r="M264" s="293">
        <f>Tabella3[[#This Row],[rem. rate residuals]]*NOT(ISBLANK(Tabella3[[#This Row],[Italy remov. rate data]]))</f>
        <v>0</v>
      </c>
      <c r="N264" s="72">
        <f>Tabella3[[#This Row],[Italy remov. rate fit]]/y_f_peak</f>
        <v>4.8050059788181838E-3</v>
      </c>
      <c r="O264" s="10">
        <f>Tabella3[[#This Row],[Italy (fit of selected region + fitted sum of the other regions)]]*NOT(ISBLANK(Tabella3[[#This Row],[Italy remov. rate data]]))</f>
        <v>0</v>
      </c>
      <c r="P264" s="10">
        <f>Tabella3[[#This Row],[Italy remov. rate fit]]*NOT(ISBLANK(Tabella3[[#This Row],[Italy remov. rate data]]))</f>
        <v>0</v>
      </c>
      <c r="Q264" s="72"/>
      <c r="R264" s="72"/>
      <c r="S264" s="131"/>
      <c r="T264" s="10"/>
      <c r="U264" s="10">
        <f>Tabella3[[#This Row],[region data]]*NOT(ISBLANK(Tabella3[[#This Row],[region data]]))</f>
        <v>0</v>
      </c>
      <c r="V264"/>
      <c r="W264" s="72">
        <f>Tabella3[[#This Row],[6-days moving avg]]*NOT(ISBLANK(Tabella3[[#This Row],[6-days moving avg]]))</f>
        <v>0</v>
      </c>
      <c r="X264" s="77" t="e">
        <f>Tabella8[[#This Row],[region fit]]</f>
        <v>#VALUE!</v>
      </c>
      <c r="Y264" s="72" t="e">
        <f>Tabella3[[#This Row],[region cumul. fit]]/Kl</f>
        <v>#VALUE!</v>
      </c>
      <c r="Z264" s="72">
        <f>IFERROR(Kl*psi_l*_xlfn.SECH(psi_l*(Tabella3[[#This Row],[Day]]-pl)-phi_l)^2/(1+TANH(phi_l)),0)</f>
        <v>0.21732274841718952</v>
      </c>
      <c r="AA264" s="72">
        <f>Tabella3[[#This Row],[region fit]]/y_l_peak</f>
        <v>1.5770964333856456E-3</v>
      </c>
      <c r="AB264" s="10">
        <f>Tabella3[[#This Row],[region fit]]*NOT(ISBLANK(Tabella3[[#This Row],[region data]]))</f>
        <v>0</v>
      </c>
      <c r="AC264" s="166">
        <f>IFERROR(kl_m*psi_l_m*_xlfn.SECH(psi_l_m*(Tabella3[[#This Row],[Day]]-pl_m)-phi_l_m)^2/(1+TANH(phi_l_m)),0)</f>
        <v>0.21732274841718952</v>
      </c>
      <c r="AD264" s="72">
        <f>Tabella3[[#This Row],[6-days moving avg fit]]*NOT(ISBLANK(Tabella3[[#This Row],[6-days moving avg]]))</f>
        <v>0</v>
      </c>
      <c r="AE264" s="131"/>
      <c r="AF264" s="131"/>
      <c r="AG264" s="131"/>
      <c r="AH264" s="10"/>
      <c r="AI264" s="10">
        <f>Tabella3[[#This Row],[rest of Italy data]]*NOT(ISBLANK(Tabella3[[#This Row],[rest of Italy data]]))</f>
        <v>0</v>
      </c>
      <c r="AJ264" s="77" t="e">
        <f>Tabella8[[#This Row],[rest of Italy fit]]</f>
        <v>#VALUE!</v>
      </c>
      <c r="AK264" s="72" t="e">
        <f>Tabella3[[#This Row],[rest of Italy cumul. fit]]/Ka</f>
        <v>#VALUE!</v>
      </c>
      <c r="AL264" s="72">
        <f>IFERROR(Ka*psi_a*_xlfn.SECH(psi_a*(Tabella3[[#This Row],[Day]]-pa)-phi_a)^2/(1+TANH(phi_a)),0)</f>
        <v>14.521948432009335</v>
      </c>
      <c r="AM264" s="72">
        <f>Tabella3[[#This Row],[rest of Italy fit]]/y_a_peak</f>
        <v>5.074426139650404E-3</v>
      </c>
      <c r="AN264" s="10">
        <f>Tabella3[[#This Row],[rest of Italy fit]]*NOT(ISBLANK(Tabella3[[#This Row],[rest of Italy data]]))</f>
        <v>0</v>
      </c>
      <c r="AO264" s="131"/>
      <c r="AP264" s="131"/>
    </row>
    <row r="265" spans="2:42" x14ac:dyDescent="0.3">
      <c r="B265" s="9">
        <v>44088</v>
      </c>
      <c r="C265" s="4">
        <v>258</v>
      </c>
      <c r="D265" s="131"/>
      <c r="E265" s="10"/>
      <c r="F265" s="10">
        <f>Tabella3[[#This Row],[Italy remov. rate data]]*NOT(ISBLANK(Tabella3[[#This Row],[Italy remov. rate data]]))</f>
        <v>0</v>
      </c>
      <c r="G265" s="77" t="e">
        <f>Tabella8[[#This Row],[Italy fit]]</f>
        <v>#VALUE!</v>
      </c>
      <c r="H265" s="77" t="e">
        <f>Tabella3[[#This Row],[Italy cumul. fit]]/Kf</f>
        <v>#VALUE!</v>
      </c>
      <c r="I265" s="77">
        <f>Tabella3[[#This Row],[region fit]]+Tabella3[[#This Row],[rest of Italy fit]]</f>
        <v>14.034243717386815</v>
      </c>
      <c r="J265" s="77">
        <f>Tabella3[[#This Row],[Italy (fit of selected region + fitted sum of the other regions)]]/(y_l_peak+y_a_peak)</f>
        <v>4.6787198093188355E-3</v>
      </c>
      <c r="K265" s="72">
        <f>IFERROR(Kf*psi_f*_xlfn.SECH(psi_f*(Tabella3[[#This Row],[Day]]-pf)-phi_f)^2/(1+TANH(phi_f)),0)</f>
        <v>13.728340237008288</v>
      </c>
      <c r="L265" s="292">
        <f>Tabella3[[#This Row],[Italy remov. rate fit]]-Tabella3[[#This Row],[Italy remov. rate data]]</f>
        <v>13.728340237008288</v>
      </c>
      <c r="M265" s="293">
        <f>Tabella3[[#This Row],[rem. rate residuals]]*NOT(ISBLANK(Tabella3[[#This Row],[Italy remov. rate data]]))</f>
        <v>0</v>
      </c>
      <c r="N265" s="72">
        <f>Tabella3[[#This Row],[Italy remov. rate fit]]/y_f_peak</f>
        <v>4.5739697325719352E-3</v>
      </c>
      <c r="O265" s="10">
        <f>Tabella3[[#This Row],[Italy (fit of selected region + fitted sum of the other regions)]]*NOT(ISBLANK(Tabella3[[#This Row],[Italy remov. rate data]]))</f>
        <v>0</v>
      </c>
      <c r="P265" s="10">
        <f>Tabella3[[#This Row],[Italy remov. rate fit]]*NOT(ISBLANK(Tabella3[[#This Row],[Italy remov. rate data]]))</f>
        <v>0</v>
      </c>
      <c r="Q265" s="72"/>
      <c r="R265" s="72"/>
      <c r="S265" s="131"/>
      <c r="T265" s="10"/>
      <c r="U265" s="10">
        <f>Tabella3[[#This Row],[region data]]*NOT(ISBLANK(Tabella3[[#This Row],[region data]]))</f>
        <v>0</v>
      </c>
      <c r="V265"/>
      <c r="W265" s="72">
        <f>Tabella3[[#This Row],[6-days moving avg]]*NOT(ISBLANK(Tabella3[[#This Row],[6-days moving avg]]))</f>
        <v>0</v>
      </c>
      <c r="X265" s="77" t="e">
        <f>Tabella8[[#This Row],[region fit]]</f>
        <v>#VALUE!</v>
      </c>
      <c r="Y265" s="72" t="e">
        <f>Tabella3[[#This Row],[region cumul. fit]]/Kl</f>
        <v>#VALUE!</v>
      </c>
      <c r="Z265" s="72">
        <f>IFERROR(Kl*psi_l*_xlfn.SECH(psi_l*(Tabella3[[#This Row],[Day]]-pl)-phi_l)^2/(1+TANH(phi_l)),0)</f>
        <v>0.20541218046407692</v>
      </c>
      <c r="AA265" s="72">
        <f>Tabella3[[#This Row],[region fit]]/y_l_peak</f>
        <v>1.4906622502397935E-3</v>
      </c>
      <c r="AB265" s="10">
        <f>Tabella3[[#This Row],[region fit]]*NOT(ISBLANK(Tabella3[[#This Row],[region data]]))</f>
        <v>0</v>
      </c>
      <c r="AC265" s="166">
        <f>IFERROR(kl_m*psi_l_m*_xlfn.SECH(psi_l_m*(Tabella3[[#This Row],[Day]]-pl_m)-phi_l_m)^2/(1+TANH(phi_l_m)),0)</f>
        <v>0.20541218046407692</v>
      </c>
      <c r="AD265" s="72">
        <f>Tabella3[[#This Row],[6-days moving avg fit]]*NOT(ISBLANK(Tabella3[[#This Row],[6-days moving avg]]))</f>
        <v>0</v>
      </c>
      <c r="AE265" s="131"/>
      <c r="AF265" s="131"/>
      <c r="AG265" s="131"/>
      <c r="AH265" s="10"/>
      <c r="AI265" s="10">
        <f>Tabella3[[#This Row],[rest of Italy data]]*NOT(ISBLANK(Tabella3[[#This Row],[rest of Italy data]]))</f>
        <v>0</v>
      </c>
      <c r="AJ265" s="77" t="e">
        <f>Tabella8[[#This Row],[rest of Italy fit]]</f>
        <v>#VALUE!</v>
      </c>
      <c r="AK265" s="72" t="e">
        <f>Tabella3[[#This Row],[rest of Italy cumul. fit]]/Ka</f>
        <v>#VALUE!</v>
      </c>
      <c r="AL265" s="72">
        <f>IFERROR(Ka*psi_a*_xlfn.SECH(psi_a*(Tabella3[[#This Row],[Day]]-pa)-phi_a)^2/(1+TANH(phi_a)),0)</f>
        <v>13.828831536922738</v>
      </c>
      <c r="AM265" s="72">
        <f>Tabella3[[#This Row],[rest of Italy fit]]/y_a_peak</f>
        <v>4.8322292673279414E-3</v>
      </c>
      <c r="AN265" s="10">
        <f>Tabella3[[#This Row],[rest of Italy fit]]*NOT(ISBLANK(Tabella3[[#This Row],[rest of Italy data]]))</f>
        <v>0</v>
      </c>
      <c r="AO265" s="131"/>
      <c r="AP265" s="131"/>
    </row>
    <row r="266" spans="2:42" x14ac:dyDescent="0.3">
      <c r="B266" s="9">
        <v>44089</v>
      </c>
      <c r="C266" s="4">
        <v>259</v>
      </c>
      <c r="D266" s="131"/>
      <c r="E266" s="10"/>
      <c r="F266" s="10">
        <f>Tabella3[[#This Row],[Italy remov. rate data]]*NOT(ISBLANK(Tabella3[[#This Row],[Italy remov. rate data]]))</f>
        <v>0</v>
      </c>
      <c r="G266" s="77" t="e">
        <f>Tabella8[[#This Row],[Italy fit]]</f>
        <v>#VALUE!</v>
      </c>
      <c r="H266" s="77" t="e">
        <f>Tabella3[[#This Row],[Italy cumul. fit]]/Kf</f>
        <v>#VALUE!</v>
      </c>
      <c r="I266" s="77">
        <f>Tabella3[[#This Row],[region fit]]+Tabella3[[#This Row],[rest of Italy fit]]</f>
        <v>13.362873790158767</v>
      </c>
      <c r="J266" s="77">
        <f>Tabella3[[#This Row],[Italy (fit of selected region + fitted sum of the other regions)]]/(y_l_peak+y_a_peak)</f>
        <v>4.4548992856655884E-3</v>
      </c>
      <c r="K266" s="72">
        <f>IFERROR(Kf*psi_f*_xlfn.SECH(psi_f*(Tabella3[[#This Row],[Day]]-pf)-phi_f)^2/(1+TANH(phi_f)),0)</f>
        <v>13.068175686080934</v>
      </c>
      <c r="L266" s="292">
        <f>Tabella3[[#This Row],[Italy remov. rate fit]]-Tabella3[[#This Row],[Italy remov. rate data]]</f>
        <v>13.068175686080934</v>
      </c>
      <c r="M266" s="293">
        <f>Tabella3[[#This Row],[rem. rate residuals]]*NOT(ISBLANK(Tabella3[[#This Row],[Italy remov. rate data]]))</f>
        <v>0</v>
      </c>
      <c r="N266" s="72">
        <f>Tabella3[[#This Row],[Italy remov. rate fit]]/y_f_peak</f>
        <v>4.3540179669303309E-3</v>
      </c>
      <c r="O266" s="10">
        <f>Tabella3[[#This Row],[Italy (fit of selected region + fitted sum of the other regions)]]*NOT(ISBLANK(Tabella3[[#This Row],[Italy remov. rate data]]))</f>
        <v>0</v>
      </c>
      <c r="P266" s="10">
        <f>Tabella3[[#This Row],[Italy remov. rate fit]]*NOT(ISBLANK(Tabella3[[#This Row],[Italy remov. rate data]]))</f>
        <v>0</v>
      </c>
      <c r="Q266" s="72"/>
      <c r="R266" s="72"/>
      <c r="S266" s="131"/>
      <c r="T266" s="10"/>
      <c r="U266" s="10">
        <f>Tabella3[[#This Row],[region data]]*NOT(ISBLANK(Tabella3[[#This Row],[region data]]))</f>
        <v>0</v>
      </c>
      <c r="V266"/>
      <c r="W266" s="72">
        <f>Tabella3[[#This Row],[6-days moving avg]]*NOT(ISBLANK(Tabella3[[#This Row],[6-days moving avg]]))</f>
        <v>0</v>
      </c>
      <c r="X266" s="77" t="e">
        <f>Tabella8[[#This Row],[region fit]]</f>
        <v>#VALUE!</v>
      </c>
      <c r="Y266" s="72" t="e">
        <f>Tabella3[[#This Row],[region cumul. fit]]/Kl</f>
        <v>#VALUE!</v>
      </c>
      <c r="Z266" s="72">
        <f>IFERROR(Kl*psi_l*_xlfn.SECH(psi_l*(Tabella3[[#This Row],[Day]]-pl)-phi_l)^2/(1+TANH(phi_l)),0)</f>
        <v>0.19415392128949399</v>
      </c>
      <c r="AA266" s="72">
        <f>Tabella3[[#This Row],[region fit]]/y_l_peak</f>
        <v>1.4089618276209824E-3</v>
      </c>
      <c r="AB266" s="10">
        <f>Tabella3[[#This Row],[region fit]]*NOT(ISBLANK(Tabella3[[#This Row],[region data]]))</f>
        <v>0</v>
      </c>
      <c r="AC266" s="166">
        <f>IFERROR(kl_m*psi_l_m*_xlfn.SECH(psi_l_m*(Tabella3[[#This Row],[Day]]-pl_m)-phi_l_m)^2/(1+TANH(phi_l_m)),0)</f>
        <v>0.19415392128949399</v>
      </c>
      <c r="AD266" s="72">
        <f>Tabella3[[#This Row],[6-days moving avg fit]]*NOT(ISBLANK(Tabella3[[#This Row],[6-days moving avg]]))</f>
        <v>0</v>
      </c>
      <c r="AE266" s="131"/>
      <c r="AF266" s="131"/>
      <c r="AG266" s="131"/>
      <c r="AH266" s="10"/>
      <c r="AI266" s="10">
        <f>Tabella3[[#This Row],[rest of Italy data]]*NOT(ISBLANK(Tabella3[[#This Row],[rest of Italy data]]))</f>
        <v>0</v>
      </c>
      <c r="AJ266" s="77" t="e">
        <f>Tabella8[[#This Row],[rest of Italy fit]]</f>
        <v>#VALUE!</v>
      </c>
      <c r="AK266" s="72" t="e">
        <f>Tabella3[[#This Row],[rest of Italy cumul. fit]]/Ka</f>
        <v>#VALUE!</v>
      </c>
      <c r="AL266" s="72">
        <f>IFERROR(Ka*psi_a*_xlfn.SECH(psi_a*(Tabella3[[#This Row],[Day]]-pa)-phi_a)^2/(1+TANH(phi_a)),0)</f>
        <v>13.168719868869273</v>
      </c>
      <c r="AM266" s="72">
        <f>Tabella3[[#This Row],[rest of Italy fit]]/y_a_peak</f>
        <v>4.6015654608048892E-3</v>
      </c>
      <c r="AN266" s="10">
        <f>Tabella3[[#This Row],[rest of Italy fit]]*NOT(ISBLANK(Tabella3[[#This Row],[rest of Italy data]]))</f>
        <v>0</v>
      </c>
      <c r="AO266" s="131"/>
      <c r="AP266" s="131"/>
    </row>
    <row r="267" spans="2:42" x14ac:dyDescent="0.3">
      <c r="B267" s="9">
        <v>44090</v>
      </c>
      <c r="C267" s="4">
        <v>260</v>
      </c>
      <c r="D267" s="131"/>
      <c r="E267" s="10"/>
      <c r="F267" s="10">
        <f>Tabella3[[#This Row],[Italy remov. rate data]]*NOT(ISBLANK(Tabella3[[#This Row],[Italy remov. rate data]]))</f>
        <v>0</v>
      </c>
      <c r="G267" s="77" t="e">
        <f>Tabella8[[#This Row],[Italy fit]]</f>
        <v>#VALUE!</v>
      </c>
      <c r="H267" s="77" t="e">
        <f>Tabella3[[#This Row],[Italy cumul. fit]]/Kf</f>
        <v>#VALUE!</v>
      </c>
      <c r="I267" s="77">
        <f>Tabella3[[#This Row],[region fit]]+Tabella3[[#This Row],[rest of Italy fit]]</f>
        <v>12.723561199052851</v>
      </c>
      <c r="J267" s="77">
        <f>Tabella3[[#This Row],[Italy (fit of selected region + fitted sum of the other regions)]]/(y_l_peak+y_a_peak)</f>
        <v>4.2417659993561523E-3</v>
      </c>
      <c r="K267" s="72">
        <f>IFERROR(Kf*psi_f*_xlfn.SECH(psi_f*(Tabella3[[#This Row],[Day]]-pf)-phi_f)^2/(1+TANH(phi_f)),0)</f>
        <v>12.439690859518725</v>
      </c>
      <c r="L267" s="292">
        <f>Tabella3[[#This Row],[Italy remov. rate fit]]-Tabella3[[#This Row],[Italy remov. rate data]]</f>
        <v>12.439690859518725</v>
      </c>
      <c r="M267" s="293">
        <f>Tabella3[[#This Row],[rem. rate residuals]]*NOT(ISBLANK(Tabella3[[#This Row],[Italy remov. rate data]]))</f>
        <v>0</v>
      </c>
      <c r="N267" s="72">
        <f>Tabella3[[#This Row],[Italy remov. rate fit]]/y_f_peak</f>
        <v>4.1446211626227827E-3</v>
      </c>
      <c r="O267" s="10">
        <f>Tabella3[[#This Row],[Italy (fit of selected region + fitted sum of the other regions)]]*NOT(ISBLANK(Tabella3[[#This Row],[Italy remov. rate data]]))</f>
        <v>0</v>
      </c>
      <c r="P267" s="10">
        <f>Tabella3[[#This Row],[Italy remov. rate fit]]*NOT(ISBLANK(Tabella3[[#This Row],[Italy remov. rate data]]))</f>
        <v>0</v>
      </c>
      <c r="Q267" s="72"/>
      <c r="R267" s="72"/>
      <c r="S267" s="131"/>
      <c r="T267" s="10"/>
      <c r="U267" s="10">
        <f>Tabella3[[#This Row],[region data]]*NOT(ISBLANK(Tabella3[[#This Row],[region data]]))</f>
        <v>0</v>
      </c>
      <c r="V267"/>
      <c r="W267" s="72">
        <f>Tabella3[[#This Row],[6-days moving avg]]*NOT(ISBLANK(Tabella3[[#This Row],[6-days moving avg]]))</f>
        <v>0</v>
      </c>
      <c r="X267" s="77" t="e">
        <f>Tabella8[[#This Row],[region fit]]</f>
        <v>#VALUE!</v>
      </c>
      <c r="Y267" s="72" t="e">
        <f>Tabella3[[#This Row],[region cumul. fit]]/Kl</f>
        <v>#VALUE!</v>
      </c>
      <c r="Z267" s="72">
        <f>IFERROR(Kl*psi_l*_xlfn.SECH(psi_l*(Tabella3[[#This Row],[Day]]-pl)-phi_l)^2/(1+TANH(phi_l)),0)</f>
        <v>0.18351229487276297</v>
      </c>
      <c r="AA267" s="72">
        <f>Tabella3[[#This Row],[region fit]]/y_l_peak</f>
        <v>1.3317362670688434E-3</v>
      </c>
      <c r="AB267" s="10">
        <f>Tabella3[[#This Row],[region fit]]*NOT(ISBLANK(Tabella3[[#This Row],[region data]]))</f>
        <v>0</v>
      </c>
      <c r="AC267" s="166">
        <f>IFERROR(kl_m*psi_l_m*_xlfn.SECH(psi_l_m*(Tabella3[[#This Row],[Day]]-pl_m)-phi_l_m)^2/(1+TANH(phi_l_m)),0)</f>
        <v>0.18351229487276297</v>
      </c>
      <c r="AD267" s="72">
        <f>Tabella3[[#This Row],[6-days moving avg fit]]*NOT(ISBLANK(Tabella3[[#This Row],[6-days moving avg]]))</f>
        <v>0</v>
      </c>
      <c r="AE267" s="131"/>
      <c r="AF267" s="131"/>
      <c r="AG267" s="131"/>
      <c r="AH267" s="10"/>
      <c r="AI267" s="10">
        <f>Tabella3[[#This Row],[rest of Italy data]]*NOT(ISBLANK(Tabella3[[#This Row],[rest of Italy data]]))</f>
        <v>0</v>
      </c>
      <c r="AJ267" s="77" t="e">
        <f>Tabella8[[#This Row],[rest of Italy fit]]</f>
        <v>#VALUE!</v>
      </c>
      <c r="AK267" s="72" t="e">
        <f>Tabella3[[#This Row],[rest of Italy cumul. fit]]/Ka</f>
        <v>#VALUE!</v>
      </c>
      <c r="AL267" s="72">
        <f>IFERROR(Ka*psi_a*_xlfn.SECH(psi_a*(Tabella3[[#This Row],[Day]]-pa)-phi_a)^2/(1+TANH(phi_a)),0)</f>
        <v>12.540048904180088</v>
      </c>
      <c r="AM267" s="72">
        <f>Tabella3[[#This Row],[rest of Italy fit]]/y_a_peak</f>
        <v>4.3818880262378925E-3</v>
      </c>
      <c r="AN267" s="10">
        <f>Tabella3[[#This Row],[rest of Italy fit]]*NOT(ISBLANK(Tabella3[[#This Row],[rest of Italy data]]))</f>
        <v>0</v>
      </c>
      <c r="AO267" s="131"/>
      <c r="AP267" s="131"/>
    </row>
    <row r="268" spans="2:42" x14ac:dyDescent="0.3">
      <c r="B268" s="9">
        <v>44091</v>
      </c>
      <c r="C268" s="4">
        <v>261</v>
      </c>
      <c r="D268" s="131"/>
      <c r="E268" s="10"/>
      <c r="F268" s="10">
        <f>Tabella3[[#This Row],[Italy remov. rate data]]*NOT(ISBLANK(Tabella3[[#This Row],[Italy remov. rate data]]))</f>
        <v>0</v>
      </c>
      <c r="G268" s="77" t="e">
        <f>Tabella8[[#This Row],[Italy fit]]</f>
        <v>#VALUE!</v>
      </c>
      <c r="H268" s="77" t="e">
        <f>Tabella3[[#This Row],[Italy cumul. fit]]/Kf</f>
        <v>#VALUE!</v>
      </c>
      <c r="I268" s="77">
        <f>Tabella3[[#This Row],[region fit]]+Tabella3[[#This Row],[rest of Italy fit]]</f>
        <v>12.114781185827072</v>
      </c>
      <c r="J268" s="77">
        <f>Tabella3[[#This Row],[Italy (fit of selected region + fitted sum of the other regions)]]/(y_l_peak+y_a_peak)</f>
        <v>4.0388116282653822E-3</v>
      </c>
      <c r="K268" s="72">
        <f>IFERROR(Kf*psi_f*_xlfn.SECH(psi_f*(Tabella3[[#This Row],[Day]]-pf)-phi_f)^2/(1+TANH(phi_f)),0)</f>
        <v>11.841371733377104</v>
      </c>
      <c r="L268" s="292">
        <f>Tabella3[[#This Row],[Italy remov. rate fit]]-Tabella3[[#This Row],[Italy remov. rate data]]</f>
        <v>11.841371733377104</v>
      </c>
      <c r="M268" s="293">
        <f>Tabella3[[#This Row],[rem. rate residuals]]*NOT(ISBLANK(Tabella3[[#This Row],[Italy remov. rate data]]))</f>
        <v>0</v>
      </c>
      <c r="N268" s="72">
        <f>Tabella3[[#This Row],[Italy remov. rate fit]]/y_f_peak</f>
        <v>3.9452748814158816E-3</v>
      </c>
      <c r="O268" s="10">
        <f>Tabella3[[#This Row],[Italy (fit of selected region + fitted sum of the other regions)]]*NOT(ISBLANK(Tabella3[[#This Row],[Italy remov. rate data]]))</f>
        <v>0</v>
      </c>
      <c r="P268" s="10">
        <f>Tabella3[[#This Row],[Italy remov. rate fit]]*NOT(ISBLANK(Tabella3[[#This Row],[Italy remov. rate data]]))</f>
        <v>0</v>
      </c>
      <c r="Q268" s="72"/>
      <c r="R268" s="72"/>
      <c r="S268" s="131"/>
      <c r="T268" s="10"/>
      <c r="U268" s="10">
        <f>Tabella3[[#This Row],[region data]]*NOT(ISBLANK(Tabella3[[#This Row],[region data]]))</f>
        <v>0</v>
      </c>
      <c r="V268"/>
      <c r="W268" s="72">
        <f>Tabella3[[#This Row],[6-days moving avg]]*NOT(ISBLANK(Tabella3[[#This Row],[6-days moving avg]]))</f>
        <v>0</v>
      </c>
      <c r="X268" s="77" t="e">
        <f>Tabella8[[#This Row],[region fit]]</f>
        <v>#VALUE!</v>
      </c>
      <c r="Y268" s="72" t="e">
        <f>Tabella3[[#This Row],[region cumul. fit]]/Kl</f>
        <v>#VALUE!</v>
      </c>
      <c r="Z268" s="72">
        <f>IFERROR(Kl*psi_l*_xlfn.SECH(psi_l*(Tabella3[[#This Row],[Day]]-pl)-phi_l)^2/(1+TANH(phi_l)),0)</f>
        <v>0.17345357114296395</v>
      </c>
      <c r="AA268" s="72">
        <f>Tabella3[[#This Row],[region fit]]/y_l_peak</f>
        <v>1.2587407917483092E-3</v>
      </c>
      <c r="AB268" s="10">
        <f>Tabella3[[#This Row],[region fit]]*NOT(ISBLANK(Tabella3[[#This Row],[region data]]))</f>
        <v>0</v>
      </c>
      <c r="AC268" s="166">
        <f>IFERROR(kl_m*psi_l_m*_xlfn.SECH(psi_l_m*(Tabella3[[#This Row],[Day]]-pl_m)-phi_l_m)^2/(1+TANH(phi_l_m)),0)</f>
        <v>0.17345357114296395</v>
      </c>
      <c r="AD268" s="72">
        <f>Tabella3[[#This Row],[6-days moving avg fit]]*NOT(ISBLANK(Tabella3[[#This Row],[6-days moving avg]]))</f>
        <v>0</v>
      </c>
      <c r="AE268" s="131"/>
      <c r="AF268" s="131"/>
      <c r="AG268" s="131"/>
      <c r="AH268" s="10"/>
      <c r="AI268" s="10">
        <f>Tabella3[[#This Row],[rest of Italy data]]*NOT(ISBLANK(Tabella3[[#This Row],[rest of Italy data]]))</f>
        <v>0</v>
      </c>
      <c r="AJ268" s="77" t="e">
        <f>Tabella8[[#This Row],[rest of Italy fit]]</f>
        <v>#VALUE!</v>
      </c>
      <c r="AK268" s="72" t="e">
        <f>Tabella3[[#This Row],[rest of Italy cumul. fit]]/Ka</f>
        <v>#VALUE!</v>
      </c>
      <c r="AL268" s="72">
        <f>IFERROR(Ka*psi_a*_xlfn.SECH(psi_a*(Tabella3[[#This Row],[Day]]-pa)-phi_a)^2/(1+TANH(phi_a)),0)</f>
        <v>11.941327614684107</v>
      </c>
      <c r="AM268" s="72">
        <f>Tabella3[[#This Row],[rest of Italy fit]]/y_a_peak</f>
        <v>4.1726759514251997E-3</v>
      </c>
      <c r="AN268" s="10">
        <f>Tabella3[[#This Row],[rest of Italy fit]]*NOT(ISBLANK(Tabella3[[#This Row],[rest of Italy data]]))</f>
        <v>0</v>
      </c>
      <c r="AO268" s="131"/>
      <c r="AP268" s="131"/>
    </row>
    <row r="269" spans="2:42" x14ac:dyDescent="0.3">
      <c r="B269" s="9">
        <v>44092</v>
      </c>
      <c r="C269" s="4">
        <v>262</v>
      </c>
      <c r="D269" s="131"/>
      <c r="E269" s="10"/>
      <c r="F269" s="10">
        <f>Tabella3[[#This Row],[Italy remov. rate data]]*NOT(ISBLANK(Tabella3[[#This Row],[Italy remov. rate data]]))</f>
        <v>0</v>
      </c>
      <c r="G269" s="77" t="e">
        <f>Tabella8[[#This Row],[Italy fit]]</f>
        <v>#VALUE!</v>
      </c>
      <c r="H269" s="77" t="e">
        <f>Tabella3[[#This Row],[Italy cumul. fit]]/Kf</f>
        <v>#VALUE!</v>
      </c>
      <c r="I269" s="77">
        <f>Tabella3[[#This Row],[region fit]]+Tabella3[[#This Row],[rest of Italy fit]]</f>
        <v>11.535080937941645</v>
      </c>
      <c r="J269" s="77">
        <f>Tabella3[[#This Row],[Italy (fit of selected region + fitted sum of the other regions)]]/(y_l_peak+y_a_peak)</f>
        <v>3.8455518354424591E-3</v>
      </c>
      <c r="K269" s="72">
        <f>IFERROR(Kf*psi_f*_xlfn.SECH(psi_f*(Tabella3[[#This Row],[Day]]-pf)-phi_f)^2/(1+TANH(phi_f)),0)</f>
        <v>11.271776057223054</v>
      </c>
      <c r="L269" s="292">
        <f>Tabella3[[#This Row],[Italy remov. rate fit]]-Tabella3[[#This Row],[Italy remov. rate data]]</f>
        <v>11.271776057223054</v>
      </c>
      <c r="M269" s="293">
        <f>Tabella3[[#This Row],[rem. rate residuals]]*NOT(ISBLANK(Tabella3[[#This Row],[Italy remov. rate data]]))</f>
        <v>0</v>
      </c>
      <c r="N269" s="72">
        <f>Tabella3[[#This Row],[Italy remov. rate fit]]/y_f_peak</f>
        <v>3.7554985983726352E-3</v>
      </c>
      <c r="O269" s="10">
        <f>Tabella3[[#This Row],[Italy (fit of selected region + fitted sum of the other regions)]]*NOT(ISBLANK(Tabella3[[#This Row],[Italy remov. rate data]]))</f>
        <v>0</v>
      </c>
      <c r="P269" s="10">
        <f>Tabella3[[#This Row],[Italy remov. rate fit]]*NOT(ISBLANK(Tabella3[[#This Row],[Italy remov. rate data]]))</f>
        <v>0</v>
      </c>
      <c r="Q269" s="72"/>
      <c r="R269" s="72"/>
      <c r="S269" s="131"/>
      <c r="T269" s="10"/>
      <c r="U269" s="10">
        <f>Tabella3[[#This Row],[region data]]*NOT(ISBLANK(Tabella3[[#This Row],[region data]]))</f>
        <v>0</v>
      </c>
      <c r="V269"/>
      <c r="W269" s="72">
        <f>Tabella3[[#This Row],[6-days moving avg]]*NOT(ISBLANK(Tabella3[[#This Row],[6-days moving avg]]))</f>
        <v>0</v>
      </c>
      <c r="X269" s="77" t="e">
        <f>Tabella8[[#This Row],[region fit]]</f>
        <v>#VALUE!</v>
      </c>
      <c r="Y269" s="72" t="e">
        <f>Tabella3[[#This Row],[region cumul. fit]]/Kl</f>
        <v>#VALUE!</v>
      </c>
      <c r="Z269" s="72">
        <f>IFERROR(Kl*psi_l*_xlfn.SECH(psi_l*(Tabella3[[#This Row],[Day]]-pl)-phi_l)^2/(1+TANH(phi_l)),0)</f>
        <v>0.1639458603964698</v>
      </c>
      <c r="AA269" s="72">
        <f>Tabella3[[#This Row],[region fit]]/y_l_peak</f>
        <v>1.1897439802448326E-3</v>
      </c>
      <c r="AB269" s="10">
        <f>Tabella3[[#This Row],[region fit]]*NOT(ISBLANK(Tabella3[[#This Row],[region data]]))</f>
        <v>0</v>
      </c>
      <c r="AC269" s="166">
        <f>IFERROR(kl_m*psi_l_m*_xlfn.SECH(psi_l_m*(Tabella3[[#This Row],[Day]]-pl_m)-phi_l_m)^2/(1+TANH(phi_l_m)),0)</f>
        <v>0.1639458603964698</v>
      </c>
      <c r="AD269" s="72">
        <f>Tabella3[[#This Row],[6-days moving avg fit]]*NOT(ISBLANK(Tabella3[[#This Row],[6-days moving avg]]))</f>
        <v>0</v>
      </c>
      <c r="AE269" s="131"/>
      <c r="AF269" s="131"/>
      <c r="AG269" s="131"/>
      <c r="AH269" s="10"/>
      <c r="AI269" s="10">
        <f>Tabella3[[#This Row],[rest of Italy data]]*NOT(ISBLANK(Tabella3[[#This Row],[rest of Italy data]]))</f>
        <v>0</v>
      </c>
      <c r="AJ269" s="77" t="e">
        <f>Tabella8[[#This Row],[rest of Italy fit]]</f>
        <v>#VALUE!</v>
      </c>
      <c r="AK269" s="72" t="e">
        <f>Tabella3[[#This Row],[rest of Italy cumul. fit]]/Ka</f>
        <v>#VALUE!</v>
      </c>
      <c r="AL269" s="72">
        <f>IFERROR(Ka*psi_a*_xlfn.SECH(psi_a*(Tabella3[[#This Row],[Day]]-pa)-phi_a)^2/(1+TANH(phi_a)),0)</f>
        <v>11.371135077545174</v>
      </c>
      <c r="AM269" s="72">
        <f>Tabella3[[#This Row],[rest of Italy fit]]/y_a_peak</f>
        <v>3.9734327211769956E-3</v>
      </c>
      <c r="AN269" s="10">
        <f>Tabella3[[#This Row],[rest of Italy fit]]*NOT(ISBLANK(Tabella3[[#This Row],[rest of Italy data]]))</f>
        <v>0</v>
      </c>
      <c r="AO269" s="131"/>
      <c r="AP269" s="131"/>
    </row>
    <row r="270" spans="2:42" x14ac:dyDescent="0.3">
      <c r="B270" s="9">
        <v>44093</v>
      </c>
      <c r="C270" s="4">
        <v>263</v>
      </c>
      <c r="D270" s="131"/>
      <c r="E270" s="10"/>
      <c r="F270" s="10">
        <f>Tabella3[[#This Row],[Italy remov. rate data]]*NOT(ISBLANK(Tabella3[[#This Row],[Italy remov. rate data]]))</f>
        <v>0</v>
      </c>
      <c r="G270" s="77" t="e">
        <f>Tabella8[[#This Row],[Italy fit]]</f>
        <v>#VALUE!</v>
      </c>
      <c r="H270" s="77" t="e">
        <f>Tabella3[[#This Row],[Italy cumul. fit]]/Kf</f>
        <v>#VALUE!</v>
      </c>
      <c r="I270" s="77">
        <f>Tabella3[[#This Row],[region fit]]+Tabella3[[#This Row],[rest of Italy fit]]</f>
        <v>10.98307624898993</v>
      </c>
      <c r="J270" s="77">
        <f>Tabella3[[#This Row],[Italy (fit of selected region + fitted sum of the other regions)]]/(y_l_peak+y_a_peak)</f>
        <v>3.6615251557692513E-3</v>
      </c>
      <c r="K270" s="72">
        <f>IFERROR(Kf*psi_f*_xlfn.SECH(psi_f*(Tabella3[[#This Row],[Day]]-pf)-phi_f)^2/(1+TANH(phi_f)),0)</f>
        <v>10.729530006696613</v>
      </c>
      <c r="L270" s="292">
        <f>Tabella3[[#This Row],[Italy remov. rate fit]]-Tabella3[[#This Row],[Italy remov. rate data]]</f>
        <v>10.729530006696613</v>
      </c>
      <c r="M270" s="293">
        <f>Tabella3[[#This Row],[rem. rate residuals]]*NOT(ISBLANK(Tabella3[[#This Row],[Italy remov. rate data]]))</f>
        <v>0</v>
      </c>
      <c r="N270" s="72">
        <f>Tabella3[[#This Row],[Italy remov. rate fit]]/y_f_peak</f>
        <v>3.5748345865623406E-3</v>
      </c>
      <c r="O270" s="10">
        <f>Tabella3[[#This Row],[Italy (fit of selected region + fitted sum of the other regions)]]*NOT(ISBLANK(Tabella3[[#This Row],[Italy remov. rate data]]))</f>
        <v>0</v>
      </c>
      <c r="P270" s="10">
        <f>Tabella3[[#This Row],[Italy remov. rate fit]]*NOT(ISBLANK(Tabella3[[#This Row],[Italy remov. rate data]]))</f>
        <v>0</v>
      </c>
      <c r="Q270" s="72"/>
      <c r="R270" s="72"/>
      <c r="S270" s="131"/>
      <c r="T270" s="10"/>
      <c r="U270" s="10">
        <f>Tabella3[[#This Row],[region data]]*NOT(ISBLANK(Tabella3[[#This Row],[region data]]))</f>
        <v>0</v>
      </c>
      <c r="V270"/>
      <c r="W270" s="72">
        <f>Tabella3[[#This Row],[6-days moving avg]]*NOT(ISBLANK(Tabella3[[#This Row],[6-days moving avg]]))</f>
        <v>0</v>
      </c>
      <c r="X270" s="77" t="e">
        <f>Tabella8[[#This Row],[region fit]]</f>
        <v>#VALUE!</v>
      </c>
      <c r="Y270" s="72" t="e">
        <f>Tabella3[[#This Row],[region cumul. fit]]/Kl</f>
        <v>#VALUE!</v>
      </c>
      <c r="Z270" s="72">
        <f>IFERROR(Kl*psi_l*_xlfn.SECH(psi_l*(Tabella3[[#This Row],[Day]]-pl)-phi_l)^2/(1+TANH(phi_l)),0)</f>
        <v>0.1549590133833022</v>
      </c>
      <c r="AA270" s="72">
        <f>Tabella3[[#This Row],[region fit]]/y_l_peak</f>
        <v>1.1245270414978533E-3</v>
      </c>
      <c r="AB270" s="10">
        <f>Tabella3[[#This Row],[region fit]]*NOT(ISBLANK(Tabella3[[#This Row],[region data]]))</f>
        <v>0</v>
      </c>
      <c r="AC270" s="166">
        <f>IFERROR(kl_m*psi_l_m*_xlfn.SECH(psi_l_m*(Tabella3[[#This Row],[Day]]-pl_m)-phi_l_m)^2/(1+TANH(phi_l_m)),0)</f>
        <v>0.1549590133833022</v>
      </c>
      <c r="AD270" s="72">
        <f>Tabella3[[#This Row],[6-days moving avg fit]]*NOT(ISBLANK(Tabella3[[#This Row],[6-days moving avg]]))</f>
        <v>0</v>
      </c>
      <c r="AE270" s="131"/>
      <c r="AF270" s="131"/>
      <c r="AG270" s="131"/>
      <c r="AH270" s="10"/>
      <c r="AI270" s="10">
        <f>Tabella3[[#This Row],[rest of Italy data]]*NOT(ISBLANK(Tabella3[[#This Row],[rest of Italy data]]))</f>
        <v>0</v>
      </c>
      <c r="AJ270" s="77" t="e">
        <f>Tabella8[[#This Row],[rest of Italy fit]]</f>
        <v>#VALUE!</v>
      </c>
      <c r="AK270" s="72" t="e">
        <f>Tabella3[[#This Row],[rest of Italy cumul. fit]]/Ka</f>
        <v>#VALUE!</v>
      </c>
      <c r="AL270" s="72">
        <f>IFERROR(Ka*psi_a*_xlfn.SECH(psi_a*(Tabella3[[#This Row],[Day]]-pa)-phi_a)^2/(1+TANH(phi_a)),0)</f>
        <v>10.828117235606628</v>
      </c>
      <c r="AM270" s="72">
        <f>Tabella3[[#This Row],[rest of Italy fit]]/y_a_peak</f>
        <v>3.7836851852777621E-3</v>
      </c>
      <c r="AN270" s="10">
        <f>Tabella3[[#This Row],[rest of Italy fit]]*NOT(ISBLANK(Tabella3[[#This Row],[rest of Italy data]]))</f>
        <v>0</v>
      </c>
      <c r="AO270" s="131"/>
      <c r="AP270" s="131"/>
    </row>
    <row r="271" spans="2:42" x14ac:dyDescent="0.3">
      <c r="B271" s="9">
        <v>44094</v>
      </c>
      <c r="C271" s="4">
        <v>264</v>
      </c>
      <c r="D271" s="131"/>
      <c r="E271" s="10"/>
      <c r="F271" s="10">
        <f>Tabella3[[#This Row],[Italy remov. rate data]]*NOT(ISBLANK(Tabella3[[#This Row],[Italy remov. rate data]]))</f>
        <v>0</v>
      </c>
      <c r="G271" s="77" t="e">
        <f>Tabella8[[#This Row],[Italy fit]]</f>
        <v>#VALUE!</v>
      </c>
      <c r="H271" s="77" t="e">
        <f>Tabella3[[#This Row],[Italy cumul. fit]]/Kf</f>
        <v>#VALUE!</v>
      </c>
      <c r="I271" s="77">
        <f>Tabella3[[#This Row],[region fit]]+Tabella3[[#This Row],[rest of Italy fit]]</f>
        <v>10.457448328886674</v>
      </c>
      <c r="J271" s="77">
        <f>Tabella3[[#This Row],[Italy (fit of selected region + fitted sum of the other regions)]]/(y_l_peak+y_a_peak)</f>
        <v>3.4862919325445887E-3</v>
      </c>
      <c r="K271" s="72">
        <f>IFERROR(Kf*psi_f*_xlfn.SECH(psi_f*(Tabella3[[#This Row],[Day]]-pf)-phi_f)^2/(1+TANH(phi_f)),0)</f>
        <v>10.213324986979865</v>
      </c>
      <c r="L271" s="292">
        <f>Tabella3[[#This Row],[Italy remov. rate fit]]-Tabella3[[#This Row],[Italy remov. rate data]]</f>
        <v>10.213324986979865</v>
      </c>
      <c r="M271" s="293">
        <f>Tabella3[[#This Row],[rem. rate residuals]]*NOT(ISBLANK(Tabella3[[#This Row],[Italy remov. rate data]]))</f>
        <v>0</v>
      </c>
      <c r="N271" s="72">
        <f>Tabella3[[#This Row],[Italy remov. rate fit]]/y_f_peak</f>
        <v>3.4028468520493848E-3</v>
      </c>
      <c r="O271" s="10">
        <f>Tabella3[[#This Row],[Italy (fit of selected region + fitted sum of the other regions)]]*NOT(ISBLANK(Tabella3[[#This Row],[Italy remov. rate data]]))</f>
        <v>0</v>
      </c>
      <c r="P271" s="10">
        <f>Tabella3[[#This Row],[Italy remov. rate fit]]*NOT(ISBLANK(Tabella3[[#This Row],[Italy remov. rate data]]))</f>
        <v>0</v>
      </c>
      <c r="Q271" s="72"/>
      <c r="R271" s="72"/>
      <c r="S271" s="131"/>
      <c r="T271" s="10"/>
      <c r="U271" s="10">
        <f>Tabella3[[#This Row],[region data]]*NOT(ISBLANK(Tabella3[[#This Row],[region data]]))</f>
        <v>0</v>
      </c>
      <c r="V271"/>
      <c r="W271" s="72">
        <f>Tabella3[[#This Row],[6-days moving avg]]*NOT(ISBLANK(Tabella3[[#This Row],[6-days moving avg]]))</f>
        <v>0</v>
      </c>
      <c r="X271" s="77" t="e">
        <f>Tabella8[[#This Row],[region fit]]</f>
        <v>#VALUE!</v>
      </c>
      <c r="Y271" s="72" t="e">
        <f>Tabella3[[#This Row],[region cumul. fit]]/Kl</f>
        <v>#VALUE!</v>
      </c>
      <c r="Z271" s="72">
        <f>IFERROR(Kl*psi_l*_xlfn.SECH(psi_l*(Tabella3[[#This Row],[Day]]-pl)-phi_l)^2/(1+TANH(phi_l)),0)</f>
        <v>0.14646452676436927</v>
      </c>
      <c r="AA271" s="72">
        <f>Tabella3[[#This Row],[region fit]]/y_l_peak</f>
        <v>1.0628831287103893E-3</v>
      </c>
      <c r="AB271" s="10">
        <f>Tabella3[[#This Row],[region fit]]*NOT(ISBLANK(Tabella3[[#This Row],[region data]]))</f>
        <v>0</v>
      </c>
      <c r="AC271" s="166">
        <f>IFERROR(kl_m*psi_l_m*_xlfn.SECH(psi_l_m*(Tabella3[[#This Row],[Day]]-pl_m)-phi_l_m)^2/(1+TANH(phi_l_m)),0)</f>
        <v>0.14646452676436927</v>
      </c>
      <c r="AD271" s="72">
        <f>Tabella3[[#This Row],[6-days moving avg fit]]*NOT(ISBLANK(Tabella3[[#This Row],[6-days moving avg]]))</f>
        <v>0</v>
      </c>
      <c r="AE271" s="131"/>
      <c r="AF271" s="131"/>
      <c r="AG271" s="131"/>
      <c r="AH271" s="10"/>
      <c r="AI271" s="10">
        <f>Tabella3[[#This Row],[rest of Italy data]]*NOT(ISBLANK(Tabella3[[#This Row],[rest of Italy data]]))</f>
        <v>0</v>
      </c>
      <c r="AJ271" s="77" t="e">
        <f>Tabella8[[#This Row],[rest of Italy fit]]</f>
        <v>#VALUE!</v>
      </c>
      <c r="AK271" s="72" t="e">
        <f>Tabella3[[#This Row],[rest of Italy cumul. fit]]/Ka</f>
        <v>#VALUE!</v>
      </c>
      <c r="AL271" s="72">
        <f>IFERROR(Ka*psi_a*_xlfn.SECH(psi_a*(Tabella3[[#This Row],[Day]]-pa)-phi_a)^2/(1+TANH(phi_a)),0)</f>
        <v>10.310983802122305</v>
      </c>
      <c r="AM271" s="72">
        <f>Tabella3[[#This Row],[rest of Italy fit]]/y_a_peak</f>
        <v>3.6029824769018086E-3</v>
      </c>
      <c r="AN271" s="10">
        <f>Tabella3[[#This Row],[rest of Italy fit]]*NOT(ISBLANK(Tabella3[[#This Row],[rest of Italy data]]))</f>
        <v>0</v>
      </c>
      <c r="AO271" s="131"/>
      <c r="AP271" s="131"/>
    </row>
    <row r="272" spans="2:42" x14ac:dyDescent="0.3">
      <c r="B272" s="9">
        <v>44095</v>
      </c>
      <c r="C272" s="4">
        <v>265</v>
      </c>
      <c r="D272" s="131"/>
      <c r="E272" s="10"/>
      <c r="F272" s="10">
        <f>Tabella3[[#This Row],[Italy remov. rate data]]*NOT(ISBLANK(Tabella3[[#This Row],[Italy remov. rate data]]))</f>
        <v>0</v>
      </c>
      <c r="G272" s="77" t="e">
        <f>Tabella8[[#This Row],[Italy fit]]</f>
        <v>#VALUE!</v>
      </c>
      <c r="H272" s="77" t="e">
        <f>Tabella3[[#This Row],[Italy cumul. fit]]/Kf</f>
        <v>#VALUE!</v>
      </c>
      <c r="I272" s="77">
        <f>Tabella3[[#This Row],[region fit]]+Tabella3[[#This Row],[rest of Italy fit]]</f>
        <v>9.9569407576023856</v>
      </c>
      <c r="J272" s="77">
        <f>Tabella3[[#This Row],[Italy (fit of selected region + fitted sum of the other regions)]]/(y_l_peak+y_a_peak)</f>
        <v>3.3194333019237795E-3</v>
      </c>
      <c r="K272" s="72">
        <f>IFERROR(Kf*psi_f*_xlfn.SECH(psi_f*(Tabella3[[#This Row],[Day]]-pf)-phi_f)^2/(1+TANH(phi_f)),0)</f>
        <v>9.7219145808696599</v>
      </c>
      <c r="L272" s="292">
        <f>Tabella3[[#This Row],[Italy remov. rate fit]]-Tabella3[[#This Row],[Italy remov. rate data]]</f>
        <v>9.7219145808696599</v>
      </c>
      <c r="M272" s="293">
        <f>Tabella3[[#This Row],[rem. rate residuals]]*NOT(ISBLANK(Tabella3[[#This Row],[Italy remov. rate data]]))</f>
        <v>0</v>
      </c>
      <c r="N272" s="72">
        <f>Tabella3[[#This Row],[Italy remov. rate fit]]/y_f_peak</f>
        <v>3.2391201170607143E-3</v>
      </c>
      <c r="O272" s="10">
        <f>Tabella3[[#This Row],[Italy (fit of selected region + fitted sum of the other regions)]]*NOT(ISBLANK(Tabella3[[#This Row],[Italy remov. rate data]]))</f>
        <v>0</v>
      </c>
      <c r="P272" s="10">
        <f>Tabella3[[#This Row],[Italy remov. rate fit]]*NOT(ISBLANK(Tabella3[[#This Row],[Italy remov. rate data]]))</f>
        <v>0</v>
      </c>
      <c r="Q272" s="72"/>
      <c r="R272" s="72"/>
      <c r="S272" s="131"/>
      <c r="T272" s="10"/>
      <c r="U272" s="10">
        <f>Tabella3[[#This Row],[region data]]*NOT(ISBLANK(Tabella3[[#This Row],[region data]]))</f>
        <v>0</v>
      </c>
      <c r="V272"/>
      <c r="W272" s="72">
        <f>Tabella3[[#This Row],[6-days moving avg]]*NOT(ISBLANK(Tabella3[[#This Row],[6-days moving avg]]))</f>
        <v>0</v>
      </c>
      <c r="X272" s="77" t="e">
        <f>Tabella8[[#This Row],[region fit]]</f>
        <v>#VALUE!</v>
      </c>
      <c r="Y272" s="72" t="e">
        <f>Tabella3[[#This Row],[region cumul. fit]]/Kl</f>
        <v>#VALUE!</v>
      </c>
      <c r="Z272" s="72">
        <f>IFERROR(Kl*psi_l*_xlfn.SECH(psi_l*(Tabella3[[#This Row],[Day]]-pl)-phi_l)^2/(1+TANH(phi_l)),0)</f>
        <v>0.13843545365660775</v>
      </c>
      <c r="AA272" s="72">
        <f>Tabella3[[#This Row],[region fit]]/y_l_peak</f>
        <v>1.0046166901812063E-3</v>
      </c>
      <c r="AB272" s="10">
        <f>Tabella3[[#This Row],[region fit]]*NOT(ISBLANK(Tabella3[[#This Row],[region data]]))</f>
        <v>0</v>
      </c>
      <c r="AC272" s="166">
        <f>IFERROR(kl_m*psi_l_m*_xlfn.SECH(psi_l_m*(Tabella3[[#This Row],[Day]]-pl_m)-phi_l_m)^2/(1+TANH(phi_l_m)),0)</f>
        <v>0.13843545365660775</v>
      </c>
      <c r="AD272" s="72">
        <f>Tabella3[[#This Row],[6-days moving avg fit]]*NOT(ISBLANK(Tabella3[[#This Row],[6-days moving avg]]))</f>
        <v>0</v>
      </c>
      <c r="AE272" s="131"/>
      <c r="AF272" s="131"/>
      <c r="AG272" s="131"/>
      <c r="AH272" s="10"/>
      <c r="AI272" s="10">
        <f>Tabella3[[#This Row],[rest of Italy data]]*NOT(ISBLANK(Tabella3[[#This Row],[rest of Italy data]]))</f>
        <v>0</v>
      </c>
      <c r="AJ272" s="77" t="e">
        <f>Tabella8[[#This Row],[rest of Italy fit]]</f>
        <v>#VALUE!</v>
      </c>
      <c r="AK272" s="72" t="e">
        <f>Tabella3[[#This Row],[rest of Italy cumul. fit]]/Ka</f>
        <v>#VALUE!</v>
      </c>
      <c r="AL272" s="72">
        <f>IFERROR(Ka*psi_a*_xlfn.SECH(psi_a*(Tabella3[[#This Row],[Day]]-pa)-phi_a)^2/(1+TANH(phi_a)),0)</f>
        <v>9.818505303945777</v>
      </c>
      <c r="AM272" s="72">
        <f>Tabella3[[#This Row],[rest of Italy fit]]/y_a_peak</f>
        <v>3.4308949794104706E-3</v>
      </c>
      <c r="AN272" s="10">
        <f>Tabella3[[#This Row],[rest of Italy fit]]*NOT(ISBLANK(Tabella3[[#This Row],[rest of Italy data]]))</f>
        <v>0</v>
      </c>
      <c r="AO272" s="131"/>
      <c r="AP272" s="131"/>
    </row>
    <row r="273" spans="2:42" x14ac:dyDescent="0.3">
      <c r="B273" s="9">
        <v>44096</v>
      </c>
      <c r="C273" s="4">
        <v>266</v>
      </c>
      <c r="D273" s="131"/>
      <c r="E273" s="10"/>
      <c r="F273" s="10">
        <f>Tabella3[[#This Row],[Italy remov. rate data]]*NOT(ISBLANK(Tabella3[[#This Row],[Italy remov. rate data]]))</f>
        <v>0</v>
      </c>
      <c r="G273" s="77" t="e">
        <f>Tabella8[[#This Row],[Italy fit]]</f>
        <v>#VALUE!</v>
      </c>
      <c r="H273" s="77" t="e">
        <f>Tabella3[[#This Row],[Italy cumul. fit]]/Kf</f>
        <v>#VALUE!</v>
      </c>
      <c r="I273" s="77">
        <f>Tabella3[[#This Row],[region fit]]+Tabella3[[#This Row],[rest of Italy fit]]</f>
        <v>9.4803565764408599</v>
      </c>
      <c r="J273" s="77">
        <f>Tabella3[[#This Row],[Italy (fit of selected region + fitted sum of the other regions)]]/(y_l_peak+y_a_peak)</f>
        <v>3.1605502232121027E-3</v>
      </c>
      <c r="K273" s="72">
        <f>IFERROR(Kf*psi_f*_xlfn.SECH(psi_f*(Tabella3[[#This Row],[Day]]-pf)-phi_f)^2/(1+TANH(phi_f)),0)</f>
        <v>9.2541116353650796</v>
      </c>
      <c r="L273" s="292">
        <f>Tabella3[[#This Row],[Italy remov. rate fit]]-Tabella3[[#This Row],[Italy remov. rate data]]</f>
        <v>9.2541116353650796</v>
      </c>
      <c r="M273" s="293">
        <f>Tabella3[[#This Row],[rem. rate residuals]]*NOT(ISBLANK(Tabella3[[#This Row],[Italy remov. rate data]]))</f>
        <v>0</v>
      </c>
      <c r="N273" s="72">
        <f>Tabella3[[#This Row],[Italy remov. rate fit]]/y_f_peak</f>
        <v>3.0832588493032477E-3</v>
      </c>
      <c r="O273" s="10">
        <f>Tabella3[[#This Row],[Italy (fit of selected region + fitted sum of the other regions)]]*NOT(ISBLANK(Tabella3[[#This Row],[Italy remov. rate data]]))</f>
        <v>0</v>
      </c>
      <c r="P273" s="10">
        <f>Tabella3[[#This Row],[Italy remov. rate fit]]*NOT(ISBLANK(Tabella3[[#This Row],[Italy remov. rate data]]))</f>
        <v>0</v>
      </c>
      <c r="Q273" s="72"/>
      <c r="R273" s="72"/>
      <c r="S273" s="131"/>
      <c r="T273" s="10"/>
      <c r="U273" s="10">
        <f>Tabella3[[#This Row],[region data]]*NOT(ISBLANK(Tabella3[[#This Row],[region data]]))</f>
        <v>0</v>
      </c>
      <c r="V273"/>
      <c r="W273" s="72">
        <f>Tabella3[[#This Row],[6-days moving avg]]*NOT(ISBLANK(Tabella3[[#This Row],[6-days moving avg]]))</f>
        <v>0</v>
      </c>
      <c r="X273" s="77" t="e">
        <f>Tabella8[[#This Row],[region fit]]</f>
        <v>#VALUE!</v>
      </c>
      <c r="Y273" s="72" t="e">
        <f>Tabella3[[#This Row],[region cumul. fit]]/Kl</f>
        <v>#VALUE!</v>
      </c>
      <c r="Z273" s="72">
        <f>IFERROR(Kl*psi_l*_xlfn.SECH(psi_l*(Tabella3[[#This Row],[Day]]-pl)-phi_l)^2/(1+TANH(phi_l)),0)</f>
        <v>0.13084631899733393</v>
      </c>
      <c r="AA273" s="72">
        <f>Tabella3[[#This Row],[region fit]]/y_l_peak</f>
        <v>9.4954285510965675E-4</v>
      </c>
      <c r="AB273" s="10">
        <f>Tabella3[[#This Row],[region fit]]*NOT(ISBLANK(Tabella3[[#This Row],[region data]]))</f>
        <v>0</v>
      </c>
      <c r="AC273" s="166">
        <f>IFERROR(kl_m*psi_l_m*_xlfn.SECH(psi_l_m*(Tabella3[[#This Row],[Day]]-pl_m)-phi_l_m)^2/(1+TANH(phi_l_m)),0)</f>
        <v>0.13084631899733393</v>
      </c>
      <c r="AD273" s="72">
        <f>Tabella3[[#This Row],[6-days moving avg fit]]*NOT(ISBLANK(Tabella3[[#This Row],[6-days moving avg]]))</f>
        <v>0</v>
      </c>
      <c r="AE273" s="131"/>
      <c r="AF273" s="131"/>
      <c r="AG273" s="131"/>
      <c r="AH273" s="10"/>
      <c r="AI273" s="10">
        <f>Tabella3[[#This Row],[rest of Italy data]]*NOT(ISBLANK(Tabella3[[#This Row],[rest of Italy data]]))</f>
        <v>0</v>
      </c>
      <c r="AJ273" s="77" t="e">
        <f>Tabella8[[#This Row],[rest of Italy fit]]</f>
        <v>#VALUE!</v>
      </c>
      <c r="AK273" s="72" t="e">
        <f>Tabella3[[#This Row],[rest of Italy cumul. fit]]/Ka</f>
        <v>#VALUE!</v>
      </c>
      <c r="AL273" s="72">
        <f>IFERROR(Ka*psi_a*_xlfn.SECH(psi_a*(Tabella3[[#This Row],[Day]]-pa)-phi_a)^2/(1+TANH(phi_a)),0)</f>
        <v>9.3495102574435265</v>
      </c>
      <c r="AM273" s="72">
        <f>Tabella3[[#This Row],[rest of Italy fit]]/y_a_peak</f>
        <v>3.267013339527228E-3</v>
      </c>
      <c r="AN273" s="10">
        <f>Tabella3[[#This Row],[rest of Italy fit]]*NOT(ISBLANK(Tabella3[[#This Row],[rest of Italy data]]))</f>
        <v>0</v>
      </c>
      <c r="AO273" s="131"/>
      <c r="AP273" s="131"/>
    </row>
    <row r="274" spans="2:42" x14ac:dyDescent="0.3">
      <c r="B274" s="9">
        <v>44097</v>
      </c>
      <c r="C274" s="4">
        <v>267</v>
      </c>
      <c r="D274" s="131"/>
      <c r="E274" s="10"/>
      <c r="F274" s="10">
        <f>Tabella3[[#This Row],[Italy remov. rate data]]*NOT(ISBLANK(Tabella3[[#This Row],[Italy remov. rate data]]))</f>
        <v>0</v>
      </c>
      <c r="G274" s="77" t="e">
        <f>Tabella8[[#This Row],[Italy fit]]</f>
        <v>#VALUE!</v>
      </c>
      <c r="H274" s="77" t="e">
        <f>Tabella3[[#This Row],[Italy cumul. fit]]/Kf</f>
        <v>#VALUE!</v>
      </c>
      <c r="I274" s="77">
        <f>Tabella3[[#This Row],[region fit]]+Tabella3[[#This Row],[rest of Italy fit]]</f>
        <v>9.0265555110633411</v>
      </c>
      <c r="J274" s="77">
        <f>Tabella3[[#This Row],[Italy (fit of selected region + fitted sum of the other regions)]]/(y_l_peak+y_a_peak)</f>
        <v>3.0092625530798406E-3</v>
      </c>
      <c r="K274" s="72">
        <f>IFERROR(Kf*psi_f*_xlfn.SECH(psi_f*(Tabella3[[#This Row],[Day]]-pf)-phi_f)^2/(1+TANH(phi_f)),0)</f>
        <v>8.8087854808922632</v>
      </c>
      <c r="L274" s="292">
        <f>Tabella3[[#This Row],[Italy remov. rate fit]]-Tabella3[[#This Row],[Italy remov. rate data]]</f>
        <v>8.8087854808922632</v>
      </c>
      <c r="M274" s="293">
        <f>Tabella3[[#This Row],[rem. rate residuals]]*NOT(ISBLANK(Tabella3[[#This Row],[Italy remov. rate data]]))</f>
        <v>0</v>
      </c>
      <c r="N274" s="72">
        <f>Tabella3[[#This Row],[Italy remov. rate fit]]/y_f_peak</f>
        <v>2.9348863354730394E-3</v>
      </c>
      <c r="O274" s="10">
        <f>Tabella3[[#This Row],[Italy (fit of selected region + fitted sum of the other regions)]]*NOT(ISBLANK(Tabella3[[#This Row],[Italy remov. rate data]]))</f>
        <v>0</v>
      </c>
      <c r="P274" s="10">
        <f>Tabella3[[#This Row],[Italy remov. rate fit]]*NOT(ISBLANK(Tabella3[[#This Row],[Italy remov. rate data]]))</f>
        <v>0</v>
      </c>
      <c r="Q274" s="72"/>
      <c r="R274" s="72"/>
      <c r="S274" s="131"/>
      <c r="T274" s="10"/>
      <c r="U274" s="10">
        <f>Tabella3[[#This Row],[region data]]*NOT(ISBLANK(Tabella3[[#This Row],[region data]]))</f>
        <v>0</v>
      </c>
      <c r="V274"/>
      <c r="W274" s="72">
        <f>Tabella3[[#This Row],[6-days moving avg]]*NOT(ISBLANK(Tabella3[[#This Row],[6-days moving avg]]))</f>
        <v>0</v>
      </c>
      <c r="X274" s="77" t="e">
        <f>Tabella8[[#This Row],[region fit]]</f>
        <v>#VALUE!</v>
      </c>
      <c r="Y274" s="72" t="e">
        <f>Tabella3[[#This Row],[region cumul. fit]]/Kl</f>
        <v>#VALUE!</v>
      </c>
      <c r="Z274" s="72">
        <f>IFERROR(Kl*psi_l*_xlfn.SECH(psi_l*(Tabella3[[#This Row],[Day]]-pl)-phi_l)^2/(1+TANH(phi_l)),0)</f>
        <v>0.12367303947275748</v>
      </c>
      <c r="AA274" s="72">
        <f>Tabella3[[#This Row],[region fit]]/y_l_peak</f>
        <v>8.9748685252234099E-4</v>
      </c>
      <c r="AB274" s="10">
        <f>Tabella3[[#This Row],[region fit]]*NOT(ISBLANK(Tabella3[[#This Row],[region data]]))</f>
        <v>0</v>
      </c>
      <c r="AC274" s="166">
        <f>IFERROR(kl_m*psi_l_m*_xlfn.SECH(psi_l_m*(Tabella3[[#This Row],[Day]]-pl_m)-phi_l_m)^2/(1+TANH(phi_l_m)),0)</f>
        <v>0.12367303947275748</v>
      </c>
      <c r="AD274" s="72">
        <f>Tabella3[[#This Row],[6-days moving avg fit]]*NOT(ISBLANK(Tabella3[[#This Row],[6-days moving avg]]))</f>
        <v>0</v>
      </c>
      <c r="AE274" s="131"/>
      <c r="AF274" s="131"/>
      <c r="AG274" s="131"/>
      <c r="AH274" s="10"/>
      <c r="AI274" s="10">
        <f>Tabella3[[#This Row],[rest of Italy data]]*NOT(ISBLANK(Tabella3[[#This Row],[rest of Italy data]]))</f>
        <v>0</v>
      </c>
      <c r="AJ274" s="77" t="e">
        <f>Tabella8[[#This Row],[rest of Italy fit]]</f>
        <v>#VALUE!</v>
      </c>
      <c r="AK274" s="72" t="e">
        <f>Tabella3[[#This Row],[rest of Italy cumul. fit]]/Ka</f>
        <v>#VALUE!</v>
      </c>
      <c r="AL274" s="72">
        <f>IFERROR(Ka*psi_a*_xlfn.SECH(psi_a*(Tabella3[[#This Row],[Day]]-pa)-phi_a)^2/(1+TANH(phi_a)),0)</f>
        <v>8.9028824715905834</v>
      </c>
      <c r="AM274" s="72">
        <f>Tabella3[[#This Row],[rest of Italy fit]]/y_a_peak</f>
        <v>3.1109475249543848E-3</v>
      </c>
      <c r="AN274" s="10">
        <f>Tabella3[[#This Row],[rest of Italy fit]]*NOT(ISBLANK(Tabella3[[#This Row],[rest of Italy data]]))</f>
        <v>0</v>
      </c>
      <c r="AO274" s="131"/>
      <c r="AP274" s="131"/>
    </row>
    <row r="275" spans="2:42" x14ac:dyDescent="0.3">
      <c r="B275" s="9">
        <v>44098</v>
      </c>
      <c r="C275" s="4">
        <v>268</v>
      </c>
      <c r="D275" s="131"/>
      <c r="E275" s="10"/>
      <c r="F275" s="10">
        <f>Tabella3[[#This Row],[Italy remov. rate data]]*NOT(ISBLANK(Tabella3[[#This Row],[Italy remov. rate data]]))</f>
        <v>0</v>
      </c>
      <c r="G275" s="77" t="e">
        <f>Tabella8[[#This Row],[Italy fit]]</f>
        <v>#VALUE!</v>
      </c>
      <c r="H275" s="77" t="e">
        <f>Tabella3[[#This Row],[Italy cumul. fit]]/Kf</f>
        <v>#VALUE!</v>
      </c>
      <c r="I275" s="77">
        <f>Tabella3[[#This Row],[region fit]]+Tabella3[[#This Row],[rest of Italy fit]]</f>
        <v>8.5944513206660211</v>
      </c>
      <c r="J275" s="77">
        <f>Tabella3[[#This Row],[Italy (fit of selected region + fitted sum of the other regions)]]/(y_l_peak+y_a_peak)</f>
        <v>2.8652081618341639E-3</v>
      </c>
      <c r="K275" s="72">
        <f>IFERROR(Kf*psi_f*_xlfn.SECH(psi_f*(Tabella3[[#This Row],[Day]]-pf)-phi_f)^2/(1+TANH(phi_f)),0)</f>
        <v>8.384859277498256</v>
      </c>
      <c r="L275" s="292">
        <f>Tabella3[[#This Row],[Italy remov. rate fit]]-Tabella3[[#This Row],[Italy remov. rate data]]</f>
        <v>8.384859277498256</v>
      </c>
      <c r="M275" s="293">
        <f>Tabella3[[#This Row],[rem. rate residuals]]*NOT(ISBLANK(Tabella3[[#This Row],[Italy remov. rate data]]))</f>
        <v>0</v>
      </c>
      <c r="N275" s="72">
        <f>Tabella3[[#This Row],[Italy remov. rate fit]]/y_f_peak</f>
        <v>2.7936437970676191E-3</v>
      </c>
      <c r="O275" s="10">
        <f>Tabella3[[#This Row],[Italy (fit of selected region + fitted sum of the other regions)]]*NOT(ISBLANK(Tabella3[[#This Row],[Italy remov. rate data]]))</f>
        <v>0</v>
      </c>
      <c r="P275" s="10">
        <f>Tabella3[[#This Row],[Italy remov. rate fit]]*NOT(ISBLANK(Tabella3[[#This Row],[Italy remov. rate data]]))</f>
        <v>0</v>
      </c>
      <c r="Q275" s="72"/>
      <c r="R275" s="72"/>
      <c r="S275" s="131"/>
      <c r="T275" s="10"/>
      <c r="U275" s="10">
        <f>Tabella3[[#This Row],[region data]]*NOT(ISBLANK(Tabella3[[#This Row],[region data]]))</f>
        <v>0</v>
      </c>
      <c r="V275"/>
      <c r="W275" s="72">
        <f>Tabella3[[#This Row],[6-days moving avg]]*NOT(ISBLANK(Tabella3[[#This Row],[6-days moving avg]]))</f>
        <v>0</v>
      </c>
      <c r="X275" s="77" t="e">
        <f>Tabella8[[#This Row],[region fit]]</f>
        <v>#VALUE!</v>
      </c>
      <c r="Y275" s="72" t="e">
        <f>Tabella3[[#This Row],[region cumul. fit]]/Kl</f>
        <v>#VALUE!</v>
      </c>
      <c r="Z275" s="72">
        <f>IFERROR(Kl*psi_l*_xlfn.SECH(psi_l*(Tabella3[[#This Row],[Day]]-pl)-phi_l)^2/(1+TANH(phi_l)),0)</f>
        <v>0.11689284776860276</v>
      </c>
      <c r="AA275" s="72">
        <f>Tabella3[[#This Row],[region fit]]/y_l_peak</f>
        <v>8.4828346156500683E-4</v>
      </c>
      <c r="AB275" s="10">
        <f>Tabella3[[#This Row],[region fit]]*NOT(ISBLANK(Tabella3[[#This Row],[region data]]))</f>
        <v>0</v>
      </c>
      <c r="AC275" s="166">
        <f>IFERROR(kl_m*psi_l_m*_xlfn.SECH(psi_l_m*(Tabella3[[#This Row],[Day]]-pl_m)-phi_l_m)^2/(1+TANH(phi_l_m)),0)</f>
        <v>0.11689284776860276</v>
      </c>
      <c r="AD275" s="72">
        <f>Tabella3[[#This Row],[6-days moving avg fit]]*NOT(ISBLANK(Tabella3[[#This Row],[6-days moving avg]]))</f>
        <v>0</v>
      </c>
      <c r="AE275" s="131"/>
      <c r="AF275" s="131"/>
      <c r="AG275" s="131"/>
      <c r="AH275" s="10"/>
      <c r="AI275" s="10">
        <f>Tabella3[[#This Row],[rest of Italy data]]*NOT(ISBLANK(Tabella3[[#This Row],[rest of Italy data]]))</f>
        <v>0</v>
      </c>
      <c r="AJ275" s="77" t="e">
        <f>Tabella8[[#This Row],[rest of Italy fit]]</f>
        <v>#VALUE!</v>
      </c>
      <c r="AK275" s="72" t="e">
        <f>Tabella3[[#This Row],[rest of Italy cumul. fit]]/Ka</f>
        <v>#VALUE!</v>
      </c>
      <c r="AL275" s="72">
        <f>IFERROR(Ka*psi_a*_xlfn.SECH(psi_a*(Tabella3[[#This Row],[Day]]-pa)-phi_a)^2/(1+TANH(phi_a)),0)</f>
        <v>8.4775584728974192</v>
      </c>
      <c r="AM275" s="72">
        <f>Tabella3[[#This Row],[rest of Italy fit]]/y_a_peak</f>
        <v>2.9623259245614274E-3</v>
      </c>
      <c r="AN275" s="10">
        <f>Tabella3[[#This Row],[rest of Italy fit]]*NOT(ISBLANK(Tabella3[[#This Row],[rest of Italy data]]))</f>
        <v>0</v>
      </c>
      <c r="AO275" s="131"/>
      <c r="AP275" s="131"/>
    </row>
    <row r="276" spans="2:42" x14ac:dyDescent="0.3">
      <c r="B276" s="9">
        <v>44099</v>
      </c>
      <c r="C276" s="4">
        <v>269</v>
      </c>
      <c r="D276" s="131"/>
      <c r="E276" s="10"/>
      <c r="F276" s="10">
        <f>Tabella3[[#This Row],[Italy remov. rate data]]*NOT(ISBLANK(Tabella3[[#This Row],[Italy remov. rate data]]))</f>
        <v>0</v>
      </c>
      <c r="G276" s="77" t="e">
        <f>Tabella8[[#This Row],[Italy fit]]</f>
        <v>#VALUE!</v>
      </c>
      <c r="H276" s="77" t="e">
        <f>Tabella3[[#This Row],[Italy cumul. fit]]/Kf</f>
        <v>#VALUE!</v>
      </c>
      <c r="I276" s="77">
        <f>Tabella3[[#This Row],[region fit]]+Tabella3[[#This Row],[rest of Italy fit]]</f>
        <v>8.1830092679188215</v>
      </c>
      <c r="J276" s="77">
        <f>Tabella3[[#This Row],[Italy (fit of selected region + fitted sum of the other regions)]]/(y_l_peak+y_a_peak)</f>
        <v>2.7280420899502725E-3</v>
      </c>
      <c r="K276" s="72">
        <f>IFERROR(Kf*psi_f*_xlfn.SECH(psi_f*(Tabella3[[#This Row],[Day]]-pf)-phi_f)^2/(1+TANH(phi_f)),0)</f>
        <v>7.9813074825520687</v>
      </c>
      <c r="L276" s="292">
        <f>Tabella3[[#This Row],[Italy remov. rate fit]]-Tabella3[[#This Row],[Italy remov. rate data]]</f>
        <v>7.9813074825520687</v>
      </c>
      <c r="M276" s="293">
        <f>Tabella3[[#This Row],[rem. rate residuals]]*NOT(ISBLANK(Tabella3[[#This Row],[Italy remov. rate data]]))</f>
        <v>0</v>
      </c>
      <c r="N276" s="72">
        <f>Tabella3[[#This Row],[Italy remov. rate fit]]/y_f_peak</f>
        <v>2.659189546681763E-3</v>
      </c>
      <c r="O276" s="10">
        <f>Tabella3[[#This Row],[Italy (fit of selected region + fitted sum of the other regions)]]*NOT(ISBLANK(Tabella3[[#This Row],[Italy remov. rate data]]))</f>
        <v>0</v>
      </c>
      <c r="P276" s="10">
        <f>Tabella3[[#This Row],[Italy remov. rate fit]]*NOT(ISBLANK(Tabella3[[#This Row],[Italy remov. rate data]]))</f>
        <v>0</v>
      </c>
      <c r="Q276" s="72"/>
      <c r="R276" s="72"/>
      <c r="S276" s="131"/>
      <c r="T276" s="10"/>
      <c r="U276" s="10">
        <f>Tabella3[[#This Row],[region data]]*NOT(ISBLANK(Tabella3[[#This Row],[region data]]))</f>
        <v>0</v>
      </c>
      <c r="V276"/>
      <c r="W276" s="72">
        <f>Tabella3[[#This Row],[6-days moving avg]]*NOT(ISBLANK(Tabella3[[#This Row],[6-days moving avg]]))</f>
        <v>0</v>
      </c>
      <c r="X276" s="77" t="e">
        <f>Tabella8[[#This Row],[region fit]]</f>
        <v>#VALUE!</v>
      </c>
      <c r="Y276" s="72" t="e">
        <f>Tabella3[[#This Row],[region cumul. fit]]/Kl</f>
        <v>#VALUE!</v>
      </c>
      <c r="Z276" s="72">
        <f>IFERROR(Kl*psi_l*_xlfn.SECH(psi_l*(Tabella3[[#This Row],[Day]]-pl)-phi_l)^2/(1+TANH(phi_l)),0)</f>
        <v>0.11048422091318721</v>
      </c>
      <c r="AA276" s="72">
        <f>Tabella3[[#This Row],[region fit]]/y_l_peak</f>
        <v>8.017764914931342E-4</v>
      </c>
      <c r="AB276" s="10">
        <f>Tabella3[[#This Row],[region fit]]*NOT(ISBLANK(Tabella3[[#This Row],[region data]]))</f>
        <v>0</v>
      </c>
      <c r="AC276" s="166">
        <f>IFERROR(kl_m*psi_l_m*_xlfn.SECH(psi_l_m*(Tabella3[[#This Row],[Day]]-pl_m)-phi_l_m)^2/(1+TANH(phi_l_m)),0)</f>
        <v>0.11048422091318721</v>
      </c>
      <c r="AD276" s="72">
        <f>Tabella3[[#This Row],[6-days moving avg fit]]*NOT(ISBLANK(Tabella3[[#This Row],[6-days moving avg]]))</f>
        <v>0</v>
      </c>
      <c r="AE276" s="131"/>
      <c r="AF276" s="131"/>
      <c r="AG276" s="131"/>
      <c r="AH276" s="10"/>
      <c r="AI276" s="10">
        <f>Tabella3[[#This Row],[rest of Italy data]]*NOT(ISBLANK(Tabella3[[#This Row],[rest of Italy data]]))</f>
        <v>0</v>
      </c>
      <c r="AJ276" s="77" t="e">
        <f>Tabella8[[#This Row],[rest of Italy fit]]</f>
        <v>#VALUE!</v>
      </c>
      <c r="AK276" s="72" t="e">
        <f>Tabella3[[#This Row],[rest of Italy cumul. fit]]/Ka</f>
        <v>#VALUE!</v>
      </c>
      <c r="AL276" s="72">
        <f>IFERROR(Ka*psi_a*_xlfn.SECH(psi_a*(Tabella3[[#This Row],[Day]]-pa)-phi_a)^2/(1+TANH(phi_a)),0)</f>
        <v>8.0725250470056338</v>
      </c>
      <c r="AM276" s="72">
        <f>Tabella3[[#This Row],[rest of Italy fit]]/y_a_peak</f>
        <v>2.8207944893411298E-3</v>
      </c>
      <c r="AN276" s="10">
        <f>Tabella3[[#This Row],[rest of Italy fit]]*NOT(ISBLANK(Tabella3[[#This Row],[rest of Italy data]]))</f>
        <v>0</v>
      </c>
      <c r="AO276" s="131"/>
      <c r="AP276" s="131"/>
    </row>
    <row r="277" spans="2:42" x14ac:dyDescent="0.3">
      <c r="B277" s="9">
        <v>44100</v>
      </c>
      <c r="C277" s="4">
        <v>270</v>
      </c>
      <c r="D277" s="131"/>
      <c r="E277" s="10"/>
      <c r="F277" s="10">
        <f>Tabella3[[#This Row],[Italy remov. rate data]]*NOT(ISBLANK(Tabella3[[#This Row],[Italy remov. rate data]]))</f>
        <v>0</v>
      </c>
      <c r="G277" s="77" t="e">
        <f>Tabella8[[#This Row],[Italy fit]]</f>
        <v>#VALUE!</v>
      </c>
      <c r="H277" s="77" t="e">
        <f>Tabella3[[#This Row],[Italy cumul. fit]]/Kf</f>
        <v>#VALUE!</v>
      </c>
      <c r="I277" s="77">
        <f>Tabella3[[#This Row],[region fit]]+Tabella3[[#This Row],[rest of Italy fit]]</f>
        <v>7.7912437044704914</v>
      </c>
      <c r="J277" s="77">
        <f>Tabella3[[#This Row],[Italy (fit of selected region + fitted sum of the other regions)]]/(y_l_peak+y_a_peak)</f>
        <v>2.5974357431299E-3</v>
      </c>
      <c r="K277" s="72">
        <f>IFERROR(Kf*psi_f*_xlfn.SECH(psi_f*(Tabella3[[#This Row],[Day]]-pf)-phi_f)^2/(1+TANH(phi_f)),0)</f>
        <v>7.5971534346928689</v>
      </c>
      <c r="L277" s="292">
        <f>Tabella3[[#This Row],[Italy remov. rate fit]]-Tabella3[[#This Row],[Italy remov. rate data]]</f>
        <v>7.5971534346928689</v>
      </c>
      <c r="M277" s="293">
        <f>Tabella3[[#This Row],[rem. rate residuals]]*NOT(ISBLANK(Tabella3[[#This Row],[Italy remov. rate data]]))</f>
        <v>0</v>
      </c>
      <c r="N277" s="72">
        <f>Tabella3[[#This Row],[Italy remov. rate fit]]/y_f_peak</f>
        <v>2.5311981830341583E-3</v>
      </c>
      <c r="O277" s="10">
        <f>Tabella3[[#This Row],[Italy (fit of selected region + fitted sum of the other regions)]]*NOT(ISBLANK(Tabella3[[#This Row],[Italy remov. rate data]]))</f>
        <v>0</v>
      </c>
      <c r="P277" s="10">
        <f>Tabella3[[#This Row],[Italy remov. rate fit]]*NOT(ISBLANK(Tabella3[[#This Row],[Italy remov. rate data]]))</f>
        <v>0</v>
      </c>
      <c r="Q277" s="72"/>
      <c r="R277" s="72"/>
      <c r="S277" s="131"/>
      <c r="T277" s="10"/>
      <c r="U277" s="10">
        <f>Tabella3[[#This Row],[region data]]*NOT(ISBLANK(Tabella3[[#This Row],[region data]]))</f>
        <v>0</v>
      </c>
      <c r="V277"/>
      <c r="W277" s="72">
        <f>Tabella3[[#This Row],[6-days moving avg]]*NOT(ISBLANK(Tabella3[[#This Row],[6-days moving avg]]))</f>
        <v>0</v>
      </c>
      <c r="X277" s="77" t="e">
        <f>Tabella8[[#This Row],[region fit]]</f>
        <v>#VALUE!</v>
      </c>
      <c r="Y277" s="72" t="e">
        <f>Tabella3[[#This Row],[region cumul. fit]]/Kl</f>
        <v>#VALUE!</v>
      </c>
      <c r="Z277" s="72">
        <f>IFERROR(Kl*psi_l*_xlfn.SECH(psi_l*(Tabella3[[#This Row],[Day]]-pl)-phi_l)^2/(1+TANH(phi_l)),0)</f>
        <v>0.10442681249511529</v>
      </c>
      <c r="AA277" s="72">
        <f>Tabella3[[#This Row],[region fit]]/y_l_peak</f>
        <v>7.5781828978034105E-4</v>
      </c>
      <c r="AB277" s="10">
        <f>Tabella3[[#This Row],[region fit]]*NOT(ISBLANK(Tabella3[[#This Row],[region data]]))</f>
        <v>0</v>
      </c>
      <c r="AC277" s="166">
        <f>IFERROR(kl_m*psi_l_m*_xlfn.SECH(psi_l_m*(Tabella3[[#This Row],[Day]]-pl_m)-phi_l_m)^2/(1+TANH(phi_l_m)),0)</f>
        <v>0.10442681249511529</v>
      </c>
      <c r="AD277" s="72">
        <f>Tabella3[[#This Row],[6-days moving avg fit]]*NOT(ISBLANK(Tabella3[[#This Row],[6-days moving avg]]))</f>
        <v>0</v>
      </c>
      <c r="AE277" s="131"/>
      <c r="AF277" s="131"/>
      <c r="AG277" s="131"/>
      <c r="AH277" s="10"/>
      <c r="AI277" s="10">
        <f>Tabella3[[#This Row],[rest of Italy data]]*NOT(ISBLANK(Tabella3[[#This Row],[rest of Italy data]]))</f>
        <v>0</v>
      </c>
      <c r="AJ277" s="77" t="e">
        <f>Tabella8[[#This Row],[rest of Italy fit]]</f>
        <v>#VALUE!</v>
      </c>
      <c r="AK277" s="72" t="e">
        <f>Tabella3[[#This Row],[rest of Italy cumul. fit]]/Ka</f>
        <v>#VALUE!</v>
      </c>
      <c r="AL277" s="72">
        <f>IFERROR(Ka*psi_a*_xlfn.SECH(psi_a*(Tabella3[[#This Row],[Day]]-pa)-phi_a)^2/(1+TANH(phi_a)),0)</f>
        <v>7.6868168919753765</v>
      </c>
      <c r="AM277" s="72">
        <f>Tabella3[[#This Row],[rest of Italy fit]]/y_a_peak</f>
        <v>2.6860159123942725E-3</v>
      </c>
      <c r="AN277" s="10">
        <f>Tabella3[[#This Row],[rest of Italy fit]]*NOT(ISBLANK(Tabella3[[#This Row],[rest of Italy data]]))</f>
        <v>0</v>
      </c>
      <c r="AO277" s="131"/>
      <c r="AP277" s="131"/>
    </row>
    <row r="278" spans="2:42" x14ac:dyDescent="0.3">
      <c r="B278" s="9">
        <v>44101</v>
      </c>
      <c r="C278" s="4">
        <v>271</v>
      </c>
      <c r="D278" s="131"/>
      <c r="E278" s="10"/>
      <c r="F278" s="10">
        <f>Tabella3[[#This Row],[Italy remov. rate data]]*NOT(ISBLANK(Tabella3[[#This Row],[Italy remov. rate data]]))</f>
        <v>0</v>
      </c>
      <c r="G278" s="77" t="e">
        <f>Tabella8[[#This Row],[Italy fit]]</f>
        <v>#VALUE!</v>
      </c>
      <c r="H278" s="77" t="e">
        <f>Tabella3[[#This Row],[Italy cumul. fit]]/Kf</f>
        <v>#VALUE!</v>
      </c>
      <c r="I278" s="77">
        <f>Tabella3[[#This Row],[region fit]]+Tabella3[[#This Row],[rest of Italy fit]]</f>
        <v>7.4182157670190518</v>
      </c>
      <c r="J278" s="77">
        <f>Tabella3[[#This Row],[Italy (fit of selected region + fitted sum of the other regions)]]/(y_l_peak+y_a_peak)</f>
        <v>2.4730761242199636E-3</v>
      </c>
      <c r="K278" s="72">
        <f>IFERROR(Kf*psi_f*_xlfn.SECH(psi_f*(Tabella3[[#This Row],[Day]]-pf)-phi_f)^2/(1+TANH(phi_f)),0)</f>
        <v>7.231467048963407</v>
      </c>
      <c r="L278" s="292">
        <f>Tabella3[[#This Row],[Italy remov. rate fit]]-Tabella3[[#This Row],[Italy remov. rate data]]</f>
        <v>7.231467048963407</v>
      </c>
      <c r="M278" s="293">
        <f>Tabella3[[#This Row],[rem. rate residuals]]*NOT(ISBLANK(Tabella3[[#This Row],[Italy remov. rate data]]))</f>
        <v>0</v>
      </c>
      <c r="N278" s="72">
        <f>Tabella3[[#This Row],[Italy remov. rate fit]]/y_f_peak</f>
        <v>2.4093598230384497E-3</v>
      </c>
      <c r="O278" s="10">
        <f>Tabella3[[#This Row],[Italy (fit of selected region + fitted sum of the other regions)]]*NOT(ISBLANK(Tabella3[[#This Row],[Italy remov. rate data]]))</f>
        <v>0</v>
      </c>
      <c r="P278" s="10">
        <f>Tabella3[[#This Row],[Italy remov. rate fit]]*NOT(ISBLANK(Tabella3[[#This Row],[Italy remov. rate data]]))</f>
        <v>0</v>
      </c>
      <c r="Q278" s="72"/>
      <c r="R278" s="72"/>
      <c r="S278" s="131"/>
      <c r="T278" s="10"/>
      <c r="U278" s="10">
        <f>Tabella3[[#This Row],[region data]]*NOT(ISBLANK(Tabella3[[#This Row],[region data]]))</f>
        <v>0</v>
      </c>
      <c r="V278"/>
      <c r="W278" s="72">
        <f>Tabella3[[#This Row],[6-days moving avg]]*NOT(ISBLANK(Tabella3[[#This Row],[6-days moving avg]]))</f>
        <v>0</v>
      </c>
      <c r="X278" s="77" t="e">
        <f>Tabella8[[#This Row],[region fit]]</f>
        <v>#VALUE!</v>
      </c>
      <c r="Y278" s="72" t="e">
        <f>Tabella3[[#This Row],[region cumul. fit]]/Kl</f>
        <v>#VALUE!</v>
      </c>
      <c r="Z278" s="72">
        <f>IFERROR(Kl*psi_l*_xlfn.SECH(psi_l*(Tabella3[[#This Row],[Day]]-pl)-phi_l)^2/(1+TANH(phi_l)),0)</f>
        <v>9.8701388548984109E-2</v>
      </c>
      <c r="AA278" s="72">
        <f>Tabella3[[#This Row],[region fit]]/y_l_peak</f>
        <v>7.1626927684530109E-4</v>
      </c>
      <c r="AB278" s="10">
        <f>Tabella3[[#This Row],[region fit]]*NOT(ISBLANK(Tabella3[[#This Row],[region data]]))</f>
        <v>0</v>
      </c>
      <c r="AC278" s="166">
        <f>IFERROR(kl_m*psi_l_m*_xlfn.SECH(psi_l_m*(Tabella3[[#This Row],[Day]]-pl_m)-phi_l_m)^2/(1+TANH(phi_l_m)),0)</f>
        <v>9.8701388548984109E-2</v>
      </c>
      <c r="AD278" s="72">
        <f>Tabella3[[#This Row],[6-days moving avg fit]]*NOT(ISBLANK(Tabella3[[#This Row],[6-days moving avg]]))</f>
        <v>0</v>
      </c>
      <c r="AE278" s="131"/>
      <c r="AF278" s="131"/>
      <c r="AG278" s="131"/>
      <c r="AH278" s="10"/>
      <c r="AI278" s="10">
        <f>Tabella3[[#This Row],[rest of Italy data]]*NOT(ISBLANK(Tabella3[[#This Row],[rest of Italy data]]))</f>
        <v>0</v>
      </c>
      <c r="AJ278" s="77" t="e">
        <f>Tabella8[[#This Row],[rest of Italy fit]]</f>
        <v>#VALUE!</v>
      </c>
      <c r="AK278" s="72" t="e">
        <f>Tabella3[[#This Row],[rest of Italy cumul. fit]]/Ka</f>
        <v>#VALUE!</v>
      </c>
      <c r="AL278" s="72">
        <f>IFERROR(Ka*psi_a*_xlfn.SECH(psi_a*(Tabella3[[#This Row],[Day]]-pa)-phi_a)^2/(1+TANH(phi_a)),0)</f>
        <v>7.3195143784700676</v>
      </c>
      <c r="AM278" s="72">
        <f>Tabella3[[#This Row],[rest of Italy fit]]/y_a_peak</f>
        <v>2.557668846267641E-3</v>
      </c>
      <c r="AN278" s="10">
        <f>Tabella3[[#This Row],[rest of Italy fit]]*NOT(ISBLANK(Tabella3[[#This Row],[rest of Italy data]]))</f>
        <v>0</v>
      </c>
      <c r="AO278" s="131"/>
      <c r="AP278" s="131"/>
    </row>
    <row r="279" spans="2:42" x14ac:dyDescent="0.3">
      <c r="B279" s="9">
        <v>44102</v>
      </c>
      <c r="C279" s="4">
        <v>272</v>
      </c>
      <c r="D279" s="131"/>
      <c r="E279" s="10"/>
      <c r="F279" s="10">
        <f>Tabella3[[#This Row],[Italy remov. rate data]]*NOT(ISBLANK(Tabella3[[#This Row],[Italy remov. rate data]]))</f>
        <v>0</v>
      </c>
      <c r="G279" s="77" t="e">
        <f>Tabella8[[#This Row],[Italy fit]]</f>
        <v>#VALUE!</v>
      </c>
      <c r="H279" s="77" t="e">
        <f>Tabella3[[#This Row],[Italy cumul. fit]]/Kf</f>
        <v>#VALUE!</v>
      </c>
      <c r="I279" s="77">
        <f>Tabella3[[#This Row],[region fit]]+Tabella3[[#This Row],[rest of Italy fit]]</f>
        <v>7.063031179135594</v>
      </c>
      <c r="J279" s="77">
        <f>Tabella3[[#This Row],[Italy (fit of selected region + fitted sum of the other regions)]]/(y_l_peak+y_a_peak)</f>
        <v>2.3546651003871445E-3</v>
      </c>
      <c r="K279" s="72">
        <f>IFERROR(Kf*psi_f*_xlfn.SECH(psi_f*(Tabella3[[#This Row],[Day]]-pf)-phi_f)^2/(1+TANH(phi_f)),0)</f>
        <v>6.8833626182608896</v>
      </c>
      <c r="L279" s="292">
        <f>Tabella3[[#This Row],[Italy remov. rate fit]]-Tabella3[[#This Row],[Italy remov. rate data]]</f>
        <v>6.8833626182608896</v>
      </c>
      <c r="M279" s="293">
        <f>Tabella3[[#This Row],[rem. rate residuals]]*NOT(ISBLANK(Tabella3[[#This Row],[Italy remov. rate data]]))</f>
        <v>0</v>
      </c>
      <c r="N279" s="72">
        <f>Tabella3[[#This Row],[Italy remov. rate fit]]/y_f_peak</f>
        <v>2.2933793692968343E-3</v>
      </c>
      <c r="O279" s="10">
        <f>Tabella3[[#This Row],[Italy (fit of selected region + fitted sum of the other regions)]]*NOT(ISBLANK(Tabella3[[#This Row],[Italy remov. rate data]]))</f>
        <v>0</v>
      </c>
      <c r="P279" s="10">
        <f>Tabella3[[#This Row],[Italy remov. rate fit]]*NOT(ISBLANK(Tabella3[[#This Row],[Italy remov. rate data]]))</f>
        <v>0</v>
      </c>
      <c r="Q279" s="72"/>
      <c r="R279" s="72"/>
      <c r="S279" s="131"/>
      <c r="T279" s="10"/>
      <c r="U279" s="10">
        <f>Tabella3[[#This Row],[region data]]*NOT(ISBLANK(Tabella3[[#This Row],[region data]]))</f>
        <v>0</v>
      </c>
      <c r="V279"/>
      <c r="W279" s="72">
        <f>Tabella3[[#This Row],[6-days moving avg]]*NOT(ISBLANK(Tabella3[[#This Row],[6-days moving avg]]))</f>
        <v>0</v>
      </c>
      <c r="X279" s="77" t="e">
        <f>Tabella8[[#This Row],[region fit]]</f>
        <v>#VALUE!</v>
      </c>
      <c r="Y279" s="72" t="e">
        <f>Tabella3[[#This Row],[region cumul. fit]]/Kl</f>
        <v>#VALUE!</v>
      </c>
      <c r="Z279" s="72">
        <f>IFERROR(Kl*psi_l*_xlfn.SECH(psi_l*(Tabella3[[#This Row],[Day]]-pl)-phi_l)^2/(1+TANH(phi_l)),0)</f>
        <v>9.3289766913208019E-2</v>
      </c>
      <c r="AA279" s="72">
        <f>Tabella3[[#This Row],[region fit]]/y_l_peak</f>
        <v>6.7699750597559306E-4</v>
      </c>
      <c r="AB279" s="10">
        <f>Tabella3[[#This Row],[region fit]]*NOT(ISBLANK(Tabella3[[#This Row],[region data]]))</f>
        <v>0</v>
      </c>
      <c r="AC279" s="166">
        <f>IFERROR(kl_m*psi_l_m*_xlfn.SECH(psi_l_m*(Tabella3[[#This Row],[Day]]-pl_m)-phi_l_m)^2/(1+TANH(phi_l_m)),0)</f>
        <v>9.3289766913208019E-2</v>
      </c>
      <c r="AD279" s="72">
        <f>Tabella3[[#This Row],[6-days moving avg fit]]*NOT(ISBLANK(Tabella3[[#This Row],[6-days moving avg]]))</f>
        <v>0</v>
      </c>
      <c r="AE279" s="131"/>
      <c r="AF279" s="131"/>
      <c r="AG279" s="131"/>
      <c r="AH279" s="10"/>
      <c r="AI279" s="10">
        <f>Tabella3[[#This Row],[rest of Italy data]]*NOT(ISBLANK(Tabella3[[#This Row],[rest of Italy data]]))</f>
        <v>0</v>
      </c>
      <c r="AJ279" s="77" t="e">
        <f>Tabella8[[#This Row],[rest of Italy fit]]</f>
        <v>#VALUE!</v>
      </c>
      <c r="AK279" s="72" t="e">
        <f>Tabella3[[#This Row],[rest of Italy cumul. fit]]/Ka</f>
        <v>#VALUE!</v>
      </c>
      <c r="AL279" s="72">
        <f>IFERROR(Ka*psi_a*_xlfn.SECH(psi_a*(Tabella3[[#This Row],[Day]]-pa)-phi_a)^2/(1+TANH(phi_a)),0)</f>
        <v>6.969741412222386</v>
      </c>
      <c r="AM279" s="72">
        <f>Tabella3[[#This Row],[rest of Italy fit]]/y_a_peak</f>
        <v>2.4354471560323237E-3</v>
      </c>
      <c r="AN279" s="10">
        <f>Tabella3[[#This Row],[rest of Italy fit]]*NOT(ISBLANK(Tabella3[[#This Row],[rest of Italy data]]))</f>
        <v>0</v>
      </c>
      <c r="AO279" s="131"/>
      <c r="AP279" s="131"/>
    </row>
    <row r="280" spans="2:42" x14ac:dyDescent="0.3">
      <c r="B280" s="9">
        <v>44103</v>
      </c>
      <c r="C280" s="4">
        <v>273</v>
      </c>
      <c r="D280" s="131"/>
      <c r="E280" s="10"/>
      <c r="F280" s="10">
        <f>Tabella3[[#This Row],[Italy remov. rate data]]*NOT(ISBLANK(Tabella3[[#This Row],[Italy remov. rate data]]))</f>
        <v>0</v>
      </c>
      <c r="G280" s="77" t="e">
        <f>Tabella8[[#This Row],[Italy fit]]</f>
        <v>#VALUE!</v>
      </c>
      <c r="H280" s="77" t="e">
        <f>Tabella3[[#This Row],[Italy cumul. fit]]/Kf</f>
        <v>#VALUE!</v>
      </c>
      <c r="I280" s="77">
        <f>Tabella3[[#This Row],[region fit]]+Tabella3[[#This Row],[rest of Italy fit]]</f>
        <v>6.7248381542146394</v>
      </c>
      <c r="J280" s="77">
        <f>Tabella3[[#This Row],[Italy (fit of selected region + fitted sum of the other regions)]]/(y_l_peak+y_a_peak)</f>
        <v>2.241918704005925E-3</v>
      </c>
      <c r="K280" s="72">
        <f>IFERROR(Kf*psi_f*_xlfn.SECH(psi_f*(Tabella3[[#This Row],[Day]]-pf)-phi_f)^2/(1+TANH(phi_f)),0)</f>
        <v>6.551996716425843</v>
      </c>
      <c r="L280" s="292">
        <f>Tabella3[[#This Row],[Italy remov. rate fit]]-Tabella3[[#This Row],[Italy remov. rate data]]</f>
        <v>6.551996716425843</v>
      </c>
      <c r="M280" s="293">
        <f>Tabella3[[#This Row],[rem. rate residuals]]*NOT(ISBLANK(Tabella3[[#This Row],[Italy remov. rate data]]))</f>
        <v>0</v>
      </c>
      <c r="N280" s="72">
        <f>Tabella3[[#This Row],[Italy remov. rate fit]]/y_f_peak</f>
        <v>2.1829758114571135E-3</v>
      </c>
      <c r="O280" s="10">
        <f>Tabella3[[#This Row],[Italy (fit of selected region + fitted sum of the other regions)]]*NOT(ISBLANK(Tabella3[[#This Row],[Italy remov. rate data]]))</f>
        <v>0</v>
      </c>
      <c r="P280" s="10">
        <f>Tabella3[[#This Row],[Italy remov. rate fit]]*NOT(ISBLANK(Tabella3[[#This Row],[Italy remov. rate data]]))</f>
        <v>0</v>
      </c>
      <c r="Q280" s="72"/>
      <c r="R280" s="72"/>
      <c r="S280" s="131"/>
      <c r="T280" s="10"/>
      <c r="U280" s="10">
        <f>Tabella3[[#This Row],[region data]]*NOT(ISBLANK(Tabella3[[#This Row],[region data]]))</f>
        <v>0</v>
      </c>
      <c r="V280"/>
      <c r="W280" s="72">
        <f>Tabella3[[#This Row],[6-days moving avg]]*NOT(ISBLANK(Tabella3[[#This Row],[6-days moving avg]]))</f>
        <v>0</v>
      </c>
      <c r="X280" s="77" t="e">
        <f>Tabella8[[#This Row],[region fit]]</f>
        <v>#VALUE!</v>
      </c>
      <c r="Y280" s="72" t="e">
        <f>Tabella3[[#This Row],[region cumul. fit]]/Kl</f>
        <v>#VALUE!</v>
      </c>
      <c r="Z280" s="72">
        <f>IFERROR(Kl*psi_l*_xlfn.SECH(psi_l*(Tabella3[[#This Row],[Day]]-pl)-phi_l)^2/(1+TANH(phi_l)),0)</f>
        <v>8.8174759874248998E-2</v>
      </c>
      <c r="AA280" s="72">
        <f>Tabella3[[#This Row],[region fit]]/y_l_peak</f>
        <v>6.3987824710077439E-4</v>
      </c>
      <c r="AB280" s="10">
        <f>Tabella3[[#This Row],[region fit]]*NOT(ISBLANK(Tabella3[[#This Row],[region data]]))</f>
        <v>0</v>
      </c>
      <c r="AC280" s="166">
        <f>IFERROR(kl_m*psi_l_m*_xlfn.SECH(psi_l_m*(Tabella3[[#This Row],[Day]]-pl_m)-phi_l_m)^2/(1+TANH(phi_l_m)),0)</f>
        <v>8.8174759874248998E-2</v>
      </c>
      <c r="AD280" s="72">
        <f>Tabella3[[#This Row],[6-days moving avg fit]]*NOT(ISBLANK(Tabella3[[#This Row],[6-days moving avg]]))</f>
        <v>0</v>
      </c>
      <c r="AE280" s="131"/>
      <c r="AF280" s="131"/>
      <c r="AG280" s="131"/>
      <c r="AH280" s="10"/>
      <c r="AI280" s="10">
        <f>Tabella3[[#This Row],[rest of Italy data]]*NOT(ISBLANK(Tabella3[[#This Row],[rest of Italy data]]))</f>
        <v>0</v>
      </c>
      <c r="AJ280" s="77" t="e">
        <f>Tabella8[[#This Row],[rest of Italy fit]]</f>
        <v>#VALUE!</v>
      </c>
      <c r="AK280" s="72" t="e">
        <f>Tabella3[[#This Row],[rest of Italy cumul. fit]]/Ka</f>
        <v>#VALUE!</v>
      </c>
      <c r="AL280" s="72">
        <f>IFERROR(Ka*psi_a*_xlfn.SECH(psi_a*(Tabella3[[#This Row],[Day]]-pa)-phi_a)^2/(1+TANH(phi_a)),0)</f>
        <v>6.6366633943403901</v>
      </c>
      <c r="AM280" s="72">
        <f>Tabella3[[#This Row],[rest of Italy fit]]/y_a_peak</f>
        <v>2.3190592065504318E-3</v>
      </c>
      <c r="AN280" s="10">
        <f>Tabella3[[#This Row],[rest of Italy fit]]*NOT(ISBLANK(Tabella3[[#This Row],[rest of Italy data]]))</f>
        <v>0</v>
      </c>
      <c r="AO280" s="131"/>
      <c r="AP280" s="131"/>
    </row>
    <row r="281" spans="2:42" x14ac:dyDescent="0.3">
      <c r="B281" s="9">
        <v>44104</v>
      </c>
      <c r="C281" s="4">
        <v>274</v>
      </c>
      <c r="D281" s="131"/>
      <c r="E281" s="10"/>
      <c r="F281" s="10">
        <f>Tabella3[[#This Row],[Italy remov. rate data]]*NOT(ISBLANK(Tabella3[[#This Row],[Italy remov. rate data]]))</f>
        <v>0</v>
      </c>
      <c r="G281" s="77" t="e">
        <f>Tabella8[[#This Row],[Italy fit]]</f>
        <v>#VALUE!</v>
      </c>
      <c r="H281" s="77" t="e">
        <f>Tabella3[[#This Row],[Italy cumul. fit]]/Kf</f>
        <v>#VALUE!</v>
      </c>
      <c r="I281" s="77">
        <f>Tabella3[[#This Row],[region fit]]+Tabella3[[#This Row],[rest of Italy fit]]</f>
        <v>6.4028253951048084</v>
      </c>
      <c r="J281" s="77">
        <f>Tabella3[[#This Row],[Italy (fit of selected region + fitted sum of the other regions)]]/(y_l_peak+y_a_peak)</f>
        <v>2.1345664657777927E-3</v>
      </c>
      <c r="K281" s="72">
        <f>IFERROR(Kf*psi_f*_xlfn.SECH(psi_f*(Tabella3[[#This Row],[Day]]-pf)-phi_f)^2/(1+TANH(phi_f)),0)</f>
        <v>6.2365661984742502</v>
      </c>
      <c r="L281" s="292">
        <f>Tabella3[[#This Row],[Italy remov. rate fit]]-Tabella3[[#This Row],[Italy remov. rate data]]</f>
        <v>6.2365661984742502</v>
      </c>
      <c r="M281" s="293">
        <f>Tabella3[[#This Row],[rem. rate residuals]]*NOT(ISBLANK(Tabella3[[#This Row],[Italy remov. rate data]]))</f>
        <v>0</v>
      </c>
      <c r="N281" s="72">
        <f>Tabella3[[#This Row],[Italy remov. rate fit]]/y_f_peak</f>
        <v>2.0778815599356722E-3</v>
      </c>
      <c r="O281" s="10">
        <f>Tabella3[[#This Row],[Italy (fit of selected region + fitted sum of the other regions)]]*NOT(ISBLANK(Tabella3[[#This Row],[Italy remov. rate data]]))</f>
        <v>0</v>
      </c>
      <c r="P281" s="10">
        <f>Tabella3[[#This Row],[Italy remov. rate fit]]*NOT(ISBLANK(Tabella3[[#This Row],[Italy remov. rate data]]))</f>
        <v>0</v>
      </c>
      <c r="Q281" s="72"/>
      <c r="R281" s="72"/>
      <c r="S281" s="131"/>
      <c r="T281" s="10"/>
      <c r="U281" s="10">
        <f>Tabella3[[#This Row],[region data]]*NOT(ISBLANK(Tabella3[[#This Row],[region data]]))</f>
        <v>0</v>
      </c>
      <c r="V281" s="287"/>
      <c r="W281" s="72">
        <f>Tabella3[[#This Row],[6-days moving avg]]*NOT(ISBLANK(Tabella3[[#This Row],[6-days moving avg]]))</f>
        <v>0</v>
      </c>
      <c r="X281" s="77" t="e">
        <f>Tabella8[[#This Row],[region fit]]</f>
        <v>#VALUE!</v>
      </c>
      <c r="Y281" s="72" t="e">
        <f>Tabella3[[#This Row],[region cumul. fit]]/Kl</f>
        <v>#VALUE!</v>
      </c>
      <c r="Z281" s="72">
        <f>IFERROR(Kl*psi_l*_xlfn.SECH(psi_l*(Tabella3[[#This Row],[Day]]-pl)-phi_l)^2/(1+TANH(phi_l)),0)</f>
        <v>8.3340119921220576E-2</v>
      </c>
      <c r="AA281" s="72">
        <f>Tabella3[[#This Row],[region fit]]/y_l_peak</f>
        <v>6.0479359313722375E-4</v>
      </c>
      <c r="AB281" s="10">
        <f>Tabella3[[#This Row],[region fit]]*NOT(ISBLANK(Tabella3[[#This Row],[region data]]))</f>
        <v>0</v>
      </c>
      <c r="AC281" s="166">
        <f>IFERROR(kl_m*psi_l_m*_xlfn.SECH(psi_l_m*(Tabella3[[#This Row],[Day]]-pl_m)-phi_l_m)^2/(1+TANH(phi_l_m)),0)</f>
        <v>8.3340119921220576E-2</v>
      </c>
      <c r="AD281" s="72">
        <f>Tabella3[[#This Row],[6-days moving avg fit]]*NOT(ISBLANK(Tabella3[[#This Row],[6-days moving avg]]))</f>
        <v>0</v>
      </c>
      <c r="AE281" s="131"/>
      <c r="AF281" s="131"/>
      <c r="AG281" s="131"/>
      <c r="AH281" s="10"/>
      <c r="AI281" s="10">
        <f>Tabella3[[#This Row],[rest of Italy data]]*NOT(ISBLANK(Tabella3[[#This Row],[rest of Italy data]]))</f>
        <v>0</v>
      </c>
      <c r="AJ281" s="77" t="e">
        <f>Tabella8[[#This Row],[rest of Italy fit]]</f>
        <v>#VALUE!</v>
      </c>
      <c r="AK281" s="72" t="e">
        <f>Tabella3[[#This Row],[rest of Italy cumul. fit]]/Ka</f>
        <v>#VALUE!</v>
      </c>
      <c r="AL281" s="72">
        <f>IFERROR(Ka*psi_a*_xlfn.SECH(psi_a*(Tabella3[[#This Row],[Day]]-pa)-phi_a)^2/(1+TANH(phi_a)),0)</f>
        <v>6.3194852751835882</v>
      </c>
      <c r="AM281" s="72">
        <f>Tabella3[[#This Row],[rest of Italy fit]]/y_a_peak</f>
        <v>2.2082271824381047E-3</v>
      </c>
      <c r="AN281" s="10">
        <f>Tabella3[[#This Row],[rest of Italy fit]]*NOT(ISBLANK(Tabella3[[#This Row],[rest of Italy data]]))</f>
        <v>0</v>
      </c>
      <c r="AO281" s="131"/>
      <c r="AP281" s="131"/>
    </row>
  </sheetData>
  <mergeCells count="15">
    <mergeCell ref="BF8:BF17"/>
    <mergeCell ref="B2:F2"/>
    <mergeCell ref="F3:F6"/>
    <mergeCell ref="AU3:AY3"/>
    <mergeCell ref="B4:E4"/>
    <mergeCell ref="B5:E5"/>
    <mergeCell ref="AU4:AY4"/>
    <mergeCell ref="AU5:AY5"/>
    <mergeCell ref="K3:P6"/>
    <mergeCell ref="AU6:AY6"/>
    <mergeCell ref="Q5:U5"/>
    <mergeCell ref="Q6:U6"/>
    <mergeCell ref="AB5:AH5"/>
    <mergeCell ref="AB6:AH6"/>
    <mergeCell ref="H4:I4"/>
  </mergeCells>
  <phoneticPr fontId="25" type="noConversion"/>
  <conditionalFormatting sqref="K8:L281">
    <cfRule type="top10" dxfId="139" priority="27" rank="1"/>
  </conditionalFormatting>
  <conditionalFormatting sqref="K8:K281">
    <cfRule type="cellIs" dxfId="138" priority="30" operator="lessThan">
      <formula>0.5</formula>
    </cfRule>
  </conditionalFormatting>
  <conditionalFormatting sqref="Z8:Z281">
    <cfRule type="cellIs" dxfId="137" priority="9" operator="lessThan">
      <formula>0.5</formula>
    </cfRule>
  </conditionalFormatting>
  <conditionalFormatting sqref="Z8:Z281">
    <cfRule type="top10" dxfId="136" priority="8" rank="1"/>
  </conditionalFormatting>
  <conditionalFormatting sqref="AL8:AL281">
    <cfRule type="top10" dxfId="135" priority="6" rank="1"/>
    <cfRule type="cellIs" dxfId="134" priority="7" operator="lessThan">
      <formula>0.5</formula>
    </cfRule>
  </conditionalFormatting>
  <conditionalFormatting sqref="AC8:AC281">
    <cfRule type="cellIs" dxfId="133" priority="5" operator="lessThan">
      <formula>0.5</formula>
    </cfRule>
  </conditionalFormatting>
  <conditionalFormatting sqref="AC8:AC281">
    <cfRule type="top10" dxfId="132" priority="4" rank="1"/>
  </conditionalFormatting>
  <conditionalFormatting sqref="G8:H281">
    <cfRule type="cellIs" dxfId="131" priority="3" operator="equal">
      <formula>0</formula>
    </cfRule>
  </conditionalFormatting>
  <conditionalFormatting sqref="X8:Y281">
    <cfRule type="cellIs" dxfId="130" priority="2" operator="equal">
      <formula>0</formula>
    </cfRule>
  </conditionalFormatting>
  <conditionalFormatting sqref="AJ8:AK281">
    <cfRule type="cellIs" dxfId="129" priority="1" operator="equal">
      <formula>0</formula>
    </cfRule>
  </conditionalFormatting>
  <pageMargins left="0.7" right="0.7" top="0.75" bottom="0.75" header="0.3" footer="0.3"/>
  <pageSetup paperSize="9" orientation="portrait" r:id="rId1"/>
  <drawing r:id="rId2"/>
  <legacyDrawing r:id="rId3"/>
  <tableParts count="6">
    <tablePart r:id="rId4"/>
    <tablePart r:id="rId5"/>
    <tablePart r:id="rId6"/>
    <tablePart r:id="rId7"/>
    <tablePart r:id="rId8"/>
    <tablePart r:id="rId9"/>
  </tablePart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896B48-FDBB-41B9-A563-AC5964F17FDE}">
  <dimension ref="B2:CL185"/>
  <sheetViews>
    <sheetView zoomScale="10" zoomScaleNormal="10" workbookViewId="0">
      <selection sqref="A1:XFD1048576"/>
    </sheetView>
  </sheetViews>
  <sheetFormatPr defaultRowHeight="14.4" x14ac:dyDescent="0.3"/>
  <cols>
    <col min="1" max="1" width="2.77734375" style="104" customWidth="1"/>
    <col min="2" max="2" width="15.109375" style="104" bestFit="1" customWidth="1"/>
    <col min="3" max="3" width="14" style="104" bestFit="1" customWidth="1"/>
    <col min="4" max="4" width="13.44140625" style="104" customWidth="1"/>
    <col min="5" max="6" width="16.33203125" style="104" customWidth="1"/>
    <col min="7" max="7" width="20.109375" style="104" customWidth="1"/>
    <col min="8" max="8" width="19.88671875" style="104" customWidth="1"/>
    <col min="9" max="9" width="19.88671875" style="140" customWidth="1"/>
    <col min="10" max="10" width="19.88671875" style="235" customWidth="1"/>
    <col min="11" max="11" width="19.88671875" style="104" customWidth="1"/>
    <col min="12" max="12" width="19.6640625" style="104" bestFit="1" customWidth="1"/>
    <col min="13" max="13" width="19.6640625" style="104" customWidth="1"/>
    <col min="14" max="14" width="19.6640625" style="140" customWidth="1"/>
    <col min="15" max="15" width="19.6640625" style="157" hidden="1" customWidth="1"/>
    <col min="16" max="16" width="19.6640625" style="140" customWidth="1"/>
    <col min="17" max="17" width="19.6640625" style="157" hidden="1" customWidth="1"/>
    <col min="18" max="19" width="19.6640625" style="235" hidden="1" customWidth="1"/>
    <col min="20" max="20" width="11.33203125" style="235" hidden="1" customWidth="1"/>
    <col min="21" max="23" width="13" style="235" hidden="1" customWidth="1"/>
    <col min="24" max="24" width="19.6640625" style="157" customWidth="1"/>
    <col min="25" max="25" width="19.6640625" style="235" customWidth="1"/>
    <col min="26" max="26" width="19.6640625" style="104" customWidth="1"/>
    <col min="27" max="27" width="19.6640625" style="235" customWidth="1"/>
    <col min="28" max="28" width="19.6640625" style="104" customWidth="1"/>
    <col min="29" max="30" width="14" style="104" customWidth="1"/>
    <col min="31" max="31" width="21.88671875" style="104" customWidth="1"/>
    <col min="32" max="32" width="20.33203125" style="104" customWidth="1"/>
    <col min="33" max="33" width="16.109375" style="104" bestFit="1" customWidth="1"/>
    <col min="34" max="34" width="20.6640625" style="104" bestFit="1" customWidth="1"/>
    <col min="35" max="35" width="20.6640625" style="104" customWidth="1"/>
    <col min="36" max="36" width="20.5546875" style="104" customWidth="1"/>
    <col min="37" max="37" width="21.109375" style="104" customWidth="1"/>
    <col min="38" max="38" width="15.44140625" style="140" customWidth="1"/>
    <col min="39" max="39" width="13.44140625" style="104" customWidth="1"/>
    <col min="40" max="41" width="13.44140625" style="140" customWidth="1"/>
    <col min="42" max="42" width="13.44140625" style="157" hidden="1" customWidth="1"/>
    <col min="43" max="47" width="13.44140625" style="235" hidden="1" customWidth="1"/>
    <col min="48" max="48" width="13.44140625" style="235" customWidth="1"/>
    <col min="49" max="49" width="19.5546875" style="104" bestFit="1" customWidth="1"/>
    <col min="50" max="50" width="19.5546875" style="104" customWidth="1"/>
    <col min="51" max="51" width="18.21875" style="104" customWidth="1"/>
    <col min="52" max="53" width="18.6640625" style="104" customWidth="1"/>
    <col min="54" max="54" width="17.44140625" style="104" bestFit="1" customWidth="1"/>
    <col min="55" max="55" width="18.109375" style="104" bestFit="1" customWidth="1"/>
    <col min="56" max="56" width="18.109375" style="104" customWidth="1"/>
    <col min="57" max="57" width="21.88671875" style="104" customWidth="1"/>
    <col min="58" max="58" width="21.109375" style="104" customWidth="1"/>
    <col min="59" max="59" width="16.109375" style="140" customWidth="1"/>
    <col min="60" max="60" width="21.109375" style="104" customWidth="1"/>
    <col min="61" max="61" width="21.109375" style="140" customWidth="1"/>
    <col min="62" max="62" width="17.109375" style="140" customWidth="1"/>
    <col min="63" max="63" width="17.109375" style="157" hidden="1" customWidth="1"/>
    <col min="64" max="68" width="17.109375" style="235" hidden="1" customWidth="1"/>
    <col min="69" max="69" width="17.109375" style="235" customWidth="1"/>
    <col min="70" max="70" width="24" style="104" bestFit="1" customWidth="1"/>
    <col min="71" max="71" width="17.77734375" style="104" customWidth="1"/>
    <col min="72" max="72" width="23.33203125" style="104" customWidth="1"/>
    <col min="73" max="73" width="21.5546875" style="104" customWidth="1"/>
    <col min="74" max="74" width="19.33203125" style="104" customWidth="1"/>
    <col min="75" max="75" width="1.77734375" style="104" customWidth="1"/>
    <col min="76" max="76" width="24.33203125" style="104" hidden="1" customWidth="1"/>
    <col min="77" max="77" width="23.33203125" style="104" hidden="1" customWidth="1"/>
    <col min="78" max="79" width="8.88671875" style="104"/>
    <col min="80" max="80" width="17.88671875" style="104" bestFit="1" customWidth="1"/>
    <col min="81" max="81" width="8.88671875" style="104"/>
    <col min="82" max="82" width="11" style="104" bestFit="1" customWidth="1"/>
    <col min="83" max="89" width="8.88671875" style="104"/>
    <col min="90" max="90" width="9.5546875" style="104" hidden="1" customWidth="1"/>
    <col min="91" max="16384" width="8.88671875" style="104"/>
  </cols>
  <sheetData>
    <row r="2" spans="2:90" ht="24" thickBot="1" x14ac:dyDescent="0.5">
      <c r="B2" s="302" t="s">
        <v>11</v>
      </c>
      <c r="C2" s="302"/>
      <c r="D2" s="302"/>
      <c r="E2" s="302"/>
      <c r="F2" s="302"/>
      <c r="G2" s="302"/>
      <c r="K2" s="140"/>
      <c r="L2" s="140"/>
    </row>
    <row r="3" spans="2:90" ht="17.399999999999999" customHeight="1" thickBot="1" x14ac:dyDescent="0.65">
      <c r="B3" s="11"/>
      <c r="G3" s="305"/>
      <c r="K3" s="140"/>
      <c r="Z3" s="235"/>
      <c r="AB3" s="235"/>
      <c r="AC3" s="235"/>
      <c r="AD3" s="235"/>
      <c r="BY3" s="75"/>
      <c r="BZ3" s="289" t="s">
        <v>0</v>
      </c>
      <c r="CA3" s="303" t="s">
        <v>115</v>
      </c>
      <c r="CB3" s="303"/>
      <c r="CC3" s="303"/>
      <c r="CD3" s="303"/>
      <c r="CE3" s="303"/>
    </row>
    <row r="4" spans="2:90" ht="20.399999999999999" thickBot="1" x14ac:dyDescent="0.45">
      <c r="B4" s="304" t="s">
        <v>300</v>
      </c>
      <c r="C4" s="304"/>
      <c r="D4" s="304"/>
      <c r="E4" s="304"/>
      <c r="F4" s="105"/>
      <c r="G4" s="305"/>
      <c r="I4" s="300">
        <f>I78</f>
        <v>1.1026124990296422</v>
      </c>
      <c r="P4" s="301">
        <f>P78</f>
        <v>0.88633434067757844</v>
      </c>
      <c r="Q4" s="300"/>
      <c r="R4" s="300"/>
      <c r="S4" s="300"/>
      <c r="T4" s="300"/>
      <c r="U4" s="300"/>
      <c r="V4" s="300"/>
      <c r="W4" s="300"/>
      <c r="X4" s="300">
        <f>X78</f>
        <v>115.60360669563339</v>
      </c>
      <c r="Z4" s="300">
        <f>Z78</f>
        <v>36.108568262483431</v>
      </c>
      <c r="AB4" s="235"/>
      <c r="AC4" s="235"/>
      <c r="AD4" s="235"/>
      <c r="BY4" s="73"/>
      <c r="BZ4" s="289" t="s">
        <v>4737</v>
      </c>
      <c r="CA4" s="303" t="s">
        <v>115</v>
      </c>
      <c r="CB4" s="303"/>
      <c r="CC4" s="303"/>
      <c r="CD4" s="303"/>
      <c r="CE4" s="303"/>
    </row>
    <row r="5" spans="2:90" ht="18.600000000000001" thickTop="1" thickBot="1" x14ac:dyDescent="0.4">
      <c r="B5" s="330" t="s">
        <v>132</v>
      </c>
      <c r="C5" s="330"/>
      <c r="D5" s="330"/>
      <c r="E5" s="330"/>
      <c r="F5" s="106"/>
      <c r="G5" s="305"/>
      <c r="I5" s="170" t="s">
        <v>4348</v>
      </c>
      <c r="J5" s="260"/>
      <c r="M5" s="118">
        <f>Cumul_removed_bSIR!H5</f>
        <v>43900.844294912233</v>
      </c>
      <c r="N5" s="118"/>
      <c r="O5" s="118"/>
      <c r="P5" s="118"/>
      <c r="Q5" s="118"/>
      <c r="R5" s="118"/>
      <c r="S5" s="118"/>
      <c r="T5" s="118"/>
      <c r="U5" s="118"/>
      <c r="V5" s="118"/>
      <c r="W5" s="118"/>
      <c r="X5" s="118"/>
      <c r="Y5" s="118"/>
      <c r="Z5" s="235"/>
      <c r="AB5" s="235"/>
      <c r="AC5" s="235"/>
      <c r="AD5" s="235"/>
      <c r="AE5" s="334" t="s">
        <v>4772</v>
      </c>
      <c r="AF5" s="334"/>
      <c r="AG5" s="334"/>
      <c r="AH5" s="334"/>
      <c r="AI5" s="334"/>
      <c r="AJ5" s="334"/>
      <c r="AK5" s="148"/>
      <c r="AL5" s="148"/>
      <c r="AM5" s="148"/>
      <c r="AN5" s="148"/>
      <c r="AO5" s="148"/>
      <c r="AP5" s="148"/>
      <c r="AQ5" s="148"/>
      <c r="AR5" s="148"/>
      <c r="AS5" s="148"/>
      <c r="AT5" s="148"/>
      <c r="AU5" s="148"/>
      <c r="AV5" s="148"/>
      <c r="AW5" s="148"/>
      <c r="AX5" s="149">
        <f>Cumul_removed_bSIR!R5</f>
        <v>43906.240334693241</v>
      </c>
      <c r="AY5" s="334" t="s">
        <v>4772</v>
      </c>
      <c r="AZ5" s="334"/>
      <c r="BA5" s="334"/>
      <c r="BB5" s="334"/>
      <c r="BC5" s="334"/>
      <c r="BD5" s="150"/>
      <c r="BE5" s="148"/>
      <c r="BF5" s="148"/>
      <c r="BG5" s="148"/>
      <c r="BH5" s="148"/>
      <c r="BI5" s="148"/>
      <c r="BJ5" s="148"/>
      <c r="BK5" s="148"/>
      <c r="BL5" s="148"/>
      <c r="BM5" s="148"/>
      <c r="BN5" s="148"/>
      <c r="BO5" s="148"/>
      <c r="BP5" s="148"/>
      <c r="BQ5" s="148"/>
      <c r="BR5" s="148"/>
      <c r="BS5" s="118">
        <f>Cumul_removed_bSIR!Y5</f>
        <v>43900.695444456083</v>
      </c>
      <c r="BY5" s="74"/>
      <c r="BZ5" s="289" t="s">
        <v>4738</v>
      </c>
      <c r="CA5" s="303" t="s">
        <v>4739</v>
      </c>
      <c r="CB5" s="303"/>
      <c r="CC5" s="303"/>
      <c r="CD5" s="303"/>
      <c r="CE5" s="303"/>
    </row>
    <row r="6" spans="2:90" ht="19.2" thickTop="1" thickBot="1" x14ac:dyDescent="0.4">
      <c r="B6" s="263">
        <f ca="1">TODAY()</f>
        <v>43966</v>
      </c>
      <c r="C6" s="111">
        <f ca="1">Oggi-Start_data+1</f>
        <v>136</v>
      </c>
      <c r="D6" s="111">
        <v>1</v>
      </c>
      <c r="E6" s="111">
        <v>80</v>
      </c>
      <c r="F6" s="111"/>
      <c r="G6" s="305"/>
      <c r="I6" s="170">
        <v>2</v>
      </c>
      <c r="J6" s="261"/>
      <c r="K6" s="169"/>
      <c r="L6" s="113"/>
      <c r="M6" s="119">
        <f>pf</f>
        <v>69.844294912230211</v>
      </c>
      <c r="N6" s="119"/>
      <c r="O6" s="119"/>
      <c r="P6" s="119"/>
      <c r="Q6" s="119"/>
      <c r="R6" s="119"/>
      <c r="S6" s="119"/>
      <c r="T6" s="119"/>
      <c r="U6" s="119"/>
      <c r="V6" s="119"/>
      <c r="W6" s="119"/>
      <c r="X6" s="119"/>
      <c r="Y6" s="119"/>
      <c r="Z6" s="235"/>
      <c r="AB6" s="235"/>
      <c r="AC6" s="235"/>
      <c r="AD6" s="235"/>
      <c r="AE6" s="333" t="s">
        <v>4771</v>
      </c>
      <c r="AF6" s="333"/>
      <c r="AG6" s="333"/>
      <c r="AH6" s="333"/>
      <c r="AI6" s="333"/>
      <c r="AJ6" s="333"/>
      <c r="AK6" s="148"/>
      <c r="AL6" s="148"/>
      <c r="AM6" s="151"/>
      <c r="AN6" s="171"/>
      <c r="AO6" s="171"/>
      <c r="AP6" s="171"/>
      <c r="AQ6" s="171"/>
      <c r="AR6" s="171"/>
      <c r="AS6" s="171"/>
      <c r="AT6" s="171"/>
      <c r="AU6" s="171"/>
      <c r="AV6" s="171"/>
      <c r="AW6" s="152"/>
      <c r="AX6" s="153">
        <f>pl</f>
        <v>75.240334693239092</v>
      </c>
      <c r="AY6" s="333" t="s">
        <v>4771</v>
      </c>
      <c r="AZ6" s="333"/>
      <c r="BA6" s="333"/>
      <c r="BB6" s="333"/>
      <c r="BC6" s="333"/>
      <c r="BD6" s="154"/>
      <c r="BE6" s="148"/>
      <c r="BF6" s="148"/>
      <c r="BG6" s="148"/>
      <c r="BH6" s="155"/>
      <c r="BI6" s="172"/>
      <c r="BJ6" s="172"/>
      <c r="BK6" s="172"/>
      <c r="BL6" s="172"/>
      <c r="BM6" s="172"/>
      <c r="BN6" s="172"/>
      <c r="BO6" s="172"/>
      <c r="BP6" s="172"/>
      <c r="BQ6" s="172"/>
      <c r="BR6" s="156"/>
      <c r="BS6" s="119">
        <f>pa</f>
        <v>69.695444456084331</v>
      </c>
      <c r="BZ6" s="269" t="s">
        <v>356</v>
      </c>
      <c r="CA6" s="303" t="s">
        <v>115</v>
      </c>
      <c r="CB6" s="303"/>
      <c r="CC6" s="303"/>
      <c r="CD6" s="303"/>
      <c r="CE6" s="303"/>
    </row>
    <row r="7" spans="2:90" ht="43.2" x14ac:dyDescent="0.3">
      <c r="B7" s="4" t="s">
        <v>9</v>
      </c>
      <c r="C7" s="4" t="s">
        <v>10</v>
      </c>
      <c r="D7" s="4" t="s">
        <v>4812</v>
      </c>
      <c r="E7" s="4" t="s">
        <v>4817</v>
      </c>
      <c r="F7" s="4" t="s">
        <v>4818</v>
      </c>
      <c r="G7" s="123" t="s">
        <v>100</v>
      </c>
      <c r="H7" s="78" t="s">
        <v>297</v>
      </c>
      <c r="I7" s="78" t="s">
        <v>4347</v>
      </c>
      <c r="J7" s="78" t="s">
        <v>4400</v>
      </c>
      <c r="K7" s="78" t="s">
        <v>306</v>
      </c>
      <c r="L7" s="8" t="s">
        <v>4807</v>
      </c>
      <c r="M7" s="78" t="s">
        <v>305</v>
      </c>
      <c r="N7" s="78" t="s">
        <v>4352</v>
      </c>
      <c r="O7" s="78" t="s">
        <v>4382</v>
      </c>
      <c r="P7" s="78" t="s">
        <v>4350</v>
      </c>
      <c r="Q7" s="78" t="s">
        <v>4381</v>
      </c>
      <c r="R7" s="78" t="s">
        <v>4383</v>
      </c>
      <c r="S7" s="78" t="s">
        <v>4384</v>
      </c>
      <c r="T7" s="78" t="s">
        <v>4385</v>
      </c>
      <c r="U7" s="78" t="s">
        <v>4386</v>
      </c>
      <c r="V7" s="78" t="s">
        <v>4387</v>
      </c>
      <c r="W7" s="78" t="s">
        <v>4401</v>
      </c>
      <c r="X7" s="78" t="s">
        <v>4380</v>
      </c>
      <c r="Y7" s="78" t="s">
        <v>4402</v>
      </c>
      <c r="Z7" s="8" t="s">
        <v>4351</v>
      </c>
      <c r="AA7" s="8" t="s">
        <v>4403</v>
      </c>
      <c r="AB7" s="78" t="s">
        <v>4832</v>
      </c>
      <c r="AC7" s="78" t="s">
        <v>101</v>
      </c>
      <c r="AD7" s="78" t="s">
        <v>124</v>
      </c>
      <c r="AE7" s="78" t="s">
        <v>7</v>
      </c>
      <c r="AF7" s="78" t="s">
        <v>8</v>
      </c>
      <c r="AG7" s="4" t="s">
        <v>4819</v>
      </c>
      <c r="AH7" s="4" t="s">
        <v>4820</v>
      </c>
      <c r="AI7" s="4" t="s">
        <v>4821</v>
      </c>
      <c r="AJ7" s="123" t="s">
        <v>102</v>
      </c>
      <c r="AK7" s="78" t="s">
        <v>4822</v>
      </c>
      <c r="AL7" s="78" t="s">
        <v>4833</v>
      </c>
      <c r="AM7" s="78" t="s">
        <v>4823</v>
      </c>
      <c r="AN7" s="78" t="s">
        <v>4824</v>
      </c>
      <c r="AO7" s="78" t="s">
        <v>4825</v>
      </c>
      <c r="AP7" s="78" t="s">
        <v>4379</v>
      </c>
      <c r="AQ7" s="78" t="s">
        <v>4389</v>
      </c>
      <c r="AR7" s="78" t="s">
        <v>4390</v>
      </c>
      <c r="AS7" s="78" t="s">
        <v>4391</v>
      </c>
      <c r="AT7" s="78" t="s">
        <v>4392</v>
      </c>
      <c r="AU7" s="78" t="s">
        <v>4393</v>
      </c>
      <c r="AV7" s="78" t="s">
        <v>4826</v>
      </c>
      <c r="AW7" s="8" t="s">
        <v>4827</v>
      </c>
      <c r="AX7" s="78" t="s">
        <v>4828</v>
      </c>
      <c r="AY7" s="123" t="s">
        <v>125</v>
      </c>
      <c r="AZ7" s="78" t="s">
        <v>293</v>
      </c>
      <c r="BA7" s="78" t="s">
        <v>292</v>
      </c>
      <c r="BB7" s="4" t="s">
        <v>298</v>
      </c>
      <c r="BC7" s="4" t="s">
        <v>4829</v>
      </c>
      <c r="BD7" s="4" t="s">
        <v>4830</v>
      </c>
      <c r="BE7" s="78" t="s">
        <v>4834</v>
      </c>
      <c r="BF7" s="78" t="s">
        <v>4801</v>
      </c>
      <c r="BG7" s="78" t="s">
        <v>4349</v>
      </c>
      <c r="BH7" s="78" t="s">
        <v>4831</v>
      </c>
      <c r="BI7" s="78" t="s">
        <v>4354</v>
      </c>
      <c r="BJ7" s="78" t="s">
        <v>4355</v>
      </c>
      <c r="BK7" s="78" t="s">
        <v>4388</v>
      </c>
      <c r="BL7" s="78" t="s">
        <v>4394</v>
      </c>
      <c r="BM7" s="78" t="s">
        <v>4395</v>
      </c>
      <c r="BN7" s="78" t="s">
        <v>4396</v>
      </c>
      <c r="BO7" s="78" t="s">
        <v>4397</v>
      </c>
      <c r="BP7" s="78" t="s">
        <v>4398</v>
      </c>
      <c r="BQ7" s="78" t="s">
        <v>4399</v>
      </c>
      <c r="BR7" s="8" t="s">
        <v>4353</v>
      </c>
      <c r="BS7" s="78" t="s">
        <v>303</v>
      </c>
      <c r="BT7" s="123" t="s">
        <v>127</v>
      </c>
      <c r="BU7" s="78" t="s">
        <v>295</v>
      </c>
      <c r="BV7" s="78" t="s">
        <v>296</v>
      </c>
      <c r="BW7" s="8"/>
      <c r="BX7" s="196" t="s">
        <v>120</v>
      </c>
      <c r="BY7" s="197" t="s">
        <v>116</v>
      </c>
      <c r="BZ7" s="3"/>
      <c r="CL7" s="40" t="s">
        <v>99</v>
      </c>
    </row>
    <row r="8" spans="2:90" x14ac:dyDescent="0.3">
      <c r="B8" s="262">
        <v>43831</v>
      </c>
      <c r="C8" s="4">
        <v>1</v>
      </c>
      <c r="D8" s="141"/>
      <c r="E8" s="144"/>
      <c r="F8" s="144"/>
      <c r="G8" s="142">
        <f>Tabella34[[#This Row],[Italy rate data]]*NOT(ISBLANK(Tabella34[[#This Row],[Italy rate data]]))</f>
        <v>0</v>
      </c>
      <c r="H8" s="143">
        <f>Tabella8[[#This Row],[Italy fit]]</f>
        <v>0</v>
      </c>
      <c r="I8" s="143">
        <f>(ATANH(alpha*Tabella34[[#This Row],[Italy cumul. Fit]]/Kf-(1-alpha*Tabella34[[#This Row],[Italy cumul. Fit]]/Kf)*TANH(phi_f))+phi_f)/psi_f-(Tabella34[[#This Row],[Day]]-pf)</f>
        <v>68.844294912230211</v>
      </c>
      <c r="J8" s="143">
        <f>Tabella34[[#This Row],[Italy d.t.]]/Italy_dt_at_lockdown</f>
        <v>62.437433797292215</v>
      </c>
      <c r="K8" s="143">
        <f>Tabella34[[#This Row],[Italy cumul. Fit]]/Kf</f>
        <v>0</v>
      </c>
      <c r="L8" s="146">
        <f>Tabella34[[#This Row],[sel. region acc. fit]]+Tabella34[[#This Row],[rest of Italy acc. fit]]</f>
        <v>1.5874441143154365</v>
      </c>
      <c r="M8" s="143">
        <f>Tabella34[[#This Row],[Italy (fit of selected region + fitted sum of the other regions)]]/(y_l_peak+y_a_peak)</f>
        <v>5.2922026818108992E-4</v>
      </c>
      <c r="N8" s="143">
        <f>Tabella3[[#This Row],[Italy remov. rate fit]]</f>
        <v>31.983669796297377</v>
      </c>
      <c r="O8" s="143" t="e">
        <f>Kt*EXP(-0.5*Tabella34[[#This Row],[x_t]]^2)/(psi_t*SQRTPI(2)*(Tabella34[[#This Row],[Day]]-D_bk))</f>
        <v>#NUM!</v>
      </c>
      <c r="P8" s="183" t="e">
        <f>Tabella34[[#This Row],[Italy velocity]]/Tabella34[[#This Row],[Italy cumul. Fit]]</f>
        <v>#DIV/0!</v>
      </c>
      <c r="Q8" s="244" t="e">
        <f>(LN(Tabella34[[#This Row],[Day]]-D_bk)-phi_t)/psi_t</f>
        <v>#NUM!</v>
      </c>
      <c r="R8" s="244">
        <f>EXP(phi_t+psi_t*Tabella34[[#This Row],[x_t_alpha©+plus]])-(Tabella34[[#This Row],[Day]]-D_bk)</f>
        <v>72.80604037176947</v>
      </c>
      <c r="S8" s="244">
        <f>EXP(phi_t+psi_t*Tabella34[[#This Row],[x_t_alpha©-minus]])-(Tabella34[[#This Row],[Day]]-D_bk)</f>
        <v>71.98435835646751</v>
      </c>
      <c r="T8" s="244">
        <f>-psi_t+SQRT(psi_t^2-2*Tabella34[[#This Row],[c_t]])</f>
        <v>4.6812932607958642</v>
      </c>
      <c r="U8" s="244">
        <f>-psi_t-SQRT(psi_t^2-2*Tabella34[[#This Row],[c_t]])</f>
        <v>-4.7306859952156683</v>
      </c>
      <c r="V8" s="244">
        <f>phi_t-LN(alpha*Kt/(Tabella34[[#This Row],[Italy velocity]]*psi_t*SQRTPI(2)))</f>
        <v>-11.072864234172242</v>
      </c>
      <c r="W8" s="244" t="e">
        <f>Tabella34[[#This Row],[Italy g.r.]]/Italy_gr_at_lockdown</f>
        <v>#DIV/0!</v>
      </c>
      <c r="X8" s="244">
        <f>(ACOSH(SQRT(alpha*Kf*psi_f/(Tabella34[[#This Row],[Italy velocity]]*(1+TANH(phi_f)))))+phi_f)/psi_f-(Tabella34[[#This Row],[Day]]-pf)</f>
        <v>253.90249129373689</v>
      </c>
      <c r="Y8" s="244">
        <f>Tabella34[[#This Row],[Italy h.t.]]/Italy_ht_at_lockdown</f>
        <v>2.1963198082757343</v>
      </c>
      <c r="Z8" s="72">
        <f>-2*$BY$48*TANH($BY$48*(Tabella34[[#This Row],[Day]]-$BY$57)-$BY$47)*Tabella34[[#This Row],[Italy velocity]]</f>
        <v>1.5713212169658599</v>
      </c>
      <c r="AA8" s="72">
        <f>Tabella34[[#This Row],[Italy acc. fit]]/Itali_acc_at_lockdown</f>
        <v>4.3516574945411293E-2</v>
      </c>
      <c r="AB8" s="143">
        <f>Tabella34[[#This Row],[Italy acc. fit]]/y_f_peak</f>
        <v>5.2352837724512782E-4</v>
      </c>
      <c r="AC8" s="143">
        <f>Tabella34[[#This Row],[Italy (fit of selected region + fitted sum of the other regions)]]*NOT(ISBLANK(Tabella34[[#This Row],[Italy rate data]]))</f>
        <v>0</v>
      </c>
      <c r="AD8" s="143">
        <f>Tabella34[[#This Row],[Italy acc. fit]]*NOT(ISBLANK(Tabella34[[#This Row],[Italy rate data]]))</f>
        <v>0</v>
      </c>
      <c r="AE8" s="77">
        <f>Tabella34[[#This Row],[Italy acc. fit]]+CIf</f>
        <v>1717.1861805515171</v>
      </c>
      <c r="AF8" s="77">
        <f>MAX(Tabella34[[#This Row],[Italy acc. fit]]-CIf,0)</f>
        <v>0</v>
      </c>
      <c r="AG8" s="141"/>
      <c r="AH8" s="33"/>
      <c r="AI8" s="33"/>
      <c r="AJ8" s="142">
        <f>Tabella34[[#This Row],[selected region rate data]]*NOT(ISBLANK(Tabella34[[#This Row],[selected region rate data]]))</f>
        <v>0</v>
      </c>
      <c r="AK8" s="147">
        <f>Tabella8[[#This Row],[region fit]]</f>
        <v>0</v>
      </c>
      <c r="AL8" s="78">
        <f>(ATANH(alpha*Tabella34[[#This Row],[sel. region cumul. fit]]/Kl-(1-alpha*Tabella34[[#This Row],[sel. region cumul. fit]]/Kl)*TANH(phi_l))+phi_l)/psi_l-(Tabella34[[#This Row],[Day]]-pl)</f>
        <v>74.240334693239106</v>
      </c>
      <c r="AM8" s="142">
        <f>Tabella34[[#This Row],[sel. region cumul. fit]]/Kl</f>
        <v>0</v>
      </c>
      <c r="AN8" s="143">
        <f>Tabella3[[#This Row],[region fit]]</f>
        <v>0.74568457434327728</v>
      </c>
      <c r="AO8" s="183" t="e">
        <f>Tabella34[[#This Row],[sel. region velocity]]/Tabella34[[#This Row],[sel. region cumul. fit]]</f>
        <v>#DIV/0!</v>
      </c>
      <c r="AP8" s="236" t="e">
        <f>(LN(Tabella34[[#This Row],[Day]]-pr)-phi_r)/psi_r</f>
        <v>#NUM!</v>
      </c>
      <c r="AQ8" s="244">
        <f>EXP(phi_r+psi_r*Tabella34[[#This Row],[x_r_alpha©+plus]])-(Tabella34[[#This Row],[Day]]-pr)</f>
        <v>78.067710469130461</v>
      </c>
      <c r="AR8" s="244">
        <f>EXP(phi_r+psi_r*Tabella34[[#This Row],[x_r_alpha©-minus]])-(Tabella34[[#This Row],[Day]]-pr)</f>
        <v>77.159497979395965</v>
      </c>
      <c r="AS8" s="244">
        <f>-psi_r+SQRT(psi_r^2-2*Tabella34[[#This Row],[c_r]])</f>
        <v>4.7739731966790862</v>
      </c>
      <c r="AT8" s="244">
        <f>-psi_r-SQRT(psi_r^2-2*Tabella34[[#This Row],[c_r]])</f>
        <v>-4.8303814350977481</v>
      </c>
      <c r="AU8" s="244">
        <f>phi_r-LN(alpha*Kr/(Tabella34[[#This Row],[sel. region velocity]]*psi_r*SQRTPI(2)))</f>
        <v>-11.530055750446454</v>
      </c>
      <c r="AV8" s="244">
        <f>(ACOSH(SQRT(alpha*Kl*psi_l/(Tabella34[[#This Row],[sel. region velocity]]*(1+TANH(phi_l)))))+phi_l)/psi_l-(Tabella34[[#This Row],[Day]]-pl)</f>
        <v>246.4209533993037</v>
      </c>
      <c r="AW8" s="72">
        <f>-2*$BY$22*TANH($BY$22*(Tabella34[[#This Row],[Day]]-$BY$31)-$BY$21)*Tabella34[[#This Row],[sel. region velocity]]</f>
        <v>4.1948790050871716E-2</v>
      </c>
      <c r="AX8" s="143">
        <f>Tabella34[[#This Row],[sel. region acc. fit]]/y_l_peak</f>
        <v>3.0441952191342806E-4</v>
      </c>
      <c r="AY8" s="143">
        <f>Tabella34[[#This Row],[sel. region acc. fit]]*NOT(ISBLANK(Tabella34[[#This Row],[selected region rate data]]))</f>
        <v>0</v>
      </c>
      <c r="AZ8" s="77">
        <f>Tabella34[[#This Row],[sel. region acc. fit]]+CIl</f>
        <v>53.806789199599329</v>
      </c>
      <c r="BA8" s="77">
        <f>MAX(Tabella34[[#This Row],[sel. region acc. fit]]-CIl,0)</f>
        <v>0</v>
      </c>
      <c r="BB8" s="141"/>
      <c r="BC8" s="33"/>
      <c r="BD8" s="33"/>
      <c r="BE8" s="142">
        <f>Tabella34[[#This Row],[rest of Italy rate data]]*NOT(ISBLANK(Tabella34[[#This Row],[rest of Italy rate data]]))</f>
        <v>0</v>
      </c>
      <c r="BF8" s="188">
        <f>Tabella8[[#This Row],[rest of Italy fit]]</f>
        <v>0</v>
      </c>
      <c r="BG8" s="78">
        <f>(ATANH(alpha*Tabella34[[#This Row],[rest of Italy cumul. fit]]/Ka-(1-alpha*Tabella34[[#This Row],[rest of Italy cumul. fit]]/Ka)*TANH(phi_a))+phi_a)/psi_a-(Tabella34[[#This Row],[Day]]-pa)</f>
        <v>68.695444456084331</v>
      </c>
      <c r="BH8" s="143">
        <f>Tabella34[[#This Row],[rest of Italy cumul. fit]]/Ka</f>
        <v>0</v>
      </c>
      <c r="BI8" s="143">
        <f>Tabella3[[#This Row],[rest of Italy fit]]</f>
        <v>31.699347633118645</v>
      </c>
      <c r="BJ8" s="183" t="e">
        <f>Tabella34[[#This Row],[rest of Italy velocity]]/Tabella34[[#This Row],[rest of Italy cumul. fit]]</f>
        <v>#DIV/0!</v>
      </c>
      <c r="BK8" s="236" t="e">
        <f>(LN(Tabella34[[#This Row],[Day]]-po)-phi_o)/psi_o</f>
        <v>#NUM!</v>
      </c>
      <c r="BL8" s="244">
        <f>EXP(phi_o+psi_o*Tabella34[[#This Row],[x_o_alpha©+plus]])-(Tabella34[[#This Row],[Day]]-po)</f>
        <v>72.640648753106163</v>
      </c>
      <c r="BM8" s="244">
        <f>EXP(phi_o+psi_o*Tabella34[[#This Row],[x_o_alpha©-minus]])-(Tabella34[[#This Row],[Day]]-po)</f>
        <v>71.82847187228532</v>
      </c>
      <c r="BN8" s="244">
        <f>-psi_o+SQRT(psi_o^2-2*Tabella34[[#This Row],[c_o]])</f>
        <v>4.6769891853928849</v>
      </c>
      <c r="BO8" s="244">
        <f>-psi_o-SQRT(psi_o^2-2*Tabella34[[#This Row],[c_o]])</f>
        <v>-4.7260162709625133</v>
      </c>
      <c r="BP8" s="244">
        <f>phi_o-LN(alpha*Ko/(Tabella34[[#This Row],[rest of Italy velocity]]*psi_o*SQRTPI(2)))</f>
        <v>-11.051763494641243</v>
      </c>
      <c r="BQ8" s="244">
        <f>(ACOSH(SQRT(alpha*Ka*psi_a/(Tabella34[[#This Row],[rest of Italy velocity]]*(1+TANH(phi_a)))))+phi_a)/psi_a-(Tabella34[[#This Row],[Day]]-pa)</f>
        <v>254.21077203308954</v>
      </c>
      <c r="BR8" s="72">
        <f>-2*$BY$35*TANH($BY$35*(Tabella34[[#This Row],[Day]]-$BY$44)-$BY$34)*Tabella34[[#This Row],[rest of Italy velocity]]</f>
        <v>1.5454953242645648</v>
      </c>
      <c r="BS8" s="143">
        <f>Tabella34[[#This Row],[rest of Italy acc. fit]]/y_a_peak</f>
        <v>5.4004474047498422E-4</v>
      </c>
      <c r="BT8" s="142">
        <f>Tabella34[[#This Row],[rest of Italy acc. fit]]*NOT(ISBLANK(Tabella34[[#This Row],[rest of Italy rate data]]))</f>
        <v>0</v>
      </c>
      <c r="BU8" s="77">
        <f>Tabella34[[#This Row],[rest of Italy acc. fit]]+CIa</f>
        <v>1696.1196902338472</v>
      </c>
      <c r="BV8" s="77">
        <f>MAX(Tabella34[[#This Row],[rest of Italy acc. fit]]-CIa,0)</f>
        <v>0</v>
      </c>
      <c r="BW8" s="8"/>
      <c r="BX8" s="198"/>
      <c r="BY8" s="199"/>
      <c r="BZ8" s="3"/>
      <c r="CL8" s="327" t="s">
        <v>131</v>
      </c>
    </row>
    <row r="9" spans="2:90" x14ac:dyDescent="0.3">
      <c r="B9" s="262">
        <v>43832</v>
      </c>
      <c r="C9" s="4">
        <v>2</v>
      </c>
      <c r="D9" s="141"/>
      <c r="E9" s="144"/>
      <c r="F9" s="144"/>
      <c r="G9" s="142">
        <f>Tabella34[[#This Row],[Italy rate data]]*NOT(ISBLANK(Tabella34[[#This Row],[Italy rate data]]))</f>
        <v>0</v>
      </c>
      <c r="H9" s="143">
        <f>Tabella8[[#This Row],[Italy fit]]</f>
        <v>0</v>
      </c>
      <c r="I9" s="143">
        <f>(ATANH(alpha*Tabella34[[#This Row],[Italy cumul. Fit]]/Kf-(1-alpha*Tabella34[[#This Row],[Italy cumul. Fit]]/Kf)*TANH(phi_f))+phi_f)/psi_f-(Tabella34[[#This Row],[Day]]-pf)</f>
        <v>67.844294912230211</v>
      </c>
      <c r="J9" s="143">
        <f>Tabella34[[#This Row],[Italy d.t.]]/Italy_dt_at_lockdown</f>
        <v>61.530496862621099</v>
      </c>
      <c r="K9" s="143">
        <f>Tabella34[[#This Row],[Italy cumul. Fit]]/Kf</f>
        <v>0</v>
      </c>
      <c r="L9" s="146">
        <f>Tabella34[[#This Row],[sel. region acc. fit]]+Tabella34[[#This Row],[rest of Italy acc. fit]]</f>
        <v>1.6666167674157331</v>
      </c>
      <c r="M9" s="143">
        <f>Tabella34[[#This Row],[Italy (fit of selected region + fitted sum of the other regions)]]/(y_l_peak+y_a_peak)</f>
        <v>5.5561475497183663E-4</v>
      </c>
      <c r="N9" s="143">
        <f>Tabella3[[#This Row],[Italy remov. rate fit]]</f>
        <v>33.594007605737119</v>
      </c>
      <c r="O9" s="143" t="e">
        <f>Kt*EXP(-0.5*Tabella34[[#This Row],[x_t]]^2)/(psi_t*SQRTPI(2)*(Tabella34[[#This Row],[Day]]-D_bk))</f>
        <v>#NUM!</v>
      </c>
      <c r="P9" s="183" t="e">
        <f>Tabella34[[#This Row],[Italy velocity]]/Tabella34[[#This Row],[Italy cumul. Fit]]</f>
        <v>#DIV/0!</v>
      </c>
      <c r="Q9" s="244" t="e">
        <f>(LN(Tabella34[[#This Row],[Day]]-D_bk)-phi_t)/psi_t</f>
        <v>#NUM!</v>
      </c>
      <c r="R9" s="244">
        <f>EXP(phi_t+psi_t*Tabella34[[#This Row],[x_t_alpha©+plus]])-(Tabella34[[#This Row],[Day]]-D_bk)</f>
        <v>71.805018083535387</v>
      </c>
      <c r="S9" s="244">
        <f>EXP(phi_t+psi_t*Tabella34[[#This Row],[x_t_alpha©-minus]])-(Tabella34[[#This Row],[Day]]-D_bk)</f>
        <v>70.98516882712515</v>
      </c>
      <c r="T9" s="244">
        <f>-psi_t+SQRT(psi_t^2-2*Tabella34[[#This Row],[c_t]])</f>
        <v>4.6708434179755063</v>
      </c>
      <c r="U9" s="244">
        <f>-psi_t-SQRT(psi_t^2-2*Tabella34[[#This Row],[c_t]])</f>
        <v>-4.7202361523953105</v>
      </c>
      <c r="V9" s="244">
        <f>phi_t-LN(alpha*Kt/(Tabella34[[#This Row],[Italy velocity]]*psi_t*SQRTPI(2)))</f>
        <v>-11.023741981852833</v>
      </c>
      <c r="W9" s="244" t="e">
        <f>Tabella34[[#This Row],[Italy g.r.]]/Italy_gr_at_lockdown</f>
        <v>#DIV/0!</v>
      </c>
      <c r="X9" s="244">
        <f>(ACOSH(SQRT(alpha*Kf*psi_f/(Tabella34[[#This Row],[Italy velocity]]*(1+TANH(phi_f)))))+phi_f)/psi_f-(Tabella34[[#This Row],[Day]]-pf)</f>
        <v>251.90524064823165</v>
      </c>
      <c r="Y9" s="244">
        <f>Tabella34[[#This Row],[Italy h.t.]]/Italy_ht_at_lockdown</f>
        <v>2.1790430925867184</v>
      </c>
      <c r="Z9" s="72">
        <f>-2*$BY$48*TANH($BY$48*(Tabella34[[#This Row],[Day]]-$BY$57)-$BY$47)*Tabella34[[#This Row],[Italy velocity]]</f>
        <v>1.6499876950206425</v>
      </c>
      <c r="AA9" s="72">
        <f>Tabella34[[#This Row],[Italy acc. fit]]/Itali_acc_at_lockdown</f>
        <v>4.5695184672690806E-2</v>
      </c>
      <c r="AB9" s="143">
        <f>Tabella34[[#This Row],[Italy acc. fit]]/y_f_peak</f>
        <v>5.4973825282940468E-4</v>
      </c>
      <c r="AC9" s="143">
        <f>Tabella34[[#This Row],[Italy (fit of selected region + fitted sum of the other regions)]]*NOT(ISBLANK(Tabella34[[#This Row],[Italy rate data]]))</f>
        <v>0</v>
      </c>
      <c r="AD9" s="143">
        <f>Tabella34[[#This Row],[Italy acc. fit]]*NOT(ISBLANK(Tabella34[[#This Row],[Italy rate data]]))</f>
        <v>0</v>
      </c>
      <c r="AE9" s="77">
        <f>Tabella34[[#This Row],[Italy acc. fit]]+CIf</f>
        <v>1717.2648470295719</v>
      </c>
      <c r="AF9" s="77">
        <f>MAX(Tabella34[[#This Row],[Italy acc. fit]]-CIf,0)</f>
        <v>0</v>
      </c>
      <c r="AG9" s="141"/>
      <c r="AH9" s="33"/>
      <c r="AI9" s="33"/>
      <c r="AJ9" s="142">
        <f>Tabella34[[#This Row],[selected region rate data]]*NOT(ISBLANK(Tabella34[[#This Row],[selected region rate data]]))</f>
        <v>0</v>
      </c>
      <c r="AK9" s="147">
        <f>Tabella8[[#This Row],[region fit]]</f>
        <v>0</v>
      </c>
      <c r="AL9" s="143">
        <f>(ATANH(alpha*Tabella34[[#This Row],[sel. region cumul. fit]]/Kl-(1-alpha*Tabella34[[#This Row],[sel. region cumul. fit]]/Kl)*TANH(phi_l))+phi_l)/psi_l-(Tabella34[[#This Row],[Day]]-pl)</f>
        <v>73.240334693239106</v>
      </c>
      <c r="AM9" s="142">
        <f>Tabella34[[#This Row],[sel. region cumul. fit]]/Kl</f>
        <v>0</v>
      </c>
      <c r="AN9" s="143">
        <f>Tabella3[[#This Row],[region fit]]</f>
        <v>0.78883226774295934</v>
      </c>
      <c r="AO9" s="183" t="e">
        <f>Tabella34[[#This Row],[sel. region velocity]]/Tabella34[[#This Row],[sel. region cumul. fit]]</f>
        <v>#DIV/0!</v>
      </c>
      <c r="AP9" s="236" t="e">
        <f>(LN(Tabella34[[#This Row],[Day]]-pr)-phi_r)/psi_r</f>
        <v>#NUM!</v>
      </c>
      <c r="AQ9" s="244">
        <f>EXP(phi_r+psi_r*Tabella34[[#This Row],[x_r_alpha©+plus]])-(Tabella34[[#This Row],[Day]]-pr)</f>
        <v>77.066444670306012</v>
      </c>
      <c r="AR9" s="244">
        <f>EXP(phi_r+psi_r*Tabella34[[#This Row],[x_r_alpha©-minus]])-(Tabella34[[#This Row],[Day]]-pr)</f>
        <v>76.160463731420379</v>
      </c>
      <c r="AS9" s="244">
        <f>-psi_r+SQRT(psi_r^2-2*Tabella34[[#This Row],[c_r]])</f>
        <v>4.7622452260975976</v>
      </c>
      <c r="AT9" s="244">
        <f>-psi_r-SQRT(psi_r^2-2*Tabella34[[#This Row],[c_r]])</f>
        <v>-4.8186534645162595</v>
      </c>
      <c r="AU9" s="244">
        <f>phi_r-LN(alpha*Kr/(Tabella34[[#This Row],[sel. region velocity]]*psi_r*SQRTPI(2)))</f>
        <v>-11.473804728805604</v>
      </c>
      <c r="AV9" s="244">
        <f>(ACOSH(SQRT(alpha*Kl*psi_l/(Tabella34[[#This Row],[sel. region velocity]]*(1+TANH(phi_l)))))+phi_l)/psi_l-(Tabella34[[#This Row],[Day]]-pl)</f>
        <v>244.42234987936371</v>
      </c>
      <c r="AW9" s="72">
        <f>-2*$BY$22*TANH($BY$22*(Tabella34[[#This Row],[Day]]-$BY$31)-$BY$21)*Tabella34[[#This Row],[sel. region velocity]]</f>
        <v>4.4369095285325462E-2</v>
      </c>
      <c r="AX9" s="143">
        <f>Tabella34[[#This Row],[sel. region acc. fit]]/y_l_peak</f>
        <v>3.2198351270943114E-4</v>
      </c>
      <c r="AY9" s="143">
        <f>Tabella34[[#This Row],[sel. region acc. fit]]*NOT(ISBLANK(Tabella34[[#This Row],[selected region rate data]]))</f>
        <v>0</v>
      </c>
      <c r="AZ9" s="77">
        <f>Tabella34[[#This Row],[sel. region acc. fit]]+CIl</f>
        <v>53.809209504833781</v>
      </c>
      <c r="BA9" s="77">
        <f>MAX(Tabella34[[#This Row],[sel. region acc. fit]]-CIl,0)</f>
        <v>0</v>
      </c>
      <c r="BB9" s="141"/>
      <c r="BC9" s="33"/>
      <c r="BD9" s="33"/>
      <c r="BE9" s="142">
        <f>Tabella34[[#This Row],[rest of Italy rate data]]*NOT(ISBLANK(Tabella34[[#This Row],[rest of Italy rate data]]))</f>
        <v>0</v>
      </c>
      <c r="BF9" s="188">
        <f>Tabella8[[#This Row],[rest of Italy fit]]</f>
        <v>0</v>
      </c>
      <c r="BG9" s="78">
        <f>(ATANH(alpha*Tabella34[[#This Row],[rest of Italy cumul. fit]]/Ka-(1-alpha*Tabella34[[#This Row],[rest of Italy cumul. fit]]/Ka)*TANH(phi_a))+phi_a)/psi_a-(Tabella34[[#This Row],[Day]]-pa)</f>
        <v>67.695444456084331</v>
      </c>
      <c r="BH9" s="143">
        <f>Tabella34[[#This Row],[rest of Italy cumul. fit]]/Ka</f>
        <v>0</v>
      </c>
      <c r="BI9" s="143">
        <f>Tabella3[[#This Row],[rest of Italy fit]]</f>
        <v>33.282912750289753</v>
      </c>
      <c r="BJ9" s="183" t="e">
        <f>Tabella34[[#This Row],[rest of Italy velocity]]/Tabella34[[#This Row],[rest of Italy cumul. fit]]</f>
        <v>#DIV/0!</v>
      </c>
      <c r="BK9" s="236" t="e">
        <f>(LN(Tabella34[[#This Row],[Day]]-po)-phi_o)/psi_o</f>
        <v>#NUM!</v>
      </c>
      <c r="BL9" s="244">
        <f>EXP(phi_o+psi_o*Tabella34[[#This Row],[x_o_alpha©+plus]])-(Tabella34[[#This Row],[Day]]-po)</f>
        <v>71.639645014980218</v>
      </c>
      <c r="BM9" s="244">
        <f>EXP(phi_o+psi_o*Tabella34[[#This Row],[x_o_alpha©-minus]])-(Tabella34[[#This Row],[Day]]-po)</f>
        <v>70.829269179374634</v>
      </c>
      <c r="BN9" s="244">
        <f>-psi_o+SQRT(psi_o^2-2*Tabella34[[#This Row],[c_o]])</f>
        <v>4.6666091198915449</v>
      </c>
      <c r="BO9" s="244">
        <f>-psi_o-SQRT(psi_o^2-2*Tabella34[[#This Row],[c_o]])</f>
        <v>-4.7156362054611733</v>
      </c>
      <c r="BP9" s="244">
        <f>phi_o-LN(alpha*Ko/(Tabella34[[#This Row],[rest of Italy velocity]]*psi_o*SQRTPI(2)))</f>
        <v>-11.003015461247934</v>
      </c>
      <c r="BQ9" s="244">
        <f>(ACOSH(SQRT(alpha*Ka*psi_a/(Tabella34[[#This Row],[rest of Italy velocity]]*(1+TANH(phi_a)))))+phi_a)/psi_a-(Tabella34[[#This Row],[Day]]-pa)</f>
        <v>252.21363011691744</v>
      </c>
      <c r="BR9" s="72">
        <f>-2*$BY$35*TANH($BY$35*(Tabella34[[#This Row],[Day]]-$BY$44)-$BY$34)*Tabella34[[#This Row],[rest of Italy velocity]]</f>
        <v>1.6222476721304075</v>
      </c>
      <c r="BS9" s="143">
        <f>Tabella34[[#This Row],[rest of Italy acc. fit]]/y_a_peak</f>
        <v>5.6686442807499606E-4</v>
      </c>
      <c r="BT9" s="142">
        <f>Tabella34[[#This Row],[rest of Italy acc. fit]]*NOT(ISBLANK(Tabella34[[#This Row],[rest of Italy rate data]]))</f>
        <v>0</v>
      </c>
      <c r="BU9" s="77">
        <f>Tabella34[[#This Row],[rest of Italy acc. fit]]+CIa</f>
        <v>1696.1964425817132</v>
      </c>
      <c r="BV9" s="77">
        <f>MAX(Tabella34[[#This Row],[rest of Italy acc. fit]]-CIa,0)</f>
        <v>0</v>
      </c>
      <c r="BW9" s="8"/>
      <c r="BX9" s="200"/>
      <c r="BY9" s="201"/>
      <c r="BZ9" s="3"/>
      <c r="CL9" s="328"/>
    </row>
    <row r="10" spans="2:90" x14ac:dyDescent="0.3">
      <c r="B10" s="262">
        <v>43833</v>
      </c>
      <c r="C10" s="4">
        <v>3</v>
      </c>
      <c r="D10" s="141"/>
      <c r="E10" s="144"/>
      <c r="F10" s="144"/>
      <c r="G10" s="142">
        <f>Tabella34[[#This Row],[Italy rate data]]*NOT(ISBLANK(Tabella34[[#This Row],[Italy rate data]]))</f>
        <v>0</v>
      </c>
      <c r="H10" s="143">
        <f>Tabella8[[#This Row],[Italy fit]]</f>
        <v>0</v>
      </c>
      <c r="I10" s="143">
        <f>(ATANH(alpha*Tabella34[[#This Row],[Italy cumul. Fit]]/Kf-(1-alpha*Tabella34[[#This Row],[Italy cumul. Fit]]/Kf)*TANH(phi_f))+phi_f)/psi_f-(Tabella34[[#This Row],[Day]]-pf)</f>
        <v>66.844294912230211</v>
      </c>
      <c r="J10" s="143">
        <f>Tabella34[[#This Row],[Italy d.t.]]/Italy_dt_at_lockdown</f>
        <v>60.623559927949984</v>
      </c>
      <c r="K10" s="143">
        <f>Tabella34[[#This Row],[Italy cumul. Fit]]/Kf</f>
        <v>0</v>
      </c>
      <c r="L10" s="146">
        <f>Tabella34[[#This Row],[sel. region acc. fit]]+Tabella34[[#This Row],[rest of Italy acc. fit]]</f>
        <v>1.749692130362688</v>
      </c>
      <c r="M10" s="143">
        <f>Tabella34[[#This Row],[Italy (fit of selected region + fitted sum of the other regions)]]/(y_l_peak+y_a_peak)</f>
        <v>5.8331032262146575E-4</v>
      </c>
      <c r="N10" s="143">
        <f>Tabella3[[#This Row],[Italy remov. rate fit]]</f>
        <v>35.284942061113838</v>
      </c>
      <c r="O10" s="143" t="e">
        <f>Kt*EXP(-0.5*Tabella34[[#This Row],[x_t]]^2)/(psi_t*SQRTPI(2)*(Tabella34[[#This Row],[Day]]-D_bk))</f>
        <v>#NUM!</v>
      </c>
      <c r="P10" s="183" t="e">
        <f>Tabella34[[#This Row],[Italy velocity]]/Tabella34[[#This Row],[Italy cumul. Fit]]</f>
        <v>#DIV/0!</v>
      </c>
      <c r="Q10" s="244" t="e">
        <f>(LN(Tabella34[[#This Row],[Day]]-D_bk)-phi_t)/psi_t</f>
        <v>#NUM!</v>
      </c>
      <c r="R10" s="244">
        <f>EXP(phi_t+psi_t*Tabella34[[#This Row],[x_t_alpha©+plus]])-(Tabella34[[#This Row],[Day]]-D_bk)</f>
        <v>70.803994064846378</v>
      </c>
      <c r="S10" s="244">
        <f>EXP(phi_t+psi_t*Tabella34[[#This Row],[x_t_alpha©-minus]])-(Tabella34[[#This Row],[Day]]-D_bk)</f>
        <v>69.985981089235139</v>
      </c>
      <c r="T10" s="244">
        <f>-psi_t+SQRT(psi_t^2-2*Tabella34[[#This Row],[c_t]])</f>
        <v>4.6603731820498462</v>
      </c>
      <c r="U10" s="244">
        <f>-psi_t-SQRT(psi_t^2-2*Tabella34[[#This Row],[c_t]])</f>
        <v>-4.7097659164696504</v>
      </c>
      <c r="V10" s="244">
        <f>phi_t-LN(alpha*Kt/(Tabella34[[#This Row],[Italy velocity]]*psi_t*SQRTPI(2)))</f>
        <v>-10.97463338542379</v>
      </c>
      <c r="W10" s="244" t="e">
        <f>Tabella34[[#This Row],[Italy g.r.]]/Italy_gr_at_lockdown</f>
        <v>#DIV/0!</v>
      </c>
      <c r="X10" s="244">
        <f>(ACOSH(SQRT(alpha*Kf*psi_f/(Tabella34[[#This Row],[Italy velocity]]*(1+TANH(phi_f)))))+phi_f)/psi_f-(Tabella34[[#This Row],[Day]]-pf)</f>
        <v>249.90812940990173</v>
      </c>
      <c r="Y10" s="244">
        <f>Tabella34[[#This Row],[Italy h.t.]]/Italy_ht_at_lockdown</f>
        <v>2.1617675828045022</v>
      </c>
      <c r="Z10" s="72">
        <f>-2*$BY$48*TANH($BY$48*(Tabella34[[#This Row],[Day]]-$BY$57)-$BY$47)*Tabella34[[#This Row],[Italy velocity]]</f>
        <v>1.7325450707267027</v>
      </c>
      <c r="AA10" s="72">
        <f>Tabella34[[#This Row],[Italy acc. fit]]/Itali_acc_at_lockdown</f>
        <v>4.7981549922786769E-2</v>
      </c>
      <c r="AB10" s="143">
        <f>Tabella34[[#This Row],[Italy acc. fit]]/y_f_peak</f>
        <v>5.7724448673393243E-4</v>
      </c>
      <c r="AC10" s="143">
        <f>Tabella34[[#This Row],[Italy (fit of selected region + fitted sum of the other regions)]]*NOT(ISBLANK(Tabella34[[#This Row],[Italy rate data]]))</f>
        <v>0</v>
      </c>
      <c r="AD10" s="143">
        <f>Tabella34[[#This Row],[Italy acc. fit]]*NOT(ISBLANK(Tabella34[[#This Row],[Italy rate data]]))</f>
        <v>0</v>
      </c>
      <c r="AE10" s="77">
        <f>Tabella34[[#This Row],[Italy acc. fit]]+CIf</f>
        <v>1717.347404405278</v>
      </c>
      <c r="AF10" s="77">
        <f>MAX(Tabella34[[#This Row],[Italy acc. fit]]-CIf,0)</f>
        <v>0</v>
      </c>
      <c r="AG10" s="141"/>
      <c r="AH10" s="33"/>
      <c r="AI10" s="33"/>
      <c r="AJ10" s="142">
        <f>Tabella34[[#This Row],[selected region rate data]]*NOT(ISBLANK(Tabella34[[#This Row],[selected region rate data]]))</f>
        <v>0</v>
      </c>
      <c r="AK10" s="147">
        <f>Tabella8[[#This Row],[region fit]]</f>
        <v>0</v>
      </c>
      <c r="AL10" s="143">
        <f>(ATANH(alpha*Tabella34[[#This Row],[sel. region cumul. fit]]/Kl-(1-alpha*Tabella34[[#This Row],[sel. region cumul. fit]]/Kl)*TANH(phi_l))+phi_l)/psi_l-(Tabella34[[#This Row],[Day]]-pl)</f>
        <v>72.240334693239106</v>
      </c>
      <c r="AM10" s="142">
        <f>Tabella34[[#This Row],[sel. region cumul. fit]]/Kl</f>
        <v>0</v>
      </c>
      <c r="AN10" s="143">
        <f>Tabella3[[#This Row],[region fit]]</f>
        <v>0.83446902277667212</v>
      </c>
      <c r="AO10" s="183" t="e">
        <f>Tabella34[[#This Row],[sel. region velocity]]/Tabella34[[#This Row],[sel. region cumul. fit]]</f>
        <v>#DIV/0!</v>
      </c>
      <c r="AP10" s="236" t="e">
        <f>(LN(Tabella34[[#This Row],[Day]]-pr)-phi_r)/psi_r</f>
        <v>#NUM!</v>
      </c>
      <c r="AQ10" s="244">
        <f>EXP(phi_r+psi_r*Tabella34[[#This Row],[x_r_alpha©+plus]])-(Tabella34[[#This Row],[Day]]-pr)</f>
        <v>76.065176390758026</v>
      </c>
      <c r="AR10" s="244">
        <f>EXP(phi_r+psi_r*Tabella34[[#This Row],[x_r_alpha©-minus]])-(Tabella34[[#This Row],[Day]]-pr)</f>
        <v>75.161432017229174</v>
      </c>
      <c r="AS10" s="244">
        <f>-psi_r+SQRT(psi_r^2-2*Tabella34[[#This Row],[c_r]])</f>
        <v>4.7504903788927804</v>
      </c>
      <c r="AT10" s="244">
        <f>-psi_r-SQRT(psi_r^2-2*Tabella34[[#This Row],[c_r]])</f>
        <v>-4.8068986173114423</v>
      </c>
      <c r="AU10" s="244">
        <f>phi_r-LN(alpha*Kr/(Tabella34[[#This Row],[sel. region velocity]]*psi_r*SQRTPI(2)))</f>
        <v>-11.417562816925509</v>
      </c>
      <c r="AV10" s="244">
        <f>(ACOSH(SQRT(alpha*Kl*psi_l/(Tabella34[[#This Row],[sel. region velocity]]*(1+TANH(phi_l)))))+phi_l)/psi_l-(Tabella34[[#This Row],[Day]]-pl)</f>
        <v>242.423827456124</v>
      </c>
      <c r="AW10" s="72">
        <f>-2*$BY$22*TANH($BY$22*(Tabella34[[#This Row],[Day]]-$BY$31)-$BY$21)*Tabella34[[#This Row],[sel. region velocity]]</f>
        <v>4.692818780848261E-2</v>
      </c>
      <c r="AX10" s="143">
        <f>Tabella34[[#This Row],[sel. region acc. fit]]/y_l_peak</f>
        <v>3.4055467343866743E-4</v>
      </c>
      <c r="AY10" s="143">
        <f>Tabella34[[#This Row],[sel. region acc. fit]]*NOT(ISBLANK(Tabella34[[#This Row],[selected region rate data]]))</f>
        <v>0</v>
      </c>
      <c r="AZ10" s="77">
        <f>Tabella34[[#This Row],[sel. region acc. fit]]+CIl</f>
        <v>53.811768597356938</v>
      </c>
      <c r="BA10" s="77">
        <f>MAX(Tabella34[[#This Row],[sel. region acc. fit]]-CIl,0)</f>
        <v>0</v>
      </c>
      <c r="BB10" s="141"/>
      <c r="BC10" s="33"/>
      <c r="BD10" s="33"/>
      <c r="BE10" s="142">
        <f>Tabella34[[#This Row],[rest of Italy rate data]]*NOT(ISBLANK(Tabella34[[#This Row],[rest of Italy rate data]]))</f>
        <v>0</v>
      </c>
      <c r="BF10" s="188">
        <f>Tabella8[[#This Row],[rest of Italy fit]]</f>
        <v>0</v>
      </c>
      <c r="BG10" s="78">
        <f>(ATANH(alpha*Tabella34[[#This Row],[rest of Italy cumul. fit]]/Ka-(1-alpha*Tabella34[[#This Row],[rest of Italy cumul. fit]]/Ka)*TANH(phi_a))+phi_a)/psi_a-(Tabella34[[#This Row],[Day]]-pa)</f>
        <v>66.695444456084331</v>
      </c>
      <c r="BH10" s="143">
        <f>Tabella34[[#This Row],[rest of Italy cumul. fit]]/Ka</f>
        <v>0</v>
      </c>
      <c r="BI10" s="143">
        <f>Tabella3[[#This Row],[rest of Italy fit]]</f>
        <v>34.945097531938622</v>
      </c>
      <c r="BJ10" s="183" t="e">
        <f>Tabella34[[#This Row],[rest of Italy velocity]]/Tabella34[[#This Row],[rest of Italy cumul. fit]]</f>
        <v>#DIV/0!</v>
      </c>
      <c r="BK10" s="236" t="e">
        <f>(LN(Tabella34[[#This Row],[Day]]-po)-phi_o)/psi_o</f>
        <v>#NUM!</v>
      </c>
      <c r="BL10" s="244">
        <f>EXP(phi_o+psi_o*Tabella34[[#This Row],[x_o_alpha©+plus]])-(Tabella34[[#This Row],[Day]]-po)</f>
        <v>70.638639595873016</v>
      </c>
      <c r="BM10" s="244">
        <f>EXP(phi_o+psi_o*Tabella34[[#This Row],[x_o_alpha©-minus]])-(Tabella34[[#This Row],[Day]]-po)</f>
        <v>69.830068228659215</v>
      </c>
      <c r="BN10" s="244">
        <f>-psi_o+SQRT(psi_o^2-2*Tabella34[[#This Row],[c_o]])</f>
        <v>4.6562090221335275</v>
      </c>
      <c r="BO10" s="244">
        <f>-psi_o-SQRT(psi_o^2-2*Tabella34[[#This Row],[c_o]])</f>
        <v>-4.7052361077031559</v>
      </c>
      <c r="BP10" s="244">
        <f>phi_o-LN(alpha*Ko/(Tabella34[[#This Row],[rest of Italy velocity]]*psi_o*SQRTPI(2)))</f>
        <v>-10.954281407977939</v>
      </c>
      <c r="BQ10" s="244">
        <f>(ACOSH(SQRT(alpha*Ka*psi_a/(Tabella34[[#This Row],[rest of Italy velocity]]*(1+TANH(phi_a)))))+phi_a)/psi_a-(Tabella34[[#This Row],[Day]]-pa)</f>
        <v>250.21663202973241</v>
      </c>
      <c r="BR10" s="72">
        <f>-2*$BY$35*TANH($BY$35*(Tabella34[[#This Row],[Day]]-$BY$44)-$BY$34)*Tabella34[[#This Row],[rest of Italy velocity]]</f>
        <v>1.7027639425542054</v>
      </c>
      <c r="BS10" s="143">
        <f>Tabella34[[#This Row],[rest of Italy acc. fit]]/y_a_peak</f>
        <v>5.949993487585802E-4</v>
      </c>
      <c r="BT10" s="142">
        <f>Tabella34[[#This Row],[rest of Italy acc. fit]]*NOT(ISBLANK(Tabella34[[#This Row],[rest of Italy rate data]]))</f>
        <v>0</v>
      </c>
      <c r="BU10" s="77">
        <f>Tabella34[[#This Row],[rest of Italy acc. fit]]+CIa</f>
        <v>1696.2769588521369</v>
      </c>
      <c r="BV10" s="77">
        <f>MAX(Tabella34[[#This Row],[rest of Italy acc. fit]]-CIa,0)</f>
        <v>0</v>
      </c>
      <c r="BW10" s="8"/>
      <c r="BX10" s="198"/>
      <c r="BY10" s="201"/>
      <c r="BZ10" s="3"/>
      <c r="CL10" s="328"/>
    </row>
    <row r="11" spans="2:90" x14ac:dyDescent="0.3">
      <c r="B11" s="262">
        <v>43834</v>
      </c>
      <c r="C11" s="4">
        <v>4</v>
      </c>
      <c r="D11" s="141"/>
      <c r="E11" s="144"/>
      <c r="F11" s="144"/>
      <c r="G11" s="142">
        <f>Tabella34[[#This Row],[Italy rate data]]*NOT(ISBLANK(Tabella34[[#This Row],[Italy rate data]]))</f>
        <v>0</v>
      </c>
      <c r="H11" s="143">
        <f>Tabella8[[#This Row],[Italy fit]]</f>
        <v>0</v>
      </c>
      <c r="I11" s="143">
        <f>(ATANH(alpha*Tabella34[[#This Row],[Italy cumul. Fit]]/Kf-(1-alpha*Tabella34[[#This Row],[Italy cumul. Fit]]/Kf)*TANH(phi_f))+phi_f)/psi_f-(Tabella34[[#This Row],[Day]]-pf)</f>
        <v>65.844294912230211</v>
      </c>
      <c r="J11" s="143">
        <f>Tabella34[[#This Row],[Italy d.t.]]/Italy_dt_at_lockdown</f>
        <v>59.716622993278875</v>
      </c>
      <c r="K11" s="143">
        <f>Tabella34[[#This Row],[Italy cumul. Fit]]/Kf</f>
        <v>0</v>
      </c>
      <c r="L11" s="146">
        <f>Tabella34[[#This Row],[sel. region acc. fit]]+Tabella34[[#This Row],[rest of Italy acc. fit]]</f>
        <v>1.8368577339976297</v>
      </c>
      <c r="M11" s="143">
        <f>Tabella34[[#This Row],[Italy (fit of selected region + fitted sum of the other regions)]]/(y_l_peak+y_a_peak)</f>
        <v>6.1236948994323527E-4</v>
      </c>
      <c r="N11" s="143">
        <f>Tabella3[[#This Row],[Italy remov. rate fit]]</f>
        <v>37.06045712858981</v>
      </c>
      <c r="O11" s="143" t="e">
        <f>Kt*EXP(-0.5*Tabella34[[#This Row],[x_t]]^2)/(psi_t*SQRTPI(2)*(Tabella34[[#This Row],[Day]]-D_bk))</f>
        <v>#NUM!</v>
      </c>
      <c r="P11" s="183" t="e">
        <f>Tabella34[[#This Row],[Italy velocity]]/Tabella34[[#This Row],[Italy cumul. Fit]]</f>
        <v>#DIV/0!</v>
      </c>
      <c r="Q11" s="244" t="e">
        <f>(LN(Tabella34[[#This Row],[Day]]-D_bk)-phi_t)/psi_t</f>
        <v>#NUM!</v>
      </c>
      <c r="R11" s="244">
        <f>EXP(phi_t+psi_t*Tabella34[[#This Row],[x_t_alpha©+plus]])-(Tabella34[[#This Row],[Day]]-D_bk)</f>
        <v>69.802968318159898</v>
      </c>
      <c r="S11" s="244">
        <f>EXP(phi_t+psi_t*Tabella34[[#This Row],[x_t_alpha©-minus]])-(Tabella34[[#This Row],[Day]]-D_bk)</f>
        <v>68.986795143302146</v>
      </c>
      <c r="T11" s="244">
        <f>-psi_t+SQRT(psi_t^2-2*Tabella34[[#This Row],[c_t]])</f>
        <v>4.6498825630298004</v>
      </c>
      <c r="U11" s="244">
        <f>-psi_t-SQRT(psi_t^2-2*Tabella34[[#This Row],[c_t]])</f>
        <v>-4.6992752974496046</v>
      </c>
      <c r="V11" s="244">
        <f>phi_t-LN(alpha*Kt/(Tabella34[[#This Row],[Italy velocity]]*psi_t*SQRTPI(2)))</f>
        <v>-10.925539132243797</v>
      </c>
      <c r="W11" s="244" t="e">
        <f>Tabella34[[#This Row],[Italy g.r.]]/Italy_gr_at_lockdown</f>
        <v>#DIV/0!</v>
      </c>
      <c r="X11" s="244">
        <f>(ACOSH(SQRT(alpha*Kf*psi_f/(Tabella34[[#This Row],[Italy velocity]]*(1+TANH(phi_f)))))+phi_f)/psi_f-(Tabella34[[#This Row],[Day]]-pf)</f>
        <v>247.91116465797683</v>
      </c>
      <c r="Y11" s="244">
        <f>Tabella34[[#This Row],[Italy h.t.]]/Italy_ht_at_lockdown</f>
        <v>2.1444933401661852</v>
      </c>
      <c r="Z11" s="72">
        <f>-2*$BY$48*TANH($BY$48*(Tabella34[[#This Row],[Day]]-$BY$57)-$BY$47)*Tabella34[[#This Row],[Italy velocity]]</f>
        <v>1.8191808748262537</v>
      </c>
      <c r="AA11" s="72">
        <f>Tabella34[[#This Row],[Italy acc. fit]]/Itali_acc_at_lockdown</f>
        <v>5.0380864220428562E-2</v>
      </c>
      <c r="AB11" s="143">
        <f>Tabella34[[#This Row],[Italy acc. fit]]/y_f_peak</f>
        <v>6.0610955992319751E-4</v>
      </c>
      <c r="AC11" s="143">
        <f>Tabella34[[#This Row],[Italy (fit of selected region + fitted sum of the other regions)]]*NOT(ISBLANK(Tabella34[[#This Row],[Italy rate data]]))</f>
        <v>0</v>
      </c>
      <c r="AD11" s="143">
        <f>Tabella34[[#This Row],[Italy acc. fit]]*NOT(ISBLANK(Tabella34[[#This Row],[Italy rate data]]))</f>
        <v>0</v>
      </c>
      <c r="AE11" s="77">
        <f>Tabella34[[#This Row],[Italy acc. fit]]+CIf</f>
        <v>1717.4340402093776</v>
      </c>
      <c r="AF11" s="77">
        <f>MAX(Tabella34[[#This Row],[Italy acc. fit]]-CIf,0)</f>
        <v>0</v>
      </c>
      <c r="AG11" s="141"/>
      <c r="AH11" s="33"/>
      <c r="AI11" s="33"/>
      <c r="AJ11" s="142">
        <f>Tabella34[[#This Row],[selected region rate data]]*NOT(ISBLANK(Tabella34[[#This Row],[selected region rate data]]))</f>
        <v>0</v>
      </c>
      <c r="AK11" s="147">
        <f>Tabella8[[#This Row],[region fit]]</f>
        <v>0</v>
      </c>
      <c r="AL11" s="143">
        <f>(ATANH(alpha*Tabella34[[#This Row],[sel. region cumul. fit]]/Kl-(1-alpha*Tabella34[[#This Row],[sel. region cumul. fit]]/Kl)*TANH(phi_l))+phi_l)/psi_l-(Tabella34[[#This Row],[Day]]-pl)</f>
        <v>71.240334693239106</v>
      </c>
      <c r="AM11" s="142">
        <f>Tabella34[[#This Row],[sel. region cumul. fit]]/Kl</f>
        <v>0</v>
      </c>
      <c r="AN11" s="143">
        <f>Tabella3[[#This Row],[region fit]]</f>
        <v>0.88273751976334747</v>
      </c>
      <c r="AO11" s="183" t="e">
        <f>Tabella34[[#This Row],[sel. region velocity]]/Tabella34[[#This Row],[sel. region cumul. fit]]</f>
        <v>#DIV/0!</v>
      </c>
      <c r="AP11" s="236" t="e">
        <f>(LN(Tabella34[[#This Row],[Day]]-pr)-phi_r)/psi_r</f>
        <v>#NUM!</v>
      </c>
      <c r="AQ11" s="244">
        <f>EXP(phi_r+psi_r*Tabella34[[#This Row],[x_r_alpha©+plus]])-(Tabella34[[#This Row],[Day]]-pr)</f>
        <v>75.063905623712529</v>
      </c>
      <c r="AR11" s="244">
        <f>EXP(phi_r+psi_r*Tabella34[[#This Row],[x_r_alpha©-minus]])-(Tabella34[[#This Row],[Day]]-pr)</f>
        <v>74.162402846405229</v>
      </c>
      <c r="AS11" s="244">
        <f>-psi_r+SQRT(psi_r^2-2*Tabella34[[#This Row],[c_r]])</f>
        <v>4.7387085667976567</v>
      </c>
      <c r="AT11" s="244">
        <f>-psi_r-SQRT(psi_r^2-2*Tabella34[[#This Row],[c_r]])</f>
        <v>-4.7951168052163187</v>
      </c>
      <c r="AU11" s="244">
        <f>phi_r-LN(alpha*Kr/(Tabella34[[#This Row],[sel. region velocity]]*psi_r*SQRTPI(2)))</f>
        <v>-11.361330541836988</v>
      </c>
      <c r="AV11" s="244">
        <f>(ACOSH(SQRT(alpha*Kl*psi_l/(Tabella34[[#This Row],[sel. region velocity]]*(1+TANH(phi_l)))))+phi_l)/psi_l-(Tabella34[[#This Row],[Day]]-pl)</f>
        <v>240.4253908426972</v>
      </c>
      <c r="AW11" s="72">
        <f>-2*$BY$22*TANH($BY$22*(Tabella34[[#This Row],[Day]]-$BY$31)-$BY$21)*Tabella34[[#This Row],[sel. region velocity]]</f>
        <v>4.963392395525431E-2</v>
      </c>
      <c r="AX11" s="143">
        <f>Tabella34[[#This Row],[sel. region acc. fit]]/y_l_peak</f>
        <v>3.6019001699029879E-4</v>
      </c>
      <c r="AY11" s="143">
        <f>Tabella34[[#This Row],[sel. region acc. fit]]*NOT(ISBLANK(Tabella34[[#This Row],[selected region rate data]]))</f>
        <v>0</v>
      </c>
      <c r="AZ11" s="77">
        <f>Tabella34[[#This Row],[sel. region acc. fit]]+CIl</f>
        <v>53.814474333503711</v>
      </c>
      <c r="BA11" s="77">
        <f>MAX(Tabella34[[#This Row],[sel. region acc. fit]]-CIl,0)</f>
        <v>0</v>
      </c>
      <c r="BB11" s="141"/>
      <c r="BC11" s="33"/>
      <c r="BD11" s="33"/>
      <c r="BE11" s="142">
        <f>Tabella34[[#This Row],[rest of Italy rate data]]*NOT(ISBLANK(Tabella34[[#This Row],[rest of Italy rate data]]))</f>
        <v>0</v>
      </c>
      <c r="BF11" s="188">
        <f>Tabella8[[#This Row],[rest of Italy fit]]</f>
        <v>0</v>
      </c>
      <c r="BG11" s="78">
        <f>(ATANH(alpha*Tabella34[[#This Row],[rest of Italy cumul. fit]]/Ka-(1-alpha*Tabella34[[#This Row],[rest of Italy cumul. fit]]/Ka)*TANH(phi_a))+phi_a)/psi_a-(Tabella34[[#This Row],[Day]]-pa)</f>
        <v>65.695444456084331</v>
      </c>
      <c r="BH11" s="143">
        <f>Tabella34[[#This Row],[rest of Italy cumul. fit]]/Ka</f>
        <v>0</v>
      </c>
      <c r="BI11" s="143">
        <f>Tabella3[[#This Row],[rest of Italy fit]]</f>
        <v>36.689755078095132</v>
      </c>
      <c r="BJ11" s="183" t="e">
        <f>Tabella34[[#This Row],[rest of Italy velocity]]/Tabella34[[#This Row],[rest of Italy cumul. fit]]</f>
        <v>#DIV/0!</v>
      </c>
      <c r="BK11" s="236" t="e">
        <f>(LN(Tabella34[[#This Row],[Day]]-po)-phi_o)/psi_o</f>
        <v>#NUM!</v>
      </c>
      <c r="BL11" s="244">
        <f>EXP(phi_o+psi_o*Tabella34[[#This Row],[x_o_alpha©+plus]])-(Tabella34[[#This Row],[Day]]-po)</f>
        <v>69.637632498714353</v>
      </c>
      <c r="BM11" s="244">
        <f>EXP(phi_o+psi_o*Tabella34[[#This Row],[x_o_alpha©-minus]])-(Tabella34[[#This Row],[Day]]-po)</f>
        <v>68.830869020164002</v>
      </c>
      <c r="BN11" s="244">
        <f>-psi_o+SQRT(psi_o^2-2*Tabella34[[#This Row],[c_o]])</f>
        <v>4.6457889077854189</v>
      </c>
      <c r="BO11" s="244">
        <f>-psi_o-SQRT(psi_o^2-2*Tabella34[[#This Row],[c_o]])</f>
        <v>-4.6948159933550473</v>
      </c>
      <c r="BP11" s="244">
        <f>phi_o-LN(alpha*Ko/(Tabella34[[#This Row],[rest of Italy velocity]]*psi_o*SQRTPI(2)))</f>
        <v>-10.905562033011229</v>
      </c>
      <c r="BQ11" s="244">
        <f>(ACOSH(SQRT(alpha*Ka*psi_a/(Tabella34[[#This Row],[rest of Italy velocity]]*(1+TANH(phi_a)))))+phi_a)/psi_a-(Tabella34[[#This Row],[Day]]-pa)</f>
        <v>248.21978502071511</v>
      </c>
      <c r="BR11" s="72">
        <f>-2*$BY$35*TANH($BY$35*(Tabella34[[#This Row],[Day]]-$BY$44)-$BY$34)*Tabella34[[#This Row],[rest of Italy velocity]]</f>
        <v>1.7872238100423754</v>
      </c>
      <c r="BS11" s="143">
        <f>Tabella34[[#This Row],[rest of Italy acc. fit]]/y_a_peak</f>
        <v>6.2451228645698771E-4</v>
      </c>
      <c r="BT11" s="142">
        <f>Tabella34[[#This Row],[rest of Italy acc. fit]]*NOT(ISBLANK(Tabella34[[#This Row],[rest of Italy rate data]]))</f>
        <v>0</v>
      </c>
      <c r="BU11" s="77">
        <f>Tabella34[[#This Row],[rest of Italy acc. fit]]+CIa</f>
        <v>1696.3614187196251</v>
      </c>
      <c r="BV11" s="77">
        <f>MAX(Tabella34[[#This Row],[rest of Italy acc. fit]]-CIa,0)</f>
        <v>0</v>
      </c>
      <c r="BW11" s="8"/>
      <c r="BX11" s="202" t="s">
        <v>1</v>
      </c>
      <c r="BY11" s="203">
        <f>AVERAGE(Tabella34[Italy rate data])</f>
        <v>1282.5625</v>
      </c>
      <c r="BZ11" s="3"/>
      <c r="CL11" s="328"/>
    </row>
    <row r="12" spans="2:90" x14ac:dyDescent="0.3">
      <c r="B12" s="262">
        <v>43835</v>
      </c>
      <c r="C12" s="4">
        <v>5</v>
      </c>
      <c r="D12" s="141"/>
      <c r="E12" s="144"/>
      <c r="F12" s="144"/>
      <c r="G12" s="142">
        <f>Tabella34[[#This Row],[Italy rate data]]*NOT(ISBLANK(Tabella34[[#This Row],[Italy rate data]]))</f>
        <v>0</v>
      </c>
      <c r="H12" s="143">
        <f>Tabella8[[#This Row],[Italy fit]]</f>
        <v>0</v>
      </c>
      <c r="I12" s="143">
        <f>(ATANH(alpha*Tabella34[[#This Row],[Italy cumul. Fit]]/Kf-(1-alpha*Tabella34[[#This Row],[Italy cumul. Fit]]/Kf)*TANH(phi_f))+phi_f)/psi_f-(Tabella34[[#This Row],[Day]]-pf)</f>
        <v>64.844294912230211</v>
      </c>
      <c r="J12" s="143">
        <f>Tabella34[[#This Row],[Italy d.t.]]/Italy_dt_at_lockdown</f>
        <v>58.80968605860776</v>
      </c>
      <c r="K12" s="143">
        <f>Tabella34[[#This Row],[Italy cumul. Fit]]/Kf</f>
        <v>0</v>
      </c>
      <c r="L12" s="146">
        <f>Tabella34[[#This Row],[sel. region acc. fit]]+Tabella34[[#This Row],[rest of Italy acc. fit]]</f>
        <v>1.9283096116570584</v>
      </c>
      <c r="M12" s="143">
        <f>Tabella34[[#This Row],[Italy (fit of selected region + fitted sum of the other regions)]]/(y_l_peak+y_a_peak)</f>
        <v>6.4285761030233096E-4</v>
      </c>
      <c r="N12" s="143">
        <f>Tabella3[[#This Row],[Italy remov. rate fit]]</f>
        <v>38.924728540963514</v>
      </c>
      <c r="O12" s="143" t="e">
        <f>Kt*EXP(-0.5*Tabella34[[#This Row],[x_t]]^2)/(psi_t*SQRTPI(2)*(Tabella34[[#This Row],[Day]]-D_bk))</f>
        <v>#NUM!</v>
      </c>
      <c r="P12" s="183" t="e">
        <f>Tabella34[[#This Row],[Italy velocity]]/Tabella34[[#This Row],[Italy cumul. Fit]]</f>
        <v>#DIV/0!</v>
      </c>
      <c r="Q12" s="244" t="e">
        <f>(LN(Tabella34[[#This Row],[Day]]-D_bk)-phi_t)/psi_t</f>
        <v>#NUM!</v>
      </c>
      <c r="R12" s="244">
        <f>EXP(phi_t+psi_t*Tabella34[[#This Row],[x_t_alpha©+plus]])-(Tabella34[[#This Row],[Day]]-D_bk)</f>
        <v>68.801940846637763</v>
      </c>
      <c r="S12" s="244">
        <f>EXP(phi_t+psi_t*Tabella34[[#This Row],[x_t_alpha©-minus]])-(Tabella34[[#This Row],[Day]]-D_bk)</f>
        <v>67.987610989274529</v>
      </c>
      <c r="T12" s="244">
        <f>-psi_t+SQRT(psi_t^2-2*Tabella34[[#This Row],[c_t]])</f>
        <v>4.639371578120584</v>
      </c>
      <c r="U12" s="244">
        <f>-psi_t-SQRT(psi_t^2-2*Tabella34[[#This Row],[c_t]])</f>
        <v>-4.6887643125403882</v>
      </c>
      <c r="V12" s="244">
        <f>phi_t-LN(alpha*Kt/(Tabella34[[#This Row],[Italy velocity]]*psi_t*SQRTPI(2)))</f>
        <v>-10.876459944052987</v>
      </c>
      <c r="W12" s="244" t="e">
        <f>Tabella34[[#This Row],[Italy g.r.]]/Italy_gr_at_lockdown</f>
        <v>#DIV/0!</v>
      </c>
      <c r="X12" s="244">
        <f>(ACOSH(SQRT(alpha*Kf*psi_f/(Tabella34[[#This Row],[Italy velocity]]*(1+TANH(phi_f)))))+phi_f)/psi_f-(Tabella34[[#This Row],[Day]]-pf)</f>
        <v>245.91435383226127</v>
      </c>
      <c r="Y12" s="244">
        <f>Tabella34[[#This Row],[Italy h.t.]]/Italy_ht_at_lockdown</f>
        <v>2.1272204290279295</v>
      </c>
      <c r="Z12" s="72">
        <f>-2*$BY$48*TANH($BY$48*(Tabella34[[#This Row],[Day]]-$BY$57)-$BY$47)*Tabella34[[#This Row],[Italy velocity]]</f>
        <v>1.910091164836121</v>
      </c>
      <c r="AA12" s="72">
        <f>Tabella34[[#This Row],[Italy acc. fit]]/Itali_acc_at_lockdown</f>
        <v>5.2898557233040266E-2</v>
      </c>
      <c r="AB12" s="143">
        <f>Tabella34[[#This Row],[Italy acc. fit]]/y_f_peak</f>
        <v>6.3639879428843541E-4</v>
      </c>
      <c r="AC12" s="143">
        <f>Tabella34[[#This Row],[Italy (fit of selected region + fitted sum of the other regions)]]*NOT(ISBLANK(Tabella34[[#This Row],[Italy rate data]]))</f>
        <v>0</v>
      </c>
      <c r="AD12" s="143">
        <f>Tabella34[[#This Row],[Italy acc. fit]]*NOT(ISBLANK(Tabella34[[#This Row],[Italy rate data]]))</f>
        <v>0</v>
      </c>
      <c r="AE12" s="77">
        <f>Tabella34[[#This Row],[Italy acc. fit]]+CIf</f>
        <v>1717.5249504993874</v>
      </c>
      <c r="AF12" s="77">
        <f>MAX(Tabella34[[#This Row],[Italy acc. fit]]-CIf,0)</f>
        <v>0</v>
      </c>
      <c r="AG12" s="141"/>
      <c r="AH12" s="33"/>
      <c r="AI12" s="33"/>
      <c r="AJ12" s="142">
        <f>Tabella34[[#This Row],[selected region rate data]]*NOT(ISBLANK(Tabella34[[#This Row],[selected region rate data]]))</f>
        <v>0</v>
      </c>
      <c r="AK12" s="147">
        <f>Tabella8[[#This Row],[region fit]]</f>
        <v>0</v>
      </c>
      <c r="AL12" s="143">
        <f>(ATANH(alpha*Tabella34[[#This Row],[sel. region cumul. fit]]/Kl-(1-alpha*Tabella34[[#This Row],[sel. region cumul. fit]]/Kl)*TANH(phi_l))+phi_l)/psi_l-(Tabella34[[#This Row],[Day]]-pl)</f>
        <v>70.240334693239106</v>
      </c>
      <c r="AM12" s="142">
        <f>Tabella34[[#This Row],[sel. region cumul. fit]]/Kl</f>
        <v>0</v>
      </c>
      <c r="AN12" s="143">
        <f>Tabella3[[#This Row],[region fit]]</f>
        <v>0.93378850979193417</v>
      </c>
      <c r="AO12" s="183" t="e">
        <f>Tabella34[[#This Row],[sel. region velocity]]/Tabella34[[#This Row],[sel. region cumul. fit]]</f>
        <v>#DIV/0!</v>
      </c>
      <c r="AP12" s="236" t="e">
        <f>(LN(Tabella34[[#This Row],[Day]]-pr)-phi_r)/psi_r</f>
        <v>#NUM!</v>
      </c>
      <c r="AQ12" s="244">
        <f>EXP(phi_r+psi_r*Tabella34[[#This Row],[x_r_alpha©+plus]])-(Tabella34[[#This Row],[Day]]-pr)</f>
        <v>74.062632362958325</v>
      </c>
      <c r="AR12" s="244">
        <f>EXP(phi_r+psi_r*Tabella34[[#This Row],[x_r_alpha©-minus]])-(Tabella34[[#This Row],[Day]]-pr)</f>
        <v>73.163376228130574</v>
      </c>
      <c r="AS12" s="244">
        <f>-psi_r+SQRT(psi_r^2-2*Tabella34[[#This Row],[c_r]])</f>
        <v>4.7268997066042067</v>
      </c>
      <c r="AT12" s="244">
        <f>-psi_r-SQRT(psi_r^2-2*Tabella34[[#This Row],[c_r]])</f>
        <v>-4.7833079450228686</v>
      </c>
      <c r="AU12" s="244">
        <f>phi_r-LN(alpha*Kr/(Tabella34[[#This Row],[sel. region velocity]]*psi_r*SQRTPI(2)))</f>
        <v>-11.305108460963083</v>
      </c>
      <c r="AV12" s="244">
        <f>(ACOSH(SQRT(alpha*Kl*psi_l/(Tabella34[[#This Row],[sel. region velocity]]*(1+TANH(phi_l)))))+phi_l)/psi_l-(Tabella34[[#This Row],[Day]]-pl)</f>
        <v>238.42704502654294</v>
      </c>
      <c r="AW12" s="72">
        <f>-2*$BY$22*TANH($BY$22*(Tabella34[[#This Row],[Day]]-$BY$31)-$BY$21)*Tabella34[[#This Row],[sel. region velocity]]</f>
        <v>5.2494592574241591E-2</v>
      </c>
      <c r="AX12" s="143">
        <f>Tabella34[[#This Row],[sel. region acc. fit]]/y_l_peak</f>
        <v>3.8094969497597548E-4</v>
      </c>
      <c r="AY12" s="143">
        <f>Tabella34[[#This Row],[sel. region acc. fit]]*NOT(ISBLANK(Tabella34[[#This Row],[selected region rate data]]))</f>
        <v>0</v>
      </c>
      <c r="AZ12" s="77">
        <f>Tabella34[[#This Row],[sel. region acc. fit]]+CIl</f>
        <v>53.817335002122697</v>
      </c>
      <c r="BA12" s="77">
        <f>MAX(Tabella34[[#This Row],[sel. region acc. fit]]-CIl,0)</f>
        <v>0</v>
      </c>
      <c r="BB12" s="141"/>
      <c r="BC12" s="33"/>
      <c r="BD12" s="33"/>
      <c r="BE12" s="142">
        <f>Tabella34[[#This Row],[rest of Italy rate data]]*NOT(ISBLANK(Tabella34[[#This Row],[rest of Italy rate data]]))</f>
        <v>0</v>
      </c>
      <c r="BF12" s="188">
        <f>Tabella8[[#This Row],[rest of Italy fit]]</f>
        <v>0</v>
      </c>
      <c r="BG12" s="78">
        <f>(ATANH(alpha*Tabella34[[#This Row],[rest of Italy cumul. fit]]/Ka-(1-alpha*Tabella34[[#This Row],[rest of Italy cumul. fit]]/Ka)*TANH(phi_a))+phi_a)/psi_a-(Tabella34[[#This Row],[Day]]-pa)</f>
        <v>64.695444456084331</v>
      </c>
      <c r="BH12" s="143">
        <f>Tabella34[[#This Row],[rest of Italy cumul. fit]]/Ka</f>
        <v>0</v>
      </c>
      <c r="BI12" s="143">
        <f>Tabella3[[#This Row],[rest of Italy fit]]</f>
        <v>38.520922172779358</v>
      </c>
      <c r="BJ12" s="183" t="e">
        <f>Tabella34[[#This Row],[rest of Italy velocity]]/Tabella34[[#This Row],[rest of Italy cumul. fit]]</f>
        <v>#DIV/0!</v>
      </c>
      <c r="BK12" s="236" t="e">
        <f>(LN(Tabella34[[#This Row],[Day]]-po)-phi_o)/psi_o</f>
        <v>#NUM!</v>
      </c>
      <c r="BL12" s="244">
        <f>EXP(phi_o+psi_o*Tabella34[[#This Row],[x_o_alpha©+plus]])-(Tabella34[[#This Row],[Day]]-po)</f>
        <v>68.636623727141398</v>
      </c>
      <c r="BM12" s="244">
        <f>EXP(phi_o+psi_o*Tabella34[[#This Row],[x_o_alpha©-minus]])-(Tabella34[[#This Row],[Day]]-po)</f>
        <v>67.831671553353146</v>
      </c>
      <c r="BN12" s="244">
        <f>-psi_o+SQRT(psi_o^2-2*Tabella34[[#This Row],[c_o]])</f>
        <v>4.6353487998298455</v>
      </c>
      <c r="BO12" s="244">
        <f>-psi_o-SQRT(psi_o^2-2*Tabella34[[#This Row],[c_o]])</f>
        <v>-4.6843758853994739</v>
      </c>
      <c r="BP12" s="244">
        <f>phi_o-LN(alpha*Ko/(Tabella34[[#This Row],[rest of Italy velocity]]*psi_o*SQRTPI(2)))</f>
        <v>-10.85685806916916</v>
      </c>
      <c r="BQ12" s="244">
        <f>(ACOSH(SQRT(alpha*Ka*psi_a/(Tabella34[[#This Row],[rest of Italy velocity]]*(1+TANH(phi_a)))))+phi_a)/psi_a-(Tabella34[[#This Row],[Day]]-pa)</f>
        <v>246.22309670555865</v>
      </c>
      <c r="BR12" s="72">
        <f>-2*$BY$35*TANH($BY$35*(Tabella34[[#This Row],[Day]]-$BY$44)-$BY$34)*Tabella34[[#This Row],[rest of Italy velocity]]</f>
        <v>1.8758150190828169</v>
      </c>
      <c r="BS12" s="143">
        <f>Tabella34[[#This Row],[rest of Italy acc. fit]]/y_a_peak</f>
        <v>6.5546884500715798E-4</v>
      </c>
      <c r="BT12" s="142">
        <f>Tabella34[[#This Row],[rest of Italy acc. fit]]*NOT(ISBLANK(Tabella34[[#This Row],[rest of Italy rate data]]))</f>
        <v>0</v>
      </c>
      <c r="BU12" s="77">
        <f>Tabella34[[#This Row],[rest of Italy acc. fit]]+CIa</f>
        <v>1696.4500099286656</v>
      </c>
      <c r="BV12" s="77">
        <f>MAX(Tabella34[[#This Row],[rest of Italy acc. fit]]-CIa,0)</f>
        <v>0</v>
      </c>
      <c r="BW12" s="1"/>
      <c r="BX12" s="202" t="s">
        <v>2</v>
      </c>
      <c r="BY12" s="204">
        <f>COUNT(Tabella34[Italy rate data])-COUNT(BY8:BY10)</f>
        <v>112</v>
      </c>
      <c r="CL12" s="328"/>
    </row>
    <row r="13" spans="2:90" x14ac:dyDescent="0.3">
      <c r="B13" s="262">
        <v>43836</v>
      </c>
      <c r="C13" s="4">
        <v>6</v>
      </c>
      <c r="D13" s="141"/>
      <c r="E13" s="144"/>
      <c r="F13" s="144"/>
      <c r="G13" s="142">
        <f>Tabella34[[#This Row],[Italy rate data]]*NOT(ISBLANK(Tabella34[[#This Row],[Italy rate data]]))</f>
        <v>0</v>
      </c>
      <c r="H13" s="143">
        <f>Tabella8[[#This Row],[Italy fit]]</f>
        <v>0</v>
      </c>
      <c r="I13" s="143">
        <f>(ATANH(alpha*Tabella34[[#This Row],[Italy cumul. Fit]]/Kf-(1-alpha*Tabella34[[#This Row],[Italy cumul. Fit]]/Kf)*TANH(phi_f))+phi_f)/psi_f-(Tabella34[[#This Row],[Day]]-pf)</f>
        <v>63.844294912230211</v>
      </c>
      <c r="J13" s="143">
        <f>Tabella34[[#This Row],[Italy d.t.]]/Italy_dt_at_lockdown</f>
        <v>57.902749123936644</v>
      </c>
      <c r="K13" s="143">
        <f>Tabella34[[#This Row],[Italy cumul. Fit]]/Kf</f>
        <v>0</v>
      </c>
      <c r="L13" s="146">
        <f>Tabella34[[#This Row],[sel. region acc. fit]]+Tabella34[[#This Row],[rest of Italy acc. fit]]</f>
        <v>2.0242526307788</v>
      </c>
      <c r="M13" s="143">
        <f>Tabella34[[#This Row],[Italy (fit of selected region + fitted sum of the other regions)]]/(y_l_peak+y_a_peak)</f>
        <v>6.7484298216633984E-4</v>
      </c>
      <c r="N13" s="143">
        <f>Tabella3[[#This Row],[Italy remov. rate fit]]</f>
        <v>40.8821324906474</v>
      </c>
      <c r="O13" s="143" t="e">
        <f>Kt*EXP(-0.5*Tabella34[[#This Row],[x_t]]^2)/(psi_t*SQRTPI(2)*(Tabella34[[#This Row],[Day]]-D_bk))</f>
        <v>#NUM!</v>
      </c>
      <c r="P13" s="183" t="e">
        <f>Tabella34[[#This Row],[Italy velocity]]/Tabella34[[#This Row],[Italy cumul. Fit]]</f>
        <v>#DIV/0!</v>
      </c>
      <c r="Q13" s="244" t="e">
        <f>(LN(Tabella34[[#This Row],[Day]]-D_bk)-phi_t)/psi_t</f>
        <v>#NUM!</v>
      </c>
      <c r="R13" s="244">
        <f>EXP(phi_t+psi_t*Tabella34[[#This Row],[x_t_alpha©+plus]])-(Tabella34[[#This Row],[Day]]-D_bk)</f>
        <v>67.800911654188909</v>
      </c>
      <c r="S13" s="244">
        <f>EXP(phi_t+psi_t*Tabella34[[#This Row],[x_t_alpha©-minus]])-(Tabella34[[#This Row],[Day]]-D_bk)</f>
        <v>66.988428626509034</v>
      </c>
      <c r="T13" s="244">
        <f>-psi_t+SQRT(psi_t^2-2*Tabella34[[#This Row],[c_t]])</f>
        <v>4.6288402521683132</v>
      </c>
      <c r="U13" s="244">
        <f>-psi_t-SQRT(psi_t^2-2*Tabella34[[#This Row],[c_t]])</f>
        <v>-4.6782329865881174</v>
      </c>
      <c r="V13" s="244">
        <f>phi_t-LN(alpha*Kt/(Tabella34[[#This Row],[Italy velocity]]*psi_t*SQRTPI(2)))</f>
        <v>-10.827396578670333</v>
      </c>
      <c r="W13" s="244" t="e">
        <f>Tabella34[[#This Row],[Italy g.r.]]/Italy_gr_at_lockdown</f>
        <v>#DIV/0!</v>
      </c>
      <c r="X13" s="244">
        <f>(ACOSH(SQRT(alpha*Kf*psi_f/(Tabella34[[#This Row],[Italy velocity]]*(1+TANH(phi_f)))))+phi_f)/psi_f-(Tabella34[[#This Row],[Day]]-pf)</f>
        <v>243.91770475161104</v>
      </c>
      <c r="Y13" s="244">
        <f>Tabella34[[#This Row],[Italy h.t.]]/Italy_ht_at_lockdown</f>
        <v>2.1099489170247865</v>
      </c>
      <c r="Z13" s="72">
        <f>-2*$BY$48*TANH($BY$48*(Tabella34[[#This Row],[Day]]-$BY$57)-$BY$47)*Tabella34[[#This Row],[Italy velocity]]</f>
        <v>2.005480858680623</v>
      </c>
      <c r="AA13" s="72">
        <f>Tabella34[[#This Row],[Italy acc. fit]]/Itali_acc_at_lockdown</f>
        <v>5.5540304010455732E-2</v>
      </c>
      <c r="AB13" s="143">
        <f>Tabella34[[#This Row],[Italy acc. fit]]/y_f_peak</f>
        <v>6.6818046380649353E-4</v>
      </c>
      <c r="AC13" s="143">
        <f>Tabella34[[#This Row],[Italy (fit of selected region + fitted sum of the other regions)]]*NOT(ISBLANK(Tabella34[[#This Row],[Italy rate data]]))</f>
        <v>0</v>
      </c>
      <c r="AD13" s="143">
        <f>Tabella34[[#This Row],[Italy acc. fit]]*NOT(ISBLANK(Tabella34[[#This Row],[Italy rate data]]))</f>
        <v>0</v>
      </c>
      <c r="AE13" s="77">
        <f>Tabella34[[#This Row],[Italy acc. fit]]+CIf</f>
        <v>1717.6203401932319</v>
      </c>
      <c r="AF13" s="77">
        <f>MAX(Tabella34[[#This Row],[Italy acc. fit]]-CIf,0)</f>
        <v>0</v>
      </c>
      <c r="AG13" s="141"/>
      <c r="AH13" s="33"/>
      <c r="AI13" s="33"/>
      <c r="AJ13" s="142">
        <f>Tabella34[[#This Row],[selected region rate data]]*NOT(ISBLANK(Tabella34[[#This Row],[selected region rate data]]))</f>
        <v>0</v>
      </c>
      <c r="AK13" s="147">
        <f>Tabella8[[#This Row],[region fit]]</f>
        <v>0</v>
      </c>
      <c r="AL13" s="143">
        <f>(ATANH(alpha*Tabella34[[#This Row],[sel. region cumul. fit]]/Kl-(1-alpha*Tabella34[[#This Row],[sel. region cumul. fit]]/Kl)*TANH(phi_l))+phi_l)/psi_l-(Tabella34[[#This Row],[Day]]-pl)</f>
        <v>69.240334693239106</v>
      </c>
      <c r="AM13" s="142">
        <f>Tabella34[[#This Row],[sel. region cumul. fit]]/Kl</f>
        <v>0</v>
      </c>
      <c r="AN13" s="143">
        <f>Tabella3[[#This Row],[region fit]]</f>
        <v>0.98778125832529939</v>
      </c>
      <c r="AO13" s="183" t="e">
        <f>Tabella34[[#This Row],[sel. region velocity]]/Tabella34[[#This Row],[sel. region cumul. fit]]</f>
        <v>#DIV/0!</v>
      </c>
      <c r="AP13" s="236" t="e">
        <f>(LN(Tabella34[[#This Row],[Day]]-pr)-phi_r)/psi_r</f>
        <v>#NUM!</v>
      </c>
      <c r="AQ13" s="244">
        <f>EXP(phi_r+psi_r*Tabella34[[#This Row],[x_r_alpha©+plus]])-(Tabella34[[#This Row],[Day]]-pr)</f>
        <v>73.061356602891976</v>
      </c>
      <c r="AR13" s="244">
        <f>EXP(phi_r+psi_r*Tabella34[[#This Row],[x_r_alpha©-minus]])-(Tabella34[[#This Row],[Day]]-pr)</f>
        <v>72.164352171150696</v>
      </c>
      <c r="AS13" s="244">
        <f>-psi_r+SQRT(psi_r^2-2*Tabella34[[#This Row],[c_r]])</f>
        <v>4.71506372058849</v>
      </c>
      <c r="AT13" s="244">
        <f>-psi_r-SQRT(psi_r^2-2*Tabella34[[#This Row],[c_r]])</f>
        <v>-4.7714719590071519</v>
      </c>
      <c r="AU13" s="244">
        <f>phi_r-LN(alpha*Kr/(Tabella34[[#This Row],[sel. region velocity]]*psi_r*SQRTPI(2)))</f>
        <v>-11.248897163859956</v>
      </c>
      <c r="AV13" s="244">
        <f>(ACOSH(SQRT(alpha*Kl*psi_l/(Tabella34[[#This Row],[sel. region velocity]]*(1+TANH(phi_l)))))+phi_l)/psi_l-(Tabella34[[#This Row],[Day]]-pl)</f>
        <v>236.42879528548832</v>
      </c>
      <c r="AW13" s="72">
        <f>-2*$BY$22*TANH($BY$22*(Tabella34[[#This Row],[Day]]-$BY$31)-$BY$21)*Tabella34[[#This Row],[sel. region velocity]]</f>
        <v>5.5518937368665346E-2</v>
      </c>
      <c r="AX13" s="143">
        <f>Tabella34[[#This Row],[sel. region acc. fit]]/y_l_peak</f>
        <v>4.0289715985644854E-4</v>
      </c>
      <c r="AY13" s="143">
        <f>Tabella34[[#This Row],[sel. region acc. fit]]*NOT(ISBLANK(Tabella34[[#This Row],[selected region rate data]]))</f>
        <v>0</v>
      </c>
      <c r="AZ13" s="77">
        <f>Tabella34[[#This Row],[sel. region acc. fit]]+CIl</f>
        <v>53.820359346917122</v>
      </c>
      <c r="BA13" s="77">
        <f>MAX(Tabella34[[#This Row],[sel. region acc. fit]]-CIl,0)</f>
        <v>0</v>
      </c>
      <c r="BB13" s="141"/>
      <c r="BC13" s="33"/>
      <c r="BD13" s="33"/>
      <c r="BE13" s="142">
        <f>Tabella34[[#This Row],[rest of Italy rate data]]*NOT(ISBLANK(Tabella34[[#This Row],[rest of Italy rate data]]))</f>
        <v>0</v>
      </c>
      <c r="BF13" s="188">
        <f>Tabella8[[#This Row],[rest of Italy fit]]</f>
        <v>0</v>
      </c>
      <c r="BG13" s="78">
        <f>(ATANH(alpha*Tabella34[[#This Row],[rest of Italy cumul. fit]]/Ka-(1-alpha*Tabella34[[#This Row],[rest of Italy cumul. fit]]/Ka)*TANH(phi_a))+phi_a)/psi_a-(Tabella34[[#This Row],[Day]]-pa)</f>
        <v>63.695444456084331</v>
      </c>
      <c r="BH13" s="143">
        <f>Tabella34[[#This Row],[rest of Italy cumul. fit]]/Ka</f>
        <v>0</v>
      </c>
      <c r="BI13" s="143">
        <f>Tabella3[[#This Row],[rest of Italy fit]]</f>
        <v>40.442827508091057</v>
      </c>
      <c r="BJ13" s="183" t="e">
        <f>Tabella34[[#This Row],[rest of Italy velocity]]/Tabella34[[#This Row],[rest of Italy cumul. fit]]</f>
        <v>#DIV/0!</v>
      </c>
      <c r="BK13" s="236" t="e">
        <f>(LN(Tabella34[[#This Row],[Day]]-po)-phi_o)/psi_o</f>
        <v>#NUM!</v>
      </c>
      <c r="BL13" s="244">
        <f>EXP(phi_o+psi_o*Tabella34[[#This Row],[x_o_alpha©+plus]])-(Tabella34[[#This Row],[Day]]-po)</f>
        <v>67.635613285541041</v>
      </c>
      <c r="BM13" s="244">
        <f>EXP(phi_o+psi_o*Tabella34[[#This Row],[x_o_alpha©-minus]])-(Tabella34[[#This Row],[Day]]-po)</f>
        <v>66.832475827094811</v>
      </c>
      <c r="BN13" s="244">
        <f>-psi_o+SQRT(psi_o^2-2*Tabella34[[#This Row],[c_o]])</f>
        <v>4.6248887290131382</v>
      </c>
      <c r="BO13" s="244">
        <f>-psi_o-SQRT(psi_o^2-2*Tabella34[[#This Row],[c_o]])</f>
        <v>-4.6739158145827666</v>
      </c>
      <c r="BP13" s="244">
        <f>phi_o-LN(alpha*Ko/(Tabella34[[#This Row],[rest of Italy velocity]]*psi_o*SQRTPI(2)))</f>
        <v>-10.80817028561005</v>
      </c>
      <c r="BQ13" s="244">
        <f>(ACOSH(SQRT(alpha*Ka*psi_a/(Tabella34[[#This Row],[rest of Italy velocity]]*(1+TANH(phi_a)))))+phi_a)/psi_a-(Tabella34[[#This Row],[Day]]-pa)</f>
        <v>244.22657508511548</v>
      </c>
      <c r="BR13" s="72">
        <f>-2*$BY$35*TANH($BY$35*(Tabella34[[#This Row],[Day]]-$BY$44)-$BY$34)*Tabella34[[#This Row],[rest of Italy velocity]]</f>
        <v>1.9687336934101347</v>
      </c>
      <c r="BS13" s="143">
        <f>Tabella34[[#This Row],[rest of Italy acc. fit]]/y_a_peak</f>
        <v>6.8793755621872669E-4</v>
      </c>
      <c r="BT13" s="142">
        <f>Tabella34[[#This Row],[rest of Italy acc. fit]]*NOT(ISBLANK(Tabella34[[#This Row],[rest of Italy rate data]]))</f>
        <v>0</v>
      </c>
      <c r="BU13" s="77">
        <f>Tabella34[[#This Row],[rest of Italy acc. fit]]+CIa</f>
        <v>1696.5429286029928</v>
      </c>
      <c r="BV13" s="77">
        <f>MAX(Tabella34[[#This Row],[rest of Italy acc. fit]]-CIa,0)</f>
        <v>0</v>
      </c>
      <c r="BW13" s="1"/>
      <c r="BX13" s="202" t="s">
        <v>3</v>
      </c>
      <c r="BY13" s="203" cm="1">
        <f t="array" ref="BY13">SQRT(SUM((Tabella34[Colonna1]-Tabella34[Colonna2])^2)/dfw)</f>
        <v>2228.3028854823569</v>
      </c>
      <c r="CL13" s="328"/>
    </row>
    <row r="14" spans="2:90" ht="16.2" x14ac:dyDescent="0.3">
      <c r="B14" s="262">
        <v>43837</v>
      </c>
      <c r="C14" s="4">
        <v>7</v>
      </c>
      <c r="D14" s="141"/>
      <c r="E14" s="144"/>
      <c r="F14" s="144"/>
      <c r="G14" s="142">
        <f>Tabella34[[#This Row],[Italy rate data]]*NOT(ISBLANK(Tabella34[[#This Row],[Italy rate data]]))</f>
        <v>0</v>
      </c>
      <c r="H14" s="143">
        <f>Tabella8[[#This Row],[Italy fit]]</f>
        <v>0</v>
      </c>
      <c r="I14" s="143">
        <f>(ATANH(alpha*Tabella34[[#This Row],[Italy cumul. Fit]]/Kf-(1-alpha*Tabella34[[#This Row],[Italy cumul. Fit]]/Kf)*TANH(phi_f))+phi_f)/psi_f-(Tabella34[[#This Row],[Day]]-pf)</f>
        <v>62.844294912230211</v>
      </c>
      <c r="J14" s="143">
        <f>Tabella34[[#This Row],[Italy d.t.]]/Italy_dt_at_lockdown</f>
        <v>56.995812189265536</v>
      </c>
      <c r="K14" s="143">
        <f>Tabella34[[#This Row],[Italy cumul. Fit]]/Kf</f>
        <v>0</v>
      </c>
      <c r="L14" s="146">
        <f>Tabella34[[#This Row],[sel. region acc. fit]]+Tabella34[[#This Row],[rest of Italy acc. fit]]</f>
        <v>2.1249008314971842</v>
      </c>
      <c r="M14" s="143">
        <f>Tabella34[[#This Row],[Italy (fit of selected region + fitted sum of the other regions)]]/(y_l_peak+y_a_peak)</f>
        <v>7.0839696198571594E-4</v>
      </c>
      <c r="N14" s="143">
        <f>Tabella3[[#This Row],[Italy remov. rate fit]]</f>
        <v>42.937254659870341</v>
      </c>
      <c r="O14" s="143" t="e">
        <f>Kt*EXP(-0.5*Tabella34[[#This Row],[x_t]]^2)/(psi_t*SQRTPI(2)*(Tabella34[[#This Row],[Day]]-D_bk))</f>
        <v>#NUM!</v>
      </c>
      <c r="P14" s="183" t="e">
        <f>Tabella34[[#This Row],[Italy velocity]]/Tabella34[[#This Row],[Italy cumul. Fit]]</f>
        <v>#DIV/0!</v>
      </c>
      <c r="Q14" s="244" t="e">
        <f>(LN(Tabella34[[#This Row],[Day]]-D_bk)-phi_t)/psi_t</f>
        <v>#NUM!</v>
      </c>
      <c r="R14" s="244">
        <f>EXP(phi_t+psi_t*Tabella34[[#This Row],[x_t_alpha©+plus]])-(Tabella34[[#This Row],[Day]]-D_bk)</f>
        <v>66.799880745514344</v>
      </c>
      <c r="S14" s="244">
        <f>EXP(phi_t+psi_t*Tabella34[[#This Row],[x_t_alpha©-minus]])-(Tabella34[[#This Row],[Day]]-D_bk)</f>
        <v>65.989248053733377</v>
      </c>
      <c r="T14" s="244">
        <f>-psi_t+SQRT(psi_t^2-2*Tabella34[[#This Row],[c_t]])</f>
        <v>4.6182886181307126</v>
      </c>
      <c r="U14" s="244">
        <f>-psi_t-SQRT(psi_t^2-2*Tabella34[[#This Row],[c_t]])</f>
        <v>-4.6676813525505167</v>
      </c>
      <c r="V14" s="244">
        <f>phi_t-LN(alpha*Kt/(Tabella34[[#This Row],[Italy velocity]]*psi_t*SQRTPI(2)))</f>
        <v>-10.778349831772511</v>
      </c>
      <c r="W14" s="244" t="e">
        <f>Tabella34[[#This Row],[Italy g.r.]]/Italy_gr_at_lockdown</f>
        <v>#DIV/0!</v>
      </c>
      <c r="X14" s="244">
        <f>(ACOSH(SQRT(alpha*Kf*psi_f/(Tabella34[[#This Row],[Italy velocity]]*(1+TANH(phi_f)))))+phi_f)/psi_f-(Tabella34[[#This Row],[Day]]-pf)</f>
        <v>241.92122563336881</v>
      </c>
      <c r="Y14" s="244">
        <f>Tabella34[[#This Row],[Italy h.t.]]/Italy_ht_at_lockdown</f>
        <v>2.0926788752388181</v>
      </c>
      <c r="Z14" s="72">
        <f>-2*$BY$48*TANH($BY$48*(Tabella34[[#This Row],[Day]]-$BY$57)-$BY$47)*Tabella34[[#This Row],[Italy velocity]]</f>
        <v>2.1055640754173082</v>
      </c>
      <c r="AA14" s="72">
        <f>Tabella34[[#This Row],[Italy acc. fit]]/Itali_acc_at_lockdown</f>
        <v>5.8312034421064973E-2</v>
      </c>
      <c r="AB14" s="143">
        <f>Tabella34[[#This Row],[Italy acc. fit]]/y_f_peak</f>
        <v>7.0152590806187238E-4</v>
      </c>
      <c r="AC14" s="143">
        <f>Tabella34[[#This Row],[Italy (fit of selected region + fitted sum of the other regions)]]*NOT(ISBLANK(Tabella34[[#This Row],[Italy rate data]]))</f>
        <v>0</v>
      </c>
      <c r="AD14" s="143">
        <f>Tabella34[[#This Row],[Italy acc. fit]]*NOT(ISBLANK(Tabella34[[#This Row],[Italy rate data]]))</f>
        <v>0</v>
      </c>
      <c r="AE14" s="77">
        <f>Tabella34[[#This Row],[Italy acc. fit]]+CIf</f>
        <v>1717.7204234099686</v>
      </c>
      <c r="AF14" s="77">
        <f>MAX(Tabella34[[#This Row],[Italy acc. fit]]-CIf,0)</f>
        <v>0</v>
      </c>
      <c r="AG14" s="141"/>
      <c r="AH14" s="33"/>
      <c r="AI14" s="33"/>
      <c r="AJ14" s="142">
        <f>Tabella34[[#This Row],[selected region rate data]]*NOT(ISBLANK(Tabella34[[#This Row],[selected region rate data]]))</f>
        <v>0</v>
      </c>
      <c r="AK14" s="147">
        <f>Tabella8[[#This Row],[region fit]]</f>
        <v>0</v>
      </c>
      <c r="AL14" s="143">
        <f>(ATANH(alpha*Tabella34[[#This Row],[sel. region cumul. fit]]/Kl-(1-alpha*Tabella34[[#This Row],[sel. region cumul. fit]]/Kl)*TANH(phi_l))+phi_l)/psi_l-(Tabella34[[#This Row],[Day]]-pl)</f>
        <v>68.240334693239106</v>
      </c>
      <c r="AM14" s="142">
        <f>Tabella34[[#This Row],[sel. region cumul. fit]]/Kl</f>
        <v>0</v>
      </c>
      <c r="AN14" s="143">
        <f>Tabella3[[#This Row],[region fit]]</f>
        <v>1.0448840116301159</v>
      </c>
      <c r="AO14" s="183" t="e">
        <f>Tabella34[[#This Row],[sel. region velocity]]/Tabella34[[#This Row],[sel. region cumul. fit]]</f>
        <v>#DIV/0!</v>
      </c>
      <c r="AP14" s="236" t="e">
        <f>(LN(Tabella34[[#This Row],[Day]]-pr)-phi_r)/psi_r</f>
        <v>#NUM!</v>
      </c>
      <c r="AQ14" s="244">
        <f>EXP(phi_r+psi_r*Tabella34[[#This Row],[x_r_alpha©+plus]])-(Tabella34[[#This Row],[Day]]-pr)</f>
        <v>72.060078338565603</v>
      </c>
      <c r="AR14" s="244">
        <f>EXP(phi_r+psi_r*Tabella34[[#This Row],[x_r_alpha©-minus]])-(Tabella34[[#This Row],[Day]]-pr)</f>
        <v>71.165330683736556</v>
      </c>
      <c r="AS14" s="244">
        <f>-psi_r+SQRT(psi_r^2-2*Tabella34[[#This Row],[c_r]])</f>
        <v>4.7032005369633607</v>
      </c>
      <c r="AT14" s="244">
        <f>-psi_r-SQRT(psi_r^2-2*Tabella34[[#This Row],[c_r]])</f>
        <v>-4.7596087753820226</v>
      </c>
      <c r="AU14" s="244">
        <f>phi_r-LN(alpha*Kr/(Tabella34[[#This Row],[sel. region velocity]]*psi_r*SQRTPI(2)))</f>
        <v>-11.192697274056126</v>
      </c>
      <c r="AV14" s="244">
        <f>(ACOSH(SQRT(alpha*Kl*psi_l/(Tabella34[[#This Row],[sel. region velocity]]*(1+TANH(phi_l)))))+phi_l)/psi_l-(Tabella34[[#This Row],[Day]]-pl)</f>
        <v>234.43064720469096</v>
      </c>
      <c r="AW14" s="72">
        <f>-2*$BY$22*TANH($BY$22*(Tabella34[[#This Row],[Day]]-$BY$31)-$BY$21)*Tabella34[[#This Row],[sel. region velocity]]</f>
        <v>5.8716180210843946E-2</v>
      </c>
      <c r="AX14" s="143">
        <f>Tabella34[[#This Row],[sel. region acc. fit]]/y_l_peak</f>
        <v>4.2609933413315126E-4</v>
      </c>
      <c r="AY14" s="143">
        <f>Tabella34[[#This Row],[sel. region acc. fit]]*NOT(ISBLANK(Tabella34[[#This Row],[selected region rate data]]))</f>
        <v>0</v>
      </c>
      <c r="AZ14" s="77">
        <f>Tabella34[[#This Row],[sel. region acc. fit]]+CIl</f>
        <v>53.823556589759299</v>
      </c>
      <c r="BA14" s="77">
        <f>MAX(Tabella34[[#This Row],[sel. region acc. fit]]-CIl,0)</f>
        <v>0</v>
      </c>
      <c r="BB14" s="141"/>
      <c r="BC14" s="33"/>
      <c r="BD14" s="33"/>
      <c r="BE14" s="142">
        <f>Tabella34[[#This Row],[rest of Italy rate data]]*NOT(ISBLANK(Tabella34[[#This Row],[rest of Italy rate data]]))</f>
        <v>0</v>
      </c>
      <c r="BF14" s="188">
        <f>Tabella8[[#This Row],[rest of Italy fit]]</f>
        <v>0</v>
      </c>
      <c r="BG14" s="78">
        <f>(ATANH(alpha*Tabella34[[#This Row],[rest of Italy cumul. fit]]/Ka-(1-alpha*Tabella34[[#This Row],[rest of Italy cumul. fit]]/Ka)*TANH(phi_a))+phi_a)/psi_a-(Tabella34[[#This Row],[Day]]-pa)</f>
        <v>62.695444456084331</v>
      </c>
      <c r="BH14" s="143">
        <f>Tabella34[[#This Row],[rest of Italy cumul. fit]]/Ka</f>
        <v>0</v>
      </c>
      <c r="BI14" s="143">
        <f>Tabella3[[#This Row],[rest of Italy fit]]</f>
        <v>42.459900220619815</v>
      </c>
      <c r="BJ14" s="183" t="e">
        <f>Tabella34[[#This Row],[rest of Italy velocity]]/Tabella34[[#This Row],[rest of Italy cumul. fit]]</f>
        <v>#DIV/0!</v>
      </c>
      <c r="BK14" s="236" t="e">
        <f>(LN(Tabella34[[#This Row],[Day]]-po)-phi_o)/psi_o</f>
        <v>#NUM!</v>
      </c>
      <c r="BL14" s="244">
        <f>EXP(phi_o+psi_o*Tabella34[[#This Row],[x_o_alpha©+plus]])-(Tabella34[[#This Row],[Day]]-po)</f>
        <v>66.634601179094417</v>
      </c>
      <c r="BM14" s="244">
        <f>EXP(phi_o+psi_o*Tabella34[[#This Row],[x_o_alpha©-minus]])-(Tabella34[[#This Row],[Day]]-po)</f>
        <v>65.833281839624163</v>
      </c>
      <c r="BN14" s="244">
        <f>-psi_o+SQRT(psi_o^2-2*Tabella34[[#This Row],[c_o]])</f>
        <v>4.6144087343168971</v>
      </c>
      <c r="BO14" s="244">
        <f>-psi_o-SQRT(psi_o^2-2*Tabella34[[#This Row],[c_o]])</f>
        <v>-4.6634358198865256</v>
      </c>
      <c r="BP14" s="244">
        <f>phi_o-LN(alpha*Ko/(Tabella34[[#This Row],[rest of Italy velocity]]*psi_o*SQRTPI(2)))</f>
        <v>-10.759499489605332</v>
      </c>
      <c r="BQ14" s="244">
        <f>(ACOSH(SQRT(alpha*Ka*psi_a/(Tabella34[[#This Row],[rest of Italy velocity]]*(1+TANH(phi_a)))))+phi_a)/psi_a-(Tabella34[[#This Row],[Day]]-pa)</f>
        <v>242.23022856500461</v>
      </c>
      <c r="BR14" s="72">
        <f>-2*$BY$35*TANH($BY$35*(Tabella34[[#This Row],[Day]]-$BY$44)-$BY$34)*Tabella34[[#This Row],[rest of Italy velocity]]</f>
        <v>2.0661846512863402</v>
      </c>
      <c r="BS14" s="143">
        <f>Tabella34[[#This Row],[rest of Italy acc. fit]]/y_a_peak</f>
        <v>7.2198999004303304E-4</v>
      </c>
      <c r="BT14" s="142">
        <f>Tabella34[[#This Row],[rest of Italy acc. fit]]*NOT(ISBLANK(Tabella34[[#This Row],[rest of Italy rate data]]))</f>
        <v>0</v>
      </c>
      <c r="BU14" s="77">
        <f>Tabella34[[#This Row],[rest of Italy acc. fit]]+CIa</f>
        <v>1696.6403795608692</v>
      </c>
      <c r="BV14" s="77">
        <f>MAX(Tabella34[[#This Row],[rest of Italy acc. fit]]-CIa,0)</f>
        <v>0</v>
      </c>
      <c r="BW14" s="1"/>
      <c r="BX14" s="202" t="s">
        <v>4356</v>
      </c>
      <c r="BY14" s="205" cm="1">
        <f t="array" ref="BY14">1-SUM((Tabella34[Colonna1]-Tabella34[Colonna2])^2)/SUM((Tabella34[Colonna1]-Mean_of_yw)^2)</f>
        <v>0.1410948468749228</v>
      </c>
      <c r="CL14" s="328"/>
    </row>
    <row r="15" spans="2:90" x14ac:dyDescent="0.3">
      <c r="B15" s="262">
        <v>43838</v>
      </c>
      <c r="C15" s="4">
        <v>8</v>
      </c>
      <c r="D15" s="141"/>
      <c r="E15" s="144"/>
      <c r="F15" s="144"/>
      <c r="G15" s="142">
        <f>Tabella34[[#This Row],[Italy rate data]]*NOT(ISBLANK(Tabella34[[#This Row],[Italy rate data]]))</f>
        <v>0</v>
      </c>
      <c r="H15" s="143">
        <f>Tabella8[[#This Row],[Italy fit]]</f>
        <v>0</v>
      </c>
      <c r="I15" s="143">
        <f>(ATANH(alpha*Tabella34[[#This Row],[Italy cumul. Fit]]/Kf-(1-alpha*Tabella34[[#This Row],[Italy cumul. Fit]]/Kf)*TANH(phi_f))+phi_f)/psi_f-(Tabella34[[#This Row],[Day]]-pf)</f>
        <v>61.844294912230211</v>
      </c>
      <c r="J15" s="143">
        <f>Tabella34[[#This Row],[Italy d.t.]]/Italy_dt_at_lockdown</f>
        <v>56.08887525459442</v>
      </c>
      <c r="K15" s="143">
        <f>Tabella34[[#This Row],[Italy cumul. Fit]]/Kf</f>
        <v>0</v>
      </c>
      <c r="L15" s="146">
        <f>Tabella34[[#This Row],[sel. region acc. fit]]+Tabella34[[#This Row],[rest of Italy acc. fit]]</f>
        <v>2.2304777716279309</v>
      </c>
      <c r="M15" s="143">
        <f>Tabella34[[#This Row],[Italy (fit of selected region + fitted sum of the other regions)]]/(y_l_peak+y_a_peak)</f>
        <v>7.4359407920443911E-4</v>
      </c>
      <c r="N15" s="143">
        <f>Tabella3[[#This Row],[Italy remov. rate fit]]</f>
        <v>45.0948995949081</v>
      </c>
      <c r="O15" s="143" t="e">
        <f>Kt*EXP(-0.5*Tabella34[[#This Row],[x_t]]^2)/(psi_t*SQRTPI(2)*(Tabella34[[#This Row],[Day]]-D_bk))</f>
        <v>#NUM!</v>
      </c>
      <c r="P15" s="183" t="e">
        <f>Tabella34[[#This Row],[Italy velocity]]/Tabella34[[#This Row],[Italy cumul. Fit]]</f>
        <v>#DIV/0!</v>
      </c>
      <c r="Q15" s="244" t="e">
        <f>(LN(Tabella34[[#This Row],[Day]]-D_bk)-phi_t)/psi_t</f>
        <v>#NUM!</v>
      </c>
      <c r="R15" s="244">
        <f>EXP(phi_t+psi_t*Tabella34[[#This Row],[x_t_alpha©+plus]])-(Tabella34[[#This Row],[Day]]-D_bk)</f>
        <v>65.798848126154581</v>
      </c>
      <c r="S15" s="244">
        <f>EXP(phi_t+psi_t*Tabella34[[#This Row],[x_t_alpha©-minus]])-(Tabella34[[#This Row],[Day]]-D_bk)</f>
        <v>64.990069269006952</v>
      </c>
      <c r="T15" s="244">
        <f>-psi_t+SQRT(psi_t^2-2*Tabella34[[#This Row],[c_t]])</f>
        <v>4.6077167175731431</v>
      </c>
      <c r="U15" s="244">
        <f>-psi_t-SQRT(psi_t^2-2*Tabella34[[#This Row],[c_t]])</f>
        <v>-4.6571094519929472</v>
      </c>
      <c r="V15" s="244">
        <f>phi_t-LN(alpha*Kt/(Tabella34[[#This Row],[Italy velocity]]*psi_t*SQRTPI(2)))</f>
        <v>-10.729320538757904</v>
      </c>
      <c r="W15" s="244" t="e">
        <f>Tabella34[[#This Row],[Italy g.r.]]/Italy_gr_at_lockdown</f>
        <v>#DIV/0!</v>
      </c>
      <c r="X15" s="244">
        <f>(ACOSH(SQRT(alpha*Kf*psi_f/(Tabella34[[#This Row],[Italy velocity]]*(1+TANH(phi_f)))))+phi_f)/psi_f-(Tabella34[[#This Row],[Day]]-pf)</f>
        <v>239.92492511380738</v>
      </c>
      <c r="Y15" s="244">
        <f>Tabella34[[#This Row],[Italy h.t.]]/Italy_ht_at_lockdown</f>
        <v>2.0754103783759361</v>
      </c>
      <c r="Z15" s="72">
        <f>-2*$BY$48*TANH($BY$48*(Tabella34[[#This Row],[Day]]-$BY$57)-$BY$47)*Tabella34[[#This Row],[Italy velocity]]</f>
        <v>2.2105644824576118</v>
      </c>
      <c r="AA15" s="72">
        <f>Tabella34[[#This Row],[Italy acc. fit]]/Itali_acc_at_lockdown</f>
        <v>6.1219942767832589E-2</v>
      </c>
      <c r="AB15" s="143">
        <f>Tabella34[[#This Row],[Italy acc. fit]]/y_f_peak</f>
        <v>7.3650964793272678E-4</v>
      </c>
      <c r="AC15" s="143">
        <f>Tabella34[[#This Row],[Italy (fit of selected region + fitted sum of the other regions)]]*NOT(ISBLANK(Tabella34[[#This Row],[Italy rate data]]))</f>
        <v>0</v>
      </c>
      <c r="AD15" s="143">
        <f>Tabella34[[#This Row],[Italy acc. fit]]*NOT(ISBLANK(Tabella34[[#This Row],[Italy rate data]]))</f>
        <v>0</v>
      </c>
      <c r="AE15" s="77">
        <f>Tabella34[[#This Row],[Italy acc. fit]]+CIf</f>
        <v>1717.8254238170089</v>
      </c>
      <c r="AF15" s="77">
        <f>MAX(Tabella34[[#This Row],[Italy acc. fit]]-CIf,0)</f>
        <v>0</v>
      </c>
      <c r="AG15" s="141"/>
      <c r="AH15" s="33"/>
      <c r="AI15" s="33"/>
      <c r="AJ15" s="142">
        <f>Tabella34[[#This Row],[selected region rate data]]*NOT(ISBLANK(Tabella34[[#This Row],[selected region rate data]]))</f>
        <v>0</v>
      </c>
      <c r="AK15" s="147">
        <f>Tabella8[[#This Row],[region fit]]</f>
        <v>0</v>
      </c>
      <c r="AL15" s="143">
        <f>(ATANH(alpha*Tabella34[[#This Row],[sel. region cumul. fit]]/Kl-(1-alpha*Tabella34[[#This Row],[sel. region cumul. fit]]/Kl)*TANH(phi_l))+phi_l)/psi_l-(Tabella34[[#This Row],[Day]]-pl)</f>
        <v>67.240334693239106</v>
      </c>
      <c r="AM15" s="142">
        <f>Tabella34[[#This Row],[sel. region cumul. fit]]/Kl</f>
        <v>0</v>
      </c>
      <c r="AN15" s="143">
        <f>Tabella3[[#This Row],[region fit]]</f>
        <v>1.1052744870160855</v>
      </c>
      <c r="AO15" s="183" t="e">
        <f>Tabella34[[#This Row],[sel. region velocity]]/Tabella34[[#This Row],[sel. region cumul. fit]]</f>
        <v>#DIV/0!</v>
      </c>
      <c r="AP15" s="236" t="e">
        <f>(LN(Tabella34[[#This Row],[Day]]-pr)-phi_r)/psi_r</f>
        <v>#NUM!</v>
      </c>
      <c r="AQ15" s="244">
        <f>EXP(phi_r+psi_r*Tabella34[[#This Row],[x_r_alpha©+plus]])-(Tabella34[[#This Row],[Day]]-pr)</f>
        <v>71.058797565737777</v>
      </c>
      <c r="AR15" s="244">
        <f>EXP(phi_r+psi_r*Tabella34[[#This Row],[x_r_alpha©-minus]])-(Tabella34[[#This Row],[Day]]-pr)</f>
        <v>70.166311773643997</v>
      </c>
      <c r="AS15" s="244">
        <f>-psi_r+SQRT(psi_r^2-2*Tabella34[[#This Row],[c_r]])</f>
        <v>4.6913100903604601</v>
      </c>
      <c r="AT15" s="244">
        <f>-psi_r-SQRT(psi_r^2-2*Tabella34[[#This Row],[c_r]])</f>
        <v>-4.747718328779122</v>
      </c>
      <c r="AU15" s="244">
        <f>phi_r-LN(alpha*Kr/(Tabella34[[#This Row],[sel. region velocity]]*psi_r*SQRTPI(2)))</f>
        <v>-11.136509450995396</v>
      </c>
      <c r="AV15" s="244">
        <f>(ACOSH(SQRT(alpha*Kl*psi_l/(Tabella34[[#This Row],[sel. region velocity]]*(1+TANH(phi_l)))))+phi_l)/psi_l-(Tabella34[[#This Row],[Day]]-pl)</f>
        <v>232.43260669459914</v>
      </c>
      <c r="AW15" s="72">
        <f>-2*$BY$22*TANH($BY$22*(Tabella34[[#This Row],[Day]]-$BY$31)-$BY$21)*Tabella34[[#This Row],[sel. region velocity]]</f>
        <v>6.2096045449329312E-2</v>
      </c>
      <c r="AX15" s="143">
        <f>Tabella34[[#This Row],[sel. region acc. fit]]/y_l_peak</f>
        <v>4.5062678674343578E-4</v>
      </c>
      <c r="AY15" s="143">
        <f>Tabella34[[#This Row],[sel. region acc. fit]]*NOT(ISBLANK(Tabella34[[#This Row],[selected region rate data]]))</f>
        <v>0</v>
      </c>
      <c r="AZ15" s="77">
        <f>Tabella34[[#This Row],[sel. region acc. fit]]+CIl</f>
        <v>53.826936454997785</v>
      </c>
      <c r="BA15" s="77">
        <f>MAX(Tabella34[[#This Row],[sel. region acc. fit]]-CIl,0)</f>
        <v>0</v>
      </c>
      <c r="BB15" s="141"/>
      <c r="BC15" s="33"/>
      <c r="BD15" s="33"/>
      <c r="BE15" s="142">
        <f>Tabella34[[#This Row],[rest of Italy rate data]]*NOT(ISBLANK(Tabella34[[#This Row],[rest of Italy rate data]]))</f>
        <v>0</v>
      </c>
      <c r="BF15" s="188">
        <f>Tabella8[[#This Row],[rest of Italy fit]]</f>
        <v>0</v>
      </c>
      <c r="BG15" s="78">
        <f>(ATANH(alpha*Tabella34[[#This Row],[rest of Italy cumul. fit]]/Ka-(1-alpha*Tabella34[[#This Row],[rest of Italy cumul. fit]]/Ka)*TANH(phi_a))+phi_a)/psi_a-(Tabella34[[#This Row],[Day]]-pa)</f>
        <v>61.695444456084331</v>
      </c>
      <c r="BH15" s="143">
        <f>Tabella34[[#This Row],[rest of Italy cumul. fit]]/Ka</f>
        <v>0</v>
      </c>
      <c r="BI15" s="143">
        <f>Tabella3[[#This Row],[rest of Italy fit]]</f>
        <v>44.576778745890302</v>
      </c>
      <c r="BJ15" s="183" t="e">
        <f>Tabella34[[#This Row],[rest of Italy velocity]]/Tabella34[[#This Row],[rest of Italy cumul. fit]]</f>
        <v>#DIV/0!</v>
      </c>
      <c r="BK15" s="236" t="e">
        <f>(LN(Tabella34[[#This Row],[Day]]-po)-phi_o)/psi_o</f>
        <v>#NUM!</v>
      </c>
      <c r="BL15" s="244">
        <f>EXP(phi_o+psi_o*Tabella34[[#This Row],[x_o_alpha©+plus]])-(Tabella34[[#This Row],[Day]]-po)</f>
        <v>65.633587413823847</v>
      </c>
      <c r="BM15" s="244">
        <f>EXP(phi_o+psi_o*Tabella34[[#This Row],[x_o_alpha©-minus]])-(Tabella34[[#This Row],[Day]]-po)</f>
        <v>64.834089588504355</v>
      </c>
      <c r="BN15" s="244">
        <f>-psi_o+SQRT(psi_o^2-2*Tabella34[[#This Row],[c_o]])</f>
        <v>4.6039088634546692</v>
      </c>
      <c r="BO15" s="244">
        <f>-psi_o-SQRT(psi_o^2-2*Tabella34[[#This Row],[c_o]])</f>
        <v>-4.6529359490242976</v>
      </c>
      <c r="BP15" s="244">
        <f>phi_o-LN(alpha*Ko/(Tabella34[[#This Row],[rest of Italy velocity]]*psi_o*SQRTPI(2)))</f>
        <v>-10.710846528399914</v>
      </c>
      <c r="BQ15" s="244">
        <f>(ACOSH(SQRT(alpha*Ka*psi_a/(Tabella34[[#This Row],[rest of Italy velocity]]*(1+TANH(phi_a)))))+phi_a)/psi_a-(Tabella34[[#This Row],[Day]]-pa)</f>
        <v>240.23406597622972</v>
      </c>
      <c r="BR15" s="72">
        <f>-2*$BY$35*TANH($BY$35*(Tabella34[[#This Row],[Day]]-$BY$44)-$BY$34)*Tabella34[[#This Row],[rest of Italy velocity]]</f>
        <v>2.1683817261786018</v>
      </c>
      <c r="BS15" s="143">
        <f>Tabella34[[#This Row],[rest of Italy acc. fit]]/y_a_peak</f>
        <v>7.5770086662802503E-4</v>
      </c>
      <c r="BT15" s="142">
        <f>Tabella34[[#This Row],[rest of Italy acc. fit]]*NOT(ISBLANK(Tabella34[[#This Row],[rest of Italy rate data]]))</f>
        <v>0</v>
      </c>
      <c r="BU15" s="77">
        <f>Tabella34[[#This Row],[rest of Italy acc. fit]]+CIa</f>
        <v>1696.7425766357612</v>
      </c>
      <c r="BV15" s="77">
        <f>MAX(Tabella34[[#This Row],[rest of Italy acc. fit]]-CIa,0)</f>
        <v>0</v>
      </c>
      <c r="BW15" s="1"/>
      <c r="BX15" s="202" t="s">
        <v>5</v>
      </c>
      <c r="BY15" s="205">
        <f>TINV(0.05,dfw)</f>
        <v>1.9896863234569038</v>
      </c>
      <c r="CL15" s="328"/>
    </row>
    <row r="16" spans="2:90" x14ac:dyDescent="0.3">
      <c r="B16" s="262">
        <v>43839</v>
      </c>
      <c r="C16" s="4">
        <v>9</v>
      </c>
      <c r="D16" s="141"/>
      <c r="E16" s="144"/>
      <c r="F16" s="144"/>
      <c r="G16" s="142">
        <f>Tabella34[[#This Row],[Italy rate data]]*NOT(ISBLANK(Tabella34[[#This Row],[Italy rate data]]))</f>
        <v>0</v>
      </c>
      <c r="H16" s="143">
        <f>Tabella8[[#This Row],[Italy fit]]</f>
        <v>0</v>
      </c>
      <c r="I16" s="143">
        <f>(ATANH(alpha*Tabella34[[#This Row],[Italy cumul. Fit]]/Kf-(1-alpha*Tabella34[[#This Row],[Italy cumul. Fit]]/Kf)*TANH(phi_f))+phi_f)/psi_f-(Tabella34[[#This Row],[Day]]-pf)</f>
        <v>60.844294912230211</v>
      </c>
      <c r="J16" s="143">
        <f>Tabella34[[#This Row],[Italy d.t.]]/Italy_dt_at_lockdown</f>
        <v>55.181938319923304</v>
      </c>
      <c r="K16" s="143">
        <f>Tabella34[[#This Row],[Italy cumul. Fit]]/Kf</f>
        <v>0</v>
      </c>
      <c r="L16" s="146">
        <f>Tabella34[[#This Row],[sel. region acc. fit]]+Tabella34[[#This Row],[rest of Italy acc. fit]]</f>
        <v>2.3412168773237227</v>
      </c>
      <c r="M16" s="143">
        <f>Tabella34[[#This Row],[Italy (fit of selected region + fitted sum of the other regions)]]/(y_l_peak+y_a_peak)</f>
        <v>7.8051215316116151E-4</v>
      </c>
      <c r="N16" s="143">
        <f>Tabella3[[#This Row],[Italy remov. rate fit]]</f>
        <v>47.360100430487634</v>
      </c>
      <c r="O16" s="143" t="e">
        <f>Kt*EXP(-0.5*Tabella34[[#This Row],[x_t]]^2)/(psi_t*SQRTPI(2)*(Tabella34[[#This Row],[Day]]-D_bk))</f>
        <v>#NUM!</v>
      </c>
      <c r="P16" s="183" t="e">
        <f>Tabella34[[#This Row],[Italy velocity]]/Tabella34[[#This Row],[Italy cumul. Fit]]</f>
        <v>#DIV/0!</v>
      </c>
      <c r="Q16" s="244" t="e">
        <f>(LN(Tabella34[[#This Row],[Day]]-D_bk)-phi_t)/psi_t</f>
        <v>#NUM!</v>
      </c>
      <c r="R16" s="244">
        <f>EXP(phi_t+psi_t*Tabella34[[#This Row],[x_t_alpha©+plus]])-(Tabella34[[#This Row],[Day]]-D_bk)</f>
        <v>64.797813802539537</v>
      </c>
      <c r="S16" s="244">
        <f>EXP(phi_t+psi_t*Tabella34[[#This Row],[x_t_alpha©-minus]])-(Tabella34[[#This Row],[Day]]-D_bk)</f>
        <v>63.990892269679293</v>
      </c>
      <c r="T16" s="244">
        <f>-psi_t+SQRT(psi_t^2-2*Tabella34[[#This Row],[c_t]])</f>
        <v>4.5971246011912488</v>
      </c>
      <c r="U16" s="244">
        <f>-psi_t-SQRT(psi_t^2-2*Tabella34[[#This Row],[c_t]])</f>
        <v>-4.646517335611053</v>
      </c>
      <c r="V16" s="244">
        <f>phi_t-LN(alpha*Kt/(Tabella34[[#This Row],[Italy velocity]]*psi_t*SQRTPI(2)))</f>
        <v>-10.680309576699594</v>
      </c>
      <c r="W16" s="244" t="e">
        <f>Tabella34[[#This Row],[Italy g.r.]]/Italy_gr_at_lockdown</f>
        <v>#DIV/0!</v>
      </c>
      <c r="X16" s="244">
        <f>(ACOSH(SQRT(alpha*Kf*psi_f/(Tabella34[[#This Row],[Italy velocity]]*(1+TANH(phi_f)))))+phi_f)/psi_f-(Tabella34[[#This Row],[Day]]-pf)</f>
        <v>237.92881226963641</v>
      </c>
      <c r="Y16" s="244">
        <f>Tabella34[[#This Row],[Italy h.t.]]/Italy_ht_at_lockdown</f>
        <v>2.0581435049519397</v>
      </c>
      <c r="Z16" s="72">
        <f>-2*$BY$48*TANH($BY$48*(Tabella34[[#This Row],[Day]]-$BY$57)-$BY$47)*Tabella34[[#This Row],[Italy velocity]]</f>
        <v>2.3207156485642138</v>
      </c>
      <c r="AA16" s="72">
        <f>Tabella34[[#This Row],[Italy acc. fit]]/Itali_acc_at_lockdown</f>
        <v>6.4270497564297563E-2</v>
      </c>
      <c r="AB16" s="143">
        <f>Tabella34[[#This Row],[Italy acc. fit]]/y_f_peak</f>
        <v>7.7320950320153064E-4</v>
      </c>
      <c r="AC16" s="143">
        <f>Tabella34[[#This Row],[Italy (fit of selected region + fitted sum of the other regions)]]*NOT(ISBLANK(Tabella34[[#This Row],[Italy rate data]]))</f>
        <v>0</v>
      </c>
      <c r="AD16" s="143">
        <f>Tabella34[[#This Row],[Italy acc. fit]]*NOT(ISBLANK(Tabella34[[#This Row],[Italy rate data]]))</f>
        <v>0</v>
      </c>
      <c r="AE16" s="77">
        <f>Tabella34[[#This Row],[Italy acc. fit]]+CIf</f>
        <v>1717.9355749831154</v>
      </c>
      <c r="AF16" s="77">
        <f>MAX(Tabella34[[#This Row],[Italy acc. fit]]-CIf,0)</f>
        <v>0</v>
      </c>
      <c r="AG16" s="141"/>
      <c r="AH16" s="33"/>
      <c r="AI16" s="33"/>
      <c r="AJ16" s="142">
        <f>Tabella34[[#This Row],[selected region rate data]]*NOT(ISBLANK(Tabella34[[#This Row],[selected region rate data]]))</f>
        <v>0</v>
      </c>
      <c r="AK16" s="147">
        <f>Tabella8[[#This Row],[region fit]]</f>
        <v>0</v>
      </c>
      <c r="AL16" s="143">
        <f>(ATANH(alpha*Tabella34[[#This Row],[sel. region cumul. fit]]/Kl-(1-alpha*Tabella34[[#This Row],[sel. region cumul. fit]]/Kl)*TANH(phi_l))+phi_l)/psi_l-(Tabella34[[#This Row],[Day]]-pl)</f>
        <v>66.240334693239106</v>
      </c>
      <c r="AM16" s="142">
        <f>Tabella34[[#This Row],[sel. region cumul. fit]]/Kl</f>
        <v>0</v>
      </c>
      <c r="AN16" s="143">
        <f>Tabella3[[#This Row],[region fit]]</f>
        <v>1.1691403878854365</v>
      </c>
      <c r="AO16" s="183" t="e">
        <f>Tabella34[[#This Row],[sel. region velocity]]/Tabella34[[#This Row],[sel. region cumul. fit]]</f>
        <v>#DIV/0!</v>
      </c>
      <c r="AP16" s="236" t="e">
        <f>(LN(Tabella34[[#This Row],[Day]]-pr)-phi_r)/psi_r</f>
        <v>#NUM!</v>
      </c>
      <c r="AQ16" s="244">
        <f>EXP(phi_r+psi_r*Tabella34[[#This Row],[x_r_alpha©+plus]])-(Tabella34[[#This Row],[Day]]-pr)</f>
        <v>70.057514280927634</v>
      </c>
      <c r="AR16" s="244">
        <f>EXP(phi_r+psi_r*Tabella34[[#This Row],[x_r_alpha©-minus]])-(Tabella34[[#This Row],[Day]]-pr)</f>
        <v>69.16729544807059</v>
      </c>
      <c r="AS16" s="244">
        <f>-psi_r+SQRT(psi_r^2-2*Tabella34[[#This Row],[c_r]])</f>
        <v>4.6793923223432712</v>
      </c>
      <c r="AT16" s="244">
        <f>-psi_r-SQRT(psi_r^2-2*Tabella34[[#This Row],[c_r]])</f>
        <v>-4.7358005607619331</v>
      </c>
      <c r="AU16" s="244">
        <f>phi_r-LN(alpha*Kr/(Tabella34[[#This Row],[sel. region velocity]]*psi_r*SQRTPI(2)))</f>
        <v>-11.080334392089172</v>
      </c>
      <c r="AV16" s="244">
        <f>(ACOSH(SQRT(alpha*Kl*psi_l/(Tabella34[[#This Row],[sel. region velocity]]*(1+TANH(phi_l)))))+phi_l)/psi_l-(Tabella34[[#This Row],[Day]]-pl)</f>
        <v>230.43468000996944</v>
      </c>
      <c r="AW16" s="72">
        <f>-2*$BY$22*TANH($BY$22*(Tabella34[[#This Row],[Day]]-$BY$31)-$BY$21)*Tabella34[[#This Row],[sel. region velocity]]</f>
        <v>6.5668785224670775E-2</v>
      </c>
      <c r="AX16" s="143">
        <f>Tabella34[[#This Row],[sel. region acc. fit]]/y_l_peak</f>
        <v>4.7655391677535274E-4</v>
      </c>
      <c r="AY16" s="143">
        <f>Tabella34[[#This Row],[sel. region acc. fit]]*NOT(ISBLANK(Tabella34[[#This Row],[selected region rate data]]))</f>
        <v>0</v>
      </c>
      <c r="AZ16" s="77">
        <f>Tabella34[[#This Row],[sel. region acc. fit]]+CIl</f>
        <v>53.830509194773128</v>
      </c>
      <c r="BA16" s="77">
        <f>MAX(Tabella34[[#This Row],[sel. region acc. fit]]-CIl,0)</f>
        <v>0</v>
      </c>
      <c r="BB16" s="141"/>
      <c r="BC16" s="33"/>
      <c r="BD16" s="33"/>
      <c r="BE16" s="142">
        <f>Tabella34[[#This Row],[rest of Italy rate data]]*NOT(ISBLANK(Tabella34[[#This Row],[rest of Italy rate data]]))</f>
        <v>0</v>
      </c>
      <c r="BF16" s="188">
        <f>Tabella8[[#This Row],[rest of Italy fit]]</f>
        <v>0</v>
      </c>
      <c r="BG16" s="78">
        <f>(ATANH(alpha*Tabella34[[#This Row],[rest of Italy cumul. fit]]/Ka-(1-alpha*Tabella34[[#This Row],[rest of Italy cumul. fit]]/Ka)*TANH(phi_a))+phi_a)/psi_a-(Tabella34[[#This Row],[Day]]-pa)</f>
        <v>60.695444456084331</v>
      </c>
      <c r="BH16" s="143">
        <f>Tabella34[[#This Row],[rest of Italy cumul. fit]]/Ka</f>
        <v>0</v>
      </c>
      <c r="BI16" s="143">
        <f>Tabella3[[#This Row],[rest of Italy fit]]</f>
        <v>46.798319995882608</v>
      </c>
      <c r="BJ16" s="183" t="e">
        <f>Tabella34[[#This Row],[rest of Italy velocity]]/Tabella34[[#This Row],[rest of Italy cumul. fit]]</f>
        <v>#DIV/0!</v>
      </c>
      <c r="BK16" s="236" t="e">
        <f>(LN(Tabella34[[#This Row],[Day]]-po)-phi_o)/psi_o</f>
        <v>#NUM!</v>
      </c>
      <c r="BL16" s="244">
        <f>EXP(phi_o+psi_o*Tabella34[[#This Row],[x_o_alpha©+plus]])-(Tabella34[[#This Row],[Day]]-po)</f>
        <v>64.632571996642199</v>
      </c>
      <c r="BM16" s="244">
        <f>EXP(phi_o+psi_o*Tabella34[[#This Row],[x_o_alpha©-minus]])-(Tabella34[[#This Row],[Day]]-po)</f>
        <v>63.834899070585323</v>
      </c>
      <c r="BN16" s="244">
        <f>-psi_o+SQRT(psi_o^2-2*Tabella34[[#This Row],[c_o]])</f>
        <v>4.5933891733949821</v>
      </c>
      <c r="BO16" s="244">
        <f>-psi_o-SQRT(psi_o^2-2*Tabella34[[#This Row],[c_o]])</f>
        <v>-4.6424162589646105</v>
      </c>
      <c r="BP16" s="244">
        <f>phi_o-LN(alpha*Ko/(Tabella34[[#This Row],[rest of Italy velocity]]*psi_o*SQRTPI(2)))</f>
        <v>-10.662212291160438</v>
      </c>
      <c r="BQ16" s="244">
        <f>(ACOSH(SQRT(alpha*Ka*psi_a/(Tabella34[[#This Row],[rest of Italy velocity]]*(1+TANH(phi_a)))))+phi_a)/psi_a-(Tabella34[[#This Row],[Day]]-pa)</f>
        <v>238.23809659686219</v>
      </c>
      <c r="BR16" s="72">
        <f>-2*$BY$35*TANH($BY$35*(Tabella34[[#This Row],[Day]]-$BY$44)-$BY$34)*Tabella34[[#This Row],[rest of Italy velocity]]</f>
        <v>2.2755480920990521</v>
      </c>
      <c r="BS16" s="143">
        <f>Tabella34[[#This Row],[rest of Italy acc. fit]]/y_a_peak</f>
        <v>7.9514817000223405E-4</v>
      </c>
      <c r="BT16" s="142">
        <f>Tabella34[[#This Row],[rest of Italy acc. fit]]*NOT(ISBLANK(Tabella34[[#This Row],[rest of Italy rate data]]))</f>
        <v>0</v>
      </c>
      <c r="BU16" s="77">
        <f>Tabella34[[#This Row],[rest of Italy acc. fit]]+CIa</f>
        <v>1696.8497430016819</v>
      </c>
      <c r="BV16" s="77">
        <f>MAX(Tabella34[[#This Row],[rest of Italy acc. fit]]-CIa,0)</f>
        <v>0</v>
      </c>
      <c r="BW16" s="1"/>
      <c r="BX16" s="202" t="s">
        <v>6</v>
      </c>
      <c r="BY16" s="203">
        <f>Critical_tw*SE_of_yw</f>
        <v>1672.6498996169335</v>
      </c>
      <c r="CL16" s="328"/>
    </row>
    <row r="17" spans="2:90" ht="15" thickBot="1" x14ac:dyDescent="0.35">
      <c r="B17" s="262">
        <v>43840</v>
      </c>
      <c r="C17" s="4">
        <v>10</v>
      </c>
      <c r="D17" s="141"/>
      <c r="E17" s="144"/>
      <c r="F17" s="144"/>
      <c r="G17" s="142">
        <f>Tabella34[[#This Row],[Italy rate data]]*NOT(ISBLANK(Tabella34[[#This Row],[Italy rate data]]))</f>
        <v>0</v>
      </c>
      <c r="H17" s="143">
        <f>Tabella8[[#This Row],[Italy fit]]</f>
        <v>0</v>
      </c>
      <c r="I17" s="143">
        <f>(ATANH(alpha*Tabella34[[#This Row],[Italy cumul. Fit]]/Kf-(1-alpha*Tabella34[[#This Row],[Italy cumul. Fit]]/Kf)*TANH(phi_f))+phi_f)/psi_f-(Tabella34[[#This Row],[Day]]-pf)</f>
        <v>59.844294912230211</v>
      </c>
      <c r="J17" s="143">
        <f>Tabella34[[#This Row],[Italy d.t.]]/Italy_dt_at_lockdown</f>
        <v>54.275001385252189</v>
      </c>
      <c r="K17" s="143">
        <f>Tabella34[[#This Row],[Italy cumul. Fit]]/Kf</f>
        <v>0</v>
      </c>
      <c r="L17" s="146">
        <f>Tabella34[[#This Row],[sel. region acc. fit]]+Tabella34[[#This Row],[rest of Italy acc. fit]]</f>
        <v>2.4573617985478382</v>
      </c>
      <c r="M17" s="143">
        <f>Tabella34[[#This Row],[Italy (fit of selected region + fitted sum of the other regions)]]/(y_l_peak+y_a_peak)</f>
        <v>8.1923241159659278E-4</v>
      </c>
      <c r="N17" s="143">
        <f>Tabella3[[#This Row],[Italy remov. rate fit]]</f>
        <v>49.738128969728379</v>
      </c>
      <c r="O17" s="143" t="e">
        <f>Kt*EXP(-0.5*Tabella34[[#This Row],[x_t]]^2)/(psi_t*SQRTPI(2)*(Tabella34[[#This Row],[Day]]-D_bk))</f>
        <v>#NUM!</v>
      </c>
      <c r="P17" s="183" t="e">
        <f>Tabella34[[#This Row],[Italy velocity]]/Tabella34[[#This Row],[Italy cumul. Fit]]</f>
        <v>#DIV/0!</v>
      </c>
      <c r="Q17" s="244" t="e">
        <f>(LN(Tabella34[[#This Row],[Day]]-D_bk)-phi_t)/psi_t</f>
        <v>#NUM!</v>
      </c>
      <c r="R17" s="244">
        <f>EXP(phi_t+psi_t*Tabella34[[#This Row],[x_t_alpha©+plus]])-(Tabella34[[#This Row],[Day]]-D_bk)</f>
        <v>63.796777782041076</v>
      </c>
      <c r="S17" s="244">
        <f>EXP(phi_t+psi_t*Tabella34[[#This Row],[x_t_alpha©-minus]])-(Tabella34[[#This Row],[Day]]-D_bk)</f>
        <v>62.991717052346317</v>
      </c>
      <c r="T17" s="244">
        <f>-psi_t+SQRT(psi_t^2-2*Tabella34[[#This Row],[c_t]])</f>
        <v>4.5865123293615131</v>
      </c>
      <c r="U17" s="244">
        <f>-psi_t-SQRT(psi_t^2-2*Tabella34[[#This Row],[c_t]])</f>
        <v>-4.6359050637813173</v>
      </c>
      <c r="V17" s="244">
        <f>phi_t-LN(alpha*Kt/(Tabella34[[#This Row],[Italy velocity]]*psi_t*SQRTPI(2)))</f>
        <v>-10.631317866391242</v>
      </c>
      <c r="W17" s="244" t="e">
        <f>Tabella34[[#This Row],[Italy g.r.]]/Italy_gr_at_lockdown</f>
        <v>#DIV/0!</v>
      </c>
      <c r="X17" s="244">
        <f>(ACOSH(SQRT(alpha*Kf*psi_f/(Tabella34[[#This Row],[Italy velocity]]*(1+TANH(phi_f)))))+phi_f)/psi_f-(Tabella34[[#This Row],[Day]]-pf)</f>
        <v>235.93289664062752</v>
      </c>
      <c r="Y17" s="244">
        <f>Tabella34[[#This Row],[Italy h.t.]]/Italy_ht_at_lockdown</f>
        <v>2.0408783374882304</v>
      </c>
      <c r="Z17" s="72">
        <f>-2*$BY$48*TANH($BY$48*(Tabella34[[#This Row],[Day]]-$BY$57)-$BY$47)*Tabella34[[#This Row],[Italy velocity]]</f>
        <v>2.4362614017727133</v>
      </c>
      <c r="AA17" s="72">
        <f>Tabella34[[#This Row],[Italy acc. fit]]/Itali_acc_at_lockdown</f>
        <v>6.7470451446948479E-2</v>
      </c>
      <c r="AB17" s="143">
        <f>Tabella34[[#This Row],[Italy acc. fit]]/y_f_peak</f>
        <v>8.1170671180641268E-4</v>
      </c>
      <c r="AC17" s="143">
        <f>Tabella34[[#This Row],[Italy (fit of selected region + fitted sum of the other regions)]]*NOT(ISBLANK(Tabella34[[#This Row],[Italy rate data]]))</f>
        <v>0</v>
      </c>
      <c r="AD17" s="143">
        <f>Tabella34[[#This Row],[Italy acc. fit]]*NOT(ISBLANK(Tabella34[[#This Row],[Italy rate data]]))</f>
        <v>0</v>
      </c>
      <c r="AE17" s="77">
        <f>Tabella34[[#This Row],[Italy acc. fit]]+CIf</f>
        <v>1718.051120736324</v>
      </c>
      <c r="AF17" s="77">
        <f>MAX(Tabella34[[#This Row],[Italy acc. fit]]-CIf,0)</f>
        <v>0</v>
      </c>
      <c r="AG17" s="141"/>
      <c r="AH17" s="33"/>
      <c r="AI17" s="33"/>
      <c r="AJ17" s="142">
        <f>Tabella34[[#This Row],[selected region rate data]]*NOT(ISBLANK(Tabella34[[#This Row],[selected region rate data]]))</f>
        <v>0</v>
      </c>
      <c r="AK17" s="147">
        <f>Tabella8[[#This Row],[region fit]]</f>
        <v>0</v>
      </c>
      <c r="AL17" s="143">
        <f>(ATANH(alpha*Tabella34[[#This Row],[sel. region cumul. fit]]/Kl-(1-alpha*Tabella34[[#This Row],[sel. region cumul. fit]]/Kl)*TANH(phi_l))+phi_l)/psi_l-(Tabella34[[#This Row],[Day]]-pl)</f>
        <v>65.240334693239106</v>
      </c>
      <c r="AM17" s="142">
        <f>Tabella34[[#This Row],[sel. region cumul. fit]]/Kl</f>
        <v>0</v>
      </c>
      <c r="AN17" s="143">
        <f>Tabella3[[#This Row],[region fit]]</f>
        <v>1.2366799446077421</v>
      </c>
      <c r="AO17" s="183" t="e">
        <f>Tabella34[[#This Row],[sel. region velocity]]/Tabella34[[#This Row],[sel. region cumul. fit]]</f>
        <v>#DIV/0!</v>
      </c>
      <c r="AP17" s="236" t="e">
        <f>(LN(Tabella34[[#This Row],[Day]]-pr)-phi_r)/psi_r</f>
        <v>#NUM!</v>
      </c>
      <c r="AQ17" s="244">
        <f>EXP(phi_r+psi_r*Tabella34[[#This Row],[x_r_alpha©+plus]])-(Tabella34[[#This Row],[Day]]-pr)</f>
        <v>69.056228481472402</v>
      </c>
      <c r="AR17" s="244">
        <f>EXP(phi_r+psi_r*Tabella34[[#This Row],[x_r_alpha©-minus]])-(Tabella34[[#This Row],[Day]]-pr)</f>
        <v>68.168281713609645</v>
      </c>
      <c r="AS17" s="244">
        <f>-psi_r+SQRT(psi_r^2-2*Tabella34[[#This Row],[c_r]])</f>
        <v>4.6674471819531123</v>
      </c>
      <c r="AT17" s="244">
        <f>-psi_r-SQRT(psi_r^2-2*Tabella34[[#This Row],[c_r]])</f>
        <v>-4.7238554203717742</v>
      </c>
      <c r="AU17" s="244">
        <f>phi_r-LN(alpha*Kr/(Tabella34[[#This Row],[sel. region velocity]]*psi_r*SQRTPI(2)))</f>
        <v>-11.024172834884087</v>
      </c>
      <c r="AV17" s="244">
        <f>(ACOSH(SQRT(alpha*Kl*psi_l/(Tabella34[[#This Row],[sel. region velocity]]*(1+TANH(phi_l)))))+phi_l)/psi_l-(Tabella34[[#This Row],[Day]]-pl)</f>
        <v>228.43687377000452</v>
      </c>
      <c r="AW17" s="72">
        <f>-2*$BY$22*TANH($BY$22*(Tabella34[[#This Row],[Day]]-$BY$31)-$BY$21)*Tabella34[[#This Row],[sel. region velocity]]</f>
        <v>6.9445205805981777E-2</v>
      </c>
      <c r="AX17" s="143">
        <f>Tabella34[[#This Row],[sel. region acc. fit]]/y_l_peak</f>
        <v>5.0395914459032843E-4</v>
      </c>
      <c r="AY17" s="143">
        <f>Tabella34[[#This Row],[sel. region acc. fit]]*NOT(ISBLANK(Tabella34[[#This Row],[selected region rate data]]))</f>
        <v>0</v>
      </c>
      <c r="AZ17" s="77">
        <f>Tabella34[[#This Row],[sel. region acc. fit]]+CIl</f>
        <v>53.834285615354439</v>
      </c>
      <c r="BA17" s="77">
        <f>MAX(Tabella34[[#This Row],[sel. region acc. fit]]-CIl,0)</f>
        <v>0</v>
      </c>
      <c r="BB17" s="141"/>
      <c r="BC17" s="33"/>
      <c r="BD17" s="33"/>
      <c r="BE17" s="142">
        <f>Tabella34[[#This Row],[rest of Italy rate data]]*NOT(ISBLANK(Tabella34[[#This Row],[rest of Italy rate data]]))</f>
        <v>0</v>
      </c>
      <c r="BF17" s="188">
        <f>Tabella8[[#This Row],[rest of Italy fit]]</f>
        <v>0</v>
      </c>
      <c r="BG17" s="78">
        <f>(ATANH(alpha*Tabella34[[#This Row],[rest of Italy cumul. fit]]/Ka-(1-alpha*Tabella34[[#This Row],[rest of Italy cumul. fit]]/Ka)*TANH(phi_a))+phi_a)/psi_a-(Tabella34[[#This Row],[Day]]-pa)</f>
        <v>59.695444456084331</v>
      </c>
      <c r="BH17" s="143">
        <f>Tabella34[[#This Row],[rest of Italy cumul. fit]]/Ka</f>
        <v>0</v>
      </c>
      <c r="BI17" s="143">
        <f>Tabella3[[#This Row],[rest of Italy fit]]</f>
        <v>49.129608863869066</v>
      </c>
      <c r="BJ17" s="183" t="e">
        <f>Tabella34[[#This Row],[rest of Italy velocity]]/Tabella34[[#This Row],[rest of Italy cumul. fit]]</f>
        <v>#DIV/0!</v>
      </c>
      <c r="BK17" s="236" t="e">
        <f>(LN(Tabella34[[#This Row],[Day]]-po)-phi_o)/psi_o</f>
        <v>#NUM!</v>
      </c>
      <c r="BL17" s="244">
        <f>EXP(phi_o+psi_o*Tabella34[[#This Row],[x_o_alpha©+plus]])-(Tabella34[[#This Row],[Day]]-po)</f>
        <v>63.631554935404836</v>
      </c>
      <c r="BM17" s="244">
        <f>EXP(phi_o+psi_o*Tabella34[[#This Row],[x_o_alpha©-minus]])-(Tabella34[[#This Row],[Day]]-po)</f>
        <v>62.835710281960523</v>
      </c>
      <c r="BN17" s="244">
        <f>-psi_o+SQRT(psi_o^2-2*Tabella34[[#This Row],[c_o]])</f>
        <v>4.5828497309120273</v>
      </c>
      <c r="BO17" s="244">
        <f>-psi_o-SQRT(psi_o^2-2*Tabella34[[#This Row],[c_o]])</f>
        <v>-4.6318768164816557</v>
      </c>
      <c r="BP17" s="244">
        <f>phi_o-LN(alpha*Ko/(Tabella34[[#This Row],[rest of Italy velocity]]*psi_o*SQRTPI(2)))</f>
        <v>-10.613597711015306</v>
      </c>
      <c r="BQ17" s="244">
        <f>(ACOSH(SQRT(alpha*Ka*psi_a/(Tabella34[[#This Row],[rest of Italy velocity]]*(1+TANH(phi_a)))))+phi_a)/psi_a-(Tabella34[[#This Row],[Day]]-pa)</f>
        <v>236.24233017484408</v>
      </c>
      <c r="BR17" s="72">
        <f>-2*$BY$35*TANH($BY$35*(Tabella34[[#This Row],[Day]]-$BY$44)-$BY$34)*Tabella34[[#This Row],[rest of Italy velocity]]</f>
        <v>2.3879165927418566</v>
      </c>
      <c r="BS17" s="143">
        <f>Tabella34[[#This Row],[rest of Italy acc. fit]]/y_a_peak</f>
        <v>8.3441326308563335E-4</v>
      </c>
      <c r="BT17" s="142">
        <f>Tabella34[[#This Row],[rest of Italy acc. fit]]*NOT(ISBLANK(Tabella34[[#This Row],[rest of Italy rate data]]))</f>
        <v>0</v>
      </c>
      <c r="BU17" s="77">
        <f>Tabella34[[#This Row],[rest of Italy acc. fit]]+CIa</f>
        <v>1696.9621115023247</v>
      </c>
      <c r="BV17" s="77">
        <f>MAX(Tabella34[[#This Row],[rest of Italy acc. fit]]-CIa,0)</f>
        <v>0</v>
      </c>
      <c r="BW17" s="1"/>
      <c r="BX17" s="206" t="s">
        <v>98</v>
      </c>
      <c r="BY17" s="207">
        <f>MAX(Tabella34[Italy (fit of selected region + fitted sum of the other regions)])</f>
        <v>56.991636902489944</v>
      </c>
      <c r="CL17" s="328"/>
    </row>
    <row r="18" spans="2:90" x14ac:dyDescent="0.3">
      <c r="B18" s="262">
        <v>43841</v>
      </c>
      <c r="C18" s="4">
        <v>11</v>
      </c>
      <c r="D18" s="141"/>
      <c r="E18" s="144"/>
      <c r="F18" s="144"/>
      <c r="G18" s="142">
        <f>Tabella34[[#This Row],[Italy rate data]]*NOT(ISBLANK(Tabella34[[#This Row],[Italy rate data]]))</f>
        <v>0</v>
      </c>
      <c r="H18" s="143">
        <f>Tabella8[[#This Row],[Italy fit]]</f>
        <v>0</v>
      </c>
      <c r="I18" s="143">
        <f>(ATANH(alpha*Tabella34[[#This Row],[Italy cumul. Fit]]/Kf-(1-alpha*Tabella34[[#This Row],[Italy cumul. Fit]]/Kf)*TANH(phi_f))+phi_f)/psi_f-(Tabella34[[#This Row],[Day]]-pf)</f>
        <v>58.844294912230211</v>
      </c>
      <c r="J18" s="143">
        <f>Tabella34[[#This Row],[Italy d.t.]]/Italy_dt_at_lockdown</f>
        <v>53.36806445058108</v>
      </c>
      <c r="K18" s="143">
        <f>Tabella34[[#This Row],[Italy cumul. Fit]]/Kf</f>
        <v>0</v>
      </c>
      <c r="L18" s="146">
        <f>Tabella34[[#This Row],[sel. region acc. fit]]+Tabella34[[#This Row],[rest of Italy acc. fit]]</f>
        <v>2.5791667683643982</v>
      </c>
      <c r="M18" s="143">
        <f>Tabella34[[#This Row],[Italy (fit of selected region + fitted sum of the other regions)]]/(y_l_peak+y_a_peak)</f>
        <v>8.5983961043326344E-4</v>
      </c>
      <c r="N18" s="143">
        <f>Tabella3[[#This Row],[Italy remov. rate fit]]</f>
        <v>52.234506124056296</v>
      </c>
      <c r="O18" s="143" t="e">
        <f>Kt*EXP(-0.5*Tabella34[[#This Row],[x_t]]^2)/(psi_t*SQRTPI(2)*(Tabella34[[#This Row],[Day]]-D_bk))</f>
        <v>#NUM!</v>
      </c>
      <c r="P18" s="183" t="e">
        <f>Tabella34[[#This Row],[Italy velocity]]/Tabella34[[#This Row],[Italy cumul. Fit]]</f>
        <v>#DIV/0!</v>
      </c>
      <c r="Q18" s="244" t="e">
        <f>(LN(Tabella34[[#This Row],[Day]]-D_bk)-phi_t)/psi_t</f>
        <v>#NUM!</v>
      </c>
      <c r="R18" s="244">
        <f>EXP(phi_t+psi_t*Tabella34[[#This Row],[x_t_alpha©+plus]])-(Tabella34[[#This Row],[Day]]-D_bk)</f>
        <v>62.795740073028362</v>
      </c>
      <c r="S18" s="244">
        <f>EXP(phi_t+psi_t*Tabella34[[#This Row],[x_t_alpha©-minus]])-(Tabella34[[#This Row],[Day]]-D_bk)</f>
        <v>61.992543612804255</v>
      </c>
      <c r="T18" s="244">
        <f>-psi_t+SQRT(psi_t^2-2*Tabella34[[#This Row],[c_t]])</f>
        <v>4.575879972721145</v>
      </c>
      <c r="U18" s="244">
        <f>-psi_t-SQRT(psi_t^2-2*Tabella34[[#This Row],[c_t]])</f>
        <v>-4.6252727071409492</v>
      </c>
      <c r="V18" s="244">
        <f>phi_t-LN(alpha*Kt/(Tabella34[[#This Row],[Italy velocity]]*psi_t*SQRTPI(2)))</f>
        <v>-10.58234637448999</v>
      </c>
      <c r="W18" s="244" t="e">
        <f>Tabella34[[#This Row],[Italy g.r.]]/Italy_gr_at_lockdown</f>
        <v>#DIV/0!</v>
      </c>
      <c r="X18" s="244">
        <f>(ACOSH(SQRT(alpha*Kf*psi_f/(Tabella34[[#This Row],[Italy velocity]]*(1+TANH(phi_f)))))+phi_f)/psi_f-(Tabella34[[#This Row],[Day]]-pf)</f>
        <v>233.93718825341864</v>
      </c>
      <c r="Y18" s="244">
        <f>Tabella34[[#This Row],[Italy h.t.]]/Italy_ht_at_lockdown</f>
        <v>2.0236149627177245</v>
      </c>
      <c r="Z18" s="72">
        <f>-2*$BY$48*TANH($BY$48*(Tabella34[[#This Row],[Day]]-$BY$57)-$BY$47)*Tabella34[[#This Row],[Italy velocity]]</f>
        <v>2.5574561912356222</v>
      </c>
      <c r="AA18" s="72">
        <f>Tabella34[[#This Row],[Italy acc. fit]]/Itali_acc_at_lockdown</f>
        <v>7.0826851196224325E-2</v>
      </c>
      <c r="AB18" s="143">
        <f>Tabella34[[#This Row],[Italy acc. fit]]/y_f_peak</f>
        <v>8.5208605039931878E-4</v>
      </c>
      <c r="AC18" s="143">
        <f>Tabella34[[#This Row],[Italy (fit of selected region + fitted sum of the other regions)]]*NOT(ISBLANK(Tabella34[[#This Row],[Italy rate data]]))</f>
        <v>0</v>
      </c>
      <c r="AD18" s="143">
        <f>Tabella34[[#This Row],[Italy acc. fit]]*NOT(ISBLANK(Tabella34[[#This Row],[Italy rate data]]))</f>
        <v>0</v>
      </c>
      <c r="AE18" s="77">
        <f>Tabella34[[#This Row],[Italy acc. fit]]+CIf</f>
        <v>1718.1723155257869</v>
      </c>
      <c r="AF18" s="77">
        <f>MAX(Tabella34[[#This Row],[Italy acc. fit]]-CIf,0)</f>
        <v>0</v>
      </c>
      <c r="AG18" s="141"/>
      <c r="AH18" s="33"/>
      <c r="AI18" s="33"/>
      <c r="AJ18" s="142">
        <f>Tabella34[[#This Row],[selected region rate data]]*NOT(ISBLANK(Tabella34[[#This Row],[selected region rate data]]))</f>
        <v>0</v>
      </c>
      <c r="AK18" s="147">
        <f>Tabella8[[#This Row],[region fit]]</f>
        <v>0</v>
      </c>
      <c r="AL18" s="143">
        <f>(ATANH(alpha*Tabella34[[#This Row],[sel. region cumul. fit]]/Kl-(1-alpha*Tabella34[[#This Row],[sel. region cumul. fit]]/Kl)*TANH(phi_l))+phi_l)/psi_l-(Tabella34[[#This Row],[Day]]-pl)</f>
        <v>64.240334693239106</v>
      </c>
      <c r="AM18" s="142">
        <f>Tabella34[[#This Row],[sel. region cumul. fit]]/Kl</f>
        <v>0</v>
      </c>
      <c r="AN18" s="143">
        <f>Tabella3[[#This Row],[region fit]]</f>
        <v>1.3081024822450997</v>
      </c>
      <c r="AO18" s="183" t="e">
        <f>Tabella34[[#This Row],[sel. region velocity]]/Tabella34[[#This Row],[sel. region cumul. fit]]</f>
        <v>#DIV/0!</v>
      </c>
      <c r="AP18" s="236" t="e">
        <f>(LN(Tabella34[[#This Row],[Day]]-pr)-phi_r)/psi_r</f>
        <v>#NUM!</v>
      </c>
      <c r="AQ18" s="244">
        <f>EXP(phi_r+psi_r*Tabella34[[#This Row],[x_r_alpha©+plus]])-(Tabella34[[#This Row],[Day]]-pr)</f>
        <v>68.054940165588619</v>
      </c>
      <c r="AR18" s="244">
        <f>EXP(phi_r+psi_r*Tabella34[[#This Row],[x_r_alpha©-minus]])-(Tabella34[[#This Row],[Day]]-pr)</f>
        <v>67.169270576201228</v>
      </c>
      <c r="AS18" s="244">
        <f>-psi_r+SQRT(psi_r^2-2*Tabella34[[#This Row],[c_r]])</f>
        <v>4.6554746262900597</v>
      </c>
      <c r="AT18" s="244">
        <f>-psi_r-SQRT(psi_r^2-2*Tabella34[[#This Row],[c_r]])</f>
        <v>-4.7118828647087216</v>
      </c>
      <c r="AU18" s="244">
        <f>phi_r-LN(alpha*Kr/(Tabella34[[#This Row],[sel. region velocity]]*psi_r*SQRTPI(2)))</f>
        <v>-10.968025559351187</v>
      </c>
      <c r="AV18" s="244">
        <f>(ACOSH(SQRT(alpha*Kl*psi_l/(Tabella34[[#This Row],[sel. region velocity]]*(1+TANH(phi_l)))))+phi_l)/psi_l-(Tabella34[[#This Row],[Day]]-pl)</f>
        <v>226.43919497967835</v>
      </c>
      <c r="AW18" s="72">
        <f>-2*$BY$22*TANH($BY$22*(Tabella34[[#This Row],[Day]]-$BY$31)-$BY$21)*Tabella34[[#This Row],[sel. region velocity]]</f>
        <v>7.3436694955954326E-2</v>
      </c>
      <c r="AX18" s="143">
        <f>Tabella34[[#This Row],[sel. region acc. fit]]/y_l_peak</f>
        <v>5.3292511040921688E-4</v>
      </c>
      <c r="AY18" s="143">
        <f>Tabella34[[#This Row],[sel. region acc. fit]]*NOT(ISBLANK(Tabella34[[#This Row],[selected region rate data]]))</f>
        <v>0</v>
      </c>
      <c r="AZ18" s="77">
        <f>Tabella34[[#This Row],[sel. region acc. fit]]+CIl</f>
        <v>53.838277104504407</v>
      </c>
      <c r="BA18" s="77">
        <f>MAX(Tabella34[[#This Row],[sel. region acc. fit]]-CIl,0)</f>
        <v>0</v>
      </c>
      <c r="BB18" s="141"/>
      <c r="BC18" s="33"/>
      <c r="BD18" s="33"/>
      <c r="BE18" s="142">
        <f>Tabella34[[#This Row],[rest of Italy rate data]]*NOT(ISBLANK(Tabella34[[#This Row],[rest of Italy rate data]]))</f>
        <v>0</v>
      </c>
      <c r="BF18" s="188">
        <f>Tabella8[[#This Row],[rest of Italy fit]]</f>
        <v>0</v>
      </c>
      <c r="BG18" s="78">
        <f>(ATANH(alpha*Tabella34[[#This Row],[rest of Italy cumul. fit]]/Ka-(1-alpha*Tabella34[[#This Row],[rest of Italy cumul. fit]]/Ka)*TANH(phi_a))+phi_a)/psi_a-(Tabella34[[#This Row],[Day]]-pa)</f>
        <v>58.695444456084331</v>
      </c>
      <c r="BH18" s="143">
        <f>Tabella34[[#This Row],[rest of Italy cumul. fit]]/Ka</f>
        <v>0</v>
      </c>
      <c r="BI18" s="143">
        <f>Tabella3[[#This Row],[rest of Italy fit]]</f>
        <v>51.575968059872928</v>
      </c>
      <c r="BJ18" s="183" t="e">
        <f>Tabella34[[#This Row],[rest of Italy velocity]]/Tabella34[[#This Row],[rest of Italy cumul. fit]]</f>
        <v>#DIV/0!</v>
      </c>
      <c r="BK18" s="236" t="e">
        <f>(LN(Tabella34[[#This Row],[Day]]-po)-phi_o)/psi_o</f>
        <v>#NUM!</v>
      </c>
      <c r="BL18" s="244">
        <f>EXP(phi_o+psi_o*Tabella34[[#This Row],[x_o_alpha©+plus]])-(Tabella34[[#This Row],[Day]]-po)</f>
        <v>62.630536238964311</v>
      </c>
      <c r="BM18" s="244">
        <f>EXP(phi_o+psi_o*Tabella34[[#This Row],[x_o_alpha©-minus]])-(Tabella34[[#This Row],[Day]]-po)</f>
        <v>61.836523217921268</v>
      </c>
      <c r="BN18" s="244">
        <f>-psi_o+SQRT(psi_o^2-2*Tabella34[[#This Row],[c_o]])</f>
        <v>4.5722906131653573</v>
      </c>
      <c r="BO18" s="244">
        <f>-psi_o-SQRT(psi_o^2-2*Tabella34[[#This Row],[c_o]])</f>
        <v>-4.6213176987349858</v>
      </c>
      <c r="BP18" s="244">
        <f>phi_o-LN(alpha*Ko/(Tabella34[[#This Row],[rest of Italy velocity]]*psi_o*SQRTPI(2)))</f>
        <v>-10.565003767190452</v>
      </c>
      <c r="BQ18" s="244">
        <f>(ACOSH(SQRT(alpha*Ka*psi_a/(Tabella34[[#This Row],[rest of Italy velocity]]*(1+TANH(phi_a)))))+phi_a)/psi_a-(Tabella34[[#This Row],[Day]]-pa)</f>
        <v>234.24677695197215</v>
      </c>
      <c r="BR18" s="72">
        <f>-2*$BY$35*TANH($BY$35*(Tabella34[[#This Row],[Day]]-$BY$44)-$BY$34)*Tabella34[[#This Row],[rest of Italy velocity]]</f>
        <v>2.505730073408444</v>
      </c>
      <c r="BS18" s="143">
        <f>Tabella34[[#This Row],[rest of Italy acc. fit]]/y_a_peak</f>
        <v>8.7558100367476639E-4</v>
      </c>
      <c r="BT18" s="142">
        <f>Tabella34[[#This Row],[rest of Italy acc. fit]]*NOT(ISBLANK(Tabella34[[#This Row],[rest of Italy rate data]]))</f>
        <v>0</v>
      </c>
      <c r="BU18" s="77">
        <f>Tabella34[[#This Row],[rest of Italy acc. fit]]+CIa</f>
        <v>1697.0799249829911</v>
      </c>
      <c r="BV18" s="77">
        <f>MAX(Tabella34[[#This Row],[rest of Italy acc. fit]]-CIa,0)</f>
        <v>0</v>
      </c>
      <c r="BW18" s="1"/>
      <c r="BX18" s="206" t="s">
        <v>128</v>
      </c>
      <c r="BY18" s="208" t="e">
        <f>_xlfn.XLOOKUP(Peak_w,Tabella34[Italy (fit of selected region + fitted sum of the other regions)],Tabella34[Date])</f>
        <v>#N/A</v>
      </c>
      <c r="CL18" s="124">
        <f>MAX($BY$26)</f>
        <v>0.15458141948251336</v>
      </c>
    </row>
    <row r="19" spans="2:90" x14ac:dyDescent="0.3">
      <c r="B19" s="262">
        <v>43842</v>
      </c>
      <c r="C19" s="4">
        <v>12</v>
      </c>
      <c r="D19" s="141"/>
      <c r="E19" s="144"/>
      <c r="F19" s="144"/>
      <c r="G19" s="142">
        <f>Tabella34[[#This Row],[Italy rate data]]*NOT(ISBLANK(Tabella34[[#This Row],[Italy rate data]]))</f>
        <v>0</v>
      </c>
      <c r="H19" s="143">
        <f>Tabella8[[#This Row],[Italy fit]]</f>
        <v>0</v>
      </c>
      <c r="I19" s="143">
        <f>(ATANH(alpha*Tabella34[[#This Row],[Italy cumul. Fit]]/Kf-(1-alpha*Tabella34[[#This Row],[Italy cumul. Fit]]/Kf)*TANH(phi_f))+phi_f)/psi_f-(Tabella34[[#This Row],[Day]]-pf)</f>
        <v>57.844294912230211</v>
      </c>
      <c r="J19" s="143">
        <f>Tabella34[[#This Row],[Italy d.t.]]/Italy_dt_at_lockdown</f>
        <v>52.461127515909965</v>
      </c>
      <c r="K19" s="143">
        <f>Tabella34[[#This Row],[Italy cumul. Fit]]/Kf</f>
        <v>0</v>
      </c>
      <c r="L19" s="146">
        <f>Tabella34[[#This Row],[sel. region acc. fit]]+Tabella34[[#This Row],[rest of Italy acc. fit]]</f>
        <v>2.7068969648782888</v>
      </c>
      <c r="M19" s="143">
        <f>Tabella34[[#This Row],[Italy (fit of selected region + fitted sum of the other regions)]]/(y_l_peak+y_a_peak)</f>
        <v>9.0242215443863457E-4</v>
      </c>
      <c r="N19" s="143">
        <f>Tabella3[[#This Row],[Italy remov. rate fit]]</f>
        <v>54.855012716443319</v>
      </c>
      <c r="O19" s="143" t="e">
        <f>Kt*EXP(-0.5*Tabella34[[#This Row],[x_t]]^2)/(psi_t*SQRTPI(2)*(Tabella34[[#This Row],[Day]]-D_bk))</f>
        <v>#NUM!</v>
      </c>
      <c r="P19" s="183" t="e">
        <f>Tabella34[[#This Row],[Italy velocity]]/Tabella34[[#This Row],[Italy cumul. Fit]]</f>
        <v>#DIV/0!</v>
      </c>
      <c r="Q19" s="244" t="e">
        <f>(LN(Tabella34[[#This Row],[Day]]-D_bk)-phi_t)/psi_t</f>
        <v>#NUM!</v>
      </c>
      <c r="R19" s="244">
        <f>EXP(phi_t+psi_t*Tabella34[[#This Row],[x_t_alpha©+plus]])-(Tabella34[[#This Row],[Day]]-D_bk)</f>
        <v>61.794700684926049</v>
      </c>
      <c r="S19" s="244">
        <f>EXP(phi_t+psi_t*Tabella34[[#This Row],[x_t_alpha©-minus]])-(Tabella34[[#This Row],[Day]]-D_bk)</f>
        <v>60.993371946001091</v>
      </c>
      <c r="T19" s="244">
        <f>-psi_t+SQRT(psi_t^2-2*Tabella34[[#This Row],[c_t]])</f>
        <v>4.5652276127787221</v>
      </c>
      <c r="U19" s="244">
        <f>-psi_t-SQRT(psi_t^2-2*Tabella34[[#This Row],[c_t]])</f>
        <v>-4.6146203471985263</v>
      </c>
      <c r="V19" s="244">
        <f>phi_t-LN(alpha*Kt/(Tabella34[[#This Row],[Italy velocity]]*psi_t*SQRTPI(2)))</f>
        <v>-10.533396115760624</v>
      </c>
      <c r="W19" s="244" t="e">
        <f>Tabella34[[#This Row],[Italy g.r.]]/Italy_gr_at_lockdown</f>
        <v>#DIV/0!</v>
      </c>
      <c r="X19" s="244">
        <f>(ACOSH(SQRT(alpha*Kf*psi_f/(Tabella34[[#This Row],[Italy velocity]]*(1+TANH(phi_f)))))+phi_f)/psi_f-(Tabella34[[#This Row],[Day]]-pf)</f>
        <v>231.9416976465605</v>
      </c>
      <c r="Y19" s="244">
        <f>Tabella34[[#This Row],[Italy h.t.]]/Italy_ht_at_lockdown</f>
        <v>2.0063534718015115</v>
      </c>
      <c r="Z19" s="72">
        <f>-2*$BY$48*TANH($BY$48*(Tabella34[[#This Row],[Day]]-$BY$57)-$BY$47)*Tabella34[[#This Row],[Italy velocity]]</f>
        <v>2.6845654518205002</v>
      </c>
      <c r="AA19" s="72">
        <f>Tabella34[[#This Row],[Italy acc. fit]]/Itali_acc_at_lockdown</f>
        <v>7.4347047833789259E-2</v>
      </c>
      <c r="AB19" s="143">
        <f>Tabella34[[#This Row],[Italy acc. fit]]/y_f_peak</f>
        <v>8.9443595582179168E-4</v>
      </c>
      <c r="AC19" s="143">
        <f>Tabella34[[#This Row],[Italy (fit of selected region + fitted sum of the other regions)]]*NOT(ISBLANK(Tabella34[[#This Row],[Italy rate data]]))</f>
        <v>0</v>
      </c>
      <c r="AD19" s="143">
        <f>Tabella34[[#This Row],[Italy acc. fit]]*NOT(ISBLANK(Tabella34[[#This Row],[Italy rate data]]))</f>
        <v>0</v>
      </c>
      <c r="AE19" s="77">
        <f>Tabella34[[#This Row],[Italy acc. fit]]+CIf</f>
        <v>1718.2994247863717</v>
      </c>
      <c r="AF19" s="77">
        <f>MAX(Tabella34[[#This Row],[Italy acc. fit]]-CIf,0)</f>
        <v>0</v>
      </c>
      <c r="AG19" s="141"/>
      <c r="AH19" s="33"/>
      <c r="AI19" s="33"/>
      <c r="AJ19" s="142">
        <f>Tabella34[[#This Row],[selected region rate data]]*NOT(ISBLANK(Tabella34[[#This Row],[selected region rate data]]))</f>
        <v>0</v>
      </c>
      <c r="AK19" s="147">
        <f>Tabella8[[#This Row],[region fit]]</f>
        <v>0</v>
      </c>
      <c r="AL19" s="143">
        <f>(ATANH(alpha*Tabella34[[#This Row],[sel. region cumul. fit]]/Kl-(1-alpha*Tabella34[[#This Row],[sel. region cumul. fit]]/Kl)*TANH(phi_l))+phi_l)/psi_l-(Tabella34[[#This Row],[Day]]-pl)</f>
        <v>63.240334693239106</v>
      </c>
      <c r="AM19" s="142">
        <f>Tabella34[[#This Row],[sel. region cumul. fit]]/Kl</f>
        <v>0</v>
      </c>
      <c r="AN19" s="143">
        <f>Tabella3[[#This Row],[region fit]]</f>
        <v>1.3836290161577558</v>
      </c>
      <c r="AO19" s="183" t="e">
        <f>Tabella34[[#This Row],[sel. region velocity]]/Tabella34[[#This Row],[sel. region cumul. fit]]</f>
        <v>#DIV/0!</v>
      </c>
      <c r="AP19" s="236" t="e">
        <f>(LN(Tabella34[[#This Row],[Day]]-pr)-phi_r)/psi_r</f>
        <v>#NUM!</v>
      </c>
      <c r="AQ19" s="244">
        <f>EXP(phi_r+psi_r*Tabella34[[#This Row],[x_r_alpha©+plus]])-(Tabella34[[#This Row],[Day]]-pr)</f>
        <v>67.053649332437104</v>
      </c>
      <c r="AR19" s="244">
        <f>EXP(phi_r+psi_r*Tabella34[[#This Row],[x_r_alpha©-minus]])-(Tabella34[[#This Row],[Day]]-pr)</f>
        <v>66.17026204107998</v>
      </c>
      <c r="AS19" s="244">
        <f>-psi_r+SQRT(psi_r^2-2*Tabella34[[#This Row],[c_r]])</f>
        <v>4.643474621130899</v>
      </c>
      <c r="AT19" s="244">
        <f>-psi_r-SQRT(psi_r^2-2*Tabella34[[#This Row],[c_r]])</f>
        <v>-4.699882859549561</v>
      </c>
      <c r="AU19" s="244">
        <f>phi_r-LN(alpha*Kr/(Tabella34[[#This Row],[sel. region velocity]]*psi_r*SQRTPI(2)))</f>
        <v>-10.91189339030325</v>
      </c>
      <c r="AV19" s="244">
        <f>(ACOSH(SQRT(alpha*Kl*psi_l/(Tabella34[[#This Row],[sel. region velocity]]*(1+TANH(phi_l)))))+phi_l)/psi_l-(Tabella34[[#This Row],[Day]]-pl)</f>
        <v>224.4416510523198</v>
      </c>
      <c r="AW19" s="72">
        <f>-2*$BY$22*TANH($BY$22*(Tabella34[[#This Row],[Day]]-$BY$31)-$BY$21)*Tabella34[[#This Row],[sel. region velocity]]</f>
        <v>7.7655250326601311E-2</v>
      </c>
      <c r="AX19" s="143">
        <f>Tabella34[[#This Row],[sel. region acc. fit]]/y_l_peak</f>
        <v>5.6353888037827455E-4</v>
      </c>
      <c r="AY19" s="143">
        <f>Tabella34[[#This Row],[sel. region acc. fit]]*NOT(ISBLANK(Tabella34[[#This Row],[selected region rate data]]))</f>
        <v>0</v>
      </c>
      <c r="AZ19" s="77">
        <f>Tabella34[[#This Row],[sel. region acc. fit]]+CIl</f>
        <v>53.842495659875055</v>
      </c>
      <c r="BA19" s="77">
        <f>MAX(Tabella34[[#This Row],[sel. region acc. fit]]-CIl,0)</f>
        <v>0</v>
      </c>
      <c r="BB19" s="141"/>
      <c r="BC19" s="33"/>
      <c r="BD19" s="33"/>
      <c r="BE19" s="142">
        <f>Tabella34[[#This Row],[rest of Italy rate data]]*NOT(ISBLANK(Tabella34[[#This Row],[rest of Italy rate data]]))</f>
        <v>0</v>
      </c>
      <c r="BF19" s="188">
        <f>Tabella8[[#This Row],[rest of Italy fit]]</f>
        <v>0</v>
      </c>
      <c r="BG19" s="78">
        <f>(ATANH(alpha*Tabella34[[#This Row],[rest of Italy cumul. fit]]/Ka-(1-alpha*Tabella34[[#This Row],[rest of Italy cumul. fit]]/Ka)*TANH(phi_a))+phi_a)/psi_a-(Tabella34[[#This Row],[Day]]-pa)</f>
        <v>57.695444456084331</v>
      </c>
      <c r="BH19" s="143">
        <f>Tabella34[[#This Row],[rest of Italy cumul. fit]]/Ka</f>
        <v>0</v>
      </c>
      <c r="BI19" s="143">
        <f>Tabella3[[#This Row],[rest of Italy fit]]</f>
        <v>54.142968278965789</v>
      </c>
      <c r="BJ19" s="183" t="e">
        <f>Tabella34[[#This Row],[rest of Italy velocity]]/Tabella34[[#This Row],[rest of Italy cumul. fit]]</f>
        <v>#DIV/0!</v>
      </c>
      <c r="BK19" s="236" t="e">
        <f>(LN(Tabella34[[#This Row],[Day]]-po)-phi_o)/psi_o</f>
        <v>#NUM!</v>
      </c>
      <c r="BL19" s="244">
        <f>EXP(phi_o+psi_o*Tabella34[[#This Row],[x_o_alpha©+plus]])-(Tabella34[[#This Row],[Day]]-po)</f>
        <v>61.629515917227849</v>
      </c>
      <c r="BM19" s="244">
        <f>EXP(phi_o+psi_o*Tabella34[[#This Row],[x_o_alpha©-minus]])-(Tabella34[[#This Row],[Day]]-po)</f>
        <v>60.837337872908677</v>
      </c>
      <c r="BN19" s="244">
        <f>-psi_o+SQRT(psi_o^2-2*Tabella34[[#This Row],[c_o]])</f>
        <v>4.5617119083100075</v>
      </c>
      <c r="BO19" s="244">
        <f>-psi_o-SQRT(psi_o^2-2*Tabella34[[#This Row],[c_o]])</f>
        <v>-4.6107389938796359</v>
      </c>
      <c r="BP19" s="244">
        <f>phi_o-LN(alpha*Ko/(Tabella34[[#This Row],[rest of Italy velocity]]*psi_o*SQRTPI(2)))</f>
        <v>-10.516431487245018</v>
      </c>
      <c r="BQ19" s="244">
        <f>(ACOSH(SQRT(alpha*Ka*psi_a/(Tabella34[[#This Row],[rest of Italy velocity]]*(1+TANH(phi_a)))))+phi_a)/psi_a-(Tabella34[[#This Row],[Day]]-pa)</f>
        <v>232.25144768912452</v>
      </c>
      <c r="BR19" s="72">
        <f>-2*$BY$35*TANH($BY$35*(Tabella34[[#This Row],[Day]]-$BY$44)-$BY$34)*Tabella34[[#This Row],[rest of Italy velocity]]</f>
        <v>2.6292417145516875</v>
      </c>
      <c r="BS19" s="143">
        <f>Tabella34[[#This Row],[rest of Italy acc. fit]]/y_a_peak</f>
        <v>9.1873986099358937E-4</v>
      </c>
      <c r="BT19" s="142">
        <f>Tabella34[[#This Row],[rest of Italy acc. fit]]*NOT(ISBLANK(Tabella34[[#This Row],[rest of Italy rate data]]))</f>
        <v>0</v>
      </c>
      <c r="BU19" s="77">
        <f>Tabella34[[#This Row],[rest of Italy acc. fit]]+CIa</f>
        <v>1697.2034366241344</v>
      </c>
      <c r="BV19" s="77">
        <f>MAX(Tabella34[[#This Row],[rest of Italy acc. fit]]-CIa,0)</f>
        <v>0</v>
      </c>
      <c r="BW19" s="1"/>
      <c r="BX19" s="209" t="s">
        <v>78</v>
      </c>
      <c r="BY19" s="210" t="s">
        <v>117</v>
      </c>
      <c r="CL19" s="45">
        <f>COUNT($BY$20,$BY$21,$BY$22,$BY$31)</f>
        <v>4</v>
      </c>
    </row>
    <row r="20" spans="2:90" x14ac:dyDescent="0.3">
      <c r="B20" s="262">
        <v>43843</v>
      </c>
      <c r="C20" s="4">
        <v>13</v>
      </c>
      <c r="D20" s="141"/>
      <c r="E20" s="144"/>
      <c r="F20" s="144"/>
      <c r="G20" s="142">
        <f>Tabella34[[#This Row],[Italy rate data]]*NOT(ISBLANK(Tabella34[[#This Row],[Italy rate data]]))</f>
        <v>0</v>
      </c>
      <c r="H20" s="143">
        <f>Tabella8[[#This Row],[Italy fit]]</f>
        <v>0</v>
      </c>
      <c r="I20" s="143">
        <f>(ATANH(alpha*Tabella34[[#This Row],[Italy cumul. Fit]]/Kf-(1-alpha*Tabella34[[#This Row],[Italy cumul. Fit]]/Kf)*TANH(phi_f))+phi_f)/psi_f-(Tabella34[[#This Row],[Day]]-pf)</f>
        <v>56.844294912230211</v>
      </c>
      <c r="J20" s="143">
        <f>Tabella34[[#This Row],[Italy d.t.]]/Italy_dt_at_lockdown</f>
        <v>51.554190581238849</v>
      </c>
      <c r="K20" s="143">
        <f>Tabella34[[#This Row],[Italy cumul. Fit]]/Kf</f>
        <v>0</v>
      </c>
      <c r="L20" s="146">
        <f>Tabella34[[#This Row],[sel. region acc. fit]]+Tabella34[[#This Row],[rest of Italy acc. fit]]</f>
        <v>2.8408288744744388</v>
      </c>
      <c r="M20" s="143">
        <f>Tabella34[[#This Row],[Italy (fit of selected region + fitted sum of the other regions)]]/(y_l_peak+y_a_peak)</f>
        <v>9.4707221832138471E-4</v>
      </c>
      <c r="N20" s="143">
        <f>Tabella3[[#This Row],[Italy remov. rate fit]]</f>
        <v>57.60570065006776</v>
      </c>
      <c r="O20" s="143" t="e">
        <f>Kt*EXP(-0.5*Tabella34[[#This Row],[x_t]]^2)/(psi_t*SQRTPI(2)*(Tabella34[[#This Row],[Day]]-D_bk))</f>
        <v>#NUM!</v>
      </c>
      <c r="P20" s="183" t="e">
        <f>Tabella34[[#This Row],[Italy velocity]]/Tabella34[[#This Row],[Italy cumul. Fit]]</f>
        <v>#DIV/0!</v>
      </c>
      <c r="Q20" s="244" t="e">
        <f>(LN(Tabella34[[#This Row],[Day]]-D_bk)-phi_t)/psi_t</f>
        <v>#NUM!</v>
      </c>
      <c r="R20" s="244">
        <f>EXP(phi_t+psi_t*Tabella34[[#This Row],[x_t_alpha©+plus]])-(Tabella34[[#This Row],[Day]]-D_bk)</f>
        <v>60.793659628275584</v>
      </c>
      <c r="S20" s="244">
        <f>EXP(phi_t+psi_t*Tabella34[[#This Row],[x_t_alpha©-minus]])-(Tabella34[[#This Row],[Day]]-D_bk)</f>
        <v>59.994202045985404</v>
      </c>
      <c r="T20" s="244">
        <f>-psi_t+SQRT(psi_t^2-2*Tabella34[[#This Row],[c_t]])</f>
        <v>4.5545553425571086</v>
      </c>
      <c r="U20" s="244">
        <f>-psi_t-SQRT(psi_t^2-2*Tabella34[[#This Row],[c_t]])</f>
        <v>-4.6039480769769128</v>
      </c>
      <c r="V20" s="244">
        <f>phi_t-LN(alpha*Kt/(Tabella34[[#This Row],[Italy velocity]]*psi_t*SQRTPI(2)))</f>
        <v>-10.484468155425363</v>
      </c>
      <c r="W20" s="244" t="e">
        <f>Tabella34[[#This Row],[Italy g.r.]]/Italy_gr_at_lockdown</f>
        <v>#DIV/0!</v>
      </c>
      <c r="X20" s="244">
        <f>(ACOSH(SQRT(alpha*Kf*psi_f/(Tabella34[[#This Row],[Italy velocity]]*(1+TANH(phi_f)))))+phi_f)/psi_f-(Tabella34[[#This Row],[Day]]-pf)</f>
        <v>229.94643589687075</v>
      </c>
      <c r="Y20" s="244">
        <f>Tabella34[[#This Row],[Italy h.t.]]/Italy_ht_at_lockdown</f>
        <v>1.9890939605568236</v>
      </c>
      <c r="Z20" s="72">
        <f>-2*$BY$48*TANH($BY$48*(Tabella34[[#This Row],[Day]]-$BY$57)-$BY$47)*Tabella34[[#This Row],[Italy velocity]]</f>
        <v>2.817865970109688</v>
      </c>
      <c r="AA20" s="72">
        <f>Tabella34[[#This Row],[Italy acc. fit]]/Itali_acc_at_lockdown</f>
        <v>7.8038706758623622E-2</v>
      </c>
      <c r="AB20" s="143">
        <f>Tabella34[[#This Row],[Italy acc. fit]]/y_f_peak</f>
        <v>9.3884864704773163E-4</v>
      </c>
      <c r="AC20" s="143">
        <f>Tabella34[[#This Row],[Italy (fit of selected region + fitted sum of the other regions)]]*NOT(ISBLANK(Tabella34[[#This Row],[Italy rate data]]))</f>
        <v>0</v>
      </c>
      <c r="AD20" s="143">
        <f>Tabella34[[#This Row],[Italy acc. fit]]*NOT(ISBLANK(Tabella34[[#This Row],[Italy rate data]]))</f>
        <v>0</v>
      </c>
      <c r="AE20" s="77">
        <f>Tabella34[[#This Row],[Italy acc. fit]]+CIf</f>
        <v>1718.4327253046611</v>
      </c>
      <c r="AF20" s="77">
        <f>MAX(Tabella34[[#This Row],[Italy acc. fit]]-CIf,0)</f>
        <v>0</v>
      </c>
      <c r="AG20" s="141"/>
      <c r="AH20" s="33"/>
      <c r="AI20" s="33"/>
      <c r="AJ20" s="142">
        <f>Tabella34[[#This Row],[selected region rate data]]*NOT(ISBLANK(Tabella34[[#This Row],[selected region rate data]]))</f>
        <v>0</v>
      </c>
      <c r="AK20" s="147">
        <f>Tabella8[[#This Row],[region fit]]</f>
        <v>0</v>
      </c>
      <c r="AL20" s="143">
        <f>(ATANH(alpha*Tabella34[[#This Row],[sel. region cumul. fit]]/Kl-(1-alpha*Tabella34[[#This Row],[sel. region cumul. fit]]/Kl)*TANH(phi_l))+phi_l)/psi_l-(Tabella34[[#This Row],[Day]]-pl)</f>
        <v>62.240334693239106</v>
      </c>
      <c r="AM20" s="142">
        <f>Tabella34[[#This Row],[sel. region cumul. fit]]/Kl</f>
        <v>0</v>
      </c>
      <c r="AN20" s="143">
        <f>Tabella3[[#This Row],[region fit]]</f>
        <v>1.4634928765194433</v>
      </c>
      <c r="AO20" s="183" t="e">
        <f>Tabella34[[#This Row],[sel. region velocity]]/Tabella34[[#This Row],[sel. region cumul. fit]]</f>
        <v>#DIV/0!</v>
      </c>
      <c r="AP20" s="236" t="e">
        <f>(LN(Tabella34[[#This Row],[Day]]-pr)-phi_r)/psi_r</f>
        <v>#NUM!</v>
      </c>
      <c r="AQ20" s="244">
        <f>EXP(phi_r+psi_r*Tabella34[[#This Row],[x_r_alpha©+plus]])-(Tabella34[[#This Row],[Day]]-pr)</f>
        <v>66.052355982192068</v>
      </c>
      <c r="AR20" s="244">
        <f>EXP(phi_r+psi_r*Tabella34[[#This Row],[x_r_alpha©-minus]])-(Tabella34[[#This Row],[Day]]-pr)</f>
        <v>65.171256112719675</v>
      </c>
      <c r="AS20" s="244">
        <f>-psi_r+SQRT(psi_r^2-2*Tabella34[[#This Row],[c_r]])</f>
        <v>4.6314471415863236</v>
      </c>
      <c r="AT20" s="244">
        <f>-psi_r-SQRT(psi_r^2-2*Tabella34[[#This Row],[c_r]])</f>
        <v>-4.6878553800049856</v>
      </c>
      <c r="AU20" s="244">
        <f>phi_r-LN(alpha*Kr/(Tabella34[[#This Row],[sel. region velocity]]*psi_r*SQRTPI(2)))</f>
        <v>-10.855777199947079</v>
      </c>
      <c r="AV20" s="244">
        <f>(ACOSH(SQRT(alpha*Kl*psi_l/(Tabella34[[#This Row],[sel. region velocity]]*(1+TANH(phi_l)))))+phi_l)/psi_l-(Tabella34[[#This Row],[Day]]-pl)</f>
        <v>222.44424983352997</v>
      </c>
      <c r="AW20" s="72">
        <f>-2*$BY$22*TANH($BY$22*(Tabella34[[#This Row],[Day]]-$BY$31)-$BY$21)*Tabella34[[#This Row],[sel. region velocity]]</f>
        <v>8.2113508881697536E-2</v>
      </c>
      <c r="AX20" s="143">
        <f>Tabella34[[#This Row],[sel. region acc. fit]]/y_l_peak</f>
        <v>5.9589216008581742E-4</v>
      </c>
      <c r="AY20" s="143">
        <f>Tabella34[[#This Row],[sel. region acc. fit]]*NOT(ISBLANK(Tabella34[[#This Row],[selected region rate data]]))</f>
        <v>0</v>
      </c>
      <c r="AZ20" s="77">
        <f>Tabella34[[#This Row],[sel. region acc. fit]]+CIl</f>
        <v>53.846953918430152</v>
      </c>
      <c r="BA20" s="77">
        <f>MAX(Tabella34[[#This Row],[sel. region acc. fit]]-CIl,0)</f>
        <v>0</v>
      </c>
      <c r="BB20" s="141"/>
      <c r="BC20" s="33"/>
      <c r="BD20" s="33"/>
      <c r="BE20" s="142">
        <f>Tabella34[[#This Row],[rest of Italy rate data]]*NOT(ISBLANK(Tabella34[[#This Row],[rest of Italy rate data]]))</f>
        <v>0</v>
      </c>
      <c r="BF20" s="188">
        <f>Tabella8[[#This Row],[rest of Italy fit]]</f>
        <v>0</v>
      </c>
      <c r="BG20" s="78">
        <f>(ATANH(alpha*Tabella34[[#This Row],[rest of Italy cumul. fit]]/Ka-(1-alpha*Tabella34[[#This Row],[rest of Italy cumul. fit]]/Ka)*TANH(phi_a))+phi_a)/psi_a-(Tabella34[[#This Row],[Day]]-pa)</f>
        <v>56.695444456084331</v>
      </c>
      <c r="BH20" s="143">
        <f>Tabella34[[#This Row],[rest of Italy cumul. fit]]/Ka</f>
        <v>0</v>
      </c>
      <c r="BI20" s="143">
        <f>Tabella3[[#This Row],[rest of Italy fit]]</f>
        <v>56.836438703365893</v>
      </c>
      <c r="BJ20" s="183" t="e">
        <f>Tabella34[[#This Row],[rest of Italy velocity]]/Tabella34[[#This Row],[rest of Italy cumul. fit]]</f>
        <v>#DIV/0!</v>
      </c>
      <c r="BK20" s="236" t="e">
        <f>(LN(Tabella34[[#This Row],[Day]]-po)-phi_o)/psi_o</f>
        <v>#NUM!</v>
      </c>
      <c r="BL20" s="244">
        <f>EXP(phi_o+psi_o*Tabella34[[#This Row],[x_o_alpha©+plus]])-(Tabella34[[#This Row],[Day]]-po)</f>
        <v>60.628493981217851</v>
      </c>
      <c r="BM20" s="244">
        <f>EXP(phi_o+psi_o*Tabella34[[#This Row],[x_o_alpha©-minus]])-(Tabella34[[#This Row],[Day]]-po)</f>
        <v>59.838154240463091</v>
      </c>
      <c r="BN20" s="244">
        <f>-psi_o+SQRT(psi_o^2-2*Tabella34[[#This Row],[c_o]])</f>
        <v>4.5511137161385102</v>
      </c>
      <c r="BO20" s="244">
        <f>-psi_o-SQRT(psi_o^2-2*Tabella34[[#This Row],[c_o]])</f>
        <v>-4.6001408017081387</v>
      </c>
      <c r="BP20" s="244">
        <f>phi_o-LN(alpha*Ko/(Tabella34[[#This Row],[rest of Italy velocity]]*psi_o*SQRTPI(2)))</f>
        <v>-10.467881949411154</v>
      </c>
      <c r="BQ20" s="244">
        <f>(ACOSH(SQRT(alpha*Ka*psi_a/(Tabella34[[#This Row],[rest of Italy velocity]]*(1+TANH(phi_a)))))+phi_a)/psi_a-(Tabella34[[#This Row],[Day]]-pa)</f>
        <v>230.25635369279649</v>
      </c>
      <c r="BR20" s="72">
        <f>-2*$BY$35*TANH($BY$35*(Tabella34[[#This Row],[Day]]-$BY$44)-$BY$34)*Tabella34[[#This Row],[rest of Italy velocity]]</f>
        <v>2.7587153655927414</v>
      </c>
      <c r="BS20" s="143">
        <f>Tabella34[[#This Row],[rest of Italy acc. fit]]/y_a_peak</f>
        <v>9.6398203233958636E-4</v>
      </c>
      <c r="BT20" s="142">
        <f>Tabella34[[#This Row],[rest of Italy acc. fit]]*NOT(ISBLANK(Tabella34[[#This Row],[rest of Italy rate data]]))</f>
        <v>0</v>
      </c>
      <c r="BU20" s="77">
        <f>Tabella34[[#This Row],[rest of Italy acc. fit]]+CIa</f>
        <v>1697.3329102751754</v>
      </c>
      <c r="BV20" s="77">
        <f>MAX(Tabella34[[#This Row],[rest of Italy acc. fit]]-CIa,0)</f>
        <v>0</v>
      </c>
      <c r="BW20" s="1"/>
      <c r="BX20" s="212" t="s">
        <v>0</v>
      </c>
      <c r="BY20" s="211">
        <f>Kl</f>
        <v>8970</v>
      </c>
      <c r="CL20" s="45" t="b">
        <f>pl&lt;=0</f>
        <v>0</v>
      </c>
    </row>
    <row r="21" spans="2:90" x14ac:dyDescent="0.3">
      <c r="B21" s="262">
        <v>43844</v>
      </c>
      <c r="C21" s="4">
        <v>14</v>
      </c>
      <c r="D21" s="141"/>
      <c r="E21" s="144"/>
      <c r="F21" s="144"/>
      <c r="G21" s="142">
        <f>Tabella34[[#This Row],[Italy rate data]]*NOT(ISBLANK(Tabella34[[#This Row],[Italy rate data]]))</f>
        <v>0</v>
      </c>
      <c r="H21" s="143">
        <f>Tabella8[[#This Row],[Italy fit]]</f>
        <v>0</v>
      </c>
      <c r="I21" s="143">
        <f>(ATANH(alpha*Tabella34[[#This Row],[Italy cumul. Fit]]/Kf-(1-alpha*Tabella34[[#This Row],[Italy cumul. Fit]]/Kf)*TANH(phi_f))+phi_f)/psi_f-(Tabella34[[#This Row],[Day]]-pf)</f>
        <v>55.844294912230211</v>
      </c>
      <c r="J21" s="143">
        <f>Tabella34[[#This Row],[Italy d.t.]]/Italy_dt_at_lockdown</f>
        <v>50.647253646567734</v>
      </c>
      <c r="K21" s="143">
        <f>Tabella34[[#This Row],[Italy cumul. Fit]]/Kf</f>
        <v>0</v>
      </c>
      <c r="L21" s="146">
        <f>Tabella34[[#This Row],[sel. region acc. fit]]+Tabella34[[#This Row],[rest of Italy acc. fit]]</f>
        <v>2.9812506548028614</v>
      </c>
      <c r="M21" s="143">
        <f>Tabella34[[#This Row],[Italy (fit of selected region + fitted sum of the other regions)]]/(y_l_peak+y_a_peak)</f>
        <v>9.9388586774293991E-4</v>
      </c>
      <c r="N21" s="143">
        <f>Tabella3[[#This Row],[Italy remov. rate fit]]</f>
        <v>60.492904443034277</v>
      </c>
      <c r="O21" s="143" t="e">
        <f>Kt*EXP(-0.5*Tabella34[[#This Row],[x_t]]^2)/(psi_t*SQRTPI(2)*(Tabella34[[#This Row],[Day]]-D_bk))</f>
        <v>#NUM!</v>
      </c>
      <c r="P21" s="183" t="e">
        <f>Tabella34[[#This Row],[Italy velocity]]/Tabella34[[#This Row],[Italy cumul. Fit]]</f>
        <v>#DIV/0!</v>
      </c>
      <c r="Q21" s="244" t="e">
        <f>(LN(Tabella34[[#This Row],[Day]]-D_bk)-phi_t)/psi_t</f>
        <v>#NUM!</v>
      </c>
      <c r="R21" s="244">
        <f>EXP(phi_t+psi_t*Tabella34[[#This Row],[x_t_alpha©+plus]])-(Tabella34[[#This Row],[Day]]-D_bk)</f>
        <v>59.792616914799673</v>
      </c>
      <c r="S21" s="244">
        <f>EXP(phi_t+psi_t*Tabella34[[#This Row],[x_t_alpha©-minus]])-(Tabella34[[#This Row],[Day]]-D_bk)</f>
        <v>58.995033905852473</v>
      </c>
      <c r="T21" s="244">
        <f>-psi_t+SQRT(psi_t^2-2*Tabella34[[#This Row],[c_t]])</f>
        <v>4.5438632672702131</v>
      </c>
      <c r="U21" s="244">
        <f>-psi_t-SQRT(psi_t^2-2*Tabella34[[#This Row],[c_t]])</f>
        <v>-4.5932560016900172</v>
      </c>
      <c r="V21" s="244">
        <f>phi_t-LN(alpha*Kt/(Tabella34[[#This Row],[Italy velocity]]*psi_t*SQRTPI(2)))</f>
        <v>-10.435563611623857</v>
      </c>
      <c r="W21" s="244" t="e">
        <f>Tabella34[[#This Row],[Italy g.r.]]/Italy_gr_at_lockdown</f>
        <v>#DIV/0!</v>
      </c>
      <c r="X21" s="244">
        <f>(ACOSH(SQRT(alpha*Kf*psi_f/(Tabella34[[#This Row],[Italy velocity]]*(1+TANH(phi_f)))))+phi_f)/psi_f-(Tabella34[[#This Row],[Day]]-pf)</f>
        <v>227.95141464716818</v>
      </c>
      <c r="Y21" s="244">
        <f>Tabella34[[#This Row],[Italy h.t.]]/Italy_ht_at_lockdown</f>
        <v>1.9718365296969442</v>
      </c>
      <c r="Z21" s="72">
        <f>-2*$BY$48*TANH($BY$48*(Tabella34[[#This Row],[Day]]-$BY$57)-$BY$47)*Tabella34[[#This Row],[Italy velocity]]</f>
        <v>2.9576462502446645</v>
      </c>
      <c r="AA21" s="72">
        <f>Tabella34[[#This Row],[Italy acc. fit]]/Itali_acc_at_lockdown</f>
        <v>8.190981787881188E-2</v>
      </c>
      <c r="AB21" s="143">
        <f>Tabella34[[#This Row],[Italy acc. fit]]/y_f_peak</f>
        <v>9.8542024707438838E-4</v>
      </c>
      <c r="AC21" s="143">
        <f>Tabella34[[#This Row],[Italy (fit of selected region + fitted sum of the other regions)]]*NOT(ISBLANK(Tabella34[[#This Row],[Italy rate data]]))</f>
        <v>0</v>
      </c>
      <c r="AD21" s="143">
        <f>Tabella34[[#This Row],[Italy acc. fit]]*NOT(ISBLANK(Tabella34[[#This Row],[Italy rate data]]))</f>
        <v>0</v>
      </c>
      <c r="AE21" s="77">
        <f>Tabella34[[#This Row],[Italy acc. fit]]+CIf</f>
        <v>1718.5725055847959</v>
      </c>
      <c r="AF21" s="77">
        <f>MAX(Tabella34[[#This Row],[Italy acc. fit]]-CIf,0)</f>
        <v>0</v>
      </c>
      <c r="AG21" s="141"/>
      <c r="AH21" s="33"/>
      <c r="AI21" s="33"/>
      <c r="AJ21" s="142">
        <f>Tabella34[[#This Row],[selected region rate data]]*NOT(ISBLANK(Tabella34[[#This Row],[selected region rate data]]))</f>
        <v>0</v>
      </c>
      <c r="AK21" s="147">
        <f>Tabella8[[#This Row],[region fit]]</f>
        <v>0</v>
      </c>
      <c r="AL21" s="143">
        <f>(ATANH(alpha*Tabella34[[#This Row],[sel. region cumul. fit]]/Kl-(1-alpha*Tabella34[[#This Row],[sel. region cumul. fit]]/Kl)*TANH(phi_l))+phi_l)/psi_l-(Tabella34[[#This Row],[Day]]-pl)</f>
        <v>61.240334693239106</v>
      </c>
      <c r="AM21" s="142">
        <f>Tabella34[[#This Row],[sel. region cumul. fit]]/Kl</f>
        <v>0</v>
      </c>
      <c r="AN21" s="143">
        <f>Tabella3[[#This Row],[region fit]]</f>
        <v>1.5479403627640891</v>
      </c>
      <c r="AO21" s="183" t="e">
        <f>Tabella34[[#This Row],[sel. region velocity]]/Tabella34[[#This Row],[sel. region cumul. fit]]</f>
        <v>#DIV/0!</v>
      </c>
      <c r="AP21" s="236" t="e">
        <f>(LN(Tabella34[[#This Row],[Day]]-pr)-phi_r)/psi_r</f>
        <v>#NUM!</v>
      </c>
      <c r="AQ21" s="244">
        <f>EXP(phi_r+psi_r*Tabella34[[#This Row],[x_r_alpha©+plus]])-(Tabella34[[#This Row],[Day]]-pr)</f>
        <v>65.051060116114527</v>
      </c>
      <c r="AR21" s="244">
        <f>EXP(phi_r+psi_r*Tabella34[[#This Row],[x_r_alpha©-minus]])-(Tabella34[[#This Row],[Day]]-pr)</f>
        <v>64.172252794774124</v>
      </c>
      <c r="AS21" s="244">
        <f>-psi_r+SQRT(psi_r^2-2*Tabella34[[#This Row],[c_r]])</f>
        <v>4.6193921727997385</v>
      </c>
      <c r="AT21" s="244">
        <f>-psi_r-SQRT(psi_r^2-2*Tabella34[[#This Row],[c_r]])</f>
        <v>-4.6758004112184004</v>
      </c>
      <c r="AU21" s="244">
        <f>phi_r-LN(alpha*Kr/(Tabella34[[#This Row],[sel. region velocity]]*psi_r*SQRTPI(2)))</f>
        <v>-10.799677910578037</v>
      </c>
      <c r="AV21" s="244">
        <f>(ACOSH(SQRT(alpha*Kl*psi_l/(Tabella34[[#This Row],[sel. region velocity]]*(1+TANH(phi_l)))))+phi_l)/psi_l-(Tabella34[[#This Row],[Day]]-pl)</f>
        <v>220.44699962651384</v>
      </c>
      <c r="AW21" s="72">
        <f>-2*$BY$22*TANH($BY$22*(Tabella34[[#This Row],[Day]]-$BY$31)-$BY$21)*Tabella34[[#This Row],[sel. region velocity]]</f>
        <v>8.6824777334523026E-2</v>
      </c>
      <c r="AX21" s="143">
        <f>Tabella34[[#This Row],[sel. region acc. fit]]/y_l_peak</f>
        <v>6.3008151544685826E-4</v>
      </c>
      <c r="AY21" s="143">
        <f>Tabella34[[#This Row],[sel. region acc. fit]]*NOT(ISBLANK(Tabella34[[#This Row],[selected region rate data]]))</f>
        <v>0</v>
      </c>
      <c r="AZ21" s="77">
        <f>Tabella34[[#This Row],[sel. region acc. fit]]+CIl</f>
        <v>53.851665186882975</v>
      </c>
      <c r="BA21" s="77">
        <f>MAX(Tabella34[[#This Row],[sel. region acc. fit]]-CIl,0)</f>
        <v>0</v>
      </c>
      <c r="BB21" s="141"/>
      <c r="BC21" s="33"/>
      <c r="BD21" s="33"/>
      <c r="BE21" s="142">
        <f>Tabella34[[#This Row],[rest of Italy rate data]]*NOT(ISBLANK(Tabella34[[#This Row],[rest of Italy rate data]]))</f>
        <v>0</v>
      </c>
      <c r="BF21" s="188">
        <f>Tabella8[[#This Row],[rest of Italy fit]]</f>
        <v>0</v>
      </c>
      <c r="BG21" s="78">
        <f>(ATANH(alpha*Tabella34[[#This Row],[rest of Italy cumul. fit]]/Ka-(1-alpha*Tabella34[[#This Row],[rest of Italy cumul. fit]]/Ka)*TANH(phi_a))+phi_a)/psi_a-(Tabella34[[#This Row],[Day]]-pa)</f>
        <v>55.695444456084331</v>
      </c>
      <c r="BH21" s="143">
        <f>Tabella34[[#This Row],[rest of Italy cumul. fit]]/Ka</f>
        <v>0</v>
      </c>
      <c r="BI21" s="143">
        <f>Tabella3[[#This Row],[rest of Italy fit]]</f>
        <v>59.662477837855754</v>
      </c>
      <c r="BJ21" s="183" t="e">
        <f>Tabella34[[#This Row],[rest of Italy velocity]]/Tabella34[[#This Row],[rest of Italy cumul. fit]]</f>
        <v>#DIV/0!</v>
      </c>
      <c r="BK21" s="236" t="e">
        <f>(LN(Tabella34[[#This Row],[Day]]-po)-phi_o)/psi_o</f>
        <v>#NUM!</v>
      </c>
      <c r="BL21" s="244">
        <f>EXP(phi_o+psi_o*Tabella34[[#This Row],[x_o_alpha©+plus]])-(Tabella34[[#This Row],[Day]]-po)</f>
        <v>59.627470443135493</v>
      </c>
      <c r="BM21" s="244">
        <f>EXP(phi_o+psi_o*Tabella34[[#This Row],[x_o_alpha©-minus]])-(Tabella34[[#This Row],[Day]]-po)</f>
        <v>58.838972313170821</v>
      </c>
      <c r="BN21" s="244">
        <f>-psi_o+SQRT(psi_o^2-2*Tabella34[[#This Row],[c_o]])</f>
        <v>4.5404961487563424</v>
      </c>
      <c r="BO21" s="244">
        <f>-psi_o-SQRT(psi_o^2-2*Tabella34[[#This Row],[c_o]])</f>
        <v>-4.5895232343259709</v>
      </c>
      <c r="BP21" s="244">
        <f>phi_o-LN(alpha*Ko/(Tabella34[[#This Row],[rest of Italy velocity]]*psi_o*SQRTPI(2)))</f>
        <v>-10.41935628504241</v>
      </c>
      <c r="BQ21" s="244">
        <f>(ACOSH(SQRT(alpha*Ka*psi_a/(Tabella34[[#This Row],[rest of Italy velocity]]*(1+TANH(phi_a)))))+phi_a)/psi_a-(Tabella34[[#This Row],[Day]]-pa)</f>
        <v>228.26150684301615</v>
      </c>
      <c r="BR21" s="72">
        <f>-2*$BY$35*TANH($BY$35*(Tabella34[[#This Row],[Day]]-$BY$44)-$BY$34)*Tabella34[[#This Row],[rest of Italy velocity]]</f>
        <v>2.8944258774683385</v>
      </c>
      <c r="BS21" s="143">
        <f>Tabella34[[#This Row],[rest of Italy acc. fit]]/y_a_peak</f>
        <v>1.0114035592862689E-3</v>
      </c>
      <c r="BT21" s="142">
        <f>Tabella34[[#This Row],[rest of Italy acc. fit]]*NOT(ISBLANK(Tabella34[[#This Row],[rest of Italy rate data]]))</f>
        <v>0</v>
      </c>
      <c r="BU21" s="77">
        <f>Tabella34[[#This Row],[rest of Italy acc. fit]]+CIa</f>
        <v>1697.4686207870511</v>
      </c>
      <c r="BV21" s="77">
        <f>MAX(Tabella34[[#This Row],[rest of Italy acc. fit]]-CIa,0)</f>
        <v>0</v>
      </c>
      <c r="BW21" s="1"/>
      <c r="BX21" s="212" t="s">
        <v>4713</v>
      </c>
      <c r="BY21" s="212">
        <f>phi_l</f>
        <v>1.2075336832034338</v>
      </c>
      <c r="CL21" s="45" t="b">
        <f>psi_l&gt;=0.000001</f>
        <v>1</v>
      </c>
    </row>
    <row r="22" spans="2:90" x14ac:dyDescent="0.3">
      <c r="B22" s="262">
        <v>43845</v>
      </c>
      <c r="C22" s="4">
        <v>15</v>
      </c>
      <c r="D22" s="141"/>
      <c r="E22" s="144"/>
      <c r="F22" s="144"/>
      <c r="G22" s="142">
        <f>Tabella34[[#This Row],[Italy rate data]]*NOT(ISBLANK(Tabella34[[#This Row],[Italy rate data]]))</f>
        <v>0</v>
      </c>
      <c r="H22" s="143">
        <f>Tabella8[[#This Row],[Italy fit]]</f>
        <v>0</v>
      </c>
      <c r="I22" s="143">
        <f>(ATANH(alpha*Tabella34[[#This Row],[Italy cumul. Fit]]/Kf-(1-alpha*Tabella34[[#This Row],[Italy cumul. Fit]]/Kf)*TANH(phi_f))+phi_f)/psi_f-(Tabella34[[#This Row],[Day]]-pf)</f>
        <v>54.844294912230211</v>
      </c>
      <c r="J22" s="143">
        <f>Tabella34[[#This Row],[Italy d.t.]]/Italy_dt_at_lockdown</f>
        <v>49.740316711896625</v>
      </c>
      <c r="K22" s="143">
        <f>Tabella34[[#This Row],[Italy cumul. Fit]]/Kf</f>
        <v>0</v>
      </c>
      <c r="L22" s="146">
        <f>Tabella34[[#This Row],[sel. region acc. fit]]+Tabella34[[#This Row],[rest of Italy acc. fit]]</f>
        <v>3.1284624957313167</v>
      </c>
      <c r="M22" s="143">
        <f>Tabella34[[#This Row],[Italy (fit of selected region + fitted sum of the other regions)]]/(y_l_peak+y_a_peak)</f>
        <v>1.0429631796514511E-3</v>
      </c>
      <c r="N22" s="143">
        <f>Tabella3[[#This Row],[Italy remov. rate fit]]</f>
        <v>63.523253128128616</v>
      </c>
      <c r="O22" s="143" t="e">
        <f>Kt*EXP(-0.5*Tabella34[[#This Row],[x_t]]^2)/(psi_t*SQRTPI(2)*(Tabella34[[#This Row],[Day]]-D_bk))</f>
        <v>#NUM!</v>
      </c>
      <c r="P22" s="183" t="e">
        <f>Tabella34[[#This Row],[Italy velocity]]/Tabella34[[#This Row],[Italy cumul. Fit]]</f>
        <v>#DIV/0!</v>
      </c>
      <c r="Q22" s="244" t="e">
        <f>(LN(Tabella34[[#This Row],[Day]]-D_bk)-phi_t)/psi_t</f>
        <v>#NUM!</v>
      </c>
      <c r="R22" s="244">
        <f>EXP(phi_t+psi_t*Tabella34[[#This Row],[x_t_alpha©+plus]])-(Tabella34[[#This Row],[Day]]-D_bk)</f>
        <v>58.791572557470097</v>
      </c>
      <c r="S22" s="244">
        <f>EXP(phi_t+psi_t*Tabella34[[#This Row],[x_t_alpha©-minus]])-(Tabella34[[#This Row],[Day]]-D_bk)</f>
        <v>57.995867517687593</v>
      </c>
      <c r="T22" s="244">
        <f>-psi_t+SQRT(psi_t^2-2*Tabella34[[#This Row],[c_t]])</f>
        <v>4.5331515050352245</v>
      </c>
      <c r="U22" s="244">
        <f>-psi_t-SQRT(psi_t^2-2*Tabella34[[#This Row],[c_t]])</f>
        <v>-4.5825442394550286</v>
      </c>
      <c r="V22" s="244">
        <f>phi_t-LN(alpha*Kt/(Tabella34[[#This Row],[Italy velocity]]*psi_t*SQRTPI(2)))</f>
        <v>-10.386683657988032</v>
      </c>
      <c r="W22" s="244" t="e">
        <f>Tabella34[[#This Row],[Italy g.r.]]/Italy_gr_at_lockdown</f>
        <v>#DIV/0!</v>
      </c>
      <c r="X22" s="244">
        <f>(ACOSH(SQRT(alpha*Kf*psi_f/(Tabella34[[#This Row],[Italy velocity]]*(1+TANH(phi_f)))))+phi_f)/psi_f-(Tabella34[[#This Row],[Day]]-pf)</f>
        <v>225.95664613545881</v>
      </c>
      <c r="Y22" s="244">
        <f>Tabella34[[#This Row],[Italy h.t.]]/Italy_ht_at_lockdown</f>
        <v>1.9545812850836748</v>
      </c>
      <c r="Z22" s="72">
        <f>-2*$BY$48*TANH($BY$48*(Tabella34[[#This Row],[Day]]-$BY$57)-$BY$47)*Tabella34[[#This Row],[Italy velocity]]</f>
        <v>3.1042068778325214</v>
      </c>
      <c r="AA22" s="72">
        <f>Tabella34[[#This Row],[Italy acc. fit]]/Itali_acc_at_lockdown</f>
        <v>8.5968705689662375E-2</v>
      </c>
      <c r="AB22" s="143">
        <f>Tabella34[[#This Row],[Italy acc. fit]]/y_f_peak</f>
        <v>1.0342509041676958E-3</v>
      </c>
      <c r="AC22" s="143">
        <f>Tabella34[[#This Row],[Italy (fit of selected region + fitted sum of the other regions)]]*NOT(ISBLANK(Tabella34[[#This Row],[Italy rate data]]))</f>
        <v>0</v>
      </c>
      <c r="AD22" s="143">
        <f>Tabella34[[#This Row],[Italy acc. fit]]*NOT(ISBLANK(Tabella34[[#This Row],[Italy rate data]]))</f>
        <v>0</v>
      </c>
      <c r="AE22" s="77">
        <f>Tabella34[[#This Row],[Italy acc. fit]]+CIf</f>
        <v>1718.7190662123837</v>
      </c>
      <c r="AF22" s="77">
        <f>MAX(Tabella34[[#This Row],[Italy acc. fit]]-CIf,0)</f>
        <v>0</v>
      </c>
      <c r="AG22" s="141"/>
      <c r="AH22" s="33"/>
      <c r="AI22" s="33"/>
      <c r="AJ22" s="142">
        <f>Tabella34[[#This Row],[selected region rate data]]*NOT(ISBLANK(Tabella34[[#This Row],[selected region rate data]]))</f>
        <v>0</v>
      </c>
      <c r="AK22" s="147">
        <f>Tabella8[[#This Row],[region fit]]</f>
        <v>0</v>
      </c>
      <c r="AL22" s="143">
        <f>(ATANH(alpha*Tabella34[[#This Row],[sel. region cumul. fit]]/Kl-(1-alpha*Tabella34[[#This Row],[sel. region cumul. fit]]/Kl)*TANH(phi_l))+phi_l)/psi_l-(Tabella34[[#This Row],[Day]]-pl)</f>
        <v>60.240334693239106</v>
      </c>
      <c r="AM22" s="142">
        <f>Tabella34[[#This Row],[sel. region cumul. fit]]/Kl</f>
        <v>0</v>
      </c>
      <c r="AN22" s="143">
        <f>Tabella3[[#This Row],[region fit]]</f>
        <v>1.6372314289700138</v>
      </c>
      <c r="AO22" s="183" t="e">
        <f>Tabella34[[#This Row],[sel. region velocity]]/Tabella34[[#This Row],[sel. region cumul. fit]]</f>
        <v>#DIV/0!</v>
      </c>
      <c r="AP22" s="236" t="e">
        <f>(LN(Tabella34[[#This Row],[Day]]-pr)-phi_r)/psi_r</f>
        <v>#NUM!</v>
      </c>
      <c r="AQ22" s="244">
        <f>EXP(phi_r+psi_r*Tabella34[[#This Row],[x_r_alpha©+plus]])-(Tabella34[[#This Row],[Day]]-pr)</f>
        <v>64.04976173663033</v>
      </c>
      <c r="AR22" s="244">
        <f>EXP(phi_r+psi_r*Tabella34[[#This Row],[x_r_alpha©-minus]])-(Tabella34[[#This Row],[Day]]-pr)</f>
        <v>63.173252090014337</v>
      </c>
      <c r="AS22" s="244">
        <f>-psi_r+SQRT(psi_r^2-2*Tabella34[[#This Row],[c_r]])</f>
        <v>4.6073097106901093</v>
      </c>
      <c r="AT22" s="244">
        <f>-psi_r-SQRT(psi_r^2-2*Tabella34[[#This Row],[c_r]])</f>
        <v>-4.6637179491087712</v>
      </c>
      <c r="AU22" s="244">
        <f>phi_r-LN(alpha*Kr/(Tabella34[[#This Row],[sel. region velocity]]*psi_r*SQRTPI(2)))</f>
        <v>-10.743596497424303</v>
      </c>
      <c r="AV22" s="244">
        <f>(ACOSH(SQRT(alpha*Kl*psi_l/(Tabella34[[#This Row],[sel. region velocity]]*(1+TANH(phi_l)))))+phi_l)/psi_l-(Tabella34[[#This Row],[Day]]-pl)</f>
        <v>218.4499092189111</v>
      </c>
      <c r="AW22" s="72">
        <f>-2*$BY$22*TANH($BY$22*(Tabella34[[#This Row],[Day]]-$BY$31)-$BY$21)*Tabella34[[#This Row],[sel. region velocity]]</f>
        <v>9.1803063580955982E-2</v>
      </c>
      <c r="AX22" s="143">
        <f>Tabella34[[#This Row],[sel. region acc. fit]]/y_l_peak</f>
        <v>6.6620860081092884E-4</v>
      </c>
      <c r="AY22" s="143">
        <f>Tabella34[[#This Row],[sel. region acc. fit]]*NOT(ISBLANK(Tabella34[[#This Row],[selected region rate data]]))</f>
        <v>0</v>
      </c>
      <c r="AZ22" s="77">
        <f>Tabella34[[#This Row],[sel. region acc. fit]]+CIl</f>
        <v>53.856643473129409</v>
      </c>
      <c r="BA22" s="77">
        <f>MAX(Tabella34[[#This Row],[sel. region acc. fit]]-CIl,0)</f>
        <v>0</v>
      </c>
      <c r="BB22" s="141"/>
      <c r="BC22" s="33"/>
      <c r="BD22" s="33"/>
      <c r="BE22" s="142">
        <f>Tabella34[[#This Row],[rest of Italy rate data]]*NOT(ISBLANK(Tabella34[[#This Row],[rest of Italy rate data]]))</f>
        <v>0</v>
      </c>
      <c r="BF22" s="188">
        <f>Tabella8[[#This Row],[rest of Italy fit]]</f>
        <v>0</v>
      </c>
      <c r="BG22" s="78">
        <f>(ATANH(alpha*Tabella34[[#This Row],[rest of Italy cumul. fit]]/Ka-(1-alpha*Tabella34[[#This Row],[rest of Italy cumul. fit]]/Ka)*TANH(phi_a))+phi_a)/psi_a-(Tabella34[[#This Row],[Day]]-pa)</f>
        <v>54.695444456084331</v>
      </c>
      <c r="BH22" s="143">
        <f>Tabella34[[#This Row],[rest of Italy cumul. fit]]/Ka</f>
        <v>0</v>
      </c>
      <c r="BI22" s="143">
        <f>Tabella3[[#This Row],[rest of Italy fit]]</f>
        <v>62.627464676389259</v>
      </c>
      <c r="BJ22" s="183" t="e">
        <f>Tabella34[[#This Row],[rest of Italy velocity]]/Tabella34[[#This Row],[rest of Italy cumul. fit]]</f>
        <v>#DIV/0!</v>
      </c>
      <c r="BK22" s="236" t="e">
        <f>(LN(Tabella34[[#This Row],[Day]]-po)-phi_o)/psi_o</f>
        <v>#NUM!</v>
      </c>
      <c r="BL22" s="244">
        <f>EXP(phi_o+psi_o*Tabella34[[#This Row],[x_o_alpha©+plus]])-(Tabella34[[#This Row],[Day]]-po)</f>
        <v>58.62644531642762</v>
      </c>
      <c r="BM22" s="244">
        <f>EXP(phi_o+psi_o*Tabella34[[#This Row],[x_o_alpha©-minus]])-(Tabella34[[#This Row],[Day]]-po)</f>
        <v>57.839792082608106</v>
      </c>
      <c r="BN22" s="244">
        <f>-psi_o+SQRT(psi_o^2-2*Tabella34[[#This Row],[c_o]])</f>
        <v>4.5298593312923963</v>
      </c>
      <c r="BO22" s="244">
        <f>-psi_o-SQRT(psi_o^2-2*Tabella34[[#This Row],[c_o]])</f>
        <v>-4.5788864168620247</v>
      </c>
      <c r="BP22" s="244">
        <f>phi_o-LN(alpha*Ko/(Tabella34[[#This Row],[rest of Italy velocity]]*psi_o*SQRTPI(2)))</f>
        <v>-10.370855681175225</v>
      </c>
      <c r="BQ22" s="244">
        <f>(ACOSH(SQRT(alpha*Ka*psi_a/(Tabella34[[#This Row],[rest of Italy velocity]]*(1+TANH(phi_a)))))+phi_a)/psi_a-(Tabella34[[#This Row],[Day]]-pa)</f>
        <v>226.26691962271224</v>
      </c>
      <c r="BR22" s="72">
        <f>-2*$BY$35*TANH($BY$35*(Tabella34[[#This Row],[Day]]-$BY$44)-$BY$34)*Tabella34[[#This Row],[rest of Italy velocity]]</f>
        <v>3.0366594321503606</v>
      </c>
      <c r="BS22" s="143">
        <f>Tabella34[[#This Row],[rest of Italy acc. fit]]/y_a_peak</f>
        <v>1.061104442827692E-3</v>
      </c>
      <c r="BT22" s="142">
        <f>Tabella34[[#This Row],[rest of Italy acc. fit]]*NOT(ISBLANK(Tabella34[[#This Row],[rest of Italy rate data]]))</f>
        <v>0</v>
      </c>
      <c r="BU22" s="77">
        <f>Tabella34[[#This Row],[rest of Italy acc. fit]]+CIa</f>
        <v>1697.6108543417331</v>
      </c>
      <c r="BV22" s="77">
        <f>MAX(Tabella34[[#This Row],[rest of Italy acc. fit]]-CIa,0)</f>
        <v>0</v>
      </c>
      <c r="BW22" s="1"/>
      <c r="BX22" s="212" t="s">
        <v>4714</v>
      </c>
      <c r="BY22" s="212">
        <f>psi_l</f>
        <v>2.8204119209330664E-2</v>
      </c>
      <c r="CL22" s="45">
        <f>{32767;32767;0.000001;0.01;FALSE;FALSE;FALSE;1;2;1;0.0001;TRUE}</f>
        <v>32767</v>
      </c>
    </row>
    <row r="23" spans="2:90" x14ac:dyDescent="0.3">
      <c r="B23" s="262">
        <v>43846</v>
      </c>
      <c r="C23" s="4">
        <v>16</v>
      </c>
      <c r="D23" s="141"/>
      <c r="E23" s="144"/>
      <c r="F23" s="144"/>
      <c r="G23" s="142">
        <f>Tabella34[[#This Row],[Italy rate data]]*NOT(ISBLANK(Tabella34[[#This Row],[Italy rate data]]))</f>
        <v>0</v>
      </c>
      <c r="H23" s="143">
        <f>Tabella8[[#This Row],[Italy fit]]</f>
        <v>0</v>
      </c>
      <c r="I23" s="143">
        <f>(ATANH(alpha*Tabella34[[#This Row],[Italy cumul. Fit]]/Kf-(1-alpha*Tabella34[[#This Row],[Italy cumul. Fit]]/Kf)*TANH(phi_f))+phi_f)/psi_f-(Tabella34[[#This Row],[Day]]-pf)</f>
        <v>53.844294912230211</v>
      </c>
      <c r="J23" s="143">
        <f>Tabella34[[#This Row],[Italy d.t.]]/Italy_dt_at_lockdown</f>
        <v>48.83337977722551</v>
      </c>
      <c r="K23" s="143">
        <f>Tabella34[[#This Row],[Italy cumul. Fit]]/Kf</f>
        <v>0</v>
      </c>
      <c r="L23" s="146">
        <f>Tabella34[[#This Row],[sel. region acc. fit]]+Tabella34[[#This Row],[rest of Italy acc. fit]]</f>
        <v>3.2827769762396768</v>
      </c>
      <c r="M23" s="143">
        <f>Tabella34[[#This Row],[Italy (fit of selected region + fitted sum of the other regions)]]/(y_l_peak+y_a_peak)</f>
        <v>1.0944083612628222E-3</v>
      </c>
      <c r="N23" s="143">
        <f>Tabella3[[#This Row],[Italy remov. rate fit]]</f>
        <v>66.703682514674426</v>
      </c>
      <c r="O23" s="143" t="e">
        <f>Kt*EXP(-0.5*Tabella34[[#This Row],[x_t]]^2)/(psi_t*SQRTPI(2)*(Tabella34[[#This Row],[Day]]-D_bk))</f>
        <v>#NUM!</v>
      </c>
      <c r="P23" s="183" t="e">
        <f>Tabella34[[#This Row],[Italy velocity]]/Tabella34[[#This Row],[Italy cumul. Fit]]</f>
        <v>#DIV/0!</v>
      </c>
      <c r="Q23" s="244" t="e">
        <f>(LN(Tabella34[[#This Row],[Day]]-D_bk)-phi_t)/psi_t</f>
        <v>#NUM!</v>
      </c>
      <c r="R23" s="244">
        <f>EXP(phi_t+psi_t*Tabella34[[#This Row],[x_t_alpha©+plus]])-(Tabella34[[#This Row],[Day]]-D_bk)</f>
        <v>57.790526570579033</v>
      </c>
      <c r="S23" s="244">
        <f>EXP(phi_t+psi_t*Tabella34[[#This Row],[x_t_alpha©-minus]])-(Tabella34[[#This Row],[Day]]-D_bk)</f>
        <v>56.996702872506305</v>
      </c>
      <c r="T23" s="244">
        <f>-psi_t+SQRT(psi_t^2-2*Tabella34[[#This Row],[c_t]])</f>
        <v>4.5224201876220365</v>
      </c>
      <c r="U23" s="244">
        <f>-psi_t-SQRT(psi_t^2-2*Tabella34[[#This Row],[c_t]])</f>
        <v>-4.5718129220418406</v>
      </c>
      <c r="V23" s="244">
        <f>phi_t-LN(alpha*Kt/(Tabella34[[#This Row],[Italy velocity]]*psi_t*SQRTPI(2)))</f>
        <v>-10.337829526336657</v>
      </c>
      <c r="W23" s="244" t="e">
        <f>Tabella34[[#This Row],[Italy g.r.]]/Italy_gr_at_lockdown</f>
        <v>#DIV/0!</v>
      </c>
      <c r="X23" s="244">
        <f>(ACOSH(SQRT(alpha*Kf*psi_f/(Tabella34[[#This Row],[Italy velocity]]*(1+TANH(phi_f)))))+phi_f)/psi_f-(Tabella34[[#This Row],[Day]]-pf)</f>
        <v>223.96214322565459</v>
      </c>
      <c r="Y23" s="244">
        <f>Tabella34[[#This Row],[Italy h.t.]]/Italy_ht_at_lockdown</f>
        <v>1.9373283379930579</v>
      </c>
      <c r="Z23" s="72">
        <f>-2*$BY$48*TANH($BY$48*(Tabella34[[#This Row],[Day]]-$BY$57)-$BY$47)*Tabella34[[#This Row],[Italy velocity]]</f>
        <v>3.2578608798828008</v>
      </c>
      <c r="AA23" s="72">
        <f>Tabella34[[#This Row],[Italy acc. fit]]/Itali_acc_at_lockdown</f>
        <v>9.0224039241890888E-2</v>
      </c>
      <c r="AB23" s="143">
        <f>Tabella34[[#This Row],[Italy acc. fit]]/y_f_peak</f>
        <v>1.085444911785013E-3</v>
      </c>
      <c r="AC23" s="143">
        <f>Tabella34[[#This Row],[Italy (fit of selected region + fitted sum of the other regions)]]*NOT(ISBLANK(Tabella34[[#This Row],[Italy rate data]]))</f>
        <v>0</v>
      </c>
      <c r="AD23" s="143">
        <f>Tabella34[[#This Row],[Italy acc. fit]]*NOT(ISBLANK(Tabella34[[#This Row],[Italy rate data]]))</f>
        <v>0</v>
      </c>
      <c r="AE23" s="77">
        <f>Tabella34[[#This Row],[Italy acc. fit]]+CIf</f>
        <v>1718.8727202144341</v>
      </c>
      <c r="AF23" s="77">
        <f>MAX(Tabella34[[#This Row],[Italy acc. fit]]-CIf,0)</f>
        <v>0</v>
      </c>
      <c r="AG23" s="141"/>
      <c r="AH23" s="33"/>
      <c r="AI23" s="33"/>
      <c r="AJ23" s="142">
        <f>Tabella34[[#This Row],[selected region rate data]]*NOT(ISBLANK(Tabella34[[#This Row],[selected region rate data]]))</f>
        <v>0</v>
      </c>
      <c r="AK23" s="147">
        <f>Tabella8[[#This Row],[region fit]]</f>
        <v>0</v>
      </c>
      <c r="AL23" s="143">
        <f>(ATANH(alpha*Tabella34[[#This Row],[sel. region cumul. fit]]/Kl-(1-alpha*Tabella34[[#This Row],[sel. region cumul. fit]]/Kl)*TANH(phi_l))+phi_l)/psi_l-(Tabella34[[#This Row],[Day]]-pl)</f>
        <v>59.240334693239106</v>
      </c>
      <c r="AM23" s="142">
        <f>Tabella34[[#This Row],[sel. region cumul. fit]]/Kl</f>
        <v>0</v>
      </c>
      <c r="AN23" s="143">
        <f>Tabella3[[#This Row],[region fit]]</f>
        <v>1.7316404011628901</v>
      </c>
      <c r="AO23" s="183" t="e">
        <f>Tabella34[[#This Row],[sel. region velocity]]/Tabella34[[#This Row],[sel. region cumul. fit]]</f>
        <v>#DIV/0!</v>
      </c>
      <c r="AP23" s="236" t="e">
        <f>(LN(Tabella34[[#This Row],[Day]]-pr)-phi_r)/psi_r</f>
        <v>#NUM!</v>
      </c>
      <c r="AQ23" s="244">
        <f>EXP(phi_r+psi_r*Tabella34[[#This Row],[x_r_alpha©+plus]])-(Tabella34[[#This Row],[Day]]-pr)</f>
        <v>63.048460847412883</v>
      </c>
      <c r="AR23" s="244">
        <f>EXP(phi_r+psi_r*Tabella34[[#This Row],[x_r_alpha©-minus]])-(Tabella34[[#This Row],[Day]]-pr)</f>
        <v>62.174254000261698</v>
      </c>
      <c r="AS23" s="244">
        <f>-psi_r+SQRT(psi_r^2-2*Tabella34[[#This Row],[c_r]])</f>
        <v>4.5951997627415055</v>
      </c>
      <c r="AT23" s="244">
        <f>-psi_r-SQRT(psi_r^2-2*Tabella34[[#This Row],[c_r]])</f>
        <v>-4.6516080011601675</v>
      </c>
      <c r="AU23" s="244">
        <f>phi_r-LN(alpha*Kr/(Tabella34[[#This Row],[sel. region velocity]]*psi_r*SQRTPI(2)))</f>
        <v>-10.687533991648847</v>
      </c>
      <c r="AV23" s="244">
        <f>(ACOSH(SQRT(alpha*Kl*psi_l/(Tabella34[[#This Row],[sel. region velocity]]*(1+TANH(phi_l)))))+phi_l)/psi_l-(Tabella34[[#This Row],[Day]]-pl)</f>
        <v>216.45298791121616</v>
      </c>
      <c r="AW23" s="72">
        <f>-2*$BY$22*TANH($BY$22*(Tabella34[[#This Row],[Day]]-$BY$31)-$BY$21)*Tabella34[[#This Row],[sel. region velocity]]</f>
        <v>9.7063109098061956E-2</v>
      </c>
      <c r="AX23" s="143">
        <f>Tabella34[[#This Row],[sel. region acc. fit]]/y_l_peak</f>
        <v>7.0438039407644151E-4</v>
      </c>
      <c r="AY23" s="143">
        <f>Tabella34[[#This Row],[sel. region acc. fit]]*NOT(ISBLANK(Tabella34[[#This Row],[selected region rate data]]))</f>
        <v>0</v>
      </c>
      <c r="AZ23" s="77">
        <f>Tabella34[[#This Row],[sel. region acc. fit]]+CIl</f>
        <v>53.861903518646514</v>
      </c>
      <c r="BA23" s="77">
        <f>MAX(Tabella34[[#This Row],[sel. region acc. fit]]-CIl,0)</f>
        <v>0</v>
      </c>
      <c r="BB23" s="141"/>
      <c r="BC23" s="33"/>
      <c r="BD23" s="33"/>
      <c r="BE23" s="142">
        <f>Tabella34[[#This Row],[rest of Italy rate data]]*NOT(ISBLANK(Tabella34[[#This Row],[rest of Italy rate data]]))</f>
        <v>0</v>
      </c>
      <c r="BF23" s="188">
        <f>Tabella8[[#This Row],[rest of Italy fit]]</f>
        <v>0</v>
      </c>
      <c r="BG23" s="78">
        <f>(ATANH(alpha*Tabella34[[#This Row],[rest of Italy cumul. fit]]/Ka-(1-alpha*Tabella34[[#This Row],[rest of Italy cumul. fit]]/Ka)*TANH(phi_a))+phi_a)/psi_a-(Tabella34[[#This Row],[Day]]-pa)</f>
        <v>53.695444456084331</v>
      </c>
      <c r="BH23" s="143">
        <f>Tabella34[[#This Row],[rest of Italy cumul. fit]]/Ka</f>
        <v>0</v>
      </c>
      <c r="BI23" s="143">
        <f>Tabella3[[#This Row],[rest of Italy fit]]</f>
        <v>65.738070195882855</v>
      </c>
      <c r="BJ23" s="183" t="e">
        <f>Tabella34[[#This Row],[rest of Italy velocity]]/Tabella34[[#This Row],[rest of Italy cumul. fit]]</f>
        <v>#DIV/0!</v>
      </c>
      <c r="BK23" s="236" t="e">
        <f>(LN(Tabella34[[#This Row],[Day]]-po)-phi_o)/psi_o</f>
        <v>#NUM!</v>
      </c>
      <c r="BL23" s="244">
        <f>EXP(phi_o+psi_o*Tabella34[[#This Row],[x_o_alpha©+plus]])-(Tabella34[[#This Row],[Day]]-po)</f>
        <v>57.625418615857001</v>
      </c>
      <c r="BM23" s="244">
        <f>EXP(phi_o+psi_o*Tabella34[[#This Row],[x_o_alpha©-minus]])-(Tabella34[[#This Row],[Day]]-po)</f>
        <v>56.84061353928216</v>
      </c>
      <c r="BN23" s="244">
        <f>-psi_o+SQRT(psi_o^2-2*Tabella34[[#This Row],[c_o]])</f>
        <v>4.5192034026461334</v>
      </c>
      <c r="BO23" s="244">
        <f>-psi_o-SQRT(psi_o^2-2*Tabella34[[#This Row],[c_o]])</f>
        <v>-4.5682304882157618</v>
      </c>
      <c r="BP23" s="244">
        <f>phi_o-LN(alpha*Ko/(Tabella34[[#This Row],[rest of Italy velocity]]*psi_o*SQRTPI(2)))</f>
        <v>-10.32238138320824</v>
      </c>
      <c r="BQ23" s="244">
        <f>(ACOSH(SQRT(alpha*Ka*psi_a/(Tabella34[[#This Row],[rest of Italy velocity]]*(1+TANH(phi_a)))))+phi_a)/psi_a-(Tabella34[[#This Row],[Day]]-pa)</f>
        <v>224.27260514861422</v>
      </c>
      <c r="BR23" s="72">
        <f>-2*$BY$35*TANH($BY$35*(Tabella34[[#This Row],[Day]]-$BY$44)-$BY$34)*Tabella34[[#This Row],[rest of Italy velocity]]</f>
        <v>3.1857138671416148</v>
      </c>
      <c r="BS23" s="143">
        <f>Tabella34[[#This Row],[rest of Italy acc. fit]]/y_a_peak</f>
        <v>1.1131887567674976E-3</v>
      </c>
      <c r="BT23" s="142">
        <f>Tabella34[[#This Row],[rest of Italy acc. fit]]*NOT(ISBLANK(Tabella34[[#This Row],[rest of Italy rate data]]))</f>
        <v>0</v>
      </c>
      <c r="BU23" s="77">
        <f>Tabella34[[#This Row],[rest of Italy acc. fit]]+CIa</f>
        <v>1697.7599087767244</v>
      </c>
      <c r="BV23" s="77">
        <f>MAX(Tabella34[[#This Row],[rest of Italy acc. fit]]-CIa,0)</f>
        <v>0</v>
      </c>
      <c r="BW23" s="1"/>
      <c r="BX23" s="213" t="s">
        <v>1</v>
      </c>
      <c r="BY23" s="214">
        <f>AVERAGE(Tabella34[selected region rate data])</f>
        <v>78.632911392405063</v>
      </c>
      <c r="CL23" s="45">
        <f>{0;0;1;200;0;FALSE;FALSE;0.075;0;0;FALSE;30}</f>
        <v>0</v>
      </c>
    </row>
    <row r="24" spans="2:90" x14ac:dyDescent="0.3">
      <c r="B24" s="262">
        <v>43847</v>
      </c>
      <c r="C24" s="4">
        <v>17</v>
      </c>
      <c r="D24" s="141"/>
      <c r="E24" s="144"/>
      <c r="F24" s="144"/>
      <c r="G24" s="142">
        <f>Tabella34[[#This Row],[Italy rate data]]*NOT(ISBLANK(Tabella34[[#This Row],[Italy rate data]]))</f>
        <v>0</v>
      </c>
      <c r="H24" s="143">
        <f>Tabella8[[#This Row],[Italy fit]]</f>
        <v>0</v>
      </c>
      <c r="I24" s="143">
        <f>(ATANH(alpha*Tabella34[[#This Row],[Italy cumul. Fit]]/Kf-(1-alpha*Tabella34[[#This Row],[Italy cumul. Fit]]/Kf)*TANH(phi_f))+phi_f)/psi_f-(Tabella34[[#This Row],[Day]]-pf)</f>
        <v>52.844294912230211</v>
      </c>
      <c r="J24" s="143">
        <f>Tabella34[[#This Row],[Italy d.t.]]/Italy_dt_at_lockdown</f>
        <v>47.926442842554394</v>
      </c>
      <c r="K24" s="143">
        <f>Tabella34[[#This Row],[Italy cumul. Fit]]/Kf</f>
        <v>0</v>
      </c>
      <c r="L24" s="146">
        <f>Tabella34[[#This Row],[sel. region acc. fit]]+Tabella34[[#This Row],[rest of Italy acc. fit]]</f>
        <v>3.4445194149573015</v>
      </c>
      <c r="M24" s="143">
        <f>Tabella34[[#This Row],[Italy (fit of selected region + fitted sum of the other regions)]]/(y_l_peak+y_a_peak)</f>
        <v>1.1483298669224514E-3</v>
      </c>
      <c r="N24" s="143">
        <f>Tabella3[[#This Row],[Italy remov. rate fit]]</f>
        <v>70.041447807392288</v>
      </c>
      <c r="O24" s="143" t="e">
        <f>Kt*EXP(-0.5*Tabella34[[#This Row],[x_t]]^2)/(psi_t*SQRTPI(2)*(Tabella34[[#This Row],[Day]]-D_bk))</f>
        <v>#NUM!</v>
      </c>
      <c r="P24" s="183" t="e">
        <f>Tabella34[[#This Row],[Italy velocity]]/Tabella34[[#This Row],[Italy cumul. Fit]]</f>
        <v>#DIV/0!</v>
      </c>
      <c r="Q24" s="244" t="e">
        <f>(LN(Tabella34[[#This Row],[Day]]-D_bk)-phi_t)/psi_t</f>
        <v>#NUM!</v>
      </c>
      <c r="R24" s="244">
        <f>EXP(phi_t+psi_t*Tabella34[[#This Row],[x_t_alpha©+plus]])-(Tabella34[[#This Row],[Day]]-D_bk)</f>
        <v>56.789478969814041</v>
      </c>
      <c r="S24" s="244">
        <f>EXP(phi_t+psi_t*Tabella34[[#This Row],[x_t_alpha©-minus]])-(Tabella34[[#This Row],[Day]]-D_bk)</f>
        <v>55.997539960191581</v>
      </c>
      <c r="T24" s="244">
        <f>-psi_t+SQRT(psi_t^2-2*Tabella34[[#This Row],[c_t]])</f>
        <v>4.5116694612416097</v>
      </c>
      <c r="U24" s="244">
        <f>-psi_t-SQRT(psi_t^2-2*Tabella34[[#This Row],[c_t]])</f>
        <v>-4.5610621956614139</v>
      </c>
      <c r="V24" s="244">
        <f>phi_t-LN(alpha*Kt/(Tabella34[[#This Row],[Italy velocity]]*psi_t*SQRTPI(2)))</f>
        <v>-10.289002509494605</v>
      </c>
      <c r="W24" s="244" t="e">
        <f>Tabella34[[#This Row],[Italy g.r.]]/Italy_gr_at_lockdown</f>
        <v>#DIV/0!</v>
      </c>
      <c r="X24" s="244">
        <f>(ACOSH(SQRT(alpha*Kf*psi_f/(Tabella34[[#This Row],[Italy velocity]]*(1+TANH(phi_f)))))+phi_f)/psi_f-(Tabella34[[#This Row],[Day]]-pf)</f>
        <v>221.96791943990661</v>
      </c>
      <c r="Y24" s="244">
        <f>Tabella34[[#This Row],[Italy h.t.]]/Italy_ht_at_lockdown</f>
        <v>1.9200778053950702</v>
      </c>
      <c r="Z24" s="72">
        <f>-2*$BY$48*TANH($BY$48*(Tabella34[[#This Row],[Day]]-$BY$57)-$BY$47)*Tabella34[[#This Row],[Italy velocity]]</f>
        <v>3.4189340784685891</v>
      </c>
      <c r="AA24" s="72">
        <f>Tabella34[[#This Row],[Italy acc. fit]]/Itali_acc_at_lockdown</f>
        <v>9.4684841936002198E-2</v>
      </c>
      <c r="AB24" s="143">
        <f>Tabella34[[#This Row],[Italy acc. fit]]/y_f_peak</f>
        <v>1.1391108264069321E-3</v>
      </c>
      <c r="AC24" s="143">
        <f>Tabella34[[#This Row],[Italy (fit of selected region + fitted sum of the other regions)]]*NOT(ISBLANK(Tabella34[[#This Row],[Italy rate data]]))</f>
        <v>0</v>
      </c>
      <c r="AD24" s="143">
        <f>Tabella34[[#This Row],[Italy acc. fit]]*NOT(ISBLANK(Tabella34[[#This Row],[Italy rate data]]))</f>
        <v>0</v>
      </c>
      <c r="AE24" s="77">
        <f>Tabella34[[#This Row],[Italy acc. fit]]+CIf</f>
        <v>1719.0337934130198</v>
      </c>
      <c r="AF24" s="77">
        <f>MAX(Tabella34[[#This Row],[Italy acc. fit]]-CIf,0)</f>
        <v>0</v>
      </c>
      <c r="AG24" s="141"/>
      <c r="AH24" s="33"/>
      <c r="AI24" s="33"/>
      <c r="AJ24" s="142">
        <f>Tabella34[[#This Row],[selected region rate data]]*NOT(ISBLANK(Tabella34[[#This Row],[selected region rate data]]))</f>
        <v>0</v>
      </c>
      <c r="AK24" s="147">
        <f>Tabella8[[#This Row],[region fit]]</f>
        <v>0</v>
      </c>
      <c r="AL24" s="143">
        <f>(ATANH(alpha*Tabella34[[#This Row],[sel. region cumul. fit]]/Kl-(1-alpha*Tabella34[[#This Row],[sel. region cumul. fit]]/Kl)*TANH(phi_l))+phi_l)/psi_l-(Tabella34[[#This Row],[Day]]-pl)</f>
        <v>58.240334693239106</v>
      </c>
      <c r="AM24" s="142">
        <f>Tabella34[[#This Row],[sel. region cumul. fit]]/Kl</f>
        <v>0</v>
      </c>
      <c r="AN24" s="143">
        <f>Tabella3[[#This Row],[region fit]]</f>
        <v>1.8314567274833826</v>
      </c>
      <c r="AO24" s="183" t="e">
        <f>Tabella34[[#This Row],[sel. region velocity]]/Tabella34[[#This Row],[sel. region cumul. fit]]</f>
        <v>#DIV/0!</v>
      </c>
      <c r="AP24" s="236" t="e">
        <f>(LN(Tabella34[[#This Row],[Day]]-pr)-phi_r)/psi_r</f>
        <v>#NUM!</v>
      </c>
      <c r="AQ24" s="244">
        <f>EXP(phi_r+psi_r*Tabella34[[#This Row],[x_r_alpha©+plus]])-(Tabella34[[#This Row],[Day]]-pr)</f>
        <v>62.047157453471186</v>
      </c>
      <c r="AR24" s="244">
        <f>EXP(phi_r+psi_r*Tabella34[[#This Row],[x_r_alpha©-minus]])-(Tabella34[[#This Row],[Day]]-pr)</f>
        <v>61.175258526316902</v>
      </c>
      <c r="AS24" s="244">
        <f>-psi_r+SQRT(psi_r^2-2*Tabella34[[#This Row],[c_r]])</f>
        <v>4.5830623488420503</v>
      </c>
      <c r="AT24" s="244">
        <f>-psi_r-SQRT(psi_r^2-2*Tabella34[[#This Row],[c_r]])</f>
        <v>-4.6394705872607123</v>
      </c>
      <c r="AU24" s="244">
        <f>phi_r-LN(alpha*Kr/(Tabella34[[#This Row],[sel. region velocity]]*psi_r*SQRTPI(2)))</f>
        <v>-10.631491483517342</v>
      </c>
      <c r="AV24" s="244">
        <f>(ACOSH(SQRT(alpha*Kl*psi_l/(Tabella34[[#This Row],[sel. region velocity]]*(1+TANH(phi_l)))))+phi_l)/psi_l-(Tabella34[[#This Row],[Day]]-pl)</f>
        <v>214.45624554688459</v>
      </c>
      <c r="AW24" s="72">
        <f>-2*$BY$22*TANH($BY$22*(Tabella34[[#This Row],[Day]]-$BY$31)-$BY$21)*Tabella34[[#This Row],[sel. region velocity]]</f>
        <v>0.10262042226694083</v>
      </c>
      <c r="AX24" s="143">
        <f>Tabella34[[#This Row],[sel. region acc. fit]]/y_l_peak</f>
        <v>7.4470943851232864E-4</v>
      </c>
      <c r="AY24" s="143">
        <f>Tabella34[[#This Row],[sel. region acc. fit]]*NOT(ISBLANK(Tabella34[[#This Row],[selected region rate data]]))</f>
        <v>0</v>
      </c>
      <c r="AZ24" s="77">
        <f>Tabella34[[#This Row],[sel. region acc. fit]]+CIl</f>
        <v>53.867460831815393</v>
      </c>
      <c r="BA24" s="77">
        <f>MAX(Tabella34[[#This Row],[sel. region acc. fit]]-CIl,0)</f>
        <v>0</v>
      </c>
      <c r="BB24" s="141"/>
      <c r="BC24" s="33"/>
      <c r="BD24" s="33"/>
      <c r="BE24" s="142">
        <f>Tabella34[[#This Row],[rest of Italy rate data]]*NOT(ISBLANK(Tabella34[[#This Row],[rest of Italy rate data]]))</f>
        <v>0</v>
      </c>
      <c r="BF24" s="188">
        <f>Tabella8[[#This Row],[rest of Italy fit]]</f>
        <v>0</v>
      </c>
      <c r="BG24" s="78">
        <f>(ATANH(alpha*Tabella34[[#This Row],[rest of Italy cumul. fit]]/Ka-(1-alpha*Tabella34[[#This Row],[rest of Italy cumul. fit]]/Ka)*TANH(phi_a))+phi_a)/psi_a-(Tabella34[[#This Row],[Day]]-pa)</f>
        <v>52.695444456084331</v>
      </c>
      <c r="BH24" s="143">
        <f>Tabella34[[#This Row],[rest of Italy cumul. fit]]/Ka</f>
        <v>0</v>
      </c>
      <c r="BI24" s="143">
        <f>Tabella3[[#This Row],[rest of Italy fit]]</f>
        <v>69.001269171062305</v>
      </c>
      <c r="BJ24" s="183" t="e">
        <f>Tabella34[[#This Row],[rest of Italy velocity]]/Tabella34[[#This Row],[rest of Italy cumul. fit]]</f>
        <v>#DIV/0!</v>
      </c>
      <c r="BK24" s="236" t="e">
        <f>(LN(Tabella34[[#This Row],[Day]]-po)-phi_o)/psi_o</f>
        <v>#NUM!</v>
      </c>
      <c r="BL24" s="244">
        <f>EXP(phi_o+psi_o*Tabella34[[#This Row],[x_o_alpha©+plus]])-(Tabella34[[#This Row],[Day]]-po)</f>
        <v>56.624390357576225</v>
      </c>
      <c r="BM24" s="244">
        <f>EXP(phi_o+psi_o*Tabella34[[#This Row],[x_o_alpha©-minus]])-(Tabella34[[#This Row],[Day]]-po)</f>
        <v>55.841436672569131</v>
      </c>
      <c r="BN24" s="244">
        <f>-psi_o+SQRT(psi_o^2-2*Tabella34[[#This Row],[c_o]])</f>
        <v>4.5085285162731328</v>
      </c>
      <c r="BO24" s="244">
        <f>-psi_o-SQRT(psi_o^2-2*Tabella34[[#This Row],[c_o]])</f>
        <v>-4.5575556018427612</v>
      </c>
      <c r="BP24" s="244">
        <f>phi_o-LN(alpha*Ko/(Tabella34[[#This Row],[rest of Italy velocity]]*psi_o*SQRTPI(2)))</f>
        <v>-10.273934697704224</v>
      </c>
      <c r="BQ24" s="244">
        <f>(ACOSH(SQRT(alpha*Ka*psi_a/(Tabella34[[#This Row],[rest of Italy velocity]]*(1+TANH(phi_a)))))+phi_a)/psi_a-(Tabella34[[#This Row],[Day]]-pa)</f>
        <v>222.27857720376551</v>
      </c>
      <c r="BR24" s="72">
        <f>-2*$BY$35*TANH($BY$35*(Tabella34[[#This Row],[Day]]-$BY$44)-$BY$34)*Tabella34[[#This Row],[rest of Italy velocity]]</f>
        <v>3.3418989926903606</v>
      </c>
      <c r="BS24" s="143">
        <f>Tabella34[[#This Row],[rest of Italy acc. fit]]/y_a_peak</f>
        <v>1.1677647585636613E-3</v>
      </c>
      <c r="BT24" s="142">
        <f>Tabella34[[#This Row],[rest of Italy acc. fit]]*NOT(ISBLANK(Tabella34[[#This Row],[rest of Italy rate data]]))</f>
        <v>0</v>
      </c>
      <c r="BU24" s="77">
        <f>Tabella34[[#This Row],[rest of Italy acc. fit]]+CIa</f>
        <v>1697.9160939022731</v>
      </c>
      <c r="BV24" s="77">
        <f>MAX(Tabella34[[#This Row],[rest of Italy acc. fit]]-CIa,0)</f>
        <v>0</v>
      </c>
      <c r="BW24" s="1"/>
      <c r="BX24" s="213" t="s">
        <v>2</v>
      </c>
      <c r="BY24" s="215">
        <f>COUNT(Tabella34[selected region rate data])-COUNT(BY20:BY22)</f>
        <v>76</v>
      </c>
      <c r="CL24" s="45"/>
    </row>
    <row r="25" spans="2:90" x14ac:dyDescent="0.3">
      <c r="B25" s="262">
        <v>43848</v>
      </c>
      <c r="C25" s="4">
        <v>18</v>
      </c>
      <c r="D25" s="141"/>
      <c r="E25" s="144"/>
      <c r="F25" s="144"/>
      <c r="G25" s="142">
        <f>Tabella34[[#This Row],[Italy rate data]]*NOT(ISBLANK(Tabella34[[#This Row],[Italy rate data]]))</f>
        <v>0</v>
      </c>
      <c r="H25" s="143">
        <f>Tabella8[[#This Row],[Italy fit]]</f>
        <v>0</v>
      </c>
      <c r="I25" s="143">
        <f>(ATANH(alpha*Tabella34[[#This Row],[Italy cumul. Fit]]/Kf-(1-alpha*Tabella34[[#This Row],[Italy cumul. Fit]]/Kf)*TANH(phi_f))+phi_f)/psi_f-(Tabella34[[#This Row],[Day]]-pf)</f>
        <v>51.844294912230211</v>
      </c>
      <c r="J25" s="143">
        <f>Tabella34[[#This Row],[Italy d.t.]]/Italy_dt_at_lockdown</f>
        <v>47.019505907883286</v>
      </c>
      <c r="K25" s="143">
        <f>Tabella34[[#This Row],[Italy cumul. Fit]]/Kf</f>
        <v>0</v>
      </c>
      <c r="L25" s="146">
        <f>Tabella34[[#This Row],[sel. region acc. fit]]+Tabella34[[#This Row],[rest of Italy acc. fit]]</f>
        <v>3.6140282117446212</v>
      </c>
      <c r="M25" s="143">
        <f>Tabella34[[#This Row],[Italy (fit of selected region + fitted sum of the other regions)]]/(y_l_peak+y_a_peak)</f>
        <v>1.2048405119813009E-3</v>
      </c>
      <c r="N25" s="143">
        <f>Tabella3[[#This Row],[Italy remov. rate fit]]</f>
        <v>73.544136574710549</v>
      </c>
      <c r="O25" s="143" t="e">
        <f>Kt*EXP(-0.5*Tabella34[[#This Row],[x_t]]^2)/(psi_t*SQRTPI(2)*(Tabella34[[#This Row],[Day]]-D_bk))</f>
        <v>#NUM!</v>
      </c>
      <c r="P25" s="183" t="e">
        <f>Tabella34[[#This Row],[Italy velocity]]/Tabella34[[#This Row],[Italy cumul. Fit]]</f>
        <v>#DIV/0!</v>
      </c>
      <c r="Q25" s="244" t="e">
        <f>(LN(Tabella34[[#This Row],[Day]]-D_bk)-phi_t)/psi_t</f>
        <v>#NUM!</v>
      </c>
      <c r="R25" s="244">
        <f>EXP(phi_t+psi_t*Tabella34[[#This Row],[x_t_alpha©+plus]])-(Tabella34[[#This Row],[Day]]-D_bk)</f>
        <v>55.788429772336933</v>
      </c>
      <c r="S25" s="244">
        <f>EXP(phi_t+psi_t*Tabella34[[#This Row],[x_t_alpha©-minus]])-(Tabella34[[#This Row],[Day]]-D_bk)</f>
        <v>54.998378769427667</v>
      </c>
      <c r="T25" s="244">
        <f>-psi_t+SQRT(psi_t^2-2*Tabella34[[#This Row],[c_t]])</f>
        <v>4.5008994873751274</v>
      </c>
      <c r="U25" s="244">
        <f>-psi_t-SQRT(psi_t^2-2*Tabella34[[#This Row],[c_t]])</f>
        <v>-4.5502922217949315</v>
      </c>
      <c r="V25" s="244">
        <f>phi_t-LN(alpha*Kt/(Tabella34[[#This Row],[Italy velocity]]*psi_t*SQRTPI(2)))</f>
        <v>-10.240203964241918</v>
      </c>
      <c r="W25" s="244" t="e">
        <f>Tabella34[[#This Row],[Italy g.r.]]/Italy_gr_at_lockdown</f>
        <v>#DIV/0!</v>
      </c>
      <c r="X25" s="244">
        <f>(ACOSH(SQRT(alpha*Kf*psi_f/(Tabella34[[#This Row],[Italy velocity]]*(1+TANH(phi_f)))))+phi_f)/psi_f-(Tabella34[[#This Row],[Day]]-pf)</f>
        <v>219.97398899263999</v>
      </c>
      <c r="Y25" s="244">
        <f>Tabella34[[#This Row],[Italy h.t.]]/Italy_ht_at_lockdown</f>
        <v>1.9028298102480301</v>
      </c>
      <c r="Z25" s="72">
        <f>-2*$BY$48*TANH($BY$48*(Tabella34[[#This Row],[Day]]-$BY$57)-$BY$47)*Tabella34[[#This Row],[Italy velocity]]</f>
        <v>3.5877654355043016</v>
      </c>
      <c r="AA25" s="72">
        <f>Tabella34[[#This Row],[Italy acc. fit]]/Itali_acc_at_lockdown</f>
        <v>9.936050107065493E-2</v>
      </c>
      <c r="AB25" s="143">
        <f>Tabella34[[#This Row],[Italy acc. fit]]/y_f_peak</f>
        <v>1.1953615824093692E-3</v>
      </c>
      <c r="AC25" s="143">
        <f>Tabella34[[#This Row],[Italy (fit of selected region + fitted sum of the other regions)]]*NOT(ISBLANK(Tabella34[[#This Row],[Italy rate data]]))</f>
        <v>0</v>
      </c>
      <c r="AD25" s="143">
        <f>Tabella34[[#This Row],[Italy acc. fit]]*NOT(ISBLANK(Tabella34[[#This Row],[Italy rate data]]))</f>
        <v>0</v>
      </c>
      <c r="AE25" s="77">
        <f>Tabella34[[#This Row],[Italy acc. fit]]+CIf</f>
        <v>1719.2026247700555</v>
      </c>
      <c r="AF25" s="77">
        <f>MAX(Tabella34[[#This Row],[Italy acc. fit]]-CIf,0)</f>
        <v>0</v>
      </c>
      <c r="AG25" s="141"/>
      <c r="AH25" s="33"/>
      <c r="AI25" s="33"/>
      <c r="AJ25" s="142">
        <f>Tabella34[[#This Row],[selected region rate data]]*NOT(ISBLANK(Tabella34[[#This Row],[selected region rate data]]))</f>
        <v>0</v>
      </c>
      <c r="AK25" s="147">
        <f>Tabella8[[#This Row],[region fit]]</f>
        <v>0</v>
      </c>
      <c r="AL25" s="143">
        <f>(ATANH(alpha*Tabella34[[#This Row],[sel. region cumul. fit]]/Kl-(1-alpha*Tabella34[[#This Row],[sel. region cumul. fit]]/Kl)*TANH(phi_l))+phi_l)/psi_l-(Tabella34[[#This Row],[Day]]-pl)</f>
        <v>57.240334693239106</v>
      </c>
      <c r="AM25" s="142">
        <f>Tabella34[[#This Row],[sel. region cumul. fit]]/Kl</f>
        <v>0</v>
      </c>
      <c r="AN25" s="143">
        <f>Tabella3[[#This Row],[region fit]]</f>
        <v>1.93698576211773</v>
      </c>
      <c r="AO25" s="183" t="e">
        <f>Tabella34[[#This Row],[sel. region velocity]]/Tabella34[[#This Row],[sel. region cumul. fit]]</f>
        <v>#DIV/0!</v>
      </c>
      <c r="AP25" s="236" t="e">
        <f>(LN(Tabella34[[#This Row],[Day]]-pr)-phi_r)/psi_r</f>
        <v>#NUM!</v>
      </c>
      <c r="AQ25" s="244">
        <f>EXP(phi_r+psi_r*Tabella34[[#This Row],[x_r_alpha©+plus]])-(Tabella34[[#This Row],[Day]]-pr)</f>
        <v>61.045851561243154</v>
      </c>
      <c r="AR25" s="244">
        <f>EXP(phi_r+psi_r*Tabella34[[#This Row],[x_r_alpha©-minus]])-(Tabella34[[#This Row],[Day]]-pr)</f>
        <v>60.176265667884373</v>
      </c>
      <c r="AS25" s="244">
        <f>-psi_r+SQRT(psi_r^2-2*Tabella34[[#This Row],[c_r]])</f>
        <v>4.570897502175197</v>
      </c>
      <c r="AT25" s="244">
        <f>-psi_r-SQRT(psi_r^2-2*Tabella34[[#This Row],[c_r]])</f>
        <v>-4.6273057405938589</v>
      </c>
      <c r="AU25" s="244">
        <f>phi_r-LN(alpha*Kr/(Tabella34[[#This Row],[sel. region velocity]]*psi_r*SQRTPI(2)))</f>
        <v>-10.57547012574071</v>
      </c>
      <c r="AV25" s="244">
        <f>(ACOSH(SQRT(alpha*Kl*psi_l/(Tabella34[[#This Row],[sel. region velocity]]*(1+TANH(phi_l)))))+phi_l)/psi_l-(Tabella34[[#This Row],[Day]]-pl)</f>
        <v>212.45969254422675</v>
      </c>
      <c r="AW25" s="72">
        <f>-2*$BY$22*TANH($BY$22*(Tabella34[[#This Row],[Day]]-$BY$31)-$BY$21)*Tabella34[[#This Row],[sel. region velocity]]</f>
        <v>0.10849131256552814</v>
      </c>
      <c r="AX25" s="143">
        <f>Tabella34[[#This Row],[sel. region acc. fit]]/y_l_peak</f>
        <v>7.8731409089288025E-4</v>
      </c>
      <c r="AY25" s="143">
        <f>Tabella34[[#This Row],[sel. region acc. fit]]*NOT(ISBLANK(Tabella34[[#This Row],[selected region rate data]]))</f>
        <v>0</v>
      </c>
      <c r="AZ25" s="77">
        <f>Tabella34[[#This Row],[sel. region acc. fit]]+CIl</f>
        <v>53.873331722113981</v>
      </c>
      <c r="BA25" s="77">
        <f>MAX(Tabella34[[#This Row],[sel. region acc. fit]]-CIl,0)</f>
        <v>0</v>
      </c>
      <c r="BB25" s="141"/>
      <c r="BC25" s="33"/>
      <c r="BD25" s="33"/>
      <c r="BE25" s="142">
        <f>Tabella34[[#This Row],[rest of Italy rate data]]*NOT(ISBLANK(Tabella34[[#This Row],[rest of Italy rate data]]))</f>
        <v>0</v>
      </c>
      <c r="BF25" s="188">
        <f>Tabella8[[#This Row],[rest of Italy fit]]</f>
        <v>0</v>
      </c>
      <c r="BG25" s="78">
        <f>(ATANH(alpha*Tabella34[[#This Row],[rest of Italy cumul. fit]]/Ka-(1-alpha*Tabella34[[#This Row],[rest of Italy cumul. fit]]/Ka)*TANH(phi_a))+phi_a)/psi_a-(Tabella34[[#This Row],[Day]]-pa)</f>
        <v>51.695444456084331</v>
      </c>
      <c r="BH25" s="143">
        <f>Tabella34[[#This Row],[rest of Italy cumul. fit]]/Ka</f>
        <v>0</v>
      </c>
      <c r="BI25" s="143">
        <f>Tabella3[[#This Row],[rest of Italy fit]]</f>
        <v>72.424352301835455</v>
      </c>
      <c r="BJ25" s="183" t="e">
        <f>Tabella34[[#This Row],[rest of Italy velocity]]/Tabella34[[#This Row],[rest of Italy cumul. fit]]</f>
        <v>#DIV/0!</v>
      </c>
      <c r="BK25" s="236" t="e">
        <f>(LN(Tabella34[[#This Row],[Day]]-po)-phi_o)/psi_o</f>
        <v>#NUM!</v>
      </c>
      <c r="BL25" s="244">
        <f>EXP(phi_o+psi_o*Tabella34[[#This Row],[x_o_alpha©+plus]])-(Tabella34[[#This Row],[Day]]-po)</f>
        <v>55.62336055920531</v>
      </c>
      <c r="BM25" s="244">
        <f>EXP(phi_o+psi_o*Tabella34[[#This Row],[x_o_alpha©-minus]])-(Tabella34[[#This Row],[Day]]-po)</f>
        <v>54.842261470648921</v>
      </c>
      <c r="BN25" s="244">
        <f>-psi_o+SQRT(psi_o^2-2*Tabella34[[#This Row],[c_o]])</f>
        <v>4.4978348410108273</v>
      </c>
      <c r="BO25" s="244">
        <f>-psi_o-SQRT(psi_o^2-2*Tabella34[[#This Row],[c_o]])</f>
        <v>-4.5468619265804557</v>
      </c>
      <c r="BP25" s="244">
        <f>phi_o-LN(alpha*Ko/(Tabella34[[#This Row],[rest of Italy velocity]]*psi_o*SQRTPI(2)))</f>
        <v>-10.225516995319593</v>
      </c>
      <c r="BQ25" s="244">
        <f>(ACOSH(SQRT(alpha*Ka*psi_a/(Tabella34[[#This Row],[rest of Italy velocity]]*(1+TANH(phi_a)))))+phi_a)/psi_a-(Tabella34[[#This Row],[Day]]-pa)</f>
        <v>220.28485027173741</v>
      </c>
      <c r="BR25" s="72">
        <f>-2*$BY$35*TANH($BY$35*(Tabella34[[#This Row],[Day]]-$BY$44)-$BY$34)*Tabella34[[#This Row],[rest of Italy velocity]]</f>
        <v>3.5055368991790932</v>
      </c>
      <c r="BS25" s="143">
        <f>Tabella34[[#This Row],[rest of Italy acc. fit]]/y_a_peak</f>
        <v>1.2249449967398135E-3</v>
      </c>
      <c r="BT25" s="142">
        <f>Tabella34[[#This Row],[rest of Italy acc. fit]]*NOT(ISBLANK(Tabella34[[#This Row],[rest of Italy rate data]]))</f>
        <v>0</v>
      </c>
      <c r="BU25" s="77">
        <f>Tabella34[[#This Row],[rest of Italy acc. fit]]+CIa</f>
        <v>1698.0797318087618</v>
      </c>
      <c r="BV25" s="77">
        <f>MAX(Tabella34[[#This Row],[rest of Italy acc. fit]]-CIa,0)</f>
        <v>0</v>
      </c>
      <c r="BW25" s="1"/>
      <c r="BX25" s="213" t="s">
        <v>3</v>
      </c>
      <c r="BY25" s="214" cm="1">
        <f t="array" ref="BY25">SQRT(SUM((Tabella34[Colonna3]-Tabella34[Colonna32])^2)/dfl)</f>
        <v>98.857744012787037</v>
      </c>
      <c r="CL25" s="45"/>
    </row>
    <row r="26" spans="2:90" ht="16.2" x14ac:dyDescent="0.3">
      <c r="B26" s="262">
        <v>43849</v>
      </c>
      <c r="C26" s="4">
        <v>19</v>
      </c>
      <c r="D26" s="141"/>
      <c r="E26" s="144"/>
      <c r="F26" s="144"/>
      <c r="G26" s="142">
        <f>Tabella34[[#This Row],[Italy rate data]]*NOT(ISBLANK(Tabella34[[#This Row],[Italy rate data]]))</f>
        <v>0</v>
      </c>
      <c r="H26" s="143">
        <f>Tabella8[[#This Row],[Italy fit]]</f>
        <v>0</v>
      </c>
      <c r="I26" s="143">
        <f>(ATANH(alpha*Tabella34[[#This Row],[Italy cumul. Fit]]/Kf-(1-alpha*Tabella34[[#This Row],[Italy cumul. Fit]]/Kf)*TANH(phi_f))+phi_f)/psi_f-(Tabella34[[#This Row],[Day]]-pf)</f>
        <v>50.844294912230211</v>
      </c>
      <c r="J26" s="143">
        <f>Tabella34[[#This Row],[Italy d.t.]]/Italy_dt_at_lockdown</f>
        <v>46.11256897321217</v>
      </c>
      <c r="K26" s="143">
        <f>Tabella34[[#This Row],[Italy cumul. Fit]]/Kf</f>
        <v>0</v>
      </c>
      <c r="L26" s="146">
        <f>Tabella34[[#This Row],[sel. region acc. fit]]+Tabella34[[#This Row],[rest of Italy acc. fit]]</f>
        <v>3.7916551773910285</v>
      </c>
      <c r="M26" s="143">
        <f>Tabella34[[#This Row],[Italy (fit of selected region + fitted sum of the other regions)]]/(y_l_peak+y_a_peak)</f>
        <v>1.2640575827101957E-3</v>
      </c>
      <c r="N26" s="143">
        <f>Tabella3[[#This Row],[Italy remov. rate fit]]</f>
        <v>77.219682056200654</v>
      </c>
      <c r="O26" s="143" t="e">
        <f>Kt*EXP(-0.5*Tabella34[[#This Row],[x_t]]^2)/(psi_t*SQRTPI(2)*(Tabella34[[#This Row],[Day]]-D_bk))</f>
        <v>#NUM!</v>
      </c>
      <c r="P26" s="183" t="e">
        <f>Tabella34[[#This Row],[Italy velocity]]/Tabella34[[#This Row],[Italy cumul. Fit]]</f>
        <v>#DIV/0!</v>
      </c>
      <c r="Q26" s="244" t="e">
        <f>(LN(Tabella34[[#This Row],[Day]]-D_bk)-phi_t)/psi_t</f>
        <v>#NUM!</v>
      </c>
      <c r="R26" s="244">
        <f>EXP(phi_t+psi_t*Tabella34[[#This Row],[x_t_alpha©+plus]])-(Tabella34[[#This Row],[Day]]-D_bk)</f>
        <v>54.787378996866586</v>
      </c>
      <c r="S26" s="244">
        <f>EXP(phi_t+psi_t*Tabella34[[#This Row],[x_t_alpha©-minus]])-(Tabella34[[#This Row],[Day]]-D_bk)</f>
        <v>53.999219287630531</v>
      </c>
      <c r="T26" s="244">
        <f>-psi_t+SQRT(psi_t^2-2*Tabella34[[#This Row],[c_t]])</f>
        <v>4.4901104436458317</v>
      </c>
      <c r="U26" s="244">
        <f>-psi_t-SQRT(psi_t^2-2*Tabella34[[#This Row],[c_t]])</f>
        <v>-4.5395031780656359</v>
      </c>
      <c r="V26" s="244">
        <f>phi_t-LN(alpha*Kt/(Tabella34[[#This Row],[Italy velocity]]*psi_t*SQRTPI(2)))</f>
        <v>-10.191435314397976</v>
      </c>
      <c r="W26" s="244" t="e">
        <f>Tabella34[[#This Row],[Italy g.r.]]/Italy_gr_at_lockdown</f>
        <v>#DIV/0!</v>
      </c>
      <c r="X26" s="244">
        <f>(ACOSH(SQRT(alpha*Kf*psi_f/(Tabella34[[#This Row],[Italy velocity]]*(1+TANH(phi_f)))))+phi_f)/psi_f-(Tabella34[[#This Row],[Day]]-pf)</f>
        <v>217.98036682638491</v>
      </c>
      <c r="Y26" s="244">
        <f>Tabella34[[#This Row],[Italy h.t.]]/Italy_ht_at_lockdown</f>
        <v>1.8855844818085465</v>
      </c>
      <c r="Z26" s="72">
        <f>-2*$BY$48*TANH($BY$48*(Tabella34[[#This Row],[Day]]-$BY$57)-$BY$47)*Tabella34[[#This Row],[Italy velocity]]</f>
        <v>3.7647073857012807</v>
      </c>
      <c r="AA26" s="72">
        <f>Tabella34[[#This Row],[Italy acc. fit]]/Itali_acc_at_lockdown</f>
        <v>0.10426077706361976</v>
      </c>
      <c r="AB26" s="143">
        <f>Tabella34[[#This Row],[Italy acc. fit]]/y_f_peak</f>
        <v>1.254314602996773E-3</v>
      </c>
      <c r="AC26" s="143">
        <f>Tabella34[[#This Row],[Italy (fit of selected region + fitted sum of the other regions)]]*NOT(ISBLANK(Tabella34[[#This Row],[Italy rate data]]))</f>
        <v>0</v>
      </c>
      <c r="AD26" s="143">
        <f>Tabella34[[#This Row],[Italy acc. fit]]*NOT(ISBLANK(Tabella34[[#This Row],[Italy rate data]]))</f>
        <v>0</v>
      </c>
      <c r="AE26" s="77">
        <f>Tabella34[[#This Row],[Italy acc. fit]]+CIf</f>
        <v>1719.3795667202526</v>
      </c>
      <c r="AF26" s="77">
        <f>MAX(Tabella34[[#This Row],[Italy acc. fit]]-CIf,0)</f>
        <v>0</v>
      </c>
      <c r="AG26" s="141"/>
      <c r="AH26" s="33"/>
      <c r="AI26" s="33"/>
      <c r="AJ26" s="142">
        <f>Tabella34[[#This Row],[selected region rate data]]*NOT(ISBLANK(Tabella34[[#This Row],[selected region rate data]]))</f>
        <v>0</v>
      </c>
      <c r="AK26" s="147">
        <f>Tabella8[[#This Row],[region fit]]</f>
        <v>0</v>
      </c>
      <c r="AL26" s="143">
        <f>(ATANH(alpha*Tabella34[[#This Row],[sel. region cumul. fit]]/Kl-(1-alpha*Tabella34[[#This Row],[sel. region cumul. fit]]/Kl)*TANH(phi_l))+phi_l)/psi_l-(Tabella34[[#This Row],[Day]]-pl)</f>
        <v>56.240334693239106</v>
      </c>
      <c r="AM26" s="142">
        <f>Tabella34[[#This Row],[sel. region cumul. fit]]/Kl</f>
        <v>0</v>
      </c>
      <c r="AN26" s="143">
        <f>Tabella3[[#This Row],[region fit]]</f>
        <v>2.0485495838279371</v>
      </c>
      <c r="AO26" s="183" t="e">
        <f>Tabella34[[#This Row],[sel. region velocity]]/Tabella34[[#This Row],[sel. region cumul. fit]]</f>
        <v>#DIV/0!</v>
      </c>
      <c r="AP26" s="236" t="e">
        <f>(LN(Tabella34[[#This Row],[Day]]-pr)-phi_r)/psi_r</f>
        <v>#NUM!</v>
      </c>
      <c r="AQ26" s="244">
        <f>EXP(phi_r+psi_r*Tabella34[[#This Row],[x_r_alpha©+plus]])-(Tabella34[[#This Row],[Day]]-pr)</f>
        <v>60.044543178694717</v>
      </c>
      <c r="AR26" s="244">
        <f>EXP(phi_r+psi_r*Tabella34[[#This Row],[x_r_alpha©-minus]])-(Tabella34[[#This Row],[Day]]-pr)</f>
        <v>59.17727542349197</v>
      </c>
      <c r="AS26" s="244">
        <f>-psi_r+SQRT(psi_r^2-2*Tabella34[[#This Row],[c_r]])</f>
        <v>4.5587052701663771</v>
      </c>
      <c r="AT26" s="244">
        <f>-psi_r-SQRT(psi_r^2-2*Tabella34[[#This Row],[c_r]])</f>
        <v>-4.615113508585039</v>
      </c>
      <c r="AU26" s="244">
        <f>phi_r-LN(alpha*Kr/(Tabella34[[#This Row],[sel. region velocity]]*psi_r*SQRTPI(2)))</f>
        <v>-10.519471137001329</v>
      </c>
      <c r="AV26" s="244">
        <f>(ACOSH(SQRT(alpha*Kl*psi_l/(Tabella34[[#This Row],[sel. region velocity]]*(1+TANH(phi_l)))))+phi_l)/psi_l-(Tabella34[[#This Row],[Day]]-pl)</f>
        <v>210.46333993019823</v>
      </c>
      <c r="AW26" s="72">
        <f>-2*$BY$22*TANH($BY$22*(Tabella34[[#This Row],[Day]]-$BY$31)-$BY$21)*Tabella34[[#This Row],[sel. region velocity]]</f>
        <v>0.11469292556212421</v>
      </c>
      <c r="AX26" s="143">
        <f>Tabella34[[#This Row],[sel. region acc. fit]]/y_l_peak</f>
        <v>8.3231877544340986E-4</v>
      </c>
      <c r="AY26" s="143">
        <f>Tabella34[[#This Row],[sel. region acc. fit]]*NOT(ISBLANK(Tabella34[[#This Row],[selected region rate data]]))</f>
        <v>0</v>
      </c>
      <c r="AZ26" s="77">
        <f>Tabella34[[#This Row],[sel. region acc. fit]]+CIl</f>
        <v>53.87953333511058</v>
      </c>
      <c r="BA26" s="77">
        <f>MAX(Tabella34[[#This Row],[sel. region acc. fit]]-CIl,0)</f>
        <v>0</v>
      </c>
      <c r="BB26" s="141"/>
      <c r="BC26" s="33"/>
      <c r="BD26" s="33"/>
      <c r="BE26" s="142">
        <f>Tabella34[[#This Row],[rest of Italy rate data]]*NOT(ISBLANK(Tabella34[[#This Row],[rest of Italy rate data]]))</f>
        <v>0</v>
      </c>
      <c r="BF26" s="188">
        <f>Tabella8[[#This Row],[rest of Italy fit]]</f>
        <v>0</v>
      </c>
      <c r="BG26" s="78">
        <f>(ATANH(alpha*Tabella34[[#This Row],[rest of Italy cumul. fit]]/Ka-(1-alpha*Tabella34[[#This Row],[rest of Italy cumul. fit]]/Ka)*TANH(phi_a))+phi_a)/psi_a-(Tabella34[[#This Row],[Day]]-pa)</f>
        <v>50.695444456084331</v>
      </c>
      <c r="BH26" s="143">
        <f>Tabella34[[#This Row],[rest of Italy cumul. fit]]/Ka</f>
        <v>0</v>
      </c>
      <c r="BI26" s="143">
        <f>Tabella3[[#This Row],[rest of Italy fit]]</f>
        <v>76.014938641963511</v>
      </c>
      <c r="BJ26" s="183" t="e">
        <f>Tabella34[[#This Row],[rest of Italy velocity]]/Tabella34[[#This Row],[rest of Italy cumul. fit]]</f>
        <v>#DIV/0!</v>
      </c>
      <c r="BK26" s="236" t="e">
        <f>(LN(Tabella34[[#This Row],[Day]]-po)-phi_o)/psi_o</f>
        <v>#NUM!</v>
      </c>
      <c r="BL26" s="244">
        <f>EXP(phi_o+psi_o*Tabella34[[#This Row],[x_o_alpha©+plus]])-(Tabella34[[#This Row],[Day]]-po)</f>
        <v>54.622329239913249</v>
      </c>
      <c r="BM26" s="244">
        <f>EXP(phi_o+psi_o*Tabella34[[#This Row],[x_o_alpha©-minus]])-(Tabella34[[#This Row],[Day]]-po)</f>
        <v>53.843087920436574</v>
      </c>
      <c r="BN26" s="244">
        <f>-psi_o+SQRT(psi_o^2-2*Tabella34[[#This Row],[c_o]])</f>
        <v>4.4871225619462756</v>
      </c>
      <c r="BO26" s="244">
        <f>-psi_o-SQRT(psi_o^2-2*Tabella34[[#This Row],[c_o]])</f>
        <v>-4.536149647515904</v>
      </c>
      <c r="BP26" s="244">
        <f>phi_o-LN(alpha*Ko/(Tabella34[[#This Row],[rest of Italy velocity]]*psi_o*SQRTPI(2)))</f>
        <v>-10.177129713866631</v>
      </c>
      <c r="BQ26" s="244">
        <f>(ACOSH(SQRT(alpha*Ka*psi_a/(Tabella34[[#This Row],[rest of Italy velocity]]*(1+TANH(phi_a)))))+phi_a)/psi_a-(Tabella34[[#This Row],[Day]]-pa)</f>
        <v>218.29143957263682</v>
      </c>
      <c r="BR26" s="72">
        <f>-2*$BY$35*TANH($BY$35*(Tabella34[[#This Row],[Day]]-$BY$44)-$BY$34)*Tabella34[[#This Row],[rest of Italy velocity]]</f>
        <v>3.6769622518289045</v>
      </c>
      <c r="BS26" s="143">
        <f>Tabella34[[#This Row],[rest of Italy acc. fit]]/y_a_peak</f>
        <v>1.2848464138642253E-3</v>
      </c>
      <c r="BT26" s="142">
        <f>Tabella34[[#This Row],[rest of Italy acc. fit]]*NOT(ISBLANK(Tabella34[[#This Row],[rest of Italy rate data]]))</f>
        <v>0</v>
      </c>
      <c r="BU26" s="77">
        <f>Tabella34[[#This Row],[rest of Italy acc. fit]]+CIa</f>
        <v>1698.2511571614116</v>
      </c>
      <c r="BV26" s="77">
        <f>MAX(Tabella34[[#This Row],[rest of Italy acc. fit]]-CIa,0)</f>
        <v>0</v>
      </c>
      <c r="BW26" s="1"/>
      <c r="BX26" s="213" t="s">
        <v>4357</v>
      </c>
      <c r="BY26" s="216" cm="1">
        <f t="array" ref="BY26">1-SUM((Tabella34[Colonna3]-Tabella34[Colonna32])^2)/SUM((Tabella34[Colonna3]-Mean_of_yl)^2)</f>
        <v>0.15458141948251336</v>
      </c>
      <c r="CL26" s="45"/>
    </row>
    <row r="27" spans="2:90" ht="15" thickBot="1" x14ac:dyDescent="0.35">
      <c r="B27" s="262">
        <v>43850</v>
      </c>
      <c r="C27" s="4">
        <v>20</v>
      </c>
      <c r="D27" s="141"/>
      <c r="E27" s="144"/>
      <c r="F27" s="144"/>
      <c r="G27" s="142">
        <f>Tabella34[[#This Row],[Italy rate data]]*NOT(ISBLANK(Tabella34[[#This Row],[Italy rate data]]))</f>
        <v>0</v>
      </c>
      <c r="H27" s="143">
        <f>Tabella8[[#This Row],[Italy fit]]</f>
        <v>0</v>
      </c>
      <c r="I27" s="143">
        <f>(ATANH(alpha*Tabella34[[#This Row],[Italy cumul. Fit]]/Kf-(1-alpha*Tabella34[[#This Row],[Italy cumul. Fit]]/Kf)*TANH(phi_f))+phi_f)/psi_f-(Tabella34[[#This Row],[Day]]-pf)</f>
        <v>49.844294912230211</v>
      </c>
      <c r="J27" s="143">
        <f>Tabella34[[#This Row],[Italy d.t.]]/Italy_dt_at_lockdown</f>
        <v>45.205632038541054</v>
      </c>
      <c r="K27" s="143">
        <f>Tabella34[[#This Row],[Italy cumul. Fit]]/Kf</f>
        <v>0</v>
      </c>
      <c r="L27" s="146">
        <f>Tabella34[[#This Row],[sel. region acc. fit]]+Tabella34[[#This Row],[rest of Italy acc. fit]]</f>
        <v>3.9777658481405185</v>
      </c>
      <c r="M27" s="143">
        <f>Tabella34[[#This Row],[Italy (fit of selected region + fitted sum of the other regions)]]/(y_l_peak+y_a_peak)</f>
        <v>1.3261029411560151E-3</v>
      </c>
      <c r="N27" s="143">
        <f>Tabella3[[#This Row],[Italy remov. rate fit]]</f>
        <v>81.076376795698479</v>
      </c>
      <c r="O27" s="143" t="e">
        <f>Kt*EXP(-0.5*Tabella34[[#This Row],[x_t]]^2)/(psi_t*SQRTPI(2)*(Tabella34[[#This Row],[Day]]-D_bk))</f>
        <v>#NUM!</v>
      </c>
      <c r="P27" s="183" t="e">
        <f>Tabella34[[#This Row],[Italy velocity]]/Tabella34[[#This Row],[Italy cumul. Fit]]</f>
        <v>#DIV/0!</v>
      </c>
      <c r="Q27" s="244" t="e">
        <f>(LN(Tabella34[[#This Row],[Day]]-D_bk)-phi_t)/psi_t</f>
        <v>#NUM!</v>
      </c>
      <c r="R27" s="244">
        <f>EXP(phi_t+psi_t*Tabella34[[#This Row],[x_t_alpha©+plus]])-(Tabella34[[#This Row],[Day]]-D_bk)</f>
        <v>53.786326663766026</v>
      </c>
      <c r="S27" s="244">
        <f>EXP(phi_t+psi_t*Tabella34[[#This Row],[x_t_alpha©-minus]])-(Tabella34[[#This Row],[Day]]-D_bk)</f>
        <v>53.000061500874679</v>
      </c>
      <c r="T27" s="244">
        <f>-psi_t+SQRT(psi_t^2-2*Tabella34[[#This Row],[c_t]])</f>
        <v>4.479302524735532</v>
      </c>
      <c r="U27" s="244">
        <f>-psi_t-SQRT(psi_t^2-2*Tabella34[[#This Row],[c_t]])</f>
        <v>-4.5286952591553362</v>
      </c>
      <c r="V27" s="244">
        <f>phi_t-LN(alpha*Kt/(Tabella34[[#This Row],[Italy velocity]]*psi_t*SQRTPI(2)))</f>
        <v>-10.142698054046166</v>
      </c>
      <c r="W27" s="244" t="e">
        <f>Tabella34[[#This Row],[Italy g.r.]]/Italy_gr_at_lockdown</f>
        <v>#DIV/0!</v>
      </c>
      <c r="X27" s="244">
        <f>(ACOSH(SQRT(alpha*Kf*psi_f/(Tabella34[[#This Row],[Italy velocity]]*(1+TANH(phi_f)))))+phi_f)/psi_f-(Tabella34[[#This Row],[Day]]-pf)</f>
        <v>215.98706864950026</v>
      </c>
      <c r="Y27" s="244">
        <f>Tabella34[[#This Row],[Italy h.t.]]/Italy_ht_at_lockdown</f>
        <v>1.8683419559578376</v>
      </c>
      <c r="Z27" s="72">
        <f>-2*$BY$48*TANH($BY$48*(Tabella34[[#This Row],[Day]]-$BY$57)-$BY$47)*Tabella34[[#This Row],[Italy velocity]]</f>
        <v>3.9501261543999817</v>
      </c>
      <c r="AA27" s="72">
        <f>Tabella34[[#This Row],[Italy acc. fit]]/Itali_acc_at_lockdown</f>
        <v>0.10939581225390588</v>
      </c>
      <c r="AB27" s="143">
        <f>Tabella34[[#This Row],[Italy acc. fit]]/y_f_peak</f>
        <v>1.3160919060965566E-3</v>
      </c>
      <c r="AC27" s="143">
        <f>Tabella34[[#This Row],[Italy (fit of selected region + fitted sum of the other regions)]]*NOT(ISBLANK(Tabella34[[#This Row],[Italy rate data]]))</f>
        <v>0</v>
      </c>
      <c r="AD27" s="143">
        <f>Tabella34[[#This Row],[Italy acc. fit]]*NOT(ISBLANK(Tabella34[[#This Row],[Italy rate data]]))</f>
        <v>0</v>
      </c>
      <c r="AE27" s="77">
        <f>Tabella34[[#This Row],[Italy acc. fit]]+CIf</f>
        <v>1719.5649854889512</v>
      </c>
      <c r="AF27" s="77">
        <f>MAX(Tabella34[[#This Row],[Italy acc. fit]]-CIf,0)</f>
        <v>0</v>
      </c>
      <c r="AG27" s="141"/>
      <c r="AH27" s="33"/>
      <c r="AI27" s="33"/>
      <c r="AJ27" s="142">
        <f>Tabella34[[#This Row],[selected region rate data]]*NOT(ISBLANK(Tabella34[[#This Row],[selected region rate data]]))</f>
        <v>0</v>
      </c>
      <c r="AK27" s="147">
        <f>Tabella8[[#This Row],[region fit]]</f>
        <v>0</v>
      </c>
      <c r="AL27" s="143">
        <f>(ATANH(alpha*Tabella34[[#This Row],[sel. region cumul. fit]]/Kl-(1-alpha*Tabella34[[#This Row],[sel. region cumul. fit]]/Kl)*TANH(phi_l))+phi_l)/psi_l-(Tabella34[[#This Row],[Day]]-pl)</f>
        <v>55.240334693239106</v>
      </c>
      <c r="AM27" s="142">
        <f>Tabella34[[#This Row],[sel. region cumul. fit]]/Kl</f>
        <v>0</v>
      </c>
      <c r="AN27" s="143">
        <f>Tabella3[[#This Row],[region fit]]</f>
        <v>2.166487849840685</v>
      </c>
      <c r="AO27" s="183" t="e">
        <f>Tabella34[[#This Row],[sel. region velocity]]/Tabella34[[#This Row],[sel. region cumul. fit]]</f>
        <v>#DIV/0!</v>
      </c>
      <c r="AP27" s="236" t="e">
        <f>(LN(Tabella34[[#This Row],[Day]]-pr)-phi_r)/psi_r</f>
        <v>#NUM!</v>
      </c>
      <c r="AQ27" s="244">
        <f>EXP(phi_r+psi_r*Tabella34[[#This Row],[x_r_alpha©+plus]])-(Tabella34[[#This Row],[Day]]-pr)</f>
        <v>59.043232315424966</v>
      </c>
      <c r="AR27" s="244">
        <f>EXP(phi_r+psi_r*Tabella34[[#This Row],[x_r_alpha©-minus]])-(Tabella34[[#This Row],[Day]]-pr)</f>
        <v>58.178287790405626</v>
      </c>
      <c r="AS27" s="244">
        <f>-psi_r+SQRT(psi_r^2-2*Tabella34[[#This Row],[c_r]])</f>
        <v>4.5464857154882257</v>
      </c>
      <c r="AT27" s="244">
        <f>-psi_r-SQRT(psi_r^2-2*Tabella34[[#This Row],[c_r]])</f>
        <v>-4.6028939539068876</v>
      </c>
      <c r="AU27" s="244">
        <f>phi_r-LN(alpha*Kr/(Tabella34[[#This Row],[sel. region velocity]]*psi_r*SQRTPI(2)))</f>
        <v>-10.463495805672393</v>
      </c>
      <c r="AV27" s="244">
        <f>(ACOSH(SQRT(alpha*Kl*psi_l/(Tabella34[[#This Row],[sel. region velocity]]*(1+TANH(phi_l)))))+phi_l)/psi_l-(Tabella34[[#This Row],[Day]]-pl)</f>
        <v>208.46719937620179</v>
      </c>
      <c r="AW27" s="72">
        <f>-2*$BY$22*TANH($BY$22*(Tabella34[[#This Row],[Day]]-$BY$31)-$BY$21)*Tabella34[[#This Row],[sel. region velocity]]</f>
        <v>0.12124327862342667</v>
      </c>
      <c r="AX27" s="143">
        <f>Tabella34[[#This Row],[sel. region acc. fit]]/y_l_peak</f>
        <v>8.7985424297102254E-4</v>
      </c>
      <c r="AY27" s="143">
        <f>Tabella34[[#This Row],[sel. region acc. fit]]*NOT(ISBLANK(Tabella34[[#This Row],[selected region rate data]]))</f>
        <v>0</v>
      </c>
      <c r="AZ27" s="77">
        <f>Tabella34[[#This Row],[sel. region acc. fit]]+CIl</f>
        <v>53.88608368817188</v>
      </c>
      <c r="BA27" s="77">
        <f>MAX(Tabella34[[#This Row],[sel. region acc. fit]]-CIl,0)</f>
        <v>0</v>
      </c>
      <c r="BB27" s="141"/>
      <c r="BC27" s="33"/>
      <c r="BD27" s="33"/>
      <c r="BE27" s="142">
        <f>Tabella34[[#This Row],[rest of Italy rate data]]*NOT(ISBLANK(Tabella34[[#This Row],[rest of Italy rate data]]))</f>
        <v>0</v>
      </c>
      <c r="BF27" s="188">
        <f>Tabella8[[#This Row],[rest of Italy fit]]</f>
        <v>0</v>
      </c>
      <c r="BG27" s="78">
        <f>(ATANH(alpha*Tabella34[[#This Row],[rest of Italy cumul. fit]]/Ka-(1-alpha*Tabella34[[#This Row],[rest of Italy cumul. fit]]/Ka)*TANH(phi_a))+phi_a)/psi_a-(Tabella34[[#This Row],[Day]]-pa)</f>
        <v>49.695444456084331</v>
      </c>
      <c r="BH27" s="143">
        <f>Tabella34[[#This Row],[rest of Italy cumul. fit]]/Ka</f>
        <v>0</v>
      </c>
      <c r="BI27" s="143">
        <f>Tabella3[[#This Row],[rest of Italy fit]]</f>
        <v>79.780988314775087</v>
      </c>
      <c r="BJ27" s="183" t="e">
        <f>Tabella34[[#This Row],[rest of Italy velocity]]/Tabella34[[#This Row],[rest of Italy cumul. fit]]</f>
        <v>#DIV/0!</v>
      </c>
      <c r="BK27" s="236" t="e">
        <f>(LN(Tabella34[[#This Row],[Day]]-po)-phi_o)/psi_o</f>
        <v>#NUM!</v>
      </c>
      <c r="BL27" s="244">
        <f>EXP(phi_o+psi_o*Tabella34[[#This Row],[x_o_alpha©+plus]])-(Tabella34[[#This Row],[Day]]-po)</f>
        <v>53.621296420503583</v>
      </c>
      <c r="BM27" s="244">
        <f>EXP(phi_o+psi_o*Tabella34[[#This Row],[x_o_alpha©-minus]])-(Tabella34[[#This Row],[Day]]-po)</f>
        <v>52.843916007510195</v>
      </c>
      <c r="BN27" s="244">
        <f>-psi_o+SQRT(psi_o^2-2*Tabella34[[#This Row],[c_o]])</f>
        <v>4.4763918813278805</v>
      </c>
      <c r="BO27" s="244">
        <f>-psi_o-SQRT(psi_o^2-2*Tabella34[[#This Row],[c_o]])</f>
        <v>-4.5254189668975089</v>
      </c>
      <c r="BP27" s="244">
        <f>phi_o-LN(alpha*Ko/(Tabella34[[#This Row],[rest of Italy velocity]]*psi_o*SQRTPI(2)))</f>
        <v>-10.128774361513608</v>
      </c>
      <c r="BQ27" s="244">
        <f>(ACOSH(SQRT(alpha*Ka*psi_a/(Tabella34[[#This Row],[rest of Italy velocity]]*(1+TANH(phi_a)))))+phi_a)/psi_a-(Tabella34[[#This Row],[Day]]-pa)</f>
        <v>216.29836110100371</v>
      </c>
      <c r="BR27" s="72">
        <f>-2*$BY$35*TANH($BY$35*(Tabella34[[#This Row],[Day]]-$BY$44)-$BY$34)*Tabella34[[#This Row],[rest of Italy velocity]]</f>
        <v>3.8565225695170917</v>
      </c>
      <c r="BS27" s="143">
        <f>Tabella34[[#This Row],[rest of Italy acc. fit]]/y_a_peak</f>
        <v>1.3475904439774623E-3</v>
      </c>
      <c r="BT27" s="142">
        <f>Tabella34[[#This Row],[rest of Italy acc. fit]]*NOT(ISBLANK(Tabella34[[#This Row],[rest of Italy rate data]]))</f>
        <v>0</v>
      </c>
      <c r="BU27" s="77">
        <f>Tabella34[[#This Row],[rest of Italy acc. fit]]+CIa</f>
        <v>1698.4307174790997</v>
      </c>
      <c r="BV27" s="77">
        <f>MAX(Tabella34[[#This Row],[rest of Italy acc. fit]]-CIa,0)</f>
        <v>0</v>
      </c>
      <c r="BW27" s="1"/>
      <c r="BX27" s="213" t="s">
        <v>5</v>
      </c>
      <c r="BY27" s="216">
        <f>TINV(0.05,dfl)</f>
        <v>1.991672609644662</v>
      </c>
      <c r="CL27" s="125"/>
    </row>
    <row r="28" spans="2:90" x14ac:dyDescent="0.3">
      <c r="B28" s="262">
        <v>43851</v>
      </c>
      <c r="C28" s="4">
        <v>21</v>
      </c>
      <c r="D28" s="141"/>
      <c r="E28" s="144"/>
      <c r="F28" s="144"/>
      <c r="G28" s="142">
        <f>Tabella34[[#This Row],[Italy rate data]]*NOT(ISBLANK(Tabella34[[#This Row],[Italy rate data]]))</f>
        <v>0</v>
      </c>
      <c r="H28" s="143">
        <f>Tabella8[[#This Row],[Italy fit]]</f>
        <v>0</v>
      </c>
      <c r="I28" s="143">
        <f>(ATANH(alpha*Tabella34[[#This Row],[Italy cumul. Fit]]/Kf-(1-alpha*Tabella34[[#This Row],[Italy cumul. Fit]]/Kf)*TANH(phi_f))+phi_f)/psi_f-(Tabella34[[#This Row],[Day]]-pf)</f>
        <v>48.844294912230211</v>
      </c>
      <c r="J28" s="143">
        <f>Tabella34[[#This Row],[Italy d.t.]]/Italy_dt_at_lockdown</f>
        <v>44.298695103869939</v>
      </c>
      <c r="K28" s="143">
        <f>Tabella34[[#This Row],[Italy cumul. Fit]]/Kf</f>
        <v>0</v>
      </c>
      <c r="L28" s="146">
        <f>Tabella34[[#This Row],[sel. region acc. fit]]+Tabella34[[#This Row],[rest of Italy acc. fit]]</f>
        <v>4.172739781362262</v>
      </c>
      <c r="M28" s="143">
        <f>Tabella34[[#This Row],[Italy (fit of selected region + fitted sum of the other regions)]]/(y_l_peak+y_a_peak)</f>
        <v>1.3911031237120036E-3</v>
      </c>
      <c r="N28" s="143">
        <f>Tabella3[[#This Row],[Italy remov. rate fit]]</f>
        <v>85.122886583172743</v>
      </c>
      <c r="O28" s="143" t="e">
        <f>Kt*EXP(-0.5*Tabella34[[#This Row],[x_t]]^2)/(psi_t*SQRTPI(2)*(Tabella34[[#This Row],[Day]]-D_bk))</f>
        <v>#NUM!</v>
      </c>
      <c r="P28" s="183" t="e">
        <f>Tabella34[[#This Row],[Italy velocity]]/Tabella34[[#This Row],[Italy cumul. Fit]]</f>
        <v>#DIV/0!</v>
      </c>
      <c r="Q28" s="244" t="e">
        <f>(LN(Tabella34[[#This Row],[Day]]-D_bk)-phi_t)/psi_t</f>
        <v>#NUM!</v>
      </c>
      <c r="R28" s="244">
        <f>EXP(phi_t+psi_t*Tabella34[[#This Row],[x_t_alpha©+plus]])-(Tabella34[[#This Row],[Day]]-D_bk)</f>
        <v>52.785272795133906</v>
      </c>
      <c r="S28" s="244">
        <f>EXP(phi_t+psi_t*Tabella34[[#This Row],[x_t_alpha©-minus]])-(Tabella34[[#This Row],[Day]]-D_bk)</f>
        <v>52.000905393816197</v>
      </c>
      <c r="T28" s="244">
        <f>-psi_t+SQRT(psi_t^2-2*Tabella34[[#This Row],[c_t]])</f>
        <v>4.4684759433478058</v>
      </c>
      <c r="U28" s="244">
        <f>-psi_t-SQRT(psi_t^2-2*Tabella34[[#This Row],[c_t]])</f>
        <v>-4.51786867776761</v>
      </c>
      <c r="V28" s="244">
        <f>phi_t-LN(alpha*Kt/(Tabella34[[#This Row],[Italy velocity]]*psi_t*SQRTPI(2)))</f>
        <v>-10.093993750904563</v>
      </c>
      <c r="W28" s="244" t="e">
        <f>Tabella34[[#This Row],[Italy g.r.]]/Italy_gr_at_lockdown</f>
        <v>#DIV/0!</v>
      </c>
      <c r="X28" s="244">
        <f>(ACOSH(SQRT(alpha*Kf*psi_f/(Tabella34[[#This Row],[Italy velocity]]*(1+TANH(phi_f)))))+phi_f)/psi_f-(Tabella34[[#This Row],[Day]]-pf)</f>
        <v>213.99411097589422</v>
      </c>
      <c r="Y28" s="244">
        <f>Tabella34[[#This Row],[Italy h.t.]]/Italy_ht_at_lockdown</f>
        <v>1.8511023755453233</v>
      </c>
      <c r="Z28" s="72">
        <f>-2*$BY$48*TANH($BY$48*(Tabella34[[#This Row],[Day]]-$BY$57)-$BY$47)*Tabella34[[#This Row],[Italy velocity]]</f>
        <v>4.1444020565808222</v>
      </c>
      <c r="AA28" s="72">
        <f>Tabella34[[#This Row],[Italy acc. fit]]/Itali_acc_at_lockdown</f>
        <v>0.11477613918264461</v>
      </c>
      <c r="AB28" s="143">
        <f>Tabella34[[#This Row],[Italy acc. fit]]/y_f_peak</f>
        <v>1.3808202039826906E-3</v>
      </c>
      <c r="AC28" s="143">
        <f>Tabella34[[#This Row],[Italy (fit of selected region + fitted sum of the other regions)]]*NOT(ISBLANK(Tabella34[[#This Row],[Italy rate data]]))</f>
        <v>0</v>
      </c>
      <c r="AD28" s="143">
        <f>Tabella34[[#This Row],[Italy acc. fit]]*NOT(ISBLANK(Tabella34[[#This Row],[Italy rate data]]))</f>
        <v>0</v>
      </c>
      <c r="AE28" s="77">
        <f>Tabella34[[#This Row],[Italy acc. fit]]+CIf</f>
        <v>1719.7592613911322</v>
      </c>
      <c r="AF28" s="77">
        <f>MAX(Tabella34[[#This Row],[Italy acc. fit]]-CIf,0)</f>
        <v>0</v>
      </c>
      <c r="AG28" s="141"/>
      <c r="AH28" s="33"/>
      <c r="AI28" s="33"/>
      <c r="AJ28" s="142">
        <f>Tabella34[[#This Row],[selected region rate data]]*NOT(ISBLANK(Tabella34[[#This Row],[selected region rate data]]))</f>
        <v>0</v>
      </c>
      <c r="AK28" s="147">
        <f>Tabella8[[#This Row],[region fit]]</f>
        <v>0</v>
      </c>
      <c r="AL28" s="143">
        <f>(ATANH(alpha*Tabella34[[#This Row],[sel. region cumul. fit]]/Kl-(1-alpha*Tabella34[[#This Row],[sel. region cumul. fit]]/Kl)*TANH(phi_l))+phi_l)/psi_l-(Tabella34[[#This Row],[Day]]-pl)</f>
        <v>54.240334693239106</v>
      </c>
      <c r="AM28" s="142">
        <f>Tabella34[[#This Row],[sel. region cumul. fit]]/Kl</f>
        <v>0</v>
      </c>
      <c r="AN28" s="143">
        <f>Tabella3[[#This Row],[region fit]]</f>
        <v>2.2911586857584583</v>
      </c>
      <c r="AO28" s="183" t="e">
        <f>Tabella34[[#This Row],[sel. region velocity]]/Tabella34[[#This Row],[sel. region cumul. fit]]</f>
        <v>#DIV/0!</v>
      </c>
      <c r="AP28" s="236" t="e">
        <f>(LN(Tabella34[[#This Row],[Day]]-pr)-phi_r)/psi_r</f>
        <v>#NUM!</v>
      </c>
      <c r="AQ28" s="244">
        <f>EXP(phi_r+psi_r*Tabella34[[#This Row],[x_r_alpha©+plus]])-(Tabella34[[#This Row],[Day]]-pr)</f>
        <v>58.041918982777716</v>
      </c>
      <c r="AR28" s="244">
        <f>EXP(phi_r+psi_r*Tabella34[[#This Row],[x_r_alpha©-minus]])-(Tabella34[[#This Row],[Day]]-pr)</f>
        <v>57.179302764538704</v>
      </c>
      <c r="AS28" s="244">
        <f>-psi_r+SQRT(psi_r^2-2*Tabella34[[#This Row],[c_r]])</f>
        <v>4.5342389171277615</v>
      </c>
      <c r="AT28" s="244">
        <f>-psi_r-SQRT(psi_r^2-2*Tabella34[[#This Row],[c_r]])</f>
        <v>-4.5906471555464234</v>
      </c>
      <c r="AU28" s="244">
        <f>phi_r-LN(alpha*Kr/(Tabella34[[#This Row],[sel. region velocity]]*psi_r*SQRTPI(2)))</f>
        <v>-10.407545493740225</v>
      </c>
      <c r="AV28" s="244">
        <f>(ACOSH(SQRT(alpha*Kl*psi_l/(Tabella34[[#This Row],[sel. region velocity]]*(1+TANH(phi_l)))))+phi_l)/psi_l-(Tabella34[[#This Row],[Day]]-pl)</f>
        <v>206.47128323602374</v>
      </c>
      <c r="AW28" s="72">
        <f>-2*$BY$22*TANH($BY$22*(Tabella34[[#This Row],[Day]]-$BY$31)-$BY$21)*Tabella34[[#This Row],[sel. region velocity]]</f>
        <v>0.12816129723154474</v>
      </c>
      <c r="AX28" s="143">
        <f>Tabella34[[#This Row],[sel. region acc. fit]]/y_l_peak</f>
        <v>9.300578344147223E-4</v>
      </c>
      <c r="AY28" s="143">
        <f>Tabella34[[#This Row],[sel. region acc. fit]]*NOT(ISBLANK(Tabella34[[#This Row],[selected region rate data]]))</f>
        <v>0</v>
      </c>
      <c r="AZ28" s="77">
        <f>Tabella34[[#This Row],[sel. region acc. fit]]+CIl</f>
        <v>53.893001706779998</v>
      </c>
      <c r="BA28" s="77">
        <f>MAX(Tabella34[[#This Row],[sel. region acc. fit]]-CIl,0)</f>
        <v>0</v>
      </c>
      <c r="BB28" s="141"/>
      <c r="BC28" s="33"/>
      <c r="BD28" s="33"/>
      <c r="BE28" s="142">
        <f>Tabella34[[#This Row],[rest of Italy rate data]]*NOT(ISBLANK(Tabella34[[#This Row],[rest of Italy rate data]]))</f>
        <v>0</v>
      </c>
      <c r="BF28" s="188">
        <f>Tabella8[[#This Row],[rest of Italy fit]]</f>
        <v>0</v>
      </c>
      <c r="BG28" s="78">
        <f>(ATANH(alpha*Tabella34[[#This Row],[rest of Italy cumul. fit]]/Ka-(1-alpha*Tabella34[[#This Row],[rest of Italy cumul. fit]]/Ka)*TANH(phi_a))+phi_a)/psi_a-(Tabella34[[#This Row],[Day]]-pa)</f>
        <v>48.695444456084331</v>
      </c>
      <c r="BH28" s="143">
        <f>Tabella34[[#This Row],[rest of Italy cumul. fit]]/Ka</f>
        <v>0</v>
      </c>
      <c r="BI28" s="143">
        <f>Tabella3[[#This Row],[rest of Italy fit]]</f>
        <v>83.730815498281373</v>
      </c>
      <c r="BJ28" s="183" t="e">
        <f>Tabella34[[#This Row],[rest of Italy velocity]]/Tabella34[[#This Row],[rest of Italy cumul. fit]]</f>
        <v>#DIV/0!</v>
      </c>
      <c r="BK28" s="236" t="e">
        <f>(LN(Tabella34[[#This Row],[Day]]-po)-phi_o)/psi_o</f>
        <v>#NUM!</v>
      </c>
      <c r="BL28" s="244">
        <f>EXP(phi_o+psi_o*Tabella34[[#This Row],[x_o_alpha©+plus]])-(Tabella34[[#This Row],[Day]]-po)</f>
        <v>52.620262123504332</v>
      </c>
      <c r="BM28" s="244">
        <f>EXP(phi_o+psi_o*Tabella34[[#This Row],[x_o_alpha©-minus]])-(Tabella34[[#This Row],[Day]]-po)</f>
        <v>51.844745716035227</v>
      </c>
      <c r="BN28" s="244">
        <f>-psi_o+SQRT(psi_o^2-2*Tabella34[[#This Row],[c_o]])</f>
        <v>4.4656430195230215</v>
      </c>
      <c r="BO28" s="244">
        <f>-psi_o-SQRT(psi_o^2-2*Tabella34[[#This Row],[c_o]])</f>
        <v>-4.5146701050926499</v>
      </c>
      <c r="BP28" s="244">
        <f>phi_o-LN(alpha*Ko/(Tabella34[[#This Row],[rest of Italy velocity]]*psi_o*SQRTPI(2)))</f>
        <v>-10.08045252012813</v>
      </c>
      <c r="BQ28" s="244">
        <f>(ACOSH(SQRT(alpha*Ka*psi_a/(Tabella34[[#This Row],[rest of Italy velocity]]*(1+TANH(phi_a)))))+phi_a)/psi_a-(Tabella34[[#This Row],[Day]]-pa)</f>
        <v>214.30563166570232</v>
      </c>
      <c r="BR28" s="72">
        <f>-2*$BY$35*TANH($BY$35*(Tabella34[[#This Row],[Day]]-$BY$44)-$BY$34)*Tabella34[[#This Row],[rest of Italy velocity]]</f>
        <v>4.0445784841307173</v>
      </c>
      <c r="BS28" s="143">
        <f>Tabella34[[#This Row],[rest of Italy acc. fit]]/y_a_peak</f>
        <v>1.4133031032186856E-3</v>
      </c>
      <c r="BT28" s="142">
        <f>Tabella34[[#This Row],[rest of Italy acc. fit]]*NOT(ISBLANK(Tabella34[[#This Row],[rest of Italy rate data]]))</f>
        <v>0</v>
      </c>
      <c r="BU28" s="77">
        <f>Tabella34[[#This Row],[rest of Italy acc. fit]]+CIa</f>
        <v>1698.6187733937134</v>
      </c>
      <c r="BV28" s="77">
        <f>MAX(Tabella34[[#This Row],[rest of Italy acc. fit]]-CIa,0)</f>
        <v>0</v>
      </c>
      <c r="BW28" s="1"/>
      <c r="BX28" s="213" t="s">
        <v>6</v>
      </c>
      <c r="BY28" s="214">
        <f>Critical_tl*SE_of_yl</f>
        <v>53.764840409548455</v>
      </c>
      <c r="CL28" s="47">
        <f>MAX($BY$39)</f>
        <v>0.15511974028334985</v>
      </c>
    </row>
    <row r="29" spans="2:90" x14ac:dyDescent="0.3">
      <c r="B29" s="262">
        <v>43852</v>
      </c>
      <c r="C29" s="4">
        <v>22</v>
      </c>
      <c r="D29" s="10">
        <f>Tabella8[[#This Row],[Italy cumulative]]</f>
        <v>0</v>
      </c>
      <c r="E29" s="144"/>
      <c r="F29" s="144"/>
      <c r="G29" s="142">
        <f>Tabella34[[#This Row],[Italy rate data]]*NOT(ISBLANK(Tabella34[[#This Row],[Italy rate data]]))</f>
        <v>0</v>
      </c>
      <c r="H29" s="143">
        <f>Tabella8[[#This Row],[Italy fit]]</f>
        <v>0</v>
      </c>
      <c r="I29" s="143">
        <f>(ATANH(alpha*Tabella34[[#This Row],[Italy cumul. Fit]]/Kf-(1-alpha*Tabella34[[#This Row],[Italy cumul. Fit]]/Kf)*TANH(phi_f))+phi_f)/psi_f-(Tabella34[[#This Row],[Day]]-pf)</f>
        <v>47.844294912230211</v>
      </c>
      <c r="J29" s="143">
        <f>Tabella34[[#This Row],[Italy d.t.]]/Italy_dt_at_lockdown</f>
        <v>43.39175816919883</v>
      </c>
      <c r="K29" s="143">
        <f>Tabella34[[#This Row],[Italy cumul. Fit]]/Kf</f>
        <v>0</v>
      </c>
      <c r="L29" s="146">
        <f>Tabella34[[#This Row],[sel. region acc. fit]]+Tabella34[[#This Row],[rest of Italy acc. fit]]</f>
        <v>4.3769708282527491</v>
      </c>
      <c r="M29" s="143">
        <f>Tabella34[[#This Row],[Italy (fit of selected region + fitted sum of the other regions)]]/(y_l_peak+y_a_peak)</f>
        <v>1.4591894320308938E-3</v>
      </c>
      <c r="N29" s="143">
        <f>Tabella3[[#This Row],[Italy remov. rate fit]]</f>
        <v>89.368264684490825</v>
      </c>
      <c r="O29" s="143" t="e">
        <f>Kt*EXP(-0.5*Tabella34[[#This Row],[x_t]]^2)/(psi_t*SQRTPI(2)*(Tabella34[[#This Row],[Day]]-D_bk))</f>
        <v>#NUM!</v>
      </c>
      <c r="P29" s="183" t="e">
        <f>Tabella34[[#This Row],[Italy velocity]]/Tabella34[[#This Row],[Italy cumul. Fit]]</f>
        <v>#DIV/0!</v>
      </c>
      <c r="Q29" s="244" t="e">
        <f>(LN(Tabella34[[#This Row],[Day]]-D_bk)-phi_t)/psi_t</f>
        <v>#NUM!</v>
      </c>
      <c r="R29" s="244">
        <f>EXP(phi_t+psi_t*Tabella34[[#This Row],[x_t_alpha©+plus]])-(Tabella34[[#This Row],[Day]]-D_bk)</f>
        <v>51.784217414900496</v>
      </c>
      <c r="S29" s="244">
        <f>EXP(phi_t+psi_t*Tabella34[[#This Row],[x_t_alpha©-minus]])-(Tabella34[[#This Row],[Day]]-D_bk)</f>
        <v>51.001750949611925</v>
      </c>
      <c r="T29" s="244">
        <f>-psi_t+SQRT(psi_t^2-2*Tabella34[[#This Row],[c_t]])</f>
        <v>4.4576309312200175</v>
      </c>
      <c r="U29" s="244">
        <f>-psi_t-SQRT(psi_t^2-2*Tabella34[[#This Row],[c_t]])</f>
        <v>-4.5070236656398217</v>
      </c>
      <c r="V29" s="244">
        <f>phi_t-LN(alpha*Kt/(Tabella34[[#This Row],[Italy velocity]]*psi_t*SQRTPI(2)))</f>
        <v>-10.04532404984835</v>
      </c>
      <c r="W29" s="244" t="e">
        <f>Tabella34[[#This Row],[Italy g.r.]]/Italy_gr_at_lockdown</f>
        <v>#DIV/0!</v>
      </c>
      <c r="X29" s="244">
        <f>(ACOSH(SQRT(alpha*Kf*psi_f/(Tabella34[[#This Row],[Italy velocity]]*(1+TANH(phi_f)))))+phi_f)/psi_f-(Tabella34[[#This Row],[Day]]-pf)</f>
        <v>212.00151116685225</v>
      </c>
      <c r="Y29" s="244">
        <f>Tabella34[[#This Row],[Italy h.t.]]/Italy_ht_at_lockdown</f>
        <v>1.8338658907504486</v>
      </c>
      <c r="Z29" s="72">
        <f>-2*$BY$48*TANH($BY$48*(Tabella34[[#This Row],[Day]]-$BY$57)-$BY$47)*Tabella34[[#This Row],[Italy velocity]]</f>
        <v>4.3479297729229716</v>
      </c>
      <c r="AA29" s="72">
        <f>Tabella34[[#This Row],[Italy acc. fit]]/Itali_acc_at_lockdown</f>
        <v>0.12041268823833269</v>
      </c>
      <c r="AB29" s="143">
        <f>Tabella34[[#This Row],[Italy acc. fit]]/y_f_peak</f>
        <v>1.4486309952521927E-3</v>
      </c>
      <c r="AC29" s="143">
        <f>Tabella34[[#This Row],[Italy (fit of selected region + fitted sum of the other regions)]]*NOT(ISBLANK(Tabella34[[#This Row],[Italy rate data]]))</f>
        <v>0</v>
      </c>
      <c r="AD29" s="143">
        <f>Tabella34[[#This Row],[Italy acc. fit]]*NOT(ISBLANK(Tabella34[[#This Row],[Italy rate data]]))</f>
        <v>0</v>
      </c>
      <c r="AE29" s="77">
        <f>Tabella34[[#This Row],[Italy acc. fit]]+CIf</f>
        <v>1719.9627891074742</v>
      </c>
      <c r="AF29" s="77">
        <f>MAX(Tabella34[[#This Row],[Italy acc. fit]]-CIf,0)</f>
        <v>0</v>
      </c>
      <c r="AG29" s="141"/>
      <c r="AH29" s="33"/>
      <c r="AI29" s="33"/>
      <c r="AJ29" s="142">
        <f>Tabella34[[#This Row],[selected region rate data]]*NOT(ISBLANK(Tabella34[[#This Row],[selected region rate data]]))</f>
        <v>0</v>
      </c>
      <c r="AK29" s="147">
        <f>Tabella8[[#This Row],[region fit]]</f>
        <v>0</v>
      </c>
      <c r="AL29" s="143">
        <f>(ATANH(alpha*Tabella34[[#This Row],[sel. region cumul. fit]]/Kl-(1-alpha*Tabella34[[#This Row],[sel. region cumul. fit]]/Kl)*TANH(phi_l))+phi_l)/psi_l-(Tabella34[[#This Row],[Day]]-pl)</f>
        <v>53.240334693239106</v>
      </c>
      <c r="AM29" s="142">
        <f>Tabella34[[#This Row],[sel. region cumul. fit]]/Kl</f>
        <v>0</v>
      </c>
      <c r="AN29" s="143">
        <f>Tabella3[[#This Row],[region fit]]</f>
        <v>2.422939612040051</v>
      </c>
      <c r="AO29" s="183" t="e">
        <f>Tabella34[[#This Row],[sel. region velocity]]/Tabella34[[#This Row],[sel. region cumul. fit]]</f>
        <v>#DIV/0!</v>
      </c>
      <c r="AP29" s="236" t="e">
        <f>(LN(Tabella34[[#This Row],[Day]]-pr)-phi_r)/psi_r</f>
        <v>#NUM!</v>
      </c>
      <c r="AQ29" s="244">
        <f>EXP(phi_r+psi_r*Tabella34[[#This Row],[x_r_alpha©+plus]])-(Tabella34[[#This Row],[Day]]-pr)</f>
        <v>57.040603193959811</v>
      </c>
      <c r="AR29" s="244">
        <f>EXP(phi_r+psi_r*Tabella34[[#This Row],[x_r_alpha©-minus]])-(Tabella34[[#This Row],[Day]]-pr)</f>
        <v>56.180320340355692</v>
      </c>
      <c r="AS29" s="244">
        <f>-psi_r+SQRT(psi_r^2-2*Tabella34[[#This Row],[c_r]])</f>
        <v>4.5219649715190675</v>
      </c>
      <c r="AT29" s="244">
        <f>-psi_r-SQRT(psi_r^2-2*Tabella34[[#This Row],[c_r]])</f>
        <v>-4.5783732099377294</v>
      </c>
      <c r="AU29" s="244">
        <f>phi_r-LN(alpha*Kr/(Tabella34[[#This Row],[sel. region velocity]]*psi_r*SQRTPI(2)))</f>
        <v>-10.351621640939864</v>
      </c>
      <c r="AV29" s="244">
        <f>(ACOSH(SQRT(alpha*Kl*psi_l/(Tabella34[[#This Row],[sel. region velocity]]*(1+TANH(phi_l)))))+phi_l)/psi_l-(Tabella34[[#This Row],[Day]]-pl)</f>
        <v>204.47560458603556</v>
      </c>
      <c r="AW29" s="72">
        <f>-2*$BY$22*TANH($BY$22*(Tabella34[[#This Row],[Day]]-$BY$31)-$BY$21)*Tabella34[[#This Row],[sel. region velocity]]</f>
        <v>0.13546685178261539</v>
      </c>
      <c r="AX29" s="143">
        <f>Tabella34[[#This Row],[sel. region acc. fit]]/y_l_peak</f>
        <v>9.8307374789047188E-4</v>
      </c>
      <c r="AY29" s="143">
        <f>Tabella34[[#This Row],[sel. region acc. fit]]*NOT(ISBLANK(Tabella34[[#This Row],[selected region rate data]]))</f>
        <v>0</v>
      </c>
      <c r="AZ29" s="77">
        <f>Tabella34[[#This Row],[sel. region acc. fit]]+CIl</f>
        <v>53.900307261331072</v>
      </c>
      <c r="BA29" s="77">
        <f>MAX(Tabella34[[#This Row],[sel. region acc. fit]]-CIl,0)</f>
        <v>0</v>
      </c>
      <c r="BB29" s="141"/>
      <c r="BC29" s="33"/>
      <c r="BD29" s="33"/>
      <c r="BE29" s="142">
        <f>Tabella34[[#This Row],[rest of Italy rate data]]*NOT(ISBLANK(Tabella34[[#This Row],[rest of Italy rate data]]))</f>
        <v>0</v>
      </c>
      <c r="BF29" s="188">
        <f>Tabella8[[#This Row],[rest of Italy fit]]</f>
        <v>0</v>
      </c>
      <c r="BG29" s="78">
        <f>(ATANH(alpha*Tabella34[[#This Row],[rest of Italy cumul. fit]]/Ka-(1-alpha*Tabella34[[#This Row],[rest of Italy cumul. fit]]/Ka)*TANH(phi_a))+phi_a)/psi_a-(Tabella34[[#This Row],[Day]]-pa)</f>
        <v>47.695444456084331</v>
      </c>
      <c r="BH29" s="143">
        <f>Tabella34[[#This Row],[rest of Italy cumul. fit]]/Ka</f>
        <v>0</v>
      </c>
      <c r="BI29" s="143">
        <f>Tabella3[[#This Row],[rest of Italy fit]]</f>
        <v>87.873101658269192</v>
      </c>
      <c r="BJ29" s="183" t="e">
        <f>Tabella34[[#This Row],[rest of Italy velocity]]/Tabella34[[#This Row],[rest of Italy cumul. fit]]</f>
        <v>#DIV/0!</v>
      </c>
      <c r="BK29" s="236" t="e">
        <f>(LN(Tabella34[[#This Row],[Day]]-po)-phi_o)/psi_o</f>
        <v>#NUM!</v>
      </c>
      <c r="BL29" s="244">
        <f>EXP(phi_o+psi_o*Tabella34[[#This Row],[x_o_alpha©+plus]])-(Tabella34[[#This Row],[Day]]-po)</f>
        <v>51.619226373262336</v>
      </c>
      <c r="BM29" s="244">
        <f>EXP(phi_o+psi_o*Tabella34[[#This Row],[x_o_alpha©-minus]])-(Tabella34[[#This Row],[Day]]-po)</f>
        <v>50.845577028684851</v>
      </c>
      <c r="BN29" s="244">
        <f>-psi_o+SQRT(psi_o^2-2*Tabella34[[#This Row],[c_o]])</f>
        <v>4.4548762160236608</v>
      </c>
      <c r="BO29" s="244">
        <f>-psi_o-SQRT(psi_o^2-2*Tabella34[[#This Row],[c_o]])</f>
        <v>-4.5039033015932892</v>
      </c>
      <c r="BP29" s="244">
        <f>phi_o-LN(alpha*Ko/(Tabella34[[#This Row],[rest of Italy velocity]]*psi_o*SQRTPI(2)))</f>
        <v>-10.032165848769193</v>
      </c>
      <c r="BQ29" s="244">
        <f>(ACOSH(SQRT(alpha*Ka*psi_a/(Tabella34[[#This Row],[rest of Italy velocity]]*(1+TANH(phi_a)))))+phi_a)/psi_a-(Tabella34[[#This Row],[Day]]-pa)</f>
        <v>212.3132689319151</v>
      </c>
      <c r="BR29" s="72">
        <f>-2*$BY$35*TANH($BY$35*(Tabella34[[#This Row],[Day]]-$BY$44)-$BY$34)*Tabella34[[#This Row],[rest of Italy velocity]]</f>
        <v>4.2415039764701339</v>
      </c>
      <c r="BS29" s="143">
        <f>Tabella34[[#This Row],[rest of Italy acc. fit]]/y_a_peak</f>
        <v>1.4821150722577738E-3</v>
      </c>
      <c r="BT29" s="142">
        <f>Tabella34[[#This Row],[rest of Italy acc. fit]]*NOT(ISBLANK(Tabella34[[#This Row],[rest of Italy rate data]]))</f>
        <v>0</v>
      </c>
      <c r="BU29" s="77">
        <f>Tabella34[[#This Row],[rest of Italy acc. fit]]+CIa</f>
        <v>1698.8156988860528</v>
      </c>
      <c r="BV29" s="77">
        <f>MAX(Tabella34[[#This Row],[rest of Italy acc. fit]]-CIa,0)</f>
        <v>0</v>
      </c>
      <c r="BW29" s="1"/>
      <c r="BX29" s="217" t="s">
        <v>299</v>
      </c>
      <c r="BY29" s="218">
        <f>Kl*_xlfn.LOGNORM.DIST(EXP(phi_l-psi_l^2),phi_l,psi_l,FALSE)</f>
        <v>37943.50854149404</v>
      </c>
      <c r="CL29" s="48">
        <f>COUNT($BY$33,$BY$34,$BY$35,$BY$44)</f>
        <v>4</v>
      </c>
    </row>
    <row r="30" spans="2:90" x14ac:dyDescent="0.3">
      <c r="B30" s="262">
        <v>43853</v>
      </c>
      <c r="C30" s="4">
        <v>23</v>
      </c>
      <c r="D30" s="10">
        <f>Tabella8[[#This Row],[Italy cumulative]]</f>
        <v>0</v>
      </c>
      <c r="E30" s="72">
        <f>(Tabella34[[#This Row],[Italy cumul. data]]-D29)</f>
        <v>0</v>
      </c>
      <c r="F30" s="144"/>
      <c r="G30" s="142">
        <f>Tabella34[[#This Row],[Italy rate data]]*NOT(ISBLANK(Tabella34[[#This Row],[Italy rate data]]))</f>
        <v>0</v>
      </c>
      <c r="H30" s="143">
        <f>Tabella8[[#This Row],[Italy fit]]</f>
        <v>0</v>
      </c>
      <c r="I30" s="143">
        <f>(ATANH(alpha*Tabella34[[#This Row],[Italy cumul. Fit]]/Kf-(1-alpha*Tabella34[[#This Row],[Italy cumul. Fit]]/Kf)*TANH(phi_f))+phi_f)/psi_f-(Tabella34[[#This Row],[Day]]-pf)</f>
        <v>46.844294912230211</v>
      </c>
      <c r="J30" s="143">
        <f>Tabella34[[#This Row],[Italy d.t.]]/Italy_dt_at_lockdown</f>
        <v>42.484821234527715</v>
      </c>
      <c r="K30" s="143">
        <f>Tabella34[[#This Row],[Italy cumul. Fit]]/Kf</f>
        <v>0</v>
      </c>
      <c r="L30" s="146">
        <f>Tabella34[[#This Row],[sel. region acc. fit]]+Tabella34[[#This Row],[rest of Italy acc. fit]]</f>
        <v>4.5908673789873413</v>
      </c>
      <c r="M30" s="143">
        <f>Tabella34[[#This Row],[Italy (fit of selected region + fitted sum of the other regions)]]/(y_l_peak+y_a_peak)</f>
        <v>1.5304980147532446E-3</v>
      </c>
      <c r="N30" s="143">
        <f>Tabella3[[#This Row],[Italy remov. rate fit]]</f>
        <v>93.821966333871146</v>
      </c>
      <c r="O30" s="143" t="e">
        <f>Kt*EXP(-0.5*Tabella34[[#This Row],[x_t]]^2)/(psi_t*SQRTPI(2)*(Tabella34[[#This Row],[Day]]-D_bk))</f>
        <v>#NUM!</v>
      </c>
      <c r="P30" s="183" t="e">
        <f>Tabella34[[#This Row],[Italy velocity]]/Tabella34[[#This Row],[Italy cumul. Fit]]</f>
        <v>#DIV/0!</v>
      </c>
      <c r="Q30" s="244" t="e">
        <f>(LN(Tabella34[[#This Row],[Day]]-D_bk)-phi_t)/psi_t</f>
        <v>#NUM!</v>
      </c>
      <c r="R30" s="244">
        <f>EXP(phi_t+psi_t*Tabella34[[#This Row],[x_t_alpha©+plus]])-(Tabella34[[#This Row],[Day]]-D_bk)</f>
        <v>50.783160548928578</v>
      </c>
      <c r="S30" s="244">
        <f>EXP(phi_t+psi_t*Tabella34[[#This Row],[x_t_alpha©-minus]])-(Tabella34[[#This Row],[Day]]-D_bk)</f>
        <v>50.002598149834405</v>
      </c>
      <c r="T30" s="244">
        <f>-psi_t+SQRT(psi_t^2-2*Tabella34[[#This Row],[c_t]])</f>
        <v>4.4467677401863286</v>
      </c>
      <c r="U30" s="244">
        <f>-psi_t-SQRT(psi_t^2-2*Tabella34[[#This Row],[c_t]])</f>
        <v>-4.4961604746061328</v>
      </c>
      <c r="V30" s="244">
        <f>phi_t-LN(alpha*Kt/(Tabella34[[#This Row],[Italy velocity]]*psi_t*SQRTPI(2)))</f>
        <v>-9.9966906765897008</v>
      </c>
      <c r="W30" s="244" t="e">
        <f>Tabella34[[#This Row],[Italy g.r.]]/Italy_gr_at_lockdown</f>
        <v>#DIV/0!</v>
      </c>
      <c r="X30" s="244">
        <f>(ACOSH(SQRT(alpha*Kf*psi_f/(Tabella34[[#This Row],[Italy velocity]]*(1+TANH(phi_f)))))+phi_f)/psi_f-(Tabella34[[#This Row],[Day]]-pf)</f>
        <v>210.00928747508755</v>
      </c>
      <c r="Y30" s="244">
        <f>Tabella34[[#This Row],[Italy h.t.]]/Italy_ht_at_lockdown</f>
        <v>1.8166326594637301</v>
      </c>
      <c r="Z30" s="72">
        <f>-2*$BY$48*TANH($BY$48*(Tabella34[[#This Row],[Day]]-$BY$57)-$BY$47)*Tabella34[[#This Row],[Italy velocity]]</f>
        <v>4.5611185983090072</v>
      </c>
      <c r="AA30" s="72">
        <f>Tabella34[[#This Row],[Italy acc. fit]]/Itali_acc_at_lockdown</f>
        <v>0.12631679453898426</v>
      </c>
      <c r="AB30" s="143">
        <f>Tabella34[[#This Row],[Italy acc. fit]]/y_f_peak</f>
        <v>1.5196606476212101E-3</v>
      </c>
      <c r="AC30" s="143">
        <f>Tabella34[[#This Row],[Italy (fit of selected region + fitted sum of the other regions)]]*NOT(ISBLANK(Tabella34[[#This Row],[Italy rate data]]))</f>
        <v>4.5908673789873413</v>
      </c>
      <c r="AD30" s="143">
        <f>Tabella34[[#This Row],[Italy acc. fit]]*NOT(ISBLANK(Tabella34[[#This Row],[Italy rate data]]))</f>
        <v>4.5611185983090072</v>
      </c>
      <c r="AE30" s="77">
        <f>Tabella34[[#This Row],[Italy acc. fit]]+CIf</f>
        <v>1720.1759779328602</v>
      </c>
      <c r="AF30" s="77">
        <f>MAX(Tabella34[[#This Row],[Italy acc. fit]]-CIf,0)</f>
        <v>0</v>
      </c>
      <c r="AG30" s="141"/>
      <c r="AH30" s="33"/>
      <c r="AI30" s="33"/>
      <c r="AJ30" s="142">
        <f>Tabella34[[#This Row],[selected region rate data]]*NOT(ISBLANK(Tabella34[[#This Row],[selected region rate data]]))</f>
        <v>0</v>
      </c>
      <c r="AK30" s="147">
        <f>Tabella8[[#This Row],[region fit]]</f>
        <v>0</v>
      </c>
      <c r="AL30" s="143">
        <f>(ATANH(alpha*Tabella34[[#This Row],[sel. region cumul. fit]]/Kl-(1-alpha*Tabella34[[#This Row],[sel. region cumul. fit]]/Kl)*TANH(phi_l))+phi_l)/psi_l-(Tabella34[[#This Row],[Day]]-pl)</f>
        <v>52.240334693239106</v>
      </c>
      <c r="AM30" s="142">
        <f>Tabella34[[#This Row],[sel. region cumul. fit]]/Kl</f>
        <v>0</v>
      </c>
      <c r="AN30" s="143">
        <f>Tabella3[[#This Row],[region fit]]</f>
        <v>2.5622285074582649</v>
      </c>
      <c r="AO30" s="183" t="e">
        <f>Tabella34[[#This Row],[sel. region velocity]]/Tabella34[[#This Row],[sel. region cumul. fit]]</f>
        <v>#DIV/0!</v>
      </c>
      <c r="AP30" s="236" t="e">
        <f>(LN(Tabella34[[#This Row],[Day]]-pr)-phi_r)/psi_r</f>
        <v>#NUM!</v>
      </c>
      <c r="AQ30" s="244">
        <f>EXP(phi_r+psi_r*Tabella34[[#This Row],[x_r_alpha©+plus]])-(Tabella34[[#This Row],[Day]]-pr)</f>
        <v>56.039284964166633</v>
      </c>
      <c r="AR30" s="244">
        <f>EXP(phi_r+psi_r*Tabella34[[#This Row],[x_r_alpha©-minus]])-(Tabella34[[#This Row],[Day]]-pr)</f>
        <v>55.181340510769921</v>
      </c>
      <c r="AS30" s="244">
        <f>-psi_r+SQRT(psi_r^2-2*Tabella34[[#This Row],[c_r]])</f>
        <v>4.5096639937452103</v>
      </c>
      <c r="AT30" s="244">
        <f>-psi_r-SQRT(psi_r^2-2*Tabella34[[#This Row],[c_r]])</f>
        <v>-4.5660722321638723</v>
      </c>
      <c r="AU30" s="244">
        <f>phi_r-LN(alpha*Kr/(Tabella34[[#This Row],[sel. region velocity]]*psi_r*SQRTPI(2)))</f>
        <v>-10.295725769114618</v>
      </c>
      <c r="AV30" s="244">
        <f>(ACOSH(SQRT(alpha*Kl*psi_l/(Tabella34[[#This Row],[sel. region velocity]]*(1+TANH(phi_l)))))+phi_l)/psi_l-(Tabella34[[#This Row],[Day]]-pl)</f>
        <v>202.48017726779898</v>
      </c>
      <c r="AW30" s="72">
        <f>-2*$BY$22*TANH($BY$22*(Tabella34[[#This Row],[Day]]-$BY$31)-$BY$21)*Tabella34[[#This Row],[sel. region velocity]]</f>
        <v>0.14318079471497278</v>
      </c>
      <c r="AX30" s="143">
        <f>Tabella34[[#This Row],[sel. region acc. fit]]/y_l_peak</f>
        <v>1.0390533081277977E-3</v>
      </c>
      <c r="AY30" s="143">
        <f>Tabella34[[#This Row],[sel. region acc. fit]]*NOT(ISBLANK(Tabella34[[#This Row],[selected region rate data]]))</f>
        <v>0</v>
      </c>
      <c r="AZ30" s="77">
        <f>Tabella34[[#This Row],[sel. region acc. fit]]+CIl</f>
        <v>53.908021204263427</v>
      </c>
      <c r="BA30" s="77">
        <f>MAX(Tabella34[[#This Row],[sel. region acc. fit]]-CIl,0)</f>
        <v>0</v>
      </c>
      <c r="BB30" s="141"/>
      <c r="BC30" s="33"/>
      <c r="BD30" s="33"/>
      <c r="BE30" s="142">
        <f>Tabella34[[#This Row],[rest of Italy rate data]]*NOT(ISBLANK(Tabella34[[#This Row],[rest of Italy rate data]]))</f>
        <v>0</v>
      </c>
      <c r="BF30" s="188">
        <f>Tabella8[[#This Row],[rest of Italy fit]]</f>
        <v>0</v>
      </c>
      <c r="BG30" s="78">
        <f>(ATANH(alpha*Tabella34[[#This Row],[rest of Italy cumul. fit]]/Ka-(1-alpha*Tabella34[[#This Row],[rest of Italy cumul. fit]]/Ka)*TANH(phi_a))+phi_a)/psi_a-(Tabella34[[#This Row],[Day]]-pa)</f>
        <v>46.695444456084331</v>
      </c>
      <c r="BH30" s="143">
        <f>Tabella34[[#This Row],[rest of Italy cumul. fit]]/Ka</f>
        <v>0</v>
      </c>
      <c r="BI30" s="143">
        <f>Tabella3[[#This Row],[rest of Italy fit]]</f>
        <v>92.216909003745911</v>
      </c>
      <c r="BJ30" s="183" t="e">
        <f>Tabella34[[#This Row],[rest of Italy velocity]]/Tabella34[[#This Row],[rest of Italy cumul. fit]]</f>
        <v>#DIV/0!</v>
      </c>
      <c r="BK30" s="236" t="e">
        <f>(LN(Tabella34[[#This Row],[Day]]-po)-phi_o)/psi_o</f>
        <v>#NUM!</v>
      </c>
      <c r="BL30" s="244">
        <f>EXP(phi_o+psi_o*Tabella34[[#This Row],[x_o_alpha©+plus]])-(Tabella34[[#This Row],[Day]]-po)</f>
        <v>50.618189196042216</v>
      </c>
      <c r="BM30" s="244">
        <f>EXP(phi_o+psi_o*Tabella34[[#This Row],[x_o_alpha©-minus]])-(Tabella34[[#This Row],[Day]]-po)</f>
        <v>49.846409926556426</v>
      </c>
      <c r="BN30" s="244">
        <f>-psi_o+SQRT(psi_o^2-2*Tabella34[[#This Row],[c_o]])</f>
        <v>4.4440917305020164</v>
      </c>
      <c r="BO30" s="244">
        <f>-psi_o-SQRT(psi_o^2-2*Tabella34[[#This Row],[c_o]])</f>
        <v>-4.4931188160716449</v>
      </c>
      <c r="BP30" s="244">
        <f>phi_o-LN(alpha*Ko/(Tabella34[[#This Row],[rest of Italy velocity]]*psi_o*SQRTPI(2)))</f>
        <v>-9.9839160873335047</v>
      </c>
      <c r="BQ30" s="244">
        <f>(ACOSH(SQRT(alpha*Ka*psi_a/(Tabella34[[#This Row],[rest of Italy velocity]]*(1+TANH(phi_a)))))+phi_a)/psi_a-(Tabella34[[#This Row],[Day]]-pa)</f>
        <v>210.32129146535448</v>
      </c>
      <c r="BR30" s="72">
        <f>-2*$BY$35*TANH($BY$35*(Tabella34[[#This Row],[Day]]-$BY$44)-$BY$34)*Tabella34[[#This Row],[rest of Italy velocity]]</f>
        <v>4.4476865842723683</v>
      </c>
      <c r="BS30" s="143">
        <f>Tabella34[[#This Row],[rest of Italy acc. fit]]/y_a_peak</f>
        <v>1.5541617689852445E-3</v>
      </c>
      <c r="BT30" s="142">
        <f>Tabella34[[#This Row],[rest of Italy acc. fit]]*NOT(ISBLANK(Tabella34[[#This Row],[rest of Italy rate data]]))</f>
        <v>0</v>
      </c>
      <c r="BU30" s="77">
        <f>Tabella34[[#This Row],[rest of Italy acc. fit]]+CIa</f>
        <v>1699.0218814938551</v>
      </c>
      <c r="BV30" s="77">
        <f>MAX(Tabella34[[#This Row],[rest of Italy acc. fit]]-CIa,0)</f>
        <v>0</v>
      </c>
      <c r="BW30" s="1"/>
      <c r="BX30" s="217" t="s">
        <v>128</v>
      </c>
      <c r="BY30" s="219">
        <f>_xlfn.XLOOKUP(ROUND(EXP(phi_l-psi_l^2),0),Tabella34[Day],Tabella34[Date])</f>
        <v>43833</v>
      </c>
      <c r="CL30" s="48" t="b">
        <f>pa&lt;=0</f>
        <v>0</v>
      </c>
    </row>
    <row r="31" spans="2:90" x14ac:dyDescent="0.3">
      <c r="B31" s="262">
        <v>43854</v>
      </c>
      <c r="C31" s="4">
        <v>24</v>
      </c>
      <c r="D31" s="10">
        <f>Tabella8[[#This Row],[Italy cumulative]]</f>
        <v>0</v>
      </c>
      <c r="E31" s="72">
        <f>(Tabella34[[#This Row],[Italy cumul. data]]-D30)</f>
        <v>0</v>
      </c>
      <c r="F31" s="72">
        <f>Tabella34[[#This Row],[Italy rate data]]-E30</f>
        <v>0</v>
      </c>
      <c r="G31" s="142">
        <f>Tabella34[[#This Row],[Italy rate data]]*NOT(ISBLANK(Tabella34[[#This Row],[Italy rate data]]))</f>
        <v>0</v>
      </c>
      <c r="H31" s="143">
        <f>Tabella8[[#This Row],[Italy fit]]</f>
        <v>0</v>
      </c>
      <c r="I31" s="143">
        <f>(ATANH(alpha*Tabella34[[#This Row],[Italy cumul. Fit]]/Kf-(1-alpha*Tabella34[[#This Row],[Italy cumul. Fit]]/Kf)*TANH(phi_f))+phi_f)/psi_f-(Tabella34[[#This Row],[Day]]-pf)</f>
        <v>45.844294912230211</v>
      </c>
      <c r="J31" s="143">
        <f>Tabella34[[#This Row],[Italy d.t.]]/Italy_dt_at_lockdown</f>
        <v>41.577884299856599</v>
      </c>
      <c r="K31" s="143">
        <f>Tabella34[[#This Row],[Italy cumul. Fit]]/Kf</f>
        <v>0</v>
      </c>
      <c r="L31" s="146">
        <f>Tabella34[[#This Row],[sel. region acc. fit]]+Tabella34[[#This Row],[rest of Italy acc. fit]]</f>
        <v>4.8148525752293345</v>
      </c>
      <c r="M31" s="143">
        <f>Tabella34[[#This Row],[Italy (fit of selected region + fitted sum of the other regions)]]/(y_l_peak+y_a_peak)</f>
        <v>1.6051699383534648E-3</v>
      </c>
      <c r="N31" s="143">
        <f>Tabella3[[#This Row],[Italy remov. rate fit]]</f>
        <v>98.493863458954777</v>
      </c>
      <c r="O31" s="143" t="e">
        <f>Kt*EXP(-0.5*Tabella34[[#This Row],[x_t]]^2)/(psi_t*SQRTPI(2)*(Tabella34[[#This Row],[Day]]-D_bk))</f>
        <v>#NUM!</v>
      </c>
      <c r="P31" s="183" t="e">
        <f>Tabella34[[#This Row],[Italy velocity]]/Tabella34[[#This Row],[Italy cumul. Fit]]</f>
        <v>#DIV/0!</v>
      </c>
      <c r="Q31" s="244" t="e">
        <f>(LN(Tabella34[[#This Row],[Day]]-D_bk)-phi_t)/psi_t</f>
        <v>#NUM!</v>
      </c>
      <c r="R31" s="244">
        <f>EXP(phi_t+psi_t*Tabella34[[#This Row],[x_t_alpha©+plus]])-(Tabella34[[#This Row],[Day]]-D_bk)</f>
        <v>49.782102225119232</v>
      </c>
      <c r="S31" s="244">
        <f>EXP(phi_t+psi_t*Tabella34[[#This Row],[x_t_alpha©-minus]])-(Tabella34[[#This Row],[Day]]-D_bk)</f>
        <v>49.003446974382662</v>
      </c>
      <c r="T31" s="244">
        <f>-psi_t+SQRT(psi_t^2-2*Tabella34[[#This Row],[c_t]])</f>
        <v>4.435886643293931</v>
      </c>
      <c r="U31" s="244">
        <f>-psi_t-SQRT(psi_t^2-2*Tabella34[[#This Row],[c_t]])</f>
        <v>-4.4852793777137352</v>
      </c>
      <c r="V31" s="244">
        <f>phi_t-LN(alpha*Kt/(Tabella34[[#This Row],[Italy velocity]]*psi_t*SQRTPI(2)))</f>
        <v>-9.948095441521037</v>
      </c>
      <c r="W31" s="244" t="e">
        <f>Tabella34[[#This Row],[Italy g.r.]]/Italy_gr_at_lockdown</f>
        <v>#DIV/0!</v>
      </c>
      <c r="X31" s="244">
        <f>(ACOSH(SQRT(alpha*Kf*psi_f/(Tabella34[[#This Row],[Italy velocity]]*(1+TANH(phi_f)))))+phi_f)/psi_f-(Tabella34[[#This Row],[Day]]-pf)</f>
        <v>208.01745909113754</v>
      </c>
      <c r="Y31" s="244">
        <f>Tabella34[[#This Row],[Italy h.t.]]/Italy_ht_at_lockdown</f>
        <v>1.7994028476880974</v>
      </c>
      <c r="Z31" s="72">
        <f>-2*$BY$48*TANH($BY$48*(Tabella34[[#This Row],[Day]]-$BY$57)-$BY$47)*Tabella34[[#This Row],[Italy velocity]]</f>
        <v>4.7843926576606695</v>
      </c>
      <c r="AA31" s="72">
        <f>Tabella34[[#This Row],[Italy acc. fit]]/Itali_acc_at_lockdown</f>
        <v>0.13250020390954195</v>
      </c>
      <c r="AB31" s="143">
        <f>Tabella34[[#This Row],[Italy acc. fit]]/y_f_peak</f>
        <v>1.5940504698365666E-3</v>
      </c>
      <c r="AC31" s="143">
        <f>Tabella34[[#This Row],[Italy (fit of selected region + fitted sum of the other regions)]]*NOT(ISBLANK(Tabella34[[#This Row],[Italy rate data]]))</f>
        <v>4.8148525752293345</v>
      </c>
      <c r="AD31" s="143">
        <f>Tabella34[[#This Row],[Italy acc. fit]]*NOT(ISBLANK(Tabella34[[#This Row],[Italy rate data]]))</f>
        <v>4.7843926576606695</v>
      </c>
      <c r="AE31" s="77">
        <f>Tabella34[[#This Row],[Italy acc. fit]]+CIf</f>
        <v>1720.3992519922119</v>
      </c>
      <c r="AF31" s="77">
        <f>MAX(Tabella34[[#This Row],[Italy acc. fit]]-CIf,0)</f>
        <v>0</v>
      </c>
      <c r="AG31" s="141"/>
      <c r="AH31" s="33"/>
      <c r="AI31" s="33"/>
      <c r="AJ31" s="142">
        <f>Tabella34[[#This Row],[selected region rate data]]*NOT(ISBLANK(Tabella34[[#This Row],[selected region rate data]]))</f>
        <v>0</v>
      </c>
      <c r="AK31" s="147">
        <f>Tabella8[[#This Row],[region fit]]</f>
        <v>0</v>
      </c>
      <c r="AL31" s="143">
        <f>(ATANH(alpha*Tabella34[[#This Row],[sel. region cumul. fit]]/Kl-(1-alpha*Tabella34[[#This Row],[sel. region cumul. fit]]/Kl)*TANH(phi_l))+phi_l)/psi_l-(Tabella34[[#This Row],[Day]]-pl)</f>
        <v>51.240334693239106</v>
      </c>
      <c r="AM31" s="142">
        <f>Tabella34[[#This Row],[sel. region cumul. fit]]/Kl</f>
        <v>0</v>
      </c>
      <c r="AN31" s="143">
        <f>Tabella3[[#This Row],[region fit]]</f>
        <v>2.7094446097768667</v>
      </c>
      <c r="AO31" s="183" t="e">
        <f>Tabella34[[#This Row],[sel. region velocity]]/Tabella34[[#This Row],[sel. region cumul. fit]]</f>
        <v>#DIV/0!</v>
      </c>
      <c r="AP31" s="236" t="e">
        <f>(LN(Tabella34[[#This Row],[Day]]-pr)-phi_r)/psi_r</f>
        <v>#NUM!</v>
      </c>
      <c r="AQ31" s="244">
        <f>EXP(phi_r+psi_r*Tabella34[[#This Row],[x_r_alpha©+plus]])-(Tabella34[[#This Row],[Day]]-pr)</f>
        <v>55.037964310715083</v>
      </c>
      <c r="AR31" s="244">
        <f>EXP(phi_r+psi_r*Tabella34[[#This Row],[x_r_alpha©-minus]])-(Tabella34[[#This Row],[Day]]-pr)</f>
        <v>54.182363267035065</v>
      </c>
      <c r="AS31" s="244">
        <f>-psi_r+SQRT(psi_r^2-2*Tabella34[[#This Row],[c_r]])</f>
        <v>4.4973361188132781</v>
      </c>
      <c r="AT31" s="244">
        <f>-psi_r-SQRT(psi_r^2-2*Tabella34[[#This Row],[c_r]])</f>
        <v>-4.55374435723194</v>
      </c>
      <c r="AU31" s="244">
        <f>phi_r-LN(alpha*Kr/(Tabella34[[#This Row],[sel. region velocity]]*psi_r*SQRTPI(2)))</f>
        <v>-10.239859486810678</v>
      </c>
      <c r="AV31" s="244">
        <f>(ACOSH(SQRT(alpha*Kl*psi_l/(Tabella34[[#This Row],[sel. region velocity]]*(1+TANH(phi_l)))))+phi_l)/psi_l-(Tabella34[[#This Row],[Day]]-pl)</f>
        <v>200.48501593322277</v>
      </c>
      <c r="AW31" s="72">
        <f>-2*$BY$22*TANH($BY$22*(Tabella34[[#This Row],[Day]]-$BY$31)-$BY$21)*Tabella34[[#This Row],[sel. region velocity]]</f>
        <v>0.1513249977870246</v>
      </c>
      <c r="AX31" s="143">
        <f>Tabella34[[#This Row],[sel. region acc. fit]]/y_l_peak</f>
        <v>1.0981552369928082E-3</v>
      </c>
      <c r="AY31" s="143">
        <f>Tabella34[[#This Row],[sel. region acc. fit]]*NOT(ISBLANK(Tabella34[[#This Row],[selected region rate data]]))</f>
        <v>0</v>
      </c>
      <c r="AZ31" s="77">
        <f>Tabella34[[#This Row],[sel. region acc. fit]]+CIl</f>
        <v>53.916165407335477</v>
      </c>
      <c r="BA31" s="77">
        <f>MAX(Tabella34[[#This Row],[sel. region acc. fit]]-CIl,0)</f>
        <v>0</v>
      </c>
      <c r="BB31" s="141"/>
      <c r="BC31" s="33"/>
      <c r="BD31" s="33"/>
      <c r="BE31" s="142">
        <f>Tabella34[[#This Row],[rest of Italy rate data]]*NOT(ISBLANK(Tabella34[[#This Row],[rest of Italy rate data]]))</f>
        <v>0</v>
      </c>
      <c r="BF31" s="188">
        <f>Tabella8[[#This Row],[rest of Italy fit]]</f>
        <v>0</v>
      </c>
      <c r="BG31" s="78">
        <f>(ATANH(alpha*Tabella34[[#This Row],[rest of Italy cumul. fit]]/Ka-(1-alpha*Tabella34[[#This Row],[rest of Italy cumul. fit]]/Ka)*TANH(phi_a))+phi_a)/psi_a-(Tabella34[[#This Row],[Day]]-pa)</f>
        <v>45.695444456084331</v>
      </c>
      <c r="BH31" s="143">
        <f>Tabella34[[#This Row],[rest of Italy cumul. fit]]/Ka</f>
        <v>0</v>
      </c>
      <c r="BI31" s="143">
        <f>Tabella3[[#This Row],[rest of Italy fit]]</f>
        <v>96.771694134442839</v>
      </c>
      <c r="BJ31" s="183" t="e">
        <f>Tabella34[[#This Row],[rest of Italy velocity]]/Tabella34[[#This Row],[rest of Italy cumul. fit]]</f>
        <v>#DIV/0!</v>
      </c>
      <c r="BK31" s="236" t="e">
        <f>(LN(Tabella34[[#This Row],[Day]]-po)-phi_o)/psi_o</f>
        <v>#NUM!</v>
      </c>
      <c r="BL31" s="244">
        <f>EXP(phi_o+psi_o*Tabella34[[#This Row],[x_o_alpha©+plus]])-(Tabella34[[#This Row],[Day]]-po)</f>
        <v>49.617150620130289</v>
      </c>
      <c r="BM31" s="244">
        <f>EXP(phi_o+psi_o*Tabella34[[#This Row],[x_o_alpha©-minus]])-(Tabella34[[#This Row],[Day]]-po)</f>
        <v>48.84724438908372</v>
      </c>
      <c r="BN31" s="244">
        <f>-psi_o+SQRT(psi_o^2-2*Tabella34[[#This Row],[c_o]])</f>
        <v>4.4332898439184651</v>
      </c>
      <c r="BO31" s="244">
        <f>-psi_o-SQRT(psi_o^2-2*Tabella34[[#This Row],[c_o]])</f>
        <v>-4.4823169294880936</v>
      </c>
      <c r="BP31" s="244">
        <f>phi_o-LN(alpha*Ko/(Tabella34[[#This Row],[rest of Italy velocity]]*psi_o*SQRTPI(2)))</f>
        <v>-9.9357050603616841</v>
      </c>
      <c r="BQ31" s="244">
        <f>(ACOSH(SQRT(alpha*Ka*psi_a/(Tabella34[[#This Row],[rest of Italy velocity]]*(1+TANH(phi_a)))))+phi_a)/psi_a-(Tabella34[[#This Row],[Day]]-pa)</f>
        <v>208.3297187788142</v>
      </c>
      <c r="BR31" s="72">
        <f>-2*$BY$35*TANH($BY$35*(Tabella34[[#This Row],[Day]]-$BY$44)-$BY$34)*Tabella34[[#This Row],[rest of Italy velocity]]</f>
        <v>4.6635275774423102</v>
      </c>
      <c r="BS31" s="143">
        <f>Tabella34[[#This Row],[rest of Italy acc. fit]]/y_a_peak</f>
        <v>1.6295834097435507E-3</v>
      </c>
      <c r="BT31" s="142">
        <f>Tabella34[[#This Row],[rest of Italy acc. fit]]*NOT(ISBLANK(Tabella34[[#This Row],[rest of Italy rate data]]))</f>
        <v>0</v>
      </c>
      <c r="BU31" s="77">
        <f>Tabella34[[#This Row],[rest of Italy acc. fit]]+CIa</f>
        <v>1699.2377224870249</v>
      </c>
      <c r="BV31" s="77">
        <f>MAX(Tabella34[[#This Row],[rest of Italy acc. fit]]-CIa,0)</f>
        <v>0</v>
      </c>
      <c r="BW31" s="1"/>
      <c r="BX31" s="220" t="s">
        <v>4346</v>
      </c>
      <c r="BY31" s="221">
        <f>pl</f>
        <v>75.240334693239092</v>
      </c>
      <c r="CL31" s="48" t="b">
        <f>psi_a&gt;=0.000001</f>
        <v>1</v>
      </c>
    </row>
    <row r="32" spans="2:90" x14ac:dyDescent="0.3">
      <c r="B32" s="262">
        <v>43855</v>
      </c>
      <c r="C32" s="4">
        <v>25</v>
      </c>
      <c r="D32" s="10">
        <f>Tabella8[[#This Row],[Italy cumulative]]</f>
        <v>0</v>
      </c>
      <c r="E32" s="72">
        <f>(Tabella34[[#This Row],[Italy cumul. data]]-D31)</f>
        <v>0</v>
      </c>
      <c r="F32" s="72">
        <f>Tabella34[[#This Row],[Italy rate data]]-E31</f>
        <v>0</v>
      </c>
      <c r="G32" s="142">
        <f>Tabella34[[#This Row],[Italy rate data]]*NOT(ISBLANK(Tabella34[[#This Row],[Italy rate data]]))</f>
        <v>0</v>
      </c>
      <c r="H32" s="143">
        <f>Tabella8[[#This Row],[Italy fit]]</f>
        <v>0</v>
      </c>
      <c r="I32" s="143">
        <f>(ATANH(alpha*Tabella34[[#This Row],[Italy cumul. Fit]]/Kf-(1-alpha*Tabella34[[#This Row],[Italy cumul. Fit]]/Kf)*TANH(phi_f))+phi_f)/psi_f-(Tabella34[[#This Row],[Day]]-pf)</f>
        <v>44.844294912230211</v>
      </c>
      <c r="J32" s="143">
        <f>Tabella34[[#This Row],[Italy d.t.]]/Italy_dt_at_lockdown</f>
        <v>40.670947365185484</v>
      </c>
      <c r="K32" s="143">
        <f>Tabella34[[#This Row],[Italy cumul. Fit]]/Kf</f>
        <v>0</v>
      </c>
      <c r="L32" s="146">
        <f>Tabella34[[#This Row],[sel. region acc. fit]]+Tabella34[[#This Row],[rest of Italy acc. fit]]</f>
        <v>5.0493644843513135</v>
      </c>
      <c r="M32" s="143">
        <f>Tabella34[[#This Row],[Italy (fit of selected region + fitted sum of the other regions)]]/(y_l_peak+y_a_peak)</f>
        <v>1.6833512452215263E-3</v>
      </c>
      <c r="N32" s="143">
        <f>Tabella3[[#This Row],[Italy remov. rate fit]]</f>
        <v>103.39425960303839</v>
      </c>
      <c r="O32" s="143" t="e">
        <f>Kt*EXP(-0.5*Tabella34[[#This Row],[x_t]]^2)/(psi_t*SQRTPI(2)*(Tabella34[[#This Row],[Day]]-D_bk))</f>
        <v>#NUM!</v>
      </c>
      <c r="P32" s="183" t="e">
        <f>Tabella34[[#This Row],[Italy velocity]]/Tabella34[[#This Row],[Italy cumul. Fit]]</f>
        <v>#DIV/0!</v>
      </c>
      <c r="Q32" s="244" t="e">
        <f>(LN(Tabella34[[#This Row],[Day]]-D_bk)-phi_t)/psi_t</f>
        <v>#NUM!</v>
      </c>
      <c r="R32" s="244">
        <f>EXP(phi_t+psi_t*Tabella34[[#This Row],[x_t_alpha©+plus]])-(Tabella34[[#This Row],[Day]]-D_bk)</f>
        <v>48.781042473522945</v>
      </c>
      <c r="S32" s="244">
        <f>EXP(phi_t+psi_t*Tabella34[[#This Row],[x_t_alpha©-minus]])-(Tabella34[[#This Row],[Day]]-D_bk)</f>
        <v>48.004297401388371</v>
      </c>
      <c r="T32" s="244">
        <f>-psi_t+SQRT(psi_t^2-2*Tabella34[[#This Row],[c_t]])</f>
        <v>4.4249879359748396</v>
      </c>
      <c r="U32" s="244">
        <f>-psi_t-SQRT(psi_t^2-2*Tabella34[[#This Row],[c_t]])</f>
        <v>-4.4743806703946438</v>
      </c>
      <c r="V32" s="244">
        <f>phi_t-LN(alpha*Kt/(Tabella34[[#This Row],[Italy velocity]]*psi_t*SQRTPI(2)))</f>
        <v>-9.8995402437276567</v>
      </c>
      <c r="W32" s="244" t="e">
        <f>Tabella34[[#This Row],[Italy g.r.]]/Italy_gr_at_lockdown</f>
        <v>#DIV/0!</v>
      </c>
      <c r="X32" s="244">
        <f>(ACOSH(SQRT(alpha*Kf*psi_f/(Tabella34[[#This Row],[Italy velocity]]*(1+TANH(phi_f)))))+phi_f)/psi_f-(Tabella34[[#This Row],[Day]]-pf)</f>
        <v>206.02604619223717</v>
      </c>
      <c r="Y32" s="244">
        <f>Tabella34[[#This Row],[Italy h.t.]]/Italy_ht_at_lockdown</f>
        <v>1.7821766299616606</v>
      </c>
      <c r="Z32" s="72">
        <f>-2*$BY$48*TANH($BY$48*(Tabella34[[#This Row],[Day]]-$BY$57)-$BY$47)*Tabella34[[#This Row],[Italy velocity]]</f>
        <v>5.0181910834347487</v>
      </c>
      <c r="AA32" s="72">
        <f>Tabella34[[#This Row],[Italy acc. fit]]/Itali_acc_at_lockdown</f>
        <v>0.13897507779749377</v>
      </c>
      <c r="AB32" s="143">
        <f>Tabella34[[#This Row],[Italy acc. fit]]/y_f_peak</f>
        <v>1.6719467708133443E-3</v>
      </c>
      <c r="AC32" s="143">
        <f>Tabella34[[#This Row],[Italy (fit of selected region + fitted sum of the other regions)]]*NOT(ISBLANK(Tabella34[[#This Row],[Italy rate data]]))</f>
        <v>5.0493644843513135</v>
      </c>
      <c r="AD32" s="143">
        <f>Tabella34[[#This Row],[Italy acc. fit]]*NOT(ISBLANK(Tabella34[[#This Row],[Italy rate data]]))</f>
        <v>5.0181910834347487</v>
      </c>
      <c r="AE32" s="77">
        <f>Tabella34[[#This Row],[Italy acc. fit]]+CIf</f>
        <v>1720.6330504179859</v>
      </c>
      <c r="AF32" s="77">
        <f>MAX(Tabella34[[#This Row],[Italy acc. fit]]-CIf,0)</f>
        <v>0</v>
      </c>
      <c r="AG32" s="141"/>
      <c r="AH32" s="33"/>
      <c r="AI32" s="33"/>
      <c r="AJ32" s="142">
        <f>Tabella34[[#This Row],[selected region rate data]]*NOT(ISBLANK(Tabella34[[#This Row],[selected region rate data]]))</f>
        <v>0</v>
      </c>
      <c r="AK32" s="147">
        <f>Tabella8[[#This Row],[region fit]]</f>
        <v>0</v>
      </c>
      <c r="AL32" s="143">
        <f>(ATANH(alpha*Tabella34[[#This Row],[sel. region cumul. fit]]/Kl-(1-alpha*Tabella34[[#This Row],[sel. region cumul. fit]]/Kl)*TANH(phi_l))+phi_l)/psi_l-(Tabella34[[#This Row],[Day]]-pl)</f>
        <v>50.240334693239106</v>
      </c>
      <c r="AM32" s="142">
        <f>Tabella34[[#This Row],[sel. region cumul. fit]]/Kl</f>
        <v>0</v>
      </c>
      <c r="AN32" s="143">
        <f>Tabella3[[#This Row],[region fit]]</f>
        <v>2.8650295536937063</v>
      </c>
      <c r="AO32" s="183" t="e">
        <f>Tabella34[[#This Row],[sel. region velocity]]/Tabella34[[#This Row],[sel. region cumul. fit]]</f>
        <v>#DIV/0!</v>
      </c>
      <c r="AP32" s="236" t="e">
        <f>(LN(Tabella34[[#This Row],[Day]]-pr)-phi_r)/psi_r</f>
        <v>#NUM!</v>
      </c>
      <c r="AQ32" s="244">
        <f>EXP(phi_r+psi_r*Tabella34[[#This Row],[x_r_alpha©+plus]])-(Tabella34[[#This Row],[Day]]-pr)</f>
        <v>54.036641253184584</v>
      </c>
      <c r="AR32" s="244">
        <f>EXP(phi_r+psi_r*Tabella34[[#This Row],[x_r_alpha©-minus]])-(Tabella34[[#This Row],[Day]]-pr)</f>
        <v>53.183388598629875</v>
      </c>
      <c r="AS32" s="244">
        <f>-psi_r+SQRT(psi_r^2-2*Tabella34[[#This Row],[c_r]])</f>
        <v>4.4849815030066598</v>
      </c>
      <c r="AT32" s="244">
        <f>-psi_r-SQRT(psi_r^2-2*Tabella34[[#This Row],[c_r]])</f>
        <v>-4.5413897414253217</v>
      </c>
      <c r="AU32" s="244">
        <f>phi_r-LN(alpha*Kr/(Tabella34[[#This Row],[sel. region velocity]]*psi_r*SQRTPI(2)))</f>
        <v>-10.184024494118381</v>
      </c>
      <c r="AV32" s="244">
        <f>(ACOSH(SQRT(alpha*Kl*psi_l/(Tabella34[[#This Row],[sel. region velocity]]*(1+TANH(phi_l)))))+phi_l)/psi_l-(Tabella34[[#This Row],[Day]]-pl)</f>
        <v>198.49013609242849</v>
      </c>
      <c r="AW32" s="72">
        <f>-2*$BY$22*TANH($BY$22*(Tabella34[[#This Row],[Day]]-$BY$31)-$BY$21)*Tabella34[[#This Row],[sel. region velocity]]</f>
        <v>0.15992238929376226</v>
      </c>
      <c r="AX32" s="143">
        <f>Tabella34[[#This Row],[sel. region acc. fit]]/y_l_peak</f>
        <v>1.1605459235658829E-3</v>
      </c>
      <c r="AY32" s="143">
        <f>Tabella34[[#This Row],[sel. region acc. fit]]*NOT(ISBLANK(Tabella34[[#This Row],[selected region rate data]]))</f>
        <v>0</v>
      </c>
      <c r="AZ32" s="77">
        <f>Tabella34[[#This Row],[sel. region acc. fit]]+CIl</f>
        <v>53.924762798842217</v>
      </c>
      <c r="BA32" s="77">
        <f>MAX(Tabella34[[#This Row],[sel. region acc. fit]]-CIl,0)</f>
        <v>0</v>
      </c>
      <c r="BB32" s="141"/>
      <c r="BC32" s="33"/>
      <c r="BD32" s="33"/>
      <c r="BE32" s="142">
        <f>Tabella34[[#This Row],[rest of Italy rate data]]*NOT(ISBLANK(Tabella34[[#This Row],[rest of Italy rate data]]))</f>
        <v>0</v>
      </c>
      <c r="BF32" s="188">
        <f>Tabella8[[#This Row],[rest of Italy fit]]</f>
        <v>0</v>
      </c>
      <c r="BG32" s="78">
        <f>(ATANH(alpha*Tabella34[[#This Row],[rest of Italy cumul. fit]]/Ka-(1-alpha*Tabella34[[#This Row],[rest of Italy cumul. fit]]/Ka)*TANH(phi_a))+phi_a)/psi_a-(Tabella34[[#This Row],[Day]]-pa)</f>
        <v>44.695444456084331</v>
      </c>
      <c r="BH32" s="143">
        <f>Tabella34[[#This Row],[rest of Italy cumul. fit]]/Ka</f>
        <v>0</v>
      </c>
      <c r="BI32" s="143">
        <f>Tabella3[[#This Row],[rest of Italy fit]]</f>
        <v>101.54732184491236</v>
      </c>
      <c r="BJ32" s="183" t="e">
        <f>Tabella34[[#This Row],[rest of Italy velocity]]/Tabella34[[#This Row],[rest of Italy cumul. fit]]</f>
        <v>#DIV/0!</v>
      </c>
      <c r="BK32" s="236" t="e">
        <f>(LN(Tabella34[[#This Row],[Day]]-po)-phi_o)/psi_o</f>
        <v>#NUM!</v>
      </c>
      <c r="BL32" s="244">
        <f>EXP(phi_o+psi_o*Tabella34[[#This Row],[x_o_alpha©+plus]])-(Tabella34[[#This Row],[Day]]-po)</f>
        <v>48.616110675943432</v>
      </c>
      <c r="BM32" s="244">
        <f>EXP(phi_o+psi_o*Tabella34[[#This Row],[x_o_alpha©-minus]])-(Tabella34[[#This Row],[Day]]-po)</f>
        <v>47.848080393944798</v>
      </c>
      <c r="BN32" s="244">
        <f>-psi_o+SQRT(psi_o^2-2*Tabella34[[#This Row],[c_o]])</f>
        <v>4.4224708596839042</v>
      </c>
      <c r="BO32" s="244">
        <f>-psi_o-SQRT(psi_o^2-2*Tabella34[[#This Row],[c_o]])</f>
        <v>-4.4714979452535326</v>
      </c>
      <c r="BP32" s="244">
        <f>phi_o-LN(alpha*Ko/(Tabella34[[#This Row],[rest of Italy velocity]]*psi_o*SQRTPI(2)))</f>
        <v>-9.8875346810101021</v>
      </c>
      <c r="BQ32" s="244">
        <f>(ACOSH(SQRT(alpha*Ka*psi_a/(Tabella34[[#This Row],[rest of Italy velocity]]*(1+TANH(phi_a)))))+phi_a)/psi_a-(Tabella34[[#This Row],[Day]]-pa)</f>
        <v>206.33857138118998</v>
      </c>
      <c r="BR32" s="72">
        <f>-2*$BY$35*TANH($BY$35*(Tabella34[[#This Row],[Day]]-$BY$44)-$BY$34)*Tabella34[[#This Row],[rest of Italy velocity]]</f>
        <v>4.889442095057551</v>
      </c>
      <c r="BS32" s="143">
        <f>Tabella34[[#This Row],[rest of Italy acc. fit]]/y_a_peak</f>
        <v>1.7085250572008864E-3</v>
      </c>
      <c r="BT32" s="142">
        <f>Tabella34[[#This Row],[rest of Italy acc. fit]]*NOT(ISBLANK(Tabella34[[#This Row],[rest of Italy rate data]]))</f>
        <v>0</v>
      </c>
      <c r="BU32" s="77">
        <f>Tabella34[[#This Row],[rest of Italy acc. fit]]+CIa</f>
        <v>1699.4636370046403</v>
      </c>
      <c r="BV32" s="77">
        <f>MAX(Tabella34[[#This Row],[rest of Italy acc. fit]]-CIa,0)</f>
        <v>0</v>
      </c>
      <c r="BW32" s="1"/>
      <c r="BX32" s="222" t="s">
        <v>83</v>
      </c>
      <c r="BY32" s="223" t="s">
        <v>119</v>
      </c>
      <c r="CL32" s="48">
        <f>{32767;32767;0.000001;0.01;FALSE;FALSE;FALSE;1;2;1;0.0001;TRUE}</f>
        <v>32767</v>
      </c>
    </row>
    <row r="33" spans="2:90" ht="15" thickBot="1" x14ac:dyDescent="0.35">
      <c r="B33" s="262">
        <v>43856</v>
      </c>
      <c r="C33" s="4">
        <v>26</v>
      </c>
      <c r="D33" s="10">
        <f>Tabella8[[#This Row],[Italy cumulative]]</f>
        <v>0</v>
      </c>
      <c r="E33" s="72">
        <f>(Tabella34[[#This Row],[Italy cumul. data]]-D32)</f>
        <v>0</v>
      </c>
      <c r="F33" s="72">
        <f>Tabella34[[#This Row],[Italy rate data]]-E32</f>
        <v>0</v>
      </c>
      <c r="G33" s="142">
        <f>Tabella34[[#This Row],[Italy rate data]]*NOT(ISBLANK(Tabella34[[#This Row],[Italy rate data]]))</f>
        <v>0</v>
      </c>
      <c r="H33" s="143">
        <f>Tabella8[[#This Row],[Italy fit]]</f>
        <v>0</v>
      </c>
      <c r="I33" s="143">
        <f>(ATANH(alpha*Tabella34[[#This Row],[Italy cumul. Fit]]/Kf-(1-alpha*Tabella34[[#This Row],[Italy cumul. Fit]]/Kf)*TANH(phi_f))+phi_f)/psi_f-(Tabella34[[#This Row],[Day]]-pf)</f>
        <v>43.844294912230211</v>
      </c>
      <c r="J33" s="143">
        <f>Tabella34[[#This Row],[Italy d.t.]]/Italy_dt_at_lockdown</f>
        <v>39.764010430514375</v>
      </c>
      <c r="K33" s="143">
        <f>Tabella34[[#This Row],[Italy cumul. Fit]]/Kf</f>
        <v>0</v>
      </c>
      <c r="L33" s="146">
        <f>Tabella34[[#This Row],[sel. region acc. fit]]+Tabella34[[#This Row],[rest of Italy acc. fit]]</f>
        <v>5.2948562291245755</v>
      </c>
      <c r="M33" s="143">
        <f>Tabella34[[#This Row],[Italy (fit of selected region + fitted sum of the other regions)]]/(y_l_peak+y_a_peak)</f>
        <v>1.7651929968986713E-3</v>
      </c>
      <c r="N33" s="143">
        <f>Tabella3[[#This Row],[Italy remov. rate fit]]</f>
        <v>108.53390500304789</v>
      </c>
      <c r="O33" s="143" t="e">
        <f>Kt*EXP(-0.5*Tabella34[[#This Row],[x_t]]^2)/(psi_t*SQRTPI(2)*(Tabella34[[#This Row],[Day]]-D_bk))</f>
        <v>#NUM!</v>
      </c>
      <c r="P33" s="183" t="e">
        <f>Tabella34[[#This Row],[Italy velocity]]/Tabella34[[#This Row],[Italy cumul. Fit]]</f>
        <v>#DIV/0!</v>
      </c>
      <c r="Q33" s="244" t="e">
        <f>(LN(Tabella34[[#This Row],[Day]]-D_bk)-phi_t)/psi_t</f>
        <v>#NUM!</v>
      </c>
      <c r="R33" s="244">
        <f>EXP(phi_t+psi_t*Tabella34[[#This Row],[x_t_alpha©+plus]])-(Tabella34[[#This Row],[Day]]-D_bk)</f>
        <v>47.779981326456046</v>
      </c>
      <c r="S33" s="244">
        <f>EXP(phi_t+psi_t*Tabella34[[#This Row],[x_t_alpha©-minus]])-(Tabella34[[#This Row],[Day]]-D_bk)</f>
        <v>47.00514940711745</v>
      </c>
      <c r="T33" s="244">
        <f>-psi_t+SQRT(psi_t^2-2*Tabella34[[#This Row],[c_t]])</f>
        <v>4.4140719372755779</v>
      </c>
      <c r="U33" s="244">
        <f>-psi_t-SQRT(psi_t^2-2*Tabella34[[#This Row],[c_t]])</f>
        <v>-4.4634646716953821</v>
      </c>
      <c r="V33" s="244">
        <f>phi_t-LN(alpha*Kt/(Tabella34[[#This Row],[Italy velocity]]*psi_t*SQRTPI(2)))</f>
        <v>-9.851027075175768</v>
      </c>
      <c r="W33" s="244" t="e">
        <f>Tabella34[[#This Row],[Italy g.r.]]/Italy_gr_at_lockdown</f>
        <v>#DIV/0!</v>
      </c>
      <c r="X33" s="244">
        <f>(ACOSH(SQRT(alpha*Kf*psi_f/(Tabella34[[#This Row],[Italy velocity]]*(1+TANH(phi_f)))))+phi_f)/psi_f-(Tabella34[[#This Row],[Day]]-pf)</f>
        <v>204.03506999380585</v>
      </c>
      <c r="Y33" s="244">
        <f>Tabella34[[#This Row],[Italy h.t.]]/Italy_ht_at_lockdown</f>
        <v>1.7649541898030827</v>
      </c>
      <c r="Z33" s="72">
        <f>-2*$BY$48*TANH($BY$48*(Tabella34[[#This Row],[Day]]-$BY$57)-$BY$47)*Tabella34[[#This Row],[Italy velocity]]</f>
        <v>5.2629681485062179</v>
      </c>
      <c r="AA33" s="72">
        <f>Tabella34[[#This Row],[Italy acc. fit]]/Itali_acc_at_lockdown</f>
        <v>0.14575399695297273</v>
      </c>
      <c r="AB33" s="143">
        <f>Tabella34[[#This Row],[Italy acc. fit]]/y_f_peak</f>
        <v>1.75350090390851E-3</v>
      </c>
      <c r="AC33" s="143">
        <f>Tabella34[[#This Row],[Italy (fit of selected region + fitted sum of the other regions)]]*NOT(ISBLANK(Tabella34[[#This Row],[Italy rate data]]))</f>
        <v>5.2948562291245755</v>
      </c>
      <c r="AD33" s="143">
        <f>Tabella34[[#This Row],[Italy acc. fit]]*NOT(ISBLANK(Tabella34[[#This Row],[Italy rate data]]))</f>
        <v>5.2629681485062179</v>
      </c>
      <c r="AE33" s="77">
        <f>Tabella34[[#This Row],[Italy acc. fit]]+CIf</f>
        <v>1720.8778274830574</v>
      </c>
      <c r="AF33" s="77">
        <f>MAX(Tabella34[[#This Row],[Italy acc. fit]]-CIf,0)</f>
        <v>0</v>
      </c>
      <c r="AG33" s="141"/>
      <c r="AH33" s="33"/>
      <c r="AI33" s="33"/>
      <c r="AJ33" s="142">
        <f>Tabella34[[#This Row],[selected region rate data]]*NOT(ISBLANK(Tabella34[[#This Row],[selected region rate data]]))</f>
        <v>0</v>
      </c>
      <c r="AK33" s="147">
        <f>Tabella8[[#This Row],[region fit]]</f>
        <v>0</v>
      </c>
      <c r="AL33" s="143">
        <f>(ATANH(alpha*Tabella34[[#This Row],[sel. region cumul. fit]]/Kl-(1-alpha*Tabella34[[#This Row],[sel. region cumul. fit]]/Kl)*TANH(phi_l))+phi_l)/psi_l-(Tabella34[[#This Row],[Day]]-pl)</f>
        <v>49.240334693239106</v>
      </c>
      <c r="AM33" s="142">
        <f>Tabella34[[#This Row],[sel. region cumul. fit]]/Kl</f>
        <v>0</v>
      </c>
      <c r="AN33" s="143">
        <f>Tabella3[[#This Row],[region fit]]</f>
        <v>3.0294484458687134</v>
      </c>
      <c r="AO33" s="183" t="e">
        <f>Tabella34[[#This Row],[sel. region velocity]]/Tabella34[[#This Row],[sel. region cumul. fit]]</f>
        <v>#DIV/0!</v>
      </c>
      <c r="AP33" s="236" t="e">
        <f>(LN(Tabella34[[#This Row],[Day]]-pr)-phi_r)/psi_r</f>
        <v>#NUM!</v>
      </c>
      <c r="AQ33" s="244">
        <f>EXP(phi_r+psi_r*Tabella34[[#This Row],[x_r_alpha©+plus]])-(Tabella34[[#This Row],[Day]]-pr)</f>
        <v>53.035315813566456</v>
      </c>
      <c r="AR33" s="244">
        <f>EXP(phi_r+psi_r*Tabella34[[#This Row],[x_r_alpha©-minus]])-(Tabella34[[#This Row],[Day]]-pr)</f>
        <v>52.18441649313602</v>
      </c>
      <c r="AS33" s="244">
        <f>-psi_r+SQRT(psi_r^2-2*Tabella34[[#This Row],[c_r]])</f>
        <v>4.4726003253188384</v>
      </c>
      <c r="AT33" s="244">
        <f>-psi_r-SQRT(psi_r^2-2*Tabella34[[#This Row],[c_r]])</f>
        <v>-4.5290085637375004</v>
      </c>
      <c r="AU33" s="244">
        <f>phi_r-LN(alpha*Kr/(Tabella34[[#This Row],[sel. region velocity]]*psi_r*SQRTPI(2)))</f>
        <v>-10.128222587772076</v>
      </c>
      <c r="AV33" s="244">
        <f>(ACOSH(SQRT(alpha*Kl*psi_l/(Tabella34[[#This Row],[sel. region velocity]]*(1+TANH(phi_l)))))+phi_l)/psi_l-(Tabella34[[#This Row],[Day]]-pl)</f>
        <v>196.49555416449255</v>
      </c>
      <c r="AW33" s="72">
        <f>-2*$BY$22*TANH($BY$22*(Tabella34[[#This Row],[Day]]-$BY$31)-$BY$21)*Tabella34[[#This Row],[sel. region velocity]]</f>
        <v>0.16899699097583565</v>
      </c>
      <c r="AX33" s="143">
        <f>Tabella34[[#This Row],[sel. region acc. fit]]/y_l_peak</f>
        <v>1.2263996919883206E-3</v>
      </c>
      <c r="AY33" s="143">
        <f>Tabella34[[#This Row],[sel. region acc. fit]]*NOT(ISBLANK(Tabella34[[#This Row],[selected region rate data]]))</f>
        <v>0</v>
      </c>
      <c r="AZ33" s="77">
        <f>Tabella34[[#This Row],[sel. region acc. fit]]+CIl</f>
        <v>53.93383740052429</v>
      </c>
      <c r="BA33" s="77">
        <f>MAX(Tabella34[[#This Row],[sel. region acc. fit]]-CIl,0)</f>
        <v>0</v>
      </c>
      <c r="BB33" s="141"/>
      <c r="BC33" s="33"/>
      <c r="BD33" s="33"/>
      <c r="BE33" s="142">
        <f>Tabella34[[#This Row],[rest of Italy rate data]]*NOT(ISBLANK(Tabella34[[#This Row],[rest of Italy rate data]]))</f>
        <v>0</v>
      </c>
      <c r="BF33" s="188">
        <f>Tabella8[[#This Row],[rest of Italy fit]]</f>
        <v>0</v>
      </c>
      <c r="BG33" s="78">
        <f>(ATANH(alpha*Tabella34[[#This Row],[rest of Italy cumul. fit]]/Ka-(1-alpha*Tabella34[[#This Row],[rest of Italy cumul. fit]]/Ka)*TANH(phi_a))+phi_a)/psi_a-(Tabella34[[#This Row],[Day]]-pa)</f>
        <v>43.695444456084331</v>
      </c>
      <c r="BH33" s="143">
        <f>Tabella34[[#This Row],[rest of Italy cumul. fit]]/Ka</f>
        <v>0</v>
      </c>
      <c r="BI33" s="143">
        <f>Tabella3[[#This Row],[rest of Italy fit]]</f>
        <v>106.55407904404106</v>
      </c>
      <c r="BJ33" s="183" t="e">
        <f>Tabella34[[#This Row],[rest of Italy velocity]]/Tabella34[[#This Row],[rest of Italy cumul. fit]]</f>
        <v>#DIV/0!</v>
      </c>
      <c r="BK33" s="236" t="e">
        <f>(LN(Tabella34[[#This Row],[Day]]-po)-phi_o)/psi_o</f>
        <v>#NUM!</v>
      </c>
      <c r="BL33" s="244">
        <f>EXP(phi_o+psi_o*Tabella34[[#This Row],[x_o_alpha©+plus]])-(Tabella34[[#This Row],[Day]]-po)</f>
        <v>47.615069396143248</v>
      </c>
      <c r="BM33" s="244">
        <f>EXP(phi_o+psi_o*Tabella34[[#This Row],[x_o_alpha©-minus]])-(Tabella34[[#This Row],[Day]]-po)</f>
        <v>46.848917916965398</v>
      </c>
      <c r="BN33" s="244">
        <f>-psi_o+SQRT(psi_o^2-2*Tabella34[[#This Row],[c_o]])</f>
        <v>4.4116351048788527</v>
      </c>
      <c r="BO33" s="244">
        <f>-psi_o-SQRT(psi_o^2-2*Tabella34[[#This Row],[c_o]])</f>
        <v>-4.4606621904484811</v>
      </c>
      <c r="BP33" s="244">
        <f>phi_o-LN(alpha*Ko/(Tabella34[[#This Row],[rest of Italy velocity]]*psi_o*SQRTPI(2)))</f>
        <v>-9.8394069551941588</v>
      </c>
      <c r="BQ33" s="244">
        <f>(ACOSH(SQRT(alpha*Ka*psi_a/(Tabella34[[#This Row],[rest of Italy velocity]]*(1+TANH(phi_a)))))+phi_a)/psi_a-(Tabella34[[#This Row],[Day]]-pa)</f>
        <v>204.34787082910628</v>
      </c>
      <c r="BR33" s="72">
        <f>-2*$BY$35*TANH($BY$35*(Tabella34[[#This Row],[Day]]-$BY$44)-$BY$34)*Tabella34[[#This Row],[rest of Italy velocity]]</f>
        <v>5.12585923814874</v>
      </c>
      <c r="BS33" s="143">
        <f>Tabella34[[#This Row],[rest of Italy acc. fit]]/y_a_peak</f>
        <v>1.7911366527715647E-3</v>
      </c>
      <c r="BT33" s="142">
        <f>Tabella34[[#This Row],[rest of Italy acc. fit]]*NOT(ISBLANK(Tabella34[[#This Row],[rest of Italy rate data]]))</f>
        <v>0</v>
      </c>
      <c r="BU33" s="77">
        <f>Tabella34[[#This Row],[rest of Italy acc. fit]]+CIa</f>
        <v>1699.7000541477314</v>
      </c>
      <c r="BV33" s="77">
        <f>MAX(Tabella34[[#This Row],[rest of Italy acc. fit]]-CIa,0)</f>
        <v>0</v>
      </c>
      <c r="BW33" s="1"/>
      <c r="BX33" s="212" t="s">
        <v>0</v>
      </c>
      <c r="BY33" s="211">
        <f>Ka</f>
        <v>216030</v>
      </c>
      <c r="CL33" s="48">
        <f>{0;0;1;200;0;FALSE;FALSE;0.075;0;0;FALSE;30}</f>
        <v>0</v>
      </c>
    </row>
    <row r="34" spans="2:90" x14ac:dyDescent="0.3">
      <c r="B34" s="262">
        <v>43857</v>
      </c>
      <c r="C34" s="4">
        <v>27</v>
      </c>
      <c r="D34" s="10">
        <f>Tabella8[[#This Row],[Italy cumulative]]</f>
        <v>0</v>
      </c>
      <c r="E34" s="72">
        <f>(Tabella34[[#This Row],[Italy cumul. data]]-D33)</f>
        <v>0</v>
      </c>
      <c r="F34" s="72">
        <f>Tabella34[[#This Row],[Italy rate data]]-E33</f>
        <v>0</v>
      </c>
      <c r="G34" s="142">
        <f>Tabella34[[#This Row],[Italy rate data]]*NOT(ISBLANK(Tabella34[[#This Row],[Italy rate data]]))</f>
        <v>0</v>
      </c>
      <c r="H34" s="143">
        <f>Tabella8[[#This Row],[Italy fit]]</f>
        <v>0</v>
      </c>
      <c r="I34" s="143">
        <f>(ATANH(alpha*Tabella34[[#This Row],[Italy cumul. Fit]]/Kf-(1-alpha*Tabella34[[#This Row],[Italy cumul. Fit]]/Kf)*TANH(phi_f))+phi_f)/psi_f-(Tabella34[[#This Row],[Day]]-pf)</f>
        <v>42.844294912230211</v>
      </c>
      <c r="J34" s="143">
        <f>Tabella34[[#This Row],[Italy d.t.]]/Italy_dt_at_lockdown</f>
        <v>38.85707349584326</v>
      </c>
      <c r="K34" s="143">
        <f>Tabella34[[#This Row],[Italy cumul. Fit]]/Kf</f>
        <v>0</v>
      </c>
      <c r="L34" s="146">
        <f>Tabella34[[#This Row],[sel. region acc. fit]]+Tabella34[[#This Row],[rest of Italy acc. fit]]</f>
        <v>5.5517960659854264</v>
      </c>
      <c r="M34" s="143">
        <f>Tabella34[[#This Row],[Italy (fit of selected region + fitted sum of the other regions)]]/(y_l_peak+y_a_peak)</f>
        <v>1.8508513001697401E-3</v>
      </c>
      <c r="N34" s="143">
        <f>Tabella3[[#This Row],[Italy remov. rate fit]]</f>
        <v>113.92401177523027</v>
      </c>
      <c r="O34" s="143" t="e">
        <f>Kt*EXP(-0.5*Tabella34[[#This Row],[x_t]]^2)/(psi_t*SQRTPI(2)*(Tabella34[[#This Row],[Day]]-D_bk))</f>
        <v>#NUM!</v>
      </c>
      <c r="P34" s="183" t="e">
        <f>Tabella34[[#This Row],[Italy velocity]]/Tabella34[[#This Row],[Italy cumul. Fit]]</f>
        <v>#DIV/0!</v>
      </c>
      <c r="Q34" s="244" t="e">
        <f>(LN(Tabella34[[#This Row],[Day]]-D_bk)-phi_t)/psi_t</f>
        <v>#NUM!</v>
      </c>
      <c r="R34" s="244">
        <f>EXP(phi_t+psi_t*Tabella34[[#This Row],[x_t_alpha©+plus]])-(Tabella34[[#This Row],[Day]]-D_bk)</f>
        <v>46.778918818622898</v>
      </c>
      <c r="S34" s="244">
        <f>EXP(phi_t+psi_t*Tabella34[[#This Row],[x_t_alpha©-minus]])-(Tabella34[[#This Row],[Day]]-D_bk)</f>
        <v>46.006002965866685</v>
      </c>
      <c r="T34" s="244">
        <f>-psi_t+SQRT(psi_t^2-2*Tabella34[[#This Row],[c_t]])</f>
        <v>4.4031389911472187</v>
      </c>
      <c r="U34" s="244">
        <f>-psi_t-SQRT(psi_t^2-2*Tabella34[[#This Row],[c_t]])</f>
        <v>-4.4525317255670229</v>
      </c>
      <c r="V34" s="244">
        <f>phi_t-LN(alpha*Kt/(Tabella34[[#This Row],[Italy velocity]]*psi_t*SQRTPI(2)))</f>
        <v>-9.8025580250820852</v>
      </c>
      <c r="W34" s="244" t="e">
        <f>Tabella34[[#This Row],[Italy g.r.]]/Italy_gr_at_lockdown</f>
        <v>#DIV/0!</v>
      </c>
      <c r="X34" s="244">
        <f>(ACOSH(SQRT(alpha*Kf*psi_f/(Tabella34[[#This Row],[Italy velocity]]*(1+TANH(phi_f)))))+phi_f)/psi_f-(Tabella34[[#This Row],[Day]]-pf)</f>
        <v>202.04455280369507</v>
      </c>
      <c r="Y34" s="244">
        <f>Tabella34[[#This Row],[Italy h.t.]]/Italy_ht_at_lockdown</f>
        <v>1.7477357201808372</v>
      </c>
      <c r="Z34" s="72">
        <f>-2*$BY$48*TANH($BY$48*(Tabella34[[#This Row],[Day]]-$BY$57)-$BY$47)*Tabella34[[#This Row],[Italy velocity]]</f>
        <v>5.5191933475149577</v>
      </c>
      <c r="AA34" s="72">
        <f>Tabella34[[#This Row],[Italy acc. fit]]/Itali_acc_at_lockdown</f>
        <v>0.1528499636815942</v>
      </c>
      <c r="AB34" s="143">
        <f>Tabella34[[#This Row],[Italy acc. fit]]/y_f_peak</f>
        <v>1.8388692940237883E-3</v>
      </c>
      <c r="AC34" s="143">
        <f>Tabella34[[#This Row],[Italy (fit of selected region + fitted sum of the other regions)]]*NOT(ISBLANK(Tabella34[[#This Row],[Italy rate data]]))</f>
        <v>5.5517960659854264</v>
      </c>
      <c r="AD34" s="143">
        <f>Tabella34[[#This Row],[Italy acc. fit]]*NOT(ISBLANK(Tabella34[[#This Row],[Italy rate data]]))</f>
        <v>5.5191933475149577</v>
      </c>
      <c r="AE34" s="77">
        <f>Tabella34[[#This Row],[Italy acc. fit]]+CIf</f>
        <v>1721.1340526820663</v>
      </c>
      <c r="AF34" s="77">
        <f>MAX(Tabella34[[#This Row],[Italy acc. fit]]-CIf,0)</f>
        <v>0</v>
      </c>
      <c r="AG34" s="141"/>
      <c r="AH34" s="33"/>
      <c r="AI34" s="33"/>
      <c r="AJ34" s="142">
        <f>Tabella34[[#This Row],[selected region rate data]]*NOT(ISBLANK(Tabella34[[#This Row],[selected region rate data]]))</f>
        <v>0</v>
      </c>
      <c r="AK34" s="147">
        <f>Tabella8[[#This Row],[region fit]]</f>
        <v>0</v>
      </c>
      <c r="AL34" s="143">
        <f>(ATANH(alpha*Tabella34[[#This Row],[sel. region cumul. fit]]/Kl-(1-alpha*Tabella34[[#This Row],[sel. region cumul. fit]]/Kl)*TANH(phi_l))+phi_l)/psi_l-(Tabella34[[#This Row],[Day]]-pl)</f>
        <v>48.240334693239106</v>
      </c>
      <c r="AM34" s="142">
        <f>Tabella34[[#This Row],[sel. region cumul. fit]]/Kl</f>
        <v>0</v>
      </c>
      <c r="AN34" s="143">
        <f>Tabella3[[#This Row],[region fit]]</f>
        <v>3.2031909765901707</v>
      </c>
      <c r="AO34" s="183" t="e">
        <f>Tabella34[[#This Row],[sel. region velocity]]/Tabella34[[#This Row],[sel. region cumul. fit]]</f>
        <v>#DIV/0!</v>
      </c>
      <c r="AP34" s="236" t="e">
        <f>(LN(Tabella34[[#This Row],[Day]]-pr)-phi_r)/psi_r</f>
        <v>#NUM!</v>
      </c>
      <c r="AQ34" s="244">
        <f>EXP(phi_r+psi_r*Tabella34[[#This Row],[x_r_alpha©+plus]])-(Tabella34[[#This Row],[Day]]-pr)</f>
        <v>52.033988016422164</v>
      </c>
      <c r="AR34" s="244">
        <f>EXP(phi_r+psi_r*Tabella34[[#This Row],[x_r_alpha©-minus]])-(Tabella34[[#This Row],[Day]]-pr)</f>
        <v>51.185446936108384</v>
      </c>
      <c r="AS34" s="244">
        <f>-psi_r+SQRT(psi_r^2-2*Tabella34[[#This Row],[c_r]])</f>
        <v>4.4601927889731936</v>
      </c>
      <c r="AT34" s="244">
        <f>-psi_r-SQRT(psi_r^2-2*Tabella34[[#This Row],[c_r]])</f>
        <v>-4.5166010273918555</v>
      </c>
      <c r="AU34" s="244">
        <f>phi_r-LN(alpha*Kr/(Tabella34[[#This Row],[sel. region velocity]]*psi_r*SQRTPI(2)))</f>
        <v>-10.072455666521034</v>
      </c>
      <c r="AV34" s="244">
        <f>(ACOSH(SQRT(alpha*Kl*psi_l/(Tabella34[[#This Row],[sel. region velocity]]*(1+TANH(phi_l)))))+phi_l)/psi_l-(Tabella34[[#This Row],[Day]]-pl)</f>
        <v>194.50128753124301</v>
      </c>
      <c r="AW34" s="72">
        <f>-2*$BY$22*TANH($BY$22*(Tabella34[[#This Row],[Day]]-$BY$31)-$BY$21)*Tabella34[[#This Row],[sel. region velocity]]</f>
        <v>0.17857395433598225</v>
      </c>
      <c r="AX34" s="143">
        <f>Tabella34[[#This Row],[sel. region acc. fit]]/y_l_peak</f>
        <v>1.2958990650082027E-3</v>
      </c>
      <c r="AY34" s="143">
        <f>Tabella34[[#This Row],[sel. region acc. fit]]*NOT(ISBLANK(Tabella34[[#This Row],[selected region rate data]]))</f>
        <v>0</v>
      </c>
      <c r="AZ34" s="77">
        <f>Tabella34[[#This Row],[sel. region acc. fit]]+CIl</f>
        <v>53.943414363884436</v>
      </c>
      <c r="BA34" s="77">
        <f>MAX(Tabella34[[#This Row],[sel. region acc. fit]]-CIl,0)</f>
        <v>0</v>
      </c>
      <c r="BB34" s="141"/>
      <c r="BC34" s="33"/>
      <c r="BD34" s="33"/>
      <c r="BE34" s="142">
        <f>Tabella34[[#This Row],[rest of Italy rate data]]*NOT(ISBLANK(Tabella34[[#This Row],[rest of Italy rate data]]))</f>
        <v>0</v>
      </c>
      <c r="BF34" s="188">
        <f>Tabella8[[#This Row],[rest of Italy fit]]</f>
        <v>0</v>
      </c>
      <c r="BG34" s="78">
        <f>(ATANH(alpha*Tabella34[[#This Row],[rest of Italy cumul. fit]]/Ka-(1-alpha*Tabella34[[#This Row],[rest of Italy cumul. fit]]/Ka)*TANH(phi_a))+phi_a)/psi_a-(Tabella34[[#This Row],[Day]]-pa)</f>
        <v>42.695444456084331</v>
      </c>
      <c r="BH34" s="143">
        <f>Tabella34[[#This Row],[rest of Italy cumul. fit]]/Ka</f>
        <v>0</v>
      </c>
      <c r="BI34" s="143">
        <f>Tabella3[[#This Row],[rest of Italy fit]]</f>
        <v>111.80268874250616</v>
      </c>
      <c r="BJ34" s="183" t="e">
        <f>Tabella34[[#This Row],[rest of Italy velocity]]/Tabella34[[#This Row],[rest of Italy cumul. fit]]</f>
        <v>#DIV/0!</v>
      </c>
      <c r="BK34" s="236" t="e">
        <f>(LN(Tabella34[[#This Row],[Day]]-po)-phi_o)/psi_o</f>
        <v>#NUM!</v>
      </c>
      <c r="BL34" s="244">
        <f>EXP(phi_o+psi_o*Tabella34[[#This Row],[x_o_alpha©+plus]])-(Tabella34[[#This Row],[Day]]-po)</f>
        <v>46.614026815755764</v>
      </c>
      <c r="BM34" s="244">
        <f>EXP(phi_o+psi_o*Tabella34[[#This Row],[x_o_alpha©-minus]])-(Tabella34[[#This Row],[Day]]-po)</f>
        <v>45.849756932017527</v>
      </c>
      <c r="BN34" s="244">
        <f>-psi_o+SQRT(psi_o^2-2*Tabella34[[#This Row],[c_o]])</f>
        <v>4.4007829315316265</v>
      </c>
      <c r="BO34" s="244">
        <f>-psi_o-SQRT(psi_o^2-2*Tabella34[[#This Row],[c_o]])</f>
        <v>-4.4498100171012549</v>
      </c>
      <c r="BP34" s="244">
        <f>phi_o-LN(alpha*Ko/(Tabella34[[#This Row],[rest of Italy velocity]]*psi_o*SQRTPI(2)))</f>
        <v>-9.7913239859088286</v>
      </c>
      <c r="BQ34" s="244">
        <f>(ACOSH(SQRT(alpha*Ka*psi_a/(Tabella34[[#This Row],[rest of Italy velocity]]*(1+TANH(phi_a)))))+phi_a)/psi_a-(Tabella34[[#This Row],[Day]]-pa)</f>
        <v>202.35763978129376</v>
      </c>
      <c r="BR34" s="72">
        <f>-2*$BY$35*TANH($BY$35*(Tabella34[[#This Row],[Day]]-$BY$44)-$BY$34)*Tabella34[[#This Row],[rest of Italy velocity]]</f>
        <v>5.3732221116494445</v>
      </c>
      <c r="BS34" s="143">
        <f>Tabella34[[#This Row],[rest of Italy acc. fit]]/y_a_peak</f>
        <v>1.87757303127462E-3</v>
      </c>
      <c r="BT34" s="142">
        <f>Tabella34[[#This Row],[rest of Italy acc. fit]]*NOT(ISBLANK(Tabella34[[#This Row],[rest of Italy rate data]]))</f>
        <v>0</v>
      </c>
      <c r="BU34" s="77">
        <f>Tabella34[[#This Row],[rest of Italy acc. fit]]+CIa</f>
        <v>1699.9474170212322</v>
      </c>
      <c r="BV34" s="77">
        <f>MAX(Tabella34[[#This Row],[rest of Italy acc. fit]]-CIa,0)</f>
        <v>0</v>
      </c>
      <c r="BW34" s="1"/>
      <c r="BX34" s="212" t="s">
        <v>4713</v>
      </c>
      <c r="BY34" s="212">
        <f>phi_a</f>
        <v>1.2578511647740498</v>
      </c>
      <c r="CL34" s="49"/>
    </row>
    <row r="35" spans="2:90" x14ac:dyDescent="0.3">
      <c r="B35" s="262">
        <v>43858</v>
      </c>
      <c r="C35" s="4">
        <v>28</v>
      </c>
      <c r="D35" s="10">
        <f>Tabella8[[#This Row],[Italy cumulative]]</f>
        <v>0</v>
      </c>
      <c r="E35" s="72">
        <f>(Tabella34[[#This Row],[Italy cumul. data]]-D34)</f>
        <v>0</v>
      </c>
      <c r="F35" s="72">
        <f>Tabella34[[#This Row],[Italy rate data]]-E34</f>
        <v>0</v>
      </c>
      <c r="G35" s="142">
        <f>Tabella34[[#This Row],[Italy rate data]]*NOT(ISBLANK(Tabella34[[#This Row],[Italy rate data]]))</f>
        <v>0</v>
      </c>
      <c r="H35" s="143">
        <f>Tabella8[[#This Row],[Italy fit]]</f>
        <v>0</v>
      </c>
      <c r="I35" s="143">
        <f>(ATANH(alpha*Tabella34[[#This Row],[Italy cumul. Fit]]/Kf-(1-alpha*Tabella34[[#This Row],[Italy cumul. Fit]]/Kf)*TANH(phi_f))+phi_f)/psi_f-(Tabella34[[#This Row],[Day]]-pf)</f>
        <v>41.844294912230211</v>
      </c>
      <c r="J35" s="143">
        <f>Tabella34[[#This Row],[Italy d.t.]]/Italy_dt_at_lockdown</f>
        <v>37.950136561172144</v>
      </c>
      <c r="K35" s="143">
        <f>Tabella34[[#This Row],[Italy cumul. Fit]]/Kf</f>
        <v>0</v>
      </c>
      <c r="L35" s="146">
        <f>Tabella34[[#This Row],[sel. region acc. fit]]+Tabella34[[#This Row],[rest of Italy acc. fit]]</f>
        <v>5.8206674042894075</v>
      </c>
      <c r="M35" s="143">
        <f>Tabella34[[#This Row],[Italy (fit of selected region + fitted sum of the other regions)]]/(y_l_peak+y_a_peak)</f>
        <v>1.9404873134821225E-3</v>
      </c>
      <c r="N35" s="143">
        <f>Tabella3[[#This Row],[Italy remov. rate fit]]</f>
        <v>119.57626915327911</v>
      </c>
      <c r="O35" s="143" t="e">
        <f>Kt*EXP(-0.5*Tabella34[[#This Row],[x_t]]^2)/(psi_t*SQRTPI(2)*(Tabella34[[#This Row],[Day]]-D_bk))</f>
        <v>#NUM!</v>
      </c>
      <c r="P35" s="183" t="e">
        <f>Tabella34[[#This Row],[Italy velocity]]/Tabella34[[#This Row],[Italy cumul. Fit]]</f>
        <v>#DIV/0!</v>
      </c>
      <c r="Q35" s="244" t="e">
        <f>(LN(Tabella34[[#This Row],[Day]]-D_bk)-phi_t)/psi_t</f>
        <v>#NUM!</v>
      </c>
      <c r="R35" s="244">
        <f>EXP(phi_t+psi_t*Tabella34[[#This Row],[x_t_alpha©+plus]])-(Tabella34[[#This Row],[Day]]-D_bk)</f>
        <v>45.77785498724392</v>
      </c>
      <c r="S35" s="244">
        <f>EXP(phi_t+psi_t*Tabella34[[#This Row],[x_t_alpha©-minus]])-(Tabella34[[#This Row],[Day]]-D_bk)</f>
        <v>45.00685804985536</v>
      </c>
      <c r="T35" s="244">
        <f>-psi_t+SQRT(psi_t^2-2*Tabella34[[#This Row],[c_t]])</f>
        <v>4.3921894677982456</v>
      </c>
      <c r="U35" s="244">
        <f>-psi_t-SQRT(psi_t^2-2*Tabella34[[#This Row],[c_t]])</f>
        <v>-4.4415822022180498</v>
      </c>
      <c r="V35" s="244">
        <f>phi_t-LN(alpha*Kt/(Tabella34[[#This Row],[Italy velocity]]*psi_t*SQRTPI(2)))</f>
        <v>-9.7541352844711291</v>
      </c>
      <c r="W35" s="244" t="e">
        <f>Tabella34[[#This Row],[Italy g.r.]]/Italy_gr_at_lockdown</f>
        <v>#DIV/0!</v>
      </c>
      <c r="X35" s="244">
        <f>(ACOSH(SQRT(alpha*Kf*psi_f/(Tabella34[[#This Row],[Italy velocity]]*(1+TANH(phi_f)))))+phi_f)/psi_f-(Tabella34[[#This Row],[Day]]-pf)</f>
        <v>200.05451807935128</v>
      </c>
      <c r="Y35" s="244">
        <f>Tabella34[[#This Row],[Italy h.t.]]/Italy_ht_at_lockdown</f>
        <v>1.7305214240076803</v>
      </c>
      <c r="Z35" s="72">
        <f>-2*$BY$48*TANH($BY$48*(Tabella34[[#This Row],[Day]]-$BY$57)-$BY$47)*Tabella34[[#This Row],[Italy velocity]]</f>
        <v>5.7873514190517064</v>
      </c>
      <c r="AA35" s="72">
        <f>Tabella34[[#This Row],[Italy acc. fit]]/Itali_acc_at_lockdown</f>
        <v>0.1602764024588792</v>
      </c>
      <c r="AB35" s="143">
        <f>Tabella34[[#This Row],[Italy acc. fit]]/y_f_peak</f>
        <v>1.9282134449975143E-3</v>
      </c>
      <c r="AC35" s="143">
        <f>Tabella34[[#This Row],[Italy (fit of selected region + fitted sum of the other regions)]]*NOT(ISBLANK(Tabella34[[#This Row],[Italy rate data]]))</f>
        <v>5.8206674042894075</v>
      </c>
      <c r="AD35" s="143">
        <f>Tabella34[[#This Row],[Italy acc. fit]]*NOT(ISBLANK(Tabella34[[#This Row],[Italy rate data]]))</f>
        <v>5.7873514190517064</v>
      </c>
      <c r="AE35" s="77">
        <f>Tabella34[[#This Row],[Italy acc. fit]]+CIf</f>
        <v>1721.402210753603</v>
      </c>
      <c r="AF35" s="77">
        <f>MAX(Tabella34[[#This Row],[Italy acc. fit]]-CIf,0)</f>
        <v>0</v>
      </c>
      <c r="AG35" s="141"/>
      <c r="AH35" s="33"/>
      <c r="AI35" s="33"/>
      <c r="AJ35" s="142">
        <f>Tabella34[[#This Row],[selected region rate data]]*NOT(ISBLANK(Tabella34[[#This Row],[selected region rate data]]))</f>
        <v>0</v>
      </c>
      <c r="AK35" s="147">
        <f>Tabella8[[#This Row],[region fit]]</f>
        <v>0</v>
      </c>
      <c r="AL35" s="143">
        <f>(ATANH(alpha*Tabella34[[#This Row],[sel. region cumul. fit]]/Kl-(1-alpha*Tabella34[[#This Row],[sel. region cumul. fit]]/Kl)*TANH(phi_l))+phi_l)/psi_l-(Tabella34[[#This Row],[Day]]-pl)</f>
        <v>47.240334693239106</v>
      </c>
      <c r="AM35" s="142">
        <f>Tabella34[[#This Row],[sel. region cumul. fit]]/Kl</f>
        <v>0</v>
      </c>
      <c r="AN35" s="143">
        <f>Tabella3[[#This Row],[region fit]]</f>
        <v>3.3867725673259752</v>
      </c>
      <c r="AO35" s="183" t="e">
        <f>Tabella34[[#This Row],[sel. region velocity]]/Tabella34[[#This Row],[sel. region cumul. fit]]</f>
        <v>#DIV/0!</v>
      </c>
      <c r="AP35" s="236" t="e">
        <f>(LN(Tabella34[[#This Row],[Day]]-pr)-phi_r)/psi_r</f>
        <v>#NUM!</v>
      </c>
      <c r="AQ35" s="244">
        <f>EXP(phi_r+psi_r*Tabella34[[#This Row],[x_r_alpha©+plus]])-(Tabella34[[#This Row],[Day]]-pr)</f>
        <v>51.032657889050917</v>
      </c>
      <c r="AR35" s="244">
        <f>EXP(phi_r+psi_r*Tabella34[[#This Row],[x_r_alpha©-minus]])-(Tabella34[[#This Row],[Day]]-pr)</f>
        <v>50.186479910937628</v>
      </c>
      <c r="AS35" s="244">
        <f>-psi_r+SQRT(psi_r^2-2*Tabella34[[#This Row],[c_r]])</f>
        <v>4.4477591230334816</v>
      </c>
      <c r="AT35" s="244">
        <f>-psi_r-SQRT(psi_r^2-2*Tabella34[[#This Row],[c_r]])</f>
        <v>-4.5041673614521436</v>
      </c>
      <c r="AU35" s="244">
        <f>phi_r-LN(alpha*Kr/(Tabella34[[#This Row],[sel. region velocity]]*psi_r*SQRTPI(2)))</f>
        <v>-10.016725736784206</v>
      </c>
      <c r="AV35" s="244">
        <f>(ACOSH(SQRT(alpha*Kl*psi_l/(Tabella34[[#This Row],[sel. region velocity]]*(1+TANH(phi_l)))))+phi_l)/psi_l-(Tabella34[[#This Row],[Day]]-pl)</f>
        <v>192.50735459430086</v>
      </c>
      <c r="AW35" s="72">
        <f>-2*$BY$22*TANH($BY$22*(Tabella34[[#This Row],[Day]]-$BY$31)-$BY$21)*Tabella34[[#This Row],[sel. region velocity]]</f>
        <v>0.18867959603393983</v>
      </c>
      <c r="AX35" s="143">
        <f>Tabella34[[#This Row],[sel. region acc. fit]]/y_l_peak</f>
        <v>1.3692350208388696E-3</v>
      </c>
      <c r="AY35" s="143">
        <f>Tabella34[[#This Row],[sel. region acc. fit]]*NOT(ISBLANK(Tabella34[[#This Row],[selected region rate data]]))</f>
        <v>0</v>
      </c>
      <c r="AZ35" s="77">
        <f>Tabella34[[#This Row],[sel. region acc. fit]]+CIl</f>
        <v>53.953520005582398</v>
      </c>
      <c r="BA35" s="77">
        <f>MAX(Tabella34[[#This Row],[sel. region acc. fit]]-CIl,0)</f>
        <v>0</v>
      </c>
      <c r="BB35" s="141"/>
      <c r="BC35" s="33"/>
      <c r="BD35" s="33"/>
      <c r="BE35" s="142">
        <f>Tabella34[[#This Row],[rest of Italy rate data]]*NOT(ISBLANK(Tabella34[[#This Row],[rest of Italy rate data]]))</f>
        <v>0</v>
      </c>
      <c r="BF35" s="188">
        <f>Tabella8[[#This Row],[rest of Italy fit]]</f>
        <v>0</v>
      </c>
      <c r="BG35" s="78">
        <f>(ATANH(alpha*Tabella34[[#This Row],[rest of Italy cumul. fit]]/Ka-(1-alpha*Tabella34[[#This Row],[rest of Italy cumul. fit]]/Ka)*TANH(phi_a))+phi_a)/psi_a-(Tabella34[[#This Row],[Day]]-pa)</f>
        <v>41.695444456084331</v>
      </c>
      <c r="BH35" s="143">
        <f>Tabella34[[#This Row],[rest of Italy cumul. fit]]/Ka</f>
        <v>0</v>
      </c>
      <c r="BI35" s="143">
        <f>Tabella3[[#This Row],[rest of Italy fit]]</f>
        <v>117.30432405376986</v>
      </c>
      <c r="BJ35" s="183" t="e">
        <f>Tabella34[[#This Row],[rest of Italy velocity]]/Tabella34[[#This Row],[rest of Italy cumul. fit]]</f>
        <v>#DIV/0!</v>
      </c>
      <c r="BK35" s="236" t="e">
        <f>(LN(Tabella34[[#This Row],[Day]]-po)-phi_o)/psi_o</f>
        <v>#NUM!</v>
      </c>
      <c r="BL35" s="244">
        <f>EXP(phi_o+psi_o*Tabella34[[#This Row],[x_o_alpha©+plus]])-(Tabella34[[#This Row],[Day]]-po)</f>
        <v>45.612982972296741</v>
      </c>
      <c r="BM35" s="244">
        <f>EXP(phi_o+psi_o*Tabella34[[#This Row],[x_o_alpha©-minus]])-(Tabella34[[#This Row],[Day]]-po)</f>
        <v>44.850597410913167</v>
      </c>
      <c r="BN35" s="244">
        <f>-psi_o+SQRT(psi_o^2-2*Tabella34[[#This Row],[c_o]])</f>
        <v>4.3899147179579669</v>
      </c>
      <c r="BO35" s="244">
        <f>-psi_o-SQRT(psi_o^2-2*Tabella34[[#This Row],[c_o]])</f>
        <v>-4.4389418035275954</v>
      </c>
      <c r="BP35" s="244">
        <f>phi_o-LN(alpha*Ko/(Tabella34[[#This Row],[rest of Italy velocity]]*psi_o*SQRTPI(2)))</f>
        <v>-9.7432879777323382</v>
      </c>
      <c r="BQ35" s="244">
        <f>(ACOSH(SQRT(alpha*Ka*psi_a/(Tabella34[[#This Row],[rest of Italy velocity]]*(1+TANH(phi_a)))))+phi_a)/psi_a-(Tabella34[[#This Row],[Day]]-pa)</f>
        <v>200.36790205587079</v>
      </c>
      <c r="BR35" s="72">
        <f>-2*$BY$35*TANH($BY$35*(Tabella34[[#This Row],[Day]]-$BY$44)-$BY$34)*Tabella34[[#This Row],[rest of Italy velocity]]</f>
        <v>5.6319878082554675</v>
      </c>
      <c r="BS35" s="143">
        <f>Tabella34[[#This Row],[rest of Italy acc. fit]]/y_a_peak</f>
        <v>1.9679939152937465E-3</v>
      </c>
      <c r="BT35" s="142">
        <f>Tabella34[[#This Row],[rest of Italy acc. fit]]*NOT(ISBLANK(Tabella34[[#This Row],[rest of Italy rate data]]))</f>
        <v>0</v>
      </c>
      <c r="BU35" s="77">
        <f>Tabella34[[#This Row],[rest of Italy acc. fit]]+CIa</f>
        <v>1700.2061827178381</v>
      </c>
      <c r="BV35" s="77">
        <f>MAX(Tabella34[[#This Row],[rest of Italy acc. fit]]-CIa,0)</f>
        <v>0</v>
      </c>
      <c r="BX35" s="212" t="s">
        <v>4714</v>
      </c>
      <c r="BY35" s="212">
        <f>psi_a</f>
        <v>2.4513542784814477E-2</v>
      </c>
      <c r="CB35" s="1"/>
      <c r="CL35" s="45"/>
    </row>
    <row r="36" spans="2:90" x14ac:dyDescent="0.3">
      <c r="B36" s="262">
        <v>43859</v>
      </c>
      <c r="C36" s="4">
        <v>29</v>
      </c>
      <c r="D36" s="10">
        <f>Tabella8[[#This Row],[Italy cumulative]]</f>
        <v>0</v>
      </c>
      <c r="E36" s="72">
        <f>(Tabella34[[#This Row],[Italy cumul. data]]-D35)</f>
        <v>0</v>
      </c>
      <c r="F36" s="72">
        <f>Tabella34[[#This Row],[Italy rate data]]-E35</f>
        <v>0</v>
      </c>
      <c r="G36" s="142">
        <f>Tabella34[[#This Row],[Italy rate data]]*NOT(ISBLANK(Tabella34[[#This Row],[Italy rate data]]))</f>
        <v>0</v>
      </c>
      <c r="H36" s="143">
        <f>Tabella8[[#This Row],[Italy fit]]</f>
        <v>0</v>
      </c>
      <c r="I36" s="143">
        <f>(ATANH(alpha*Tabella34[[#This Row],[Italy cumul. Fit]]/Kf-(1-alpha*Tabella34[[#This Row],[Italy cumul. Fit]]/Kf)*TANH(phi_f))+phi_f)/psi_f-(Tabella34[[#This Row],[Day]]-pf)</f>
        <v>40.844294912230211</v>
      </c>
      <c r="J36" s="143">
        <f>Tabella34[[#This Row],[Italy d.t.]]/Italy_dt_at_lockdown</f>
        <v>37.043199626501028</v>
      </c>
      <c r="K36" s="143">
        <f>Tabella34[[#This Row],[Italy cumul. Fit]]/Kf</f>
        <v>0</v>
      </c>
      <c r="L36" s="146">
        <f>Tabella34[[#This Row],[sel. region acc. fit]]+Tabella34[[#This Row],[rest of Italy acc. fit]]</f>
        <v>6.1019687582144995</v>
      </c>
      <c r="M36" s="143">
        <f>Tabella34[[#This Row],[Italy (fit of selected region + fitted sum of the other regions)]]/(y_l_peak+y_a_peak)</f>
        <v>2.0342672309113033E-3</v>
      </c>
      <c r="N36" s="143">
        <f>Tabella3[[#This Row],[Italy remov. rate fit]]</f>
        <v>125.5028587156078</v>
      </c>
      <c r="O36" s="143" t="e">
        <f>Kt*EXP(-0.5*Tabella34[[#This Row],[x_t]]^2)/(psi_t*SQRTPI(2)*(Tabella34[[#This Row],[Day]]-D_bk))</f>
        <v>#NUM!</v>
      </c>
      <c r="P36" s="183" t="e">
        <f>Tabella34[[#This Row],[Italy velocity]]/Tabella34[[#This Row],[Italy cumul. Fit]]</f>
        <v>#DIV/0!</v>
      </c>
      <c r="Q36" s="244" t="e">
        <f>(LN(Tabella34[[#This Row],[Day]]-D_bk)-phi_t)/psi_t</f>
        <v>#NUM!</v>
      </c>
      <c r="R36" s="244">
        <f>EXP(phi_t+psi_t*Tabella34[[#This Row],[x_t_alpha©+plus]])-(Tabella34[[#This Row],[Day]]-D_bk)</f>
        <v>44.776789872189752</v>
      </c>
      <c r="S36" s="244">
        <f>EXP(phi_t+psi_t*Tabella34[[#This Row],[x_t_alpha©-minus]])-(Tabella34[[#This Row],[Day]]-D_bk)</f>
        <v>44.007714629111518</v>
      </c>
      <c r="T36" s="244">
        <f>-psi_t+SQRT(psi_t^2-2*Tabella34[[#This Row],[c_t]])</f>
        <v>4.3812237651127717</v>
      </c>
      <c r="U36" s="244">
        <f>-psi_t-SQRT(psi_t^2-2*Tabella34[[#This Row],[c_t]])</f>
        <v>-4.4306164995325759</v>
      </c>
      <c r="V36" s="244">
        <f>phi_t-LN(alpha*Kt/(Tabella34[[#This Row],[Italy velocity]]*psi_t*SQRTPI(2)))</f>
        <v>-9.7057611509264401</v>
      </c>
      <c r="W36" s="244" t="e">
        <f>Tabella34[[#This Row],[Italy g.r.]]/Italy_gr_at_lockdown</f>
        <v>#DIV/0!</v>
      </c>
      <c r="X36" s="244">
        <f>(ACOSH(SQRT(alpha*Kf*psi_f/(Tabella34[[#This Row],[Italy velocity]]*(1+TANH(phi_f)))))+phi_f)/psi_f-(Tabella34[[#This Row],[Day]]-pf)</f>
        <v>198.06499048805802</v>
      </c>
      <c r="Y36" s="244">
        <f>Tabella34[[#This Row],[Italy h.t.]]/Italy_ht_at_lockdown</f>
        <v>1.7133115146617599</v>
      </c>
      <c r="Z36" s="72">
        <f>-2*$BY$48*TANH($BY$48*(Tabella34[[#This Row],[Day]]-$BY$57)-$BY$47)*Tabella34[[#This Row],[Italy velocity]]</f>
        <v>6.0679423003051838</v>
      </c>
      <c r="AA36" s="72">
        <f>Tabella34[[#This Row],[Italy acc. fit]]/Itali_acc_at_lockdown</f>
        <v>0.16804715867424011</v>
      </c>
      <c r="AB36" s="143">
        <f>Tabella34[[#This Row],[Italy acc. fit]]/y_f_peak</f>
        <v>2.0216999244940903E-3</v>
      </c>
      <c r="AC36" s="143">
        <f>Tabella34[[#This Row],[Italy (fit of selected region + fitted sum of the other regions)]]*NOT(ISBLANK(Tabella34[[#This Row],[Italy rate data]]))</f>
        <v>6.1019687582144995</v>
      </c>
      <c r="AD36" s="143">
        <f>Tabella34[[#This Row],[Italy acc. fit]]*NOT(ISBLANK(Tabella34[[#This Row],[Italy rate data]]))</f>
        <v>6.0679423003051838</v>
      </c>
      <c r="AE36" s="77">
        <f>Tabella34[[#This Row],[Italy acc. fit]]+CIf</f>
        <v>1721.6828016348566</v>
      </c>
      <c r="AF36" s="77">
        <f>MAX(Tabella34[[#This Row],[Italy acc. fit]]-CIf,0)</f>
        <v>0</v>
      </c>
      <c r="AG36" s="141"/>
      <c r="AH36" s="33"/>
      <c r="AI36" s="33"/>
      <c r="AJ36" s="142">
        <f>Tabella34[[#This Row],[selected region rate data]]*NOT(ISBLANK(Tabella34[[#This Row],[selected region rate data]]))</f>
        <v>0</v>
      </c>
      <c r="AK36" s="147">
        <f>Tabella8[[#This Row],[region fit]]</f>
        <v>0</v>
      </c>
      <c r="AL36" s="143">
        <f>(ATANH(alpha*Tabella34[[#This Row],[sel. region cumul. fit]]/Kl-(1-alpha*Tabella34[[#This Row],[sel. region cumul. fit]]/Kl)*TANH(phi_l))+phi_l)/psi_l-(Tabella34[[#This Row],[Day]]-pl)</f>
        <v>46.240334693239106</v>
      </c>
      <c r="AM36" s="142">
        <f>Tabella34[[#This Row],[sel. region cumul. fit]]/Kl</f>
        <v>0</v>
      </c>
      <c r="AN36" s="143">
        <f>Tabella3[[#This Row],[region fit]]</f>
        <v>3.5807355530539682</v>
      </c>
      <c r="AO36" s="183" t="e">
        <f>Tabella34[[#This Row],[sel. region velocity]]/Tabella34[[#This Row],[sel. region cumul. fit]]</f>
        <v>#DIV/0!</v>
      </c>
      <c r="AP36" s="236" t="e">
        <f>(LN(Tabella34[[#This Row],[Day]]-pr)-phi_r)/psi_r</f>
        <v>#NUM!</v>
      </c>
      <c r="AQ36" s="244">
        <f>EXP(phi_r+psi_r*Tabella34[[#This Row],[x_r_alpha©+plus]])-(Tabella34[[#This Row],[Day]]-pr)</f>
        <v>50.031325461667066</v>
      </c>
      <c r="AR36" s="244">
        <f>EXP(phi_r+psi_r*Tabella34[[#This Row],[x_r_alpha©-minus]])-(Tabella34[[#This Row],[Day]]-pr)</f>
        <v>49.187515398704456</v>
      </c>
      <c r="AS36" s="244">
        <f>-psi_r+SQRT(psi_r^2-2*Tabella34[[#This Row],[c_r]])</f>
        <v>4.4352995841099103</v>
      </c>
      <c r="AT36" s="244">
        <f>-psi_r-SQRT(psi_r^2-2*Tabella34[[#This Row],[c_r]])</f>
        <v>-4.4917078225285723</v>
      </c>
      <c r="AU36" s="244">
        <f>phi_r-LN(alpha*Kr/(Tabella34[[#This Row],[sel. region velocity]]*psi_r*SQRTPI(2)))</f>
        <v>-9.9610349186021043</v>
      </c>
      <c r="AV36" s="244">
        <f>(ACOSH(SQRT(alpha*Kl*psi_l/(Tabella34[[#This Row],[sel. region velocity]]*(1+TANH(phi_l)))))+phi_l)/psi_l-(Tabella34[[#This Row],[Day]]-pl)</f>
        <v>190.51377483556917</v>
      </c>
      <c r="AW36" s="72">
        <f>-2*$BY$22*TANH($BY$22*(Tabella34[[#This Row],[Day]]-$BY$31)-$BY$21)*Tabella34[[#This Row],[sel. region velocity]]</f>
        <v>0.199341431982381</v>
      </c>
      <c r="AX36" s="143">
        <f>Tabella34[[#This Row],[sel. region acc. fit]]/y_l_peak</f>
        <v>1.4466072405908052E-3</v>
      </c>
      <c r="AY36" s="143">
        <f>Tabella34[[#This Row],[sel. region acc. fit]]*NOT(ISBLANK(Tabella34[[#This Row],[selected region rate data]]))</f>
        <v>0</v>
      </c>
      <c r="AZ36" s="77">
        <f>Tabella34[[#This Row],[sel. region acc. fit]]+CIl</f>
        <v>53.964181841530838</v>
      </c>
      <c r="BA36" s="77">
        <f>MAX(Tabella34[[#This Row],[sel. region acc. fit]]-CIl,0)</f>
        <v>0</v>
      </c>
      <c r="BB36" s="141"/>
      <c r="BC36" s="33"/>
      <c r="BD36" s="33"/>
      <c r="BE36" s="142">
        <f>Tabella34[[#This Row],[rest of Italy rate data]]*NOT(ISBLANK(Tabella34[[#This Row],[rest of Italy rate data]]))</f>
        <v>0</v>
      </c>
      <c r="BF36" s="188">
        <f>Tabella8[[#This Row],[rest of Italy fit]]</f>
        <v>0</v>
      </c>
      <c r="BG36" s="78">
        <f>(ATANH(alpha*Tabella34[[#This Row],[rest of Italy cumul. fit]]/Ka-(1-alpha*Tabella34[[#This Row],[rest of Italy cumul. fit]]/Ka)*TANH(phi_a))+phi_a)/psi_a-(Tabella34[[#This Row],[Day]]-pa)</f>
        <v>40.695444456084331</v>
      </c>
      <c r="BH36" s="143">
        <f>Tabella34[[#This Row],[rest of Italy cumul. fit]]/Ka</f>
        <v>0</v>
      </c>
      <c r="BI36" s="143">
        <f>Tabella3[[#This Row],[rest of Italy fit]]</f>
        <v>123.07062214660031</v>
      </c>
      <c r="BJ36" s="183" t="e">
        <f>Tabella34[[#This Row],[rest of Italy velocity]]/Tabella34[[#This Row],[rest of Italy cumul. fit]]</f>
        <v>#DIV/0!</v>
      </c>
      <c r="BK36" s="236" t="e">
        <f>(LN(Tabella34[[#This Row],[Day]]-po)-phi_o)/psi_o</f>
        <v>#NUM!</v>
      </c>
      <c r="BL36" s="244">
        <f>EXP(phi_o+psi_o*Tabella34[[#This Row],[x_o_alpha©+plus]])-(Tabella34[[#This Row],[Day]]-po)</f>
        <v>44.611937905902941</v>
      </c>
      <c r="BM36" s="244">
        <f>EXP(phi_o+psi_o*Tabella34[[#This Row],[x_o_alpha©-minus]])-(Tabella34[[#This Row],[Day]]-po)</f>
        <v>43.851439323292851</v>
      </c>
      <c r="BN36" s="244">
        <f>-psi_o+SQRT(psi_o^2-2*Tabella34[[#This Row],[c_o]])</f>
        <v>4.3790308701645575</v>
      </c>
      <c r="BO36" s="244">
        <f>-psi_o-SQRT(psi_o^2-2*Tabella34[[#This Row],[c_o]])</f>
        <v>-4.4280579557341859</v>
      </c>
      <c r="BP36" s="244">
        <f>phi_o-LN(alpha*Ko/(Tabella34[[#This Row],[rest of Italy velocity]]*psi_o*SQRTPI(2)))</f>
        <v>-9.6953012415188802</v>
      </c>
      <c r="BQ36" s="244">
        <f>(ACOSH(SQRT(alpha*Ka*psi_a/(Tabella34[[#This Row],[rest of Italy velocity]]*(1+TANH(phi_a)))))+phi_a)/psi_a-(Tabella34[[#This Row],[Day]]-pa)</f>
        <v>198.37868269069219</v>
      </c>
      <c r="BR36" s="72">
        <f>-2*$BY$35*TANH($BY$35*(Tabella34[[#This Row],[Day]]-$BY$44)-$BY$34)*Tabella34[[#This Row],[rest of Italy velocity]]</f>
        <v>5.9026273262321185</v>
      </c>
      <c r="BS36" s="143">
        <f>Tabella34[[#This Row],[rest of Italy acc. fit]]/y_a_peak</f>
        <v>2.0625638864565678E-3</v>
      </c>
      <c r="BT36" s="142">
        <f>Tabella34[[#This Row],[rest of Italy acc. fit]]*NOT(ISBLANK(Tabella34[[#This Row],[rest of Italy rate data]]))</f>
        <v>0</v>
      </c>
      <c r="BU36" s="77">
        <f>Tabella34[[#This Row],[rest of Italy acc. fit]]+CIa</f>
        <v>1700.4768222358148</v>
      </c>
      <c r="BV36" s="77">
        <f>MAX(Tabella34[[#This Row],[rest of Italy acc. fit]]-CIa,0)</f>
        <v>0</v>
      </c>
      <c r="BX36" s="213" t="s">
        <v>1</v>
      </c>
      <c r="BY36" s="214">
        <f>AVERAGE(Tabella34[rest of Italy rate data])</f>
        <v>1739.5822784810127</v>
      </c>
      <c r="CL36" s="45"/>
    </row>
    <row r="37" spans="2:90" x14ac:dyDescent="0.3">
      <c r="B37" s="262">
        <v>43860</v>
      </c>
      <c r="C37" s="4">
        <v>30</v>
      </c>
      <c r="D37" s="10">
        <f>Tabella8[[#This Row],[Italy cumulative]]</f>
        <v>0</v>
      </c>
      <c r="E37" s="72">
        <f>(Tabella34[[#This Row],[Italy cumul. data]]-D36)</f>
        <v>0</v>
      </c>
      <c r="F37" s="72">
        <f>Tabella34[[#This Row],[Italy rate data]]-E36</f>
        <v>0</v>
      </c>
      <c r="G37" s="142">
        <f>Tabella34[[#This Row],[Italy rate data]]*NOT(ISBLANK(Tabella34[[#This Row],[Italy rate data]]))</f>
        <v>0</v>
      </c>
      <c r="H37" s="143">
        <f>Tabella8[[#This Row],[Italy fit]]</f>
        <v>0</v>
      </c>
      <c r="I37" s="143">
        <f>(ATANH(alpha*Tabella34[[#This Row],[Italy cumul. Fit]]/Kf-(1-alpha*Tabella34[[#This Row],[Italy cumul. Fit]]/Kf)*TANH(phi_f))+phi_f)/psi_f-(Tabella34[[#This Row],[Day]]-pf)</f>
        <v>39.844294912230211</v>
      </c>
      <c r="J37" s="143">
        <f>Tabella34[[#This Row],[Italy d.t.]]/Italy_dt_at_lockdown</f>
        <v>36.13626269182992</v>
      </c>
      <c r="K37" s="143">
        <f>Tabella34[[#This Row],[Italy cumul. Fit]]/Kf</f>
        <v>0</v>
      </c>
      <c r="L37" s="146">
        <f>Tabella34[[#This Row],[sel. region acc. fit]]+Tabella34[[#This Row],[rest of Italy acc. fit]]</f>
        <v>6.396213622170138</v>
      </c>
      <c r="M37" s="143">
        <f>Tabella34[[#This Row],[Italy (fit of selected region + fitted sum of the other regions)]]/(y_l_peak+y_a_peak)</f>
        <v>2.1323622406248664E-3</v>
      </c>
      <c r="N37" s="143">
        <f>Tabella3[[#This Row],[Italy remov. rate fit]]</f>
        <v>131.71646952970602</v>
      </c>
      <c r="O37" s="143" t="e">
        <f>Kt*EXP(-0.5*Tabella34[[#This Row],[x_t]]^2)/(psi_t*SQRTPI(2)*(Tabella34[[#This Row],[Day]]-D_bk))</f>
        <v>#NUM!</v>
      </c>
      <c r="P37" s="183" t="e">
        <f>Tabella34[[#This Row],[Italy velocity]]/Tabella34[[#This Row],[Italy cumul. Fit]]</f>
        <v>#DIV/0!</v>
      </c>
      <c r="Q37" s="244" t="e">
        <f>(LN(Tabella34[[#This Row],[Day]]-D_bk)-phi_t)/psi_t</f>
        <v>#NUM!</v>
      </c>
      <c r="R37" s="244">
        <f>EXP(phi_t+psi_t*Tabella34[[#This Row],[x_t_alpha©+plus]])-(Tabella34[[#This Row],[Day]]-D_bk)</f>
        <v>43.775723516121786</v>
      </c>
      <c r="S37" s="244">
        <f>EXP(phi_t+psi_t*Tabella34[[#This Row],[x_t_alpha©-minus]])-(Tabella34[[#This Row],[Day]]-D_bk)</f>
        <v>43.008572671352773</v>
      </c>
      <c r="T37" s="244">
        <f>-psi_t+SQRT(psi_t^2-2*Tabella34[[#This Row],[c_t]])</f>
        <v>4.3702423101367067</v>
      </c>
      <c r="U37" s="244">
        <f>-psi_t-SQRT(psi_t^2-2*Tabella34[[#This Row],[c_t]])</f>
        <v>-4.4196350445565109</v>
      </c>
      <c r="V37" s="244">
        <f>phi_t-LN(alpha*Kt/(Tabella34[[#This Row],[Italy velocity]]*psi_t*SQRTPI(2)))</f>
        <v>-9.657438033541899</v>
      </c>
      <c r="W37" s="244" t="e">
        <f>Tabella34[[#This Row],[Italy g.r.]]/Italy_gr_at_lockdown</f>
        <v>#DIV/0!</v>
      </c>
      <c r="X37" s="244">
        <f>(ACOSH(SQRT(alpha*Kf*psi_f/(Tabella34[[#This Row],[Italy velocity]]*(1+TANH(phi_f)))))+phi_f)/psi_f-(Tabella34[[#This Row],[Day]]-pf)</f>
        <v>196.07599597043145</v>
      </c>
      <c r="Y37" s="244">
        <f>Tabella34[[#This Row],[Italy h.t.]]/Italy_ht_at_lockdown</f>
        <v>1.6961062165358693</v>
      </c>
      <c r="Z37" s="72">
        <f>-2*$BY$48*TANH($BY$48*(Tabella34[[#This Row],[Day]]-$BY$57)-$BY$47)*Tabella34[[#This Row],[Italy velocity]]</f>
        <v>6.3614810049842454</v>
      </c>
      <c r="AA37" s="72">
        <f>Tabella34[[#This Row],[Italy acc. fit]]/Itali_acc_at_lockdown</f>
        <v>0.17617649525012552</v>
      </c>
      <c r="AB37" s="143">
        <f>Tabella34[[#This Row],[Italy acc. fit]]/y_f_peak</f>
        <v>2.1195003233304313E-3</v>
      </c>
      <c r="AC37" s="143">
        <f>Tabella34[[#This Row],[Italy (fit of selected region + fitted sum of the other regions)]]*NOT(ISBLANK(Tabella34[[#This Row],[Italy rate data]]))</f>
        <v>6.396213622170138</v>
      </c>
      <c r="AD37" s="143">
        <f>Tabella34[[#This Row],[Italy acc. fit]]*NOT(ISBLANK(Tabella34[[#This Row],[Italy rate data]]))</f>
        <v>6.3614810049842454</v>
      </c>
      <c r="AE37" s="77">
        <f>Tabella34[[#This Row],[Italy acc. fit]]+CIf</f>
        <v>1721.9763403395355</v>
      </c>
      <c r="AF37" s="77">
        <f>MAX(Tabella34[[#This Row],[Italy acc. fit]]-CIf,0)</f>
        <v>0</v>
      </c>
      <c r="AG37" s="141"/>
      <c r="AH37" s="33"/>
      <c r="AI37" s="33"/>
      <c r="AJ37" s="142">
        <f>Tabella34[[#This Row],[selected region rate data]]*NOT(ISBLANK(Tabella34[[#This Row],[selected region rate data]]))</f>
        <v>0</v>
      </c>
      <c r="AK37" s="147">
        <f>Tabella8[[#This Row],[region fit]]</f>
        <v>0</v>
      </c>
      <c r="AL37" s="143">
        <f>(ATANH(alpha*Tabella34[[#This Row],[sel. region cumul. fit]]/Kl-(1-alpha*Tabella34[[#This Row],[sel. region cumul. fit]]/Kl)*TANH(phi_l))+phi_l)/psi_l-(Tabella34[[#This Row],[Day]]-pl)</f>
        <v>45.240334693239106</v>
      </c>
      <c r="AM37" s="142">
        <f>Tabella34[[#This Row],[sel. region cumul. fit]]/Kl</f>
        <v>0</v>
      </c>
      <c r="AN37" s="143">
        <f>Tabella3[[#This Row],[region fit]]</f>
        <v>3.7856503978613674</v>
      </c>
      <c r="AO37" s="183" t="e">
        <f>Tabella34[[#This Row],[sel. region velocity]]/Tabella34[[#This Row],[sel. region cumul. fit]]</f>
        <v>#DIV/0!</v>
      </c>
      <c r="AP37" s="236" t="e">
        <f>(LN(Tabella34[[#This Row],[Day]]-pr)-phi_r)/psi_r</f>
        <v>#NUM!</v>
      </c>
      <c r="AQ37" s="244">
        <f>EXP(phi_r+psi_r*Tabella34[[#This Row],[x_r_alpha©+plus]])-(Tabella34[[#This Row],[Day]]-pr)</f>
        <v>49.029990767587869</v>
      </c>
      <c r="AR37" s="244">
        <f>EXP(phi_r+psi_r*Tabella34[[#This Row],[x_r_alpha©-minus]])-(Tabella34[[#This Row],[Day]]-pr)</f>
        <v>48.188553378025198</v>
      </c>
      <c r="AS37" s="244">
        <f>-psi_r+SQRT(psi_r^2-2*Tabella34[[#This Row],[c_r]])</f>
        <v>4.4228144581658748</v>
      </c>
      <c r="AT37" s="244">
        <f>-psi_r-SQRT(psi_r^2-2*Tabella34[[#This Row],[c_r]])</f>
        <v>-4.4792226965845368</v>
      </c>
      <c r="AU37" s="244">
        <f>phi_r-LN(alpha*Kr/(Tabella34[[#This Row],[sel. region velocity]]*psi_r*SQRTPI(2)))</f>
        <v>-9.9053854518994147</v>
      </c>
      <c r="AV37" s="244">
        <f>(ACOSH(SQRT(alpha*Kl*psi_l/(Tabella34[[#This Row],[sel. region velocity]]*(1+TANH(phi_l)))))+phi_l)/psi_l-(Tabella34[[#This Row],[Day]]-pl)</f>
        <v>188.52056888138446</v>
      </c>
      <c r="AW37" s="72">
        <f>-2*$BY$22*TANH($BY$22*(Tabella34[[#This Row],[Day]]-$BY$31)-$BY$21)*Tabella34[[#This Row],[sel. region velocity]]</f>
        <v>0.2105882097124456</v>
      </c>
      <c r="AX37" s="143">
        <f>Tabella34[[#This Row],[sel. region acc. fit]]/y_l_peak</f>
        <v>1.528224343146108E-3</v>
      </c>
      <c r="AY37" s="143">
        <f>Tabella34[[#This Row],[sel. region acc. fit]]*NOT(ISBLANK(Tabella34[[#This Row],[selected region rate data]]))</f>
        <v>0</v>
      </c>
      <c r="AZ37" s="77">
        <f>Tabella34[[#This Row],[sel. region acc. fit]]+CIl</f>
        <v>53.975428619260903</v>
      </c>
      <c r="BA37" s="77">
        <f>MAX(Tabella34[[#This Row],[sel. region acc. fit]]-CIl,0)</f>
        <v>0</v>
      </c>
      <c r="BB37" s="141"/>
      <c r="BC37" s="33"/>
      <c r="BD37" s="33"/>
      <c r="BE37" s="142">
        <f>Tabella34[[#This Row],[rest of Italy rate data]]*NOT(ISBLANK(Tabella34[[#This Row],[rest of Italy rate data]]))</f>
        <v>0</v>
      </c>
      <c r="BF37" s="188">
        <f>Tabella8[[#This Row],[rest of Italy fit]]</f>
        <v>0</v>
      </c>
      <c r="BG37" s="78">
        <f>(ATANH(alpha*Tabella34[[#This Row],[rest of Italy cumul. fit]]/Ka-(1-alpha*Tabella34[[#This Row],[rest of Italy cumul. fit]]/Ka)*TANH(phi_a))+phi_a)/psi_a-(Tabella34[[#This Row],[Day]]-pa)</f>
        <v>39.695444456084331</v>
      </c>
      <c r="BH37" s="143">
        <f>Tabella34[[#This Row],[rest of Italy cumul. fit]]/Ka</f>
        <v>0</v>
      </c>
      <c r="BI37" s="143">
        <f>Tabella3[[#This Row],[rest of Italy fit]]</f>
        <v>129.11369807877679</v>
      </c>
      <c r="BJ37" s="183" t="e">
        <f>Tabella34[[#This Row],[rest of Italy velocity]]/Tabella34[[#This Row],[rest of Italy cumul. fit]]</f>
        <v>#DIV/0!</v>
      </c>
      <c r="BK37" s="236" t="e">
        <f>(LN(Tabella34[[#This Row],[Day]]-po)-phi_o)/psi_o</f>
        <v>#NUM!</v>
      </c>
      <c r="BL37" s="244">
        <f>EXP(phi_o+psi_o*Tabella34[[#This Row],[x_o_alpha©+plus]])-(Tabella34[[#This Row],[Day]]-po)</f>
        <v>43.610891659469573</v>
      </c>
      <c r="BM37" s="244">
        <f>EXP(phi_o+psi_o*Tabella34[[#This Row],[x_o_alpha©-minus]])-(Tabella34[[#This Row],[Day]]-po)</f>
        <v>42.852282636508953</v>
      </c>
      <c r="BN37" s="244">
        <f>-psi_o+SQRT(psi_o^2-2*Tabella34[[#This Row],[c_o]])</f>
        <v>4.3681318233188806</v>
      </c>
      <c r="BO37" s="244">
        <f>-psi_o-SQRT(psi_o^2-2*Tabella34[[#This Row],[c_o]])</f>
        <v>-4.417158908888509</v>
      </c>
      <c r="BP37" s="244">
        <f>phi_o-LN(alpha*Ko/(Tabella34[[#This Row],[rest of Italy velocity]]*psi_o*SQRTPI(2)))</f>
        <v>-9.6473661992862016</v>
      </c>
      <c r="BQ37" s="244">
        <f>(ACOSH(SQRT(alpha*Ka*psi_a/(Tabella34[[#This Row],[rest of Italy velocity]]*(1+TANH(phi_a)))))+phi_a)/psi_a-(Tabella34[[#This Row],[Day]]-pa)</f>
        <v>196.39000800693702</v>
      </c>
      <c r="BR37" s="72">
        <f>-2*$BY$35*TANH($BY$35*(Tabella34[[#This Row],[Day]]-$BY$44)-$BY$34)*Tabella34[[#This Row],[rest of Italy velocity]]</f>
        <v>6.1856254124576928</v>
      </c>
      <c r="BS37" s="143">
        <f>Tabella34[[#This Row],[rest of Italy acc. fit]]/y_a_peak</f>
        <v>2.1614523305890881E-3</v>
      </c>
      <c r="BT37" s="142">
        <f>Tabella34[[#This Row],[rest of Italy acc. fit]]*NOT(ISBLANK(Tabella34[[#This Row],[rest of Italy rate data]]))</f>
        <v>0</v>
      </c>
      <c r="BU37" s="77">
        <f>Tabella34[[#This Row],[rest of Italy acc. fit]]+CIa</f>
        <v>1700.7598203220405</v>
      </c>
      <c r="BV37" s="77">
        <f>MAX(Tabella34[[#This Row],[rest of Italy acc. fit]]-CIa,0)</f>
        <v>0</v>
      </c>
      <c r="BX37" s="213" t="s">
        <v>2</v>
      </c>
      <c r="BY37" s="215">
        <f>COUNT(Tabella34[rest of Italy rate data])-COUNT(BY33:BY35)</f>
        <v>76</v>
      </c>
      <c r="CL37" s="45"/>
    </row>
    <row r="38" spans="2:90" x14ac:dyDescent="0.3">
      <c r="B38" s="262">
        <v>43861</v>
      </c>
      <c r="C38" s="4">
        <v>31</v>
      </c>
      <c r="D38" s="10">
        <f>Tabella8[[#This Row],[Italy cumulative]]</f>
        <v>0</v>
      </c>
      <c r="E38" s="72">
        <f>(Tabella34[[#This Row],[Italy cumul. data]]-D37)</f>
        <v>0</v>
      </c>
      <c r="F38" s="72">
        <f>Tabella34[[#This Row],[Italy rate data]]-E37</f>
        <v>0</v>
      </c>
      <c r="G38" s="142">
        <f>Tabella34[[#This Row],[Italy rate data]]*NOT(ISBLANK(Tabella34[[#This Row],[Italy rate data]]))</f>
        <v>0</v>
      </c>
      <c r="H38" s="143">
        <f>Tabella8[[#This Row],[Italy fit]]</f>
        <v>0</v>
      </c>
      <c r="I38" s="143">
        <f>(ATANH(alpha*Tabella34[[#This Row],[Italy cumul. Fit]]/Kf-(1-alpha*Tabella34[[#This Row],[Italy cumul. Fit]]/Kf)*TANH(phi_f))+phi_f)/psi_f-(Tabella34[[#This Row],[Day]]-pf)</f>
        <v>38.844294912230211</v>
      </c>
      <c r="J38" s="143">
        <f>Tabella34[[#This Row],[Italy d.t.]]/Italy_dt_at_lockdown</f>
        <v>35.229325757158804</v>
      </c>
      <c r="K38" s="143">
        <f>Tabella34[[#This Row],[Italy cumul. Fit]]/Kf</f>
        <v>0</v>
      </c>
      <c r="L38" s="146">
        <f>Tabella34[[#This Row],[sel. region acc. fit]]+Tabella34[[#This Row],[rest of Italy acc. fit]]</f>
        <v>6.7039302597086827</v>
      </c>
      <c r="M38" s="143">
        <f>Tabella34[[#This Row],[Italy (fit of selected region + fitted sum of the other regions)]]/(y_l_peak+y_a_peak)</f>
        <v>2.2349484545100455E-3</v>
      </c>
      <c r="N38" s="143">
        <f>Tabella3[[#This Row],[Italy remov. rate fit]]</f>
        <v>138.2303131319091</v>
      </c>
      <c r="O38" s="143" t="e">
        <f>Kt*EXP(-0.5*Tabella34[[#This Row],[x_t]]^2)/(psi_t*SQRTPI(2)*(Tabella34[[#This Row],[Day]]-D_bk))</f>
        <v>#NUM!</v>
      </c>
      <c r="P38" s="183" t="e">
        <f>Tabella34[[#This Row],[Italy velocity]]/Tabella34[[#This Row],[Italy cumul. Fit]]</f>
        <v>#DIV/0!</v>
      </c>
      <c r="Q38" s="244" t="e">
        <f>(LN(Tabella34[[#This Row],[Day]]-D_bk)-phi_t)/psi_t</f>
        <v>#NUM!</v>
      </c>
      <c r="R38" s="244">
        <f>EXP(phi_t+psi_t*Tabella34[[#This Row],[x_t_alpha©+plus]])-(Tabella34[[#This Row],[Day]]-D_bk)</f>
        <v>42.774655964639308</v>
      </c>
      <c r="S38" s="244">
        <f>EXP(phi_t+psi_t*Tabella34[[#This Row],[x_t_alpha©-minus]])-(Tabella34[[#This Row],[Day]]-D_bk)</f>
        <v>42.009432141861375</v>
      </c>
      <c r="T38" s="244">
        <f>-psi_t+SQRT(psi_t^2-2*Tabella34[[#This Row],[c_t]])</f>
        <v>4.3592455606344762</v>
      </c>
      <c r="U38" s="244">
        <f>-psi_t-SQRT(psi_t^2-2*Tabella34[[#This Row],[c_t]])</f>
        <v>-4.4086382950542804</v>
      </c>
      <c r="V38" s="244">
        <f>phi_t-LN(alpha*Kt/(Tabella34[[#This Row],[Italy velocity]]*psi_t*SQRTPI(2)))</f>
        <v>-9.6091684580792602</v>
      </c>
      <c r="W38" s="244" t="e">
        <f>Tabella34[[#This Row],[Italy g.r.]]/Italy_gr_at_lockdown</f>
        <v>#DIV/0!</v>
      </c>
      <c r="X38" s="244">
        <f>(ACOSH(SQRT(alpha*Kf*psi_f/(Tabella34[[#This Row],[Italy velocity]]*(1+TANH(phi_f)))))+phi_f)/psi_f-(Tabella34[[#This Row],[Day]]-pf)</f>
        <v>194.08756180735378</v>
      </c>
      <c r="Y38" s="244">
        <f>Tabella34[[#This Row],[Italy h.t.]]/Italy_ht_at_lockdown</f>
        <v>1.6789057656164366</v>
      </c>
      <c r="Z38" s="72">
        <f>-2*$BY$48*TANH($BY$48*(Tabella34[[#This Row],[Day]]-$BY$57)-$BY$47)*Tabella34[[#This Row],[Italy velocity]]</f>
        <v>6.6684974144656701</v>
      </c>
      <c r="AA38" s="72">
        <f>Tabella34[[#This Row],[Italy acc. fit]]/Itali_acc_at_lockdown</f>
        <v>0.18467908685801304</v>
      </c>
      <c r="AB38" s="143">
        <f>Tabella34[[#This Row],[Italy acc. fit]]/y_f_peak</f>
        <v>2.2217911858911756E-3</v>
      </c>
      <c r="AC38" s="143">
        <f>Tabella34[[#This Row],[Italy (fit of selected region + fitted sum of the other regions)]]*NOT(ISBLANK(Tabella34[[#This Row],[Italy rate data]]))</f>
        <v>6.7039302597086827</v>
      </c>
      <c r="AD38" s="143">
        <f>Tabella34[[#This Row],[Italy acc. fit]]*NOT(ISBLANK(Tabella34[[#This Row],[Italy rate data]]))</f>
        <v>6.6684974144656701</v>
      </c>
      <c r="AE38" s="77">
        <f>Tabella34[[#This Row],[Italy acc. fit]]+CIf</f>
        <v>1722.283356749017</v>
      </c>
      <c r="AF38" s="77">
        <f>MAX(Tabella34[[#This Row],[Italy acc. fit]]-CIf,0)</f>
        <v>0</v>
      </c>
      <c r="AG38" s="141"/>
      <c r="AH38" s="33"/>
      <c r="AI38" s="33"/>
      <c r="AJ38" s="142">
        <f>Tabella34[[#This Row],[selected region rate data]]*NOT(ISBLANK(Tabella34[[#This Row],[selected region rate data]]))</f>
        <v>0</v>
      </c>
      <c r="AK38" s="147">
        <f>Tabella8[[#This Row],[region fit]]</f>
        <v>0</v>
      </c>
      <c r="AL38" s="143">
        <f>(ATANH(alpha*Tabella34[[#This Row],[sel. region cumul. fit]]/Kl-(1-alpha*Tabella34[[#This Row],[sel. region cumul. fit]]/Kl)*TANH(phi_l))+phi_l)/psi_l-(Tabella34[[#This Row],[Day]]-pl)</f>
        <v>44.240334693239106</v>
      </c>
      <c r="AM38" s="142">
        <f>Tabella34[[#This Row],[sel. region cumul. fit]]/Kl</f>
        <v>0</v>
      </c>
      <c r="AN38" s="143">
        <f>Tabella3[[#This Row],[region fit]]</f>
        <v>4.0021169418424511</v>
      </c>
      <c r="AO38" s="183" t="e">
        <f>Tabella34[[#This Row],[sel. region velocity]]/Tabella34[[#This Row],[sel. region cumul. fit]]</f>
        <v>#DIV/0!</v>
      </c>
      <c r="AP38" s="236" t="e">
        <f>(LN(Tabella34[[#This Row],[Day]]-pr)-phi_r)/psi_r</f>
        <v>#NUM!</v>
      </c>
      <c r="AQ38" s="244">
        <f>EXP(phi_r+psi_r*Tabella34[[#This Row],[x_r_alpha©+plus]])-(Tabella34[[#This Row],[Day]]-pr)</f>
        <v>48.028653843432153</v>
      </c>
      <c r="AR38" s="244">
        <f>EXP(phi_r+psi_r*Tabella34[[#This Row],[x_r_alpha©-minus]])-(Tabella34[[#This Row],[Day]]-pr)</f>
        <v>47.189593824888242</v>
      </c>
      <c r="AS38" s="244">
        <f>-psi_r+SQRT(psi_r^2-2*Tabella34[[#This Row],[c_r]])</f>
        <v>4.4103040624306749</v>
      </c>
      <c r="AT38" s="244">
        <f>-psi_r-SQRT(psi_r^2-2*Tabella34[[#This Row],[c_r]])</f>
        <v>-4.4667123008493368</v>
      </c>
      <c r="AU38" s="244">
        <f>phi_r-LN(alpha*Kr/(Tabella34[[#This Row],[sel. region velocity]]*psi_r*SQRTPI(2)))</f>
        <v>-9.8497797030724481</v>
      </c>
      <c r="AV38" s="244">
        <f>(ACOSH(SQRT(alpha*Kl*psi_l/(Tabella34[[#This Row],[sel. region velocity]]*(1+TANH(phi_l)))))+phi_l)/psi_l-(Tabella34[[#This Row],[Day]]-pl)</f>
        <v>186.52775857056253</v>
      </c>
      <c r="AW38" s="72">
        <f>-2*$BY$22*TANH($BY$22*(Tabella34[[#This Row],[Day]]-$BY$31)-$BY$21)*Tabella34[[#This Row],[sel. region velocity]]</f>
        <v>0.22244993851767075</v>
      </c>
      <c r="AX38" s="143">
        <f>Tabella34[[#This Row],[sel. region acc. fit]]/y_l_peak</f>
        <v>1.6143041039109441E-3</v>
      </c>
      <c r="AY38" s="143">
        <f>Tabella34[[#This Row],[sel. region acc. fit]]*NOT(ISBLANK(Tabella34[[#This Row],[selected region rate data]]))</f>
        <v>0</v>
      </c>
      <c r="AZ38" s="77">
        <f>Tabella34[[#This Row],[sel. region acc. fit]]+CIl</f>
        <v>53.987290348066125</v>
      </c>
      <c r="BA38" s="77">
        <f>MAX(Tabella34[[#This Row],[sel. region acc. fit]]-CIl,0)</f>
        <v>0</v>
      </c>
      <c r="BB38" s="141"/>
      <c r="BC38" s="33"/>
      <c r="BD38" s="33"/>
      <c r="BE38" s="142">
        <f>Tabella34[[#This Row],[rest of Italy rate data]]*NOT(ISBLANK(Tabella34[[#This Row],[rest of Italy rate data]]))</f>
        <v>0</v>
      </c>
      <c r="BF38" s="188">
        <f>Tabella8[[#This Row],[rest of Italy fit]]</f>
        <v>0</v>
      </c>
      <c r="BG38" s="78">
        <f>(ATANH(alpha*Tabella34[[#This Row],[rest of Italy cumul. fit]]/Ka-(1-alpha*Tabella34[[#This Row],[rest of Italy cumul. fit]]/Ka)*TANH(phi_a))+phi_a)/psi_a-(Tabella34[[#This Row],[Day]]-pa)</f>
        <v>38.695444456084331</v>
      </c>
      <c r="BH38" s="143">
        <f>Tabella34[[#This Row],[rest of Italy cumul. fit]]/Ka</f>
        <v>0</v>
      </c>
      <c r="BI38" s="143">
        <f>Tabella3[[#This Row],[rest of Italy fit]]</f>
        <v>135.44615843252825</v>
      </c>
      <c r="BJ38" s="183" t="e">
        <f>Tabella34[[#This Row],[rest of Italy velocity]]/Tabella34[[#This Row],[rest of Italy cumul. fit]]</f>
        <v>#DIV/0!</v>
      </c>
      <c r="BK38" s="236" t="e">
        <f>(LN(Tabella34[[#This Row],[Day]]-po)-phi_o)/psi_o</f>
        <v>#NUM!</v>
      </c>
      <c r="BL38" s="244">
        <f>EXP(phi_o+psi_o*Tabella34[[#This Row],[x_o_alpha©+plus]])-(Tabella34[[#This Row],[Day]]-po)</f>
        <v>42.609844278794029</v>
      </c>
      <c r="BM38" s="244">
        <f>EXP(phi_o+psi_o*Tabella34[[#This Row],[x_o_alpha©-minus]])-(Tabella34[[#This Row],[Day]]-po)</f>
        <v>41.853127315503372</v>
      </c>
      <c r="BN38" s="244">
        <f>-psi_o+SQRT(psi_o^2-2*Tabella34[[#This Row],[c_o]])</f>
        <v>4.3572180432879364</v>
      </c>
      <c r="BO38" s="244">
        <f>-psi_o-SQRT(psi_o^2-2*Tabella34[[#This Row],[c_o]])</f>
        <v>-4.4062451288575648</v>
      </c>
      <c r="BP38" s="244">
        <f>phi_o-LN(alpha*Ko/(Tabella34[[#This Row],[rest of Italy velocity]]*psi_o*SQRTPI(2)))</f>
        <v>-9.5994853893038794</v>
      </c>
      <c r="BQ38" s="244">
        <f>(ACOSH(SQRT(alpha*Ka*psi_a/(Tabella34[[#This Row],[rest of Italy velocity]]*(1+TANH(phi_a)))))+phi_a)/psi_a-(Tabella34[[#This Row],[Day]]-pa)</f>
        <v>194.40190567611842</v>
      </c>
      <c r="BR38" s="72">
        <f>-2*$BY$35*TANH($BY$35*(Tabella34[[#This Row],[Day]]-$BY$44)-$BY$34)*Tabella34[[#This Row],[rest of Italy velocity]]</f>
        <v>6.4814803211910119</v>
      </c>
      <c r="BS38" s="143">
        <f>Tabella34[[#This Row],[rest of Italy acc. fit]]/y_a_peak</f>
        <v>2.2648333534214704E-3</v>
      </c>
      <c r="BT38" s="142">
        <f>Tabella34[[#This Row],[rest of Italy acc. fit]]*NOT(ISBLANK(Tabella34[[#This Row],[rest of Italy rate data]]))</f>
        <v>0</v>
      </c>
      <c r="BU38" s="77">
        <f>Tabella34[[#This Row],[rest of Italy acc. fit]]+CIa</f>
        <v>1701.0556752307737</v>
      </c>
      <c r="BV38" s="77">
        <f>MAX(Tabella34[[#This Row],[rest of Italy acc. fit]]-CIa,0)</f>
        <v>0</v>
      </c>
      <c r="BX38" s="213" t="s">
        <v>3</v>
      </c>
      <c r="BY38" s="214" cm="1">
        <f t="array" ref="BY38">SQRT(SUM((Tabella34[74,24033469]-Tabella34[Colonna322])^2)/dfa)</f>
        <v>2206.7433858984323</v>
      </c>
      <c r="CL38" s="45"/>
    </row>
    <row r="39" spans="2:90" ht="16.2" x14ac:dyDescent="0.3">
      <c r="B39" s="262">
        <v>43862</v>
      </c>
      <c r="C39" s="4">
        <v>32</v>
      </c>
      <c r="D39" s="10">
        <f>Tabella8[[#This Row],[Italy cumulative]]</f>
        <v>0</v>
      </c>
      <c r="E39" s="72">
        <f>(Tabella34[[#This Row],[Italy cumul. data]]-D38)</f>
        <v>0</v>
      </c>
      <c r="F39" s="72">
        <f>Tabella34[[#This Row],[Italy rate data]]-E38</f>
        <v>0</v>
      </c>
      <c r="G39" s="142">
        <f>Tabella34[[#This Row],[Italy rate data]]*NOT(ISBLANK(Tabella34[[#This Row],[Italy rate data]]))</f>
        <v>0</v>
      </c>
      <c r="H39" s="143">
        <f>Tabella8[[#This Row],[Italy fit]]</f>
        <v>0</v>
      </c>
      <c r="I39" s="143">
        <f>(ATANH(alpha*Tabella34[[#This Row],[Italy cumul. Fit]]/Kf-(1-alpha*Tabella34[[#This Row],[Italy cumul. Fit]]/Kf)*TANH(phi_f))+phi_f)/psi_f-(Tabella34[[#This Row],[Day]]-pf)</f>
        <v>37.844294912230211</v>
      </c>
      <c r="J39" s="143">
        <f>Tabella34[[#This Row],[Italy d.t.]]/Italy_dt_at_lockdown</f>
        <v>34.322388822487689</v>
      </c>
      <c r="K39" s="143">
        <f>Tabella34[[#This Row],[Italy cumul. Fit]]/Kf</f>
        <v>0</v>
      </c>
      <c r="L39" s="146">
        <f>Tabella34[[#This Row],[sel. region acc. fit]]+Tabella34[[#This Row],[rest of Italy acc. fit]]</f>
        <v>7.025661395018985</v>
      </c>
      <c r="M39" s="143">
        <f>Tabella34[[#This Row],[Italy (fit of selected region + fitted sum of the other regions)]]/(y_l_peak+y_a_peak)</f>
        <v>2.3422068053242091E-3</v>
      </c>
      <c r="N39" s="143">
        <f>Tabella3[[#This Row],[Italy remov. rate fit]]</f>
        <v>145.05813825039445</v>
      </c>
      <c r="O39" s="143" t="e">
        <f>Kt*EXP(-0.5*Tabella34[[#This Row],[x_t]]^2)/(psi_t*SQRTPI(2)*(Tabella34[[#This Row],[Day]]-D_bk))</f>
        <v>#NUM!</v>
      </c>
      <c r="P39" s="183" t="e">
        <f>Tabella34[[#This Row],[Italy velocity]]/Tabella34[[#This Row],[Italy cumul. Fit]]</f>
        <v>#DIV/0!</v>
      </c>
      <c r="Q39" s="244" t="e">
        <f>(LN(Tabella34[[#This Row],[Day]]-D_bk)-phi_t)/psi_t</f>
        <v>#NUM!</v>
      </c>
      <c r="R39" s="244">
        <f>EXP(phi_t+psi_t*Tabella34[[#This Row],[x_t_alpha©+plus]])-(Tabella34[[#This Row],[Day]]-D_bk)</f>
        <v>41.773587266433459</v>
      </c>
      <c r="S39" s="244">
        <f>EXP(phi_t+psi_t*Tabella34[[#This Row],[x_t_alpha©-minus]])-(Tabella34[[#This Row],[Day]]-D_bk)</f>
        <v>41.010293003353382</v>
      </c>
      <c r="T39" s="244">
        <f>-psi_t+SQRT(psi_t^2-2*Tabella34[[#This Row],[c_t]])</f>
        <v>4.3482340067189442</v>
      </c>
      <c r="U39" s="244">
        <f>-psi_t-SQRT(psi_t^2-2*Tabella34[[#This Row],[c_t]])</f>
        <v>-4.3976267411387484</v>
      </c>
      <c r="V39" s="244">
        <f>phi_t-LN(alpha*Kt/(Tabella34[[#This Row],[Italy velocity]]*psi_t*SQRTPI(2)))</f>
        <v>-9.5609550723380554</v>
      </c>
      <c r="W39" s="244" t="e">
        <f>Tabella34[[#This Row],[Italy g.r.]]/Italy_gr_at_lockdown</f>
        <v>#DIV/0!</v>
      </c>
      <c r="X39" s="244">
        <f>(ACOSH(SQRT(alpha*Kf*psi_f/(Tabella34[[#This Row],[Italy velocity]]*(1+TANH(phi_f)))))+phi_f)/psi_f-(Tabella34[[#This Row],[Day]]-pf)</f>
        <v>192.09971669054005</v>
      </c>
      <c r="Y39" s="244">
        <f>Tabella34[[#This Row],[Italy h.t.]]/Italy_ht_at_lockdown</f>
        <v>1.6617104100939446</v>
      </c>
      <c r="Z39" s="72">
        <f>-2*$BY$48*TANH($BY$48*(Tabella34[[#This Row],[Day]]-$BY$57)-$BY$47)*Tabella34[[#This Row],[Italy velocity]]</f>
        <v>6.9895359711970988</v>
      </c>
      <c r="AA39" s="72">
        <f>Tabella34[[#This Row],[Italy acc. fit]]/Itali_acc_at_lockdown</f>
        <v>0.19357001142743124</v>
      </c>
      <c r="AB39" s="143">
        <f>Tabella34[[#This Row],[Italy acc. fit]]/y_f_peak</f>
        <v>2.3287539079775372E-3</v>
      </c>
      <c r="AC39" s="143">
        <f>Tabella34[[#This Row],[Italy (fit of selected region + fitted sum of the other regions)]]*NOT(ISBLANK(Tabella34[[#This Row],[Italy rate data]]))</f>
        <v>7.025661395018985</v>
      </c>
      <c r="AD39" s="143">
        <f>Tabella34[[#This Row],[Italy acc. fit]]*NOT(ISBLANK(Tabella34[[#This Row],[Italy rate data]]))</f>
        <v>6.9895359711970988</v>
      </c>
      <c r="AE39" s="77">
        <f>Tabella34[[#This Row],[Italy acc. fit]]+CIf</f>
        <v>1722.6043953057483</v>
      </c>
      <c r="AF39" s="77">
        <f>MAX(Tabella34[[#This Row],[Italy acc. fit]]-CIf,0)</f>
        <v>0</v>
      </c>
      <c r="AG39" s="141"/>
      <c r="AH39" s="33"/>
      <c r="AI39" s="33"/>
      <c r="AJ39" s="142">
        <f>Tabella34[[#This Row],[selected region rate data]]*NOT(ISBLANK(Tabella34[[#This Row],[selected region rate data]]))</f>
        <v>0</v>
      </c>
      <c r="AK39" s="147">
        <f>Tabella8[[#This Row],[region fit]]</f>
        <v>0</v>
      </c>
      <c r="AL39" s="143">
        <f>(ATANH(alpha*Tabella34[[#This Row],[sel. region cumul. fit]]/Kl-(1-alpha*Tabella34[[#This Row],[sel. region cumul. fit]]/Kl)*TANH(phi_l))+phi_l)/psi_l-(Tabella34[[#This Row],[Day]]-pl)</f>
        <v>43.240334693239106</v>
      </c>
      <c r="AM39" s="142">
        <f>Tabella34[[#This Row],[sel. region cumul. fit]]/Kl</f>
        <v>0</v>
      </c>
      <c r="AN39" s="143">
        <f>Tabella3[[#This Row],[region fit]]</f>
        <v>4.2307656768001847</v>
      </c>
      <c r="AO39" s="183" t="e">
        <f>Tabella34[[#This Row],[sel. region velocity]]/Tabella34[[#This Row],[sel. region cumul. fit]]</f>
        <v>#DIV/0!</v>
      </c>
      <c r="AP39" s="236" t="e">
        <f>(LN(Tabella34[[#This Row],[Day]]-pr)-phi_r)/psi_r</f>
        <v>#NUM!</v>
      </c>
      <c r="AQ39" s="244">
        <f>EXP(phi_r+psi_r*Tabella34[[#This Row],[x_r_alpha©+plus]])-(Tabella34[[#This Row],[Day]]-pr)</f>
        <v>47.027314729330421</v>
      </c>
      <c r="AR39" s="244">
        <f>EXP(phi_r+psi_r*Tabella34[[#This Row],[x_r_alpha©-minus]])-(Tabella34[[#This Row],[Day]]-pr)</f>
        <v>46.190636712480782</v>
      </c>
      <c r="AS39" s="244">
        <f>-psi_r+SQRT(psi_r^2-2*Tabella34[[#This Row],[c_r]])</f>
        <v>4.3977687474237008</v>
      </c>
      <c r="AT39" s="244">
        <f>-psi_r-SQRT(psi_r^2-2*Tabella34[[#This Row],[c_r]])</f>
        <v>-4.4541769858423628</v>
      </c>
      <c r="AU39" s="244">
        <f>phi_r-LN(alpha*Kr/(Tabella34[[#This Row],[sel. region velocity]]*psi_r*SQRTPI(2)))</f>
        <v>-9.7942201719157218</v>
      </c>
      <c r="AV39" s="244">
        <f>(ACOSH(SQRT(alpha*Kl*psi_l/(Tabella34[[#This Row],[sel. region velocity]]*(1+TANH(phi_l)))))+phi_l)/psi_l-(Tabella34[[#This Row],[Day]]-pl)</f>
        <v>184.53536702658198</v>
      </c>
      <c r="AW39" s="72">
        <f>-2*$BY$22*TANH($BY$22*(Tabella34[[#This Row],[Day]]-$BY$31)-$BY$21)*Tabella34[[#This Row],[sel. region velocity]]</f>
        <v>0.2349579168190746</v>
      </c>
      <c r="AX39" s="143">
        <f>Tabella34[[#This Row],[sel. region acc. fit]]/y_l_peak</f>
        <v>1.7050736534021044E-3</v>
      </c>
      <c r="AY39" s="143">
        <f>Tabella34[[#This Row],[sel. region acc. fit]]*NOT(ISBLANK(Tabella34[[#This Row],[selected region rate data]]))</f>
        <v>0</v>
      </c>
      <c r="AZ39" s="77">
        <f>Tabella34[[#This Row],[sel. region acc. fit]]+CIl</f>
        <v>53.999798326367532</v>
      </c>
      <c r="BA39" s="77">
        <f>MAX(Tabella34[[#This Row],[sel. region acc. fit]]-CIl,0)</f>
        <v>0</v>
      </c>
      <c r="BB39" s="141"/>
      <c r="BC39" s="33"/>
      <c r="BD39" s="33"/>
      <c r="BE39" s="142">
        <f>Tabella34[[#This Row],[rest of Italy rate data]]*NOT(ISBLANK(Tabella34[[#This Row],[rest of Italy rate data]]))</f>
        <v>0</v>
      </c>
      <c r="BF39" s="188">
        <f>Tabella8[[#This Row],[rest of Italy fit]]</f>
        <v>0</v>
      </c>
      <c r="BG39" s="78">
        <f>(ATANH(alpha*Tabella34[[#This Row],[rest of Italy cumul. fit]]/Ka-(1-alpha*Tabella34[[#This Row],[rest of Italy cumul. fit]]/Ka)*TANH(phi_a))+phi_a)/psi_a-(Tabella34[[#This Row],[Day]]-pa)</f>
        <v>37.695444456084331</v>
      </c>
      <c r="BH39" s="143">
        <f>Tabella34[[#This Row],[rest of Italy cumul. fit]]/Ka</f>
        <v>0</v>
      </c>
      <c r="BI39" s="143">
        <f>Tabella3[[#This Row],[rest of Italy fit]]</f>
        <v>142.08111466231983</v>
      </c>
      <c r="BJ39" s="183" t="e">
        <f>Tabella34[[#This Row],[rest of Italy velocity]]/Tabella34[[#This Row],[rest of Italy cumul. fit]]</f>
        <v>#DIV/0!</v>
      </c>
      <c r="BK39" s="236" t="e">
        <f>(LN(Tabella34[[#This Row],[Day]]-po)-phi_o)/psi_o</f>
        <v>#NUM!</v>
      </c>
      <c r="BL39" s="244">
        <f>EXP(phi_o+psi_o*Tabella34[[#This Row],[x_o_alpha©+plus]])-(Tabella34[[#This Row],[Day]]-po)</f>
        <v>41.608795812726292</v>
      </c>
      <c r="BM39" s="244">
        <f>EXP(phi_o+psi_o*Tabella34[[#This Row],[x_o_alpha©-minus]])-(Tabella34[[#This Row],[Day]]-po)</f>
        <v>40.853973322679586</v>
      </c>
      <c r="BN39" s="244">
        <f>-psi_o+SQRT(psi_o^2-2*Tabella34[[#This Row],[c_o]])</f>
        <v>4.346290028248303</v>
      </c>
      <c r="BO39" s="244">
        <f>-psi_o-SQRT(psi_o^2-2*Tabella34[[#This Row],[c_o]])</f>
        <v>-4.3953171138179314</v>
      </c>
      <c r="BP39" s="244">
        <f>phi_o-LN(alpha*Ko/(Tabella34[[#This Row],[rest of Italy velocity]]*psi_o*SQRTPI(2)))</f>
        <v>-9.5516614713879946</v>
      </c>
      <c r="BQ39" s="244">
        <f>(ACOSH(SQRT(alpha*Ka*psi_a/(Tabella34[[#This Row],[rest of Italy velocity]]*(1+TANH(phi_a)))))+phi_a)/psi_a-(Tabella34[[#This Row],[Day]]-pa)</f>
        <v>192.41440479070917</v>
      </c>
      <c r="BR39" s="72">
        <f>-2*$BY$35*TANH($BY$35*(Tabella34[[#This Row],[Day]]-$BY$44)-$BY$34)*Tabella34[[#This Row],[rest of Italy velocity]]</f>
        <v>6.7907034781999105</v>
      </c>
      <c r="BS39" s="143">
        <f>Tabella34[[#This Row],[rest of Italy acc. fit]]/y_a_peak</f>
        <v>2.3728856632239548E-3</v>
      </c>
      <c r="BT39" s="142">
        <f>Tabella34[[#This Row],[rest of Italy acc. fit]]*NOT(ISBLANK(Tabella34[[#This Row],[rest of Italy rate data]]))</f>
        <v>0</v>
      </c>
      <c r="BU39" s="77">
        <f>Tabella34[[#This Row],[rest of Italy acc. fit]]+CIa</f>
        <v>1701.3648983877827</v>
      </c>
      <c r="BV39" s="77">
        <f>MAX(Tabella34[[#This Row],[rest of Italy acc. fit]]-CIa,0)</f>
        <v>0</v>
      </c>
      <c r="BX39" s="213" t="s">
        <v>4357</v>
      </c>
      <c r="BY39" s="216" cm="1">
        <f t="array" ref="BY39">1-SUM((Tabella34[74,24033469]-Tabella34[Colonna322])^2)/SUM((Tabella34[74,24033469]-Mean_of_ya)^2)</f>
        <v>0.15511974028334985</v>
      </c>
      <c r="CL39" s="45"/>
    </row>
    <row r="40" spans="2:90" x14ac:dyDescent="0.3">
      <c r="B40" s="262">
        <v>43863</v>
      </c>
      <c r="C40" s="4">
        <v>33</v>
      </c>
      <c r="D40" s="10">
        <f>Tabella8[[#This Row],[Italy cumulative]]</f>
        <v>0</v>
      </c>
      <c r="E40" s="72">
        <f>(Tabella34[[#This Row],[Italy cumul. data]]-D39)</f>
        <v>0</v>
      </c>
      <c r="F40" s="72">
        <f>Tabella34[[#This Row],[Italy rate data]]-E39</f>
        <v>0</v>
      </c>
      <c r="G40" s="142">
        <f>Tabella34[[#This Row],[Italy rate data]]*NOT(ISBLANK(Tabella34[[#This Row],[Italy rate data]]))</f>
        <v>0</v>
      </c>
      <c r="H40" s="143">
        <f>Tabella8[[#This Row],[Italy fit]]</f>
        <v>0</v>
      </c>
      <c r="I40" s="143">
        <f>(ATANH(alpha*Tabella34[[#This Row],[Italy cumul. Fit]]/Kf-(1-alpha*Tabella34[[#This Row],[Italy cumul. Fit]]/Kf)*TANH(phi_f))+phi_f)/psi_f-(Tabella34[[#This Row],[Day]]-pf)</f>
        <v>36.844294912230211</v>
      </c>
      <c r="J40" s="143">
        <f>Tabella34[[#This Row],[Italy d.t.]]/Italy_dt_at_lockdown</f>
        <v>33.41545188781658</v>
      </c>
      <c r="K40" s="143">
        <f>Tabella34[[#This Row],[Italy cumul. Fit]]/Kf</f>
        <v>0</v>
      </c>
      <c r="L40" s="146">
        <f>Tabella34[[#This Row],[sel. region acc. fit]]+Tabella34[[#This Row],[rest of Italy acc. fit]]</f>
        <v>7.3619637951073926</v>
      </c>
      <c r="M40" s="143">
        <f>Tabella34[[#This Row],[Italy (fit of selected region + fitted sum of the other regions)]]/(y_l_peak+y_a_peak)</f>
        <v>2.4543229074028526E-3</v>
      </c>
      <c r="N40" s="143">
        <f>Tabella3[[#This Row],[Italy remov. rate fit]]</f>
        <v>152.2142451677731</v>
      </c>
      <c r="O40" s="143" t="e">
        <f>Kt*EXP(-0.5*Tabella34[[#This Row],[x_t]]^2)/(psi_t*SQRTPI(2)*(Tabella34[[#This Row],[Day]]-D_bk))</f>
        <v>#NUM!</v>
      </c>
      <c r="P40" s="183" t="e">
        <f>Tabella34[[#This Row],[Italy velocity]]/Tabella34[[#This Row],[Italy cumul. Fit]]</f>
        <v>#DIV/0!</v>
      </c>
      <c r="Q40" s="244" t="e">
        <f>(LN(Tabella34[[#This Row],[Day]]-D_bk)-phi_t)/psi_t</f>
        <v>#NUM!</v>
      </c>
      <c r="R40" s="244">
        <f>EXP(phi_t+psi_t*Tabella34[[#This Row],[x_t_alpha©+plus]])-(Tabella34[[#This Row],[Day]]-D_bk)</f>
        <v>40.772517473448346</v>
      </c>
      <c r="S40" s="244">
        <f>EXP(phi_t+psi_t*Tabella34[[#This Row],[x_t_alpha©-minus]])-(Tabella34[[#This Row],[Day]]-D_bk)</f>
        <v>40.011155215841598</v>
      </c>
      <c r="T40" s="244">
        <f>-psi_t+SQRT(psi_t^2-2*Tabella34[[#This Row],[c_t]])</f>
        <v>4.3372081725572098</v>
      </c>
      <c r="U40" s="244">
        <f>-psi_t-SQRT(psi_t^2-2*Tabella34[[#This Row],[c_t]])</f>
        <v>-4.386600906977014</v>
      </c>
      <c r="V40" s="244">
        <f>phi_t-LN(alpha*Kt/(Tabella34[[#This Row],[Italy velocity]]*psi_t*SQRTPI(2)))</f>
        <v>-9.5128006517437882</v>
      </c>
      <c r="W40" s="244" t="e">
        <f>Tabella34[[#This Row],[Italy g.r.]]/Italy_gr_at_lockdown</f>
        <v>#DIV/0!</v>
      </c>
      <c r="X40" s="244">
        <f>(ACOSH(SQRT(alpha*Kf*psi_f/(Tabella34[[#This Row],[Italy velocity]]*(1+TANH(phi_f)))))+phi_f)/psi_f-(Tabella34[[#This Row],[Day]]-pf)</f>
        <v>190.11249079694659</v>
      </c>
      <c r="Y40" s="244">
        <f>Tabella34[[#This Row],[Italy h.t.]]/Italy_ht_at_lockdown</f>
        <v>1.6445204110065847</v>
      </c>
      <c r="Z40" s="72">
        <f>-2*$BY$48*TANH($BY$48*(Tabella34[[#This Row],[Day]]-$BY$57)-$BY$47)*Tabella34[[#This Row],[Italy velocity]]</f>
        <v>7.3251552624073391</v>
      </c>
      <c r="AA40" s="72">
        <f>Tabella34[[#This Row],[Italy acc. fit]]/Itali_acc_at_lockdown</f>
        <v>0.20286473861712562</v>
      </c>
      <c r="AB40" s="143">
        <f>Tabella34[[#This Row],[Italy acc. fit]]/y_f_peak</f>
        <v>2.4405745981090792E-3</v>
      </c>
      <c r="AC40" s="143">
        <f>Tabella34[[#This Row],[Italy (fit of selected region + fitted sum of the other regions)]]*NOT(ISBLANK(Tabella34[[#This Row],[Italy rate data]]))</f>
        <v>7.3619637951073926</v>
      </c>
      <c r="AD40" s="143">
        <f>Tabella34[[#This Row],[Italy acc. fit]]*NOT(ISBLANK(Tabella34[[#This Row],[Italy rate data]]))</f>
        <v>7.3251552624073391</v>
      </c>
      <c r="AE40" s="77">
        <f>Tabella34[[#This Row],[Italy acc. fit]]+CIf</f>
        <v>1722.9400145969587</v>
      </c>
      <c r="AF40" s="77">
        <f>MAX(Tabella34[[#This Row],[Italy acc. fit]]-CIf,0)</f>
        <v>0</v>
      </c>
      <c r="AG40" s="141"/>
      <c r="AH40" s="33"/>
      <c r="AI40" s="33"/>
      <c r="AJ40" s="142">
        <f>Tabella34[[#This Row],[selected region rate data]]*NOT(ISBLANK(Tabella34[[#This Row],[selected region rate data]]))</f>
        <v>0</v>
      </c>
      <c r="AK40" s="147">
        <f>Tabella8[[#This Row],[region fit]]</f>
        <v>0</v>
      </c>
      <c r="AL40" s="143">
        <f>(ATANH(alpha*Tabella34[[#This Row],[sel. region cumul. fit]]/Kl-(1-alpha*Tabella34[[#This Row],[sel. region cumul. fit]]/Kl)*TANH(phi_l))+phi_l)/psi_l-(Tabella34[[#This Row],[Day]]-pl)</f>
        <v>42.240334693239106</v>
      </c>
      <c r="AM40" s="142">
        <f>Tabella34[[#This Row],[sel. region cumul. fit]]/Kl</f>
        <v>0</v>
      </c>
      <c r="AN40" s="143">
        <f>Tabella3[[#This Row],[region fit]]</f>
        <v>4.4722590476641653</v>
      </c>
      <c r="AO40" s="183" t="e">
        <f>Tabella34[[#This Row],[sel. region velocity]]/Tabella34[[#This Row],[sel. region cumul. fit]]</f>
        <v>#DIV/0!</v>
      </c>
      <c r="AP40" s="236" t="e">
        <f>(LN(Tabella34[[#This Row],[Day]]-pr)-phi_r)/psi_r</f>
        <v>#NUM!</v>
      </c>
      <c r="AQ40" s="244">
        <f>EXP(phi_r+psi_r*Tabella34[[#This Row],[x_r_alpha©+plus]])-(Tabella34[[#This Row],[Day]]-pr)</f>
        <v>46.025973469147004</v>
      </c>
      <c r="AR40" s="244">
        <f>EXP(phi_r+psi_r*Tabella34[[#This Row],[x_r_alpha©-minus]])-(Tabella34[[#This Row],[Day]]-pr)</f>
        <v>45.191682011005476</v>
      </c>
      <c r="AS40" s="244">
        <f>-psi_r+SQRT(psi_r^2-2*Tabella34[[#This Row],[c_r]])</f>
        <v>4.3852088990958178</v>
      </c>
      <c r="AT40" s="244">
        <f>-psi_r-SQRT(psi_r^2-2*Tabella34[[#This Row],[c_r]])</f>
        <v>-4.4416171375144797</v>
      </c>
      <c r="AU40" s="244">
        <f>phi_r-LN(alpha*Kr/(Tabella34[[#This Row],[sel. region velocity]]*psi_r*SQRTPI(2)))</f>
        <v>-9.7387094989024945</v>
      </c>
      <c r="AV40" s="244">
        <f>(ACOSH(SQRT(alpha*Kl*psi_l/(Tabella34[[#This Row],[sel. region velocity]]*(1+TANH(phi_l)))))+phi_l)/psi_l-(Tabella34[[#This Row],[Day]]-pl)</f>
        <v>182.54341873416917</v>
      </c>
      <c r="AW40" s="72">
        <f>-2*$BY$22*TANH($BY$22*(Tabella34[[#This Row],[Day]]-$BY$31)-$BY$21)*Tabella34[[#This Row],[sel. region velocity]]</f>
        <v>0.24814475612132583</v>
      </c>
      <c r="AX40" s="143">
        <f>Tabella34[[#This Row],[sel. region acc. fit]]/y_l_peak</f>
        <v>1.800769651095299E-3</v>
      </c>
      <c r="AY40" s="143">
        <f>Tabella34[[#This Row],[sel. region acc. fit]]*NOT(ISBLANK(Tabella34[[#This Row],[selected region rate data]]))</f>
        <v>0</v>
      </c>
      <c r="AZ40" s="77">
        <f>Tabella34[[#This Row],[sel. region acc. fit]]+CIl</f>
        <v>54.012985165669782</v>
      </c>
      <c r="BA40" s="77">
        <f>MAX(Tabella34[[#This Row],[sel. region acc. fit]]-CIl,0)</f>
        <v>0</v>
      </c>
      <c r="BB40" s="141"/>
      <c r="BC40" s="33"/>
      <c r="BD40" s="33"/>
      <c r="BE40" s="142">
        <f>Tabella34[[#This Row],[rest of Italy rate data]]*NOT(ISBLANK(Tabella34[[#This Row],[rest of Italy rate data]]))</f>
        <v>0</v>
      </c>
      <c r="BF40" s="188">
        <f>Tabella8[[#This Row],[rest of Italy fit]]</f>
        <v>0</v>
      </c>
      <c r="BG40" s="78">
        <f>(ATANH(alpha*Tabella34[[#This Row],[rest of Italy cumul. fit]]/Ka-(1-alpha*Tabella34[[#This Row],[rest of Italy cumul. fit]]/Ka)*TANH(phi_a))+phi_a)/psi_a-(Tabella34[[#This Row],[Day]]-pa)</f>
        <v>36.695444456084331</v>
      </c>
      <c r="BH40" s="143">
        <f>Tabella34[[#This Row],[rest of Italy cumul. fit]]/Ka</f>
        <v>0</v>
      </c>
      <c r="BI40" s="143">
        <f>Tabella3[[#This Row],[rest of Italy fit]]</f>
        <v>149.03219605479333</v>
      </c>
      <c r="BJ40" s="183" t="e">
        <f>Tabella34[[#This Row],[rest of Italy velocity]]/Tabella34[[#This Row],[rest of Italy cumul. fit]]</f>
        <v>#DIV/0!</v>
      </c>
      <c r="BK40" s="236" t="e">
        <f>(LN(Tabella34[[#This Row],[Day]]-po)-phi_o)/psi_o</f>
        <v>#NUM!</v>
      </c>
      <c r="BL40" s="244">
        <f>EXP(phi_o+psi_o*Tabella34[[#This Row],[x_o_alpha©+plus]])-(Tabella34[[#This Row],[Day]]-po)</f>
        <v>40.60774631332616</v>
      </c>
      <c r="BM40" s="244">
        <f>EXP(phi_o+psi_o*Tabella34[[#This Row],[x_o_alpha©-minus]])-(Tabella34[[#This Row],[Day]]-po)</f>
        <v>39.854820617768702</v>
      </c>
      <c r="BN40" s="244">
        <f>-psi_o+SQRT(psi_o^2-2*Tabella34[[#This Row],[c_o]])</f>
        <v>4.3353483103701151</v>
      </c>
      <c r="BO40" s="244">
        <f>-psi_o-SQRT(psi_o^2-2*Tabella34[[#This Row],[c_o]])</f>
        <v>-4.3843753959397436</v>
      </c>
      <c r="BP40" s="244">
        <f>phi_o-LN(alpha*Ko/(Tabella34[[#This Row],[rest of Italy velocity]]*psi_o*SQRTPI(2)))</f>
        <v>-9.5038972324078355</v>
      </c>
      <c r="BQ40" s="244">
        <f>(ACOSH(SQRT(alpha*Ka*psi_a/(Tabella34[[#This Row],[rest of Italy velocity]]*(1+TANH(phi_a)))))+phi_a)/psi_a-(Tabella34[[#This Row],[Day]]-pa)</f>
        <v>190.42753593858794</v>
      </c>
      <c r="BR40" s="72">
        <f>-2*$BY$35*TANH($BY$35*(Tabella34[[#This Row],[Day]]-$BY$44)-$BY$34)*Tabella34[[#This Row],[rest of Italy velocity]]</f>
        <v>7.1138190389860672</v>
      </c>
      <c r="BS40" s="143">
        <f>Tabella34[[#This Row],[rest of Italy acc. fit]]/y_a_peak</f>
        <v>2.485792416436699E-3</v>
      </c>
      <c r="BT40" s="142">
        <f>Tabella34[[#This Row],[rest of Italy acc. fit]]*NOT(ISBLANK(Tabella34[[#This Row],[rest of Italy rate data]]))</f>
        <v>0</v>
      </c>
      <c r="BU40" s="77">
        <f>Tabella34[[#This Row],[rest of Italy acc. fit]]+CIa</f>
        <v>1701.6880139485688</v>
      </c>
      <c r="BV40" s="77">
        <f>MAX(Tabella34[[#This Row],[rest of Italy acc. fit]]-CIa,0)</f>
        <v>0</v>
      </c>
      <c r="BX40" s="213" t="s">
        <v>5</v>
      </c>
      <c r="BY40" s="216">
        <f>TINV(0.05,dfa)</f>
        <v>1.991672609644662</v>
      </c>
      <c r="CL40" s="45"/>
    </row>
    <row r="41" spans="2:90" x14ac:dyDescent="0.3">
      <c r="B41" s="262">
        <v>43864</v>
      </c>
      <c r="C41" s="4">
        <v>34</v>
      </c>
      <c r="D41" s="10">
        <f>Tabella8[[#This Row],[Italy cumulative]]</f>
        <v>0</v>
      </c>
      <c r="E41" s="72">
        <f>(Tabella34[[#This Row],[Italy cumul. data]]-D40)</f>
        <v>0</v>
      </c>
      <c r="F41" s="72">
        <f>Tabella34[[#This Row],[Italy rate data]]-E40</f>
        <v>0</v>
      </c>
      <c r="G41" s="142">
        <f>Tabella34[[#This Row],[Italy rate data]]*NOT(ISBLANK(Tabella34[[#This Row],[Italy rate data]]))</f>
        <v>0</v>
      </c>
      <c r="H41" s="143">
        <f>Tabella8[[#This Row],[Italy fit]]</f>
        <v>0</v>
      </c>
      <c r="I41" s="143">
        <f>(ATANH(alpha*Tabella34[[#This Row],[Italy cumul. Fit]]/Kf-(1-alpha*Tabella34[[#This Row],[Italy cumul. Fit]]/Kf)*TANH(phi_f))+phi_f)/psi_f-(Tabella34[[#This Row],[Day]]-pf)</f>
        <v>35.844294912230211</v>
      </c>
      <c r="J41" s="143">
        <f>Tabella34[[#This Row],[Italy d.t.]]/Italy_dt_at_lockdown</f>
        <v>32.508514953145465</v>
      </c>
      <c r="K41" s="143">
        <f>Tabella34[[#This Row],[Italy cumul. Fit]]/Kf</f>
        <v>0</v>
      </c>
      <c r="L41" s="146">
        <f>Tabella34[[#This Row],[sel. region acc. fit]]+Tabella34[[#This Row],[rest of Italy acc. fit]]</f>
        <v>7.7134077297399513</v>
      </c>
      <c r="M41" s="143">
        <f>Tabella34[[#This Row],[Italy (fit of selected region + fitted sum of the other regions)]]/(y_l_peak+y_a_peak)</f>
        <v>2.5714868766157574E-3</v>
      </c>
      <c r="N41" s="143">
        <f>Tabella3[[#This Row],[Italy remov. rate fit]]</f>
        <v>159.71349960718175</v>
      </c>
      <c r="O41" s="143" t="e">
        <f>Kt*EXP(-0.5*Tabella34[[#This Row],[x_t]]^2)/(psi_t*SQRTPI(2)*(Tabella34[[#This Row],[Day]]-D_bk))</f>
        <v>#NUM!</v>
      </c>
      <c r="P41" s="183" t="e">
        <f>Tabella34[[#This Row],[Italy velocity]]/Tabella34[[#This Row],[Italy cumul. Fit]]</f>
        <v>#DIV/0!</v>
      </c>
      <c r="Q41" s="244" t="e">
        <f>(LN(Tabella34[[#This Row],[Day]]-D_bk)-phi_t)/psi_t</f>
        <v>#NUM!</v>
      </c>
      <c r="R41" s="244">
        <f>EXP(phi_t+psi_t*Tabella34[[#This Row],[x_t_alpha©+plus]])-(Tabella34[[#This Row],[Day]]-D_bk)</f>
        <v>39.771446641049415</v>
      </c>
      <c r="S41" s="244">
        <f>EXP(phi_t+psi_t*Tabella34[[#This Row],[x_t_alpha©-minus]])-(Tabella34[[#This Row],[Day]]-D_bk)</f>
        <v>39.01201873649223</v>
      </c>
      <c r="T41" s="244">
        <f>-psi_t+SQRT(psi_t^2-2*Tabella34[[#This Row],[c_t]])</f>
        <v>4.3261686181549495</v>
      </c>
      <c r="U41" s="244">
        <f>-psi_t-SQRT(psi_t^2-2*Tabella34[[#This Row],[c_t]])</f>
        <v>-4.3755613525747536</v>
      </c>
      <c r="V41" s="244">
        <f>phi_t-LN(alpha*Kt/(Tabella34[[#This Row],[Italy velocity]]*psi_t*SQRTPI(2)))</f>
        <v>-9.4647081051602644</v>
      </c>
      <c r="W41" s="244" t="e">
        <f>Tabella34[[#This Row],[Italy g.r.]]/Italy_gr_at_lockdown</f>
        <v>#DIV/0!</v>
      </c>
      <c r="X41" s="244">
        <f>(ACOSH(SQRT(alpha*Kf*psi_f/(Tabella34[[#This Row],[Italy velocity]]*(1+TANH(phi_f)))))+phi_f)/psi_f-(Tabella34[[#This Row],[Day]]-pf)</f>
        <v>188.12591586723948</v>
      </c>
      <c r="Y41" s="244">
        <f>Tabella34[[#This Row],[Italy h.t.]]/Italy_ht_at_lockdown</f>
        <v>1.6273360429190262</v>
      </c>
      <c r="Z41" s="72">
        <f>-2*$BY$48*TANH($BY$48*(Tabella34[[#This Row],[Day]]-$BY$57)-$BY$47)*Tabella34[[#This Row],[Italy velocity]]</f>
        <v>7.675927481141402</v>
      </c>
      <c r="AA41" s="72">
        <f>Tabella34[[#This Row],[Italy acc. fit]]/Itali_acc_at_lockdown</f>
        <v>0.21257911488882381</v>
      </c>
      <c r="AB41" s="143">
        <f>Tabella34[[#This Row],[Italy acc. fit]]/y_f_peak</f>
        <v>2.5574438979528847E-3</v>
      </c>
      <c r="AC41" s="143">
        <f>Tabella34[[#This Row],[Italy (fit of selected region + fitted sum of the other regions)]]*NOT(ISBLANK(Tabella34[[#This Row],[Italy rate data]]))</f>
        <v>7.7134077297399513</v>
      </c>
      <c r="AD41" s="143">
        <f>Tabella34[[#This Row],[Italy acc. fit]]*NOT(ISBLANK(Tabella34[[#This Row],[Italy rate data]]))</f>
        <v>7.675927481141402</v>
      </c>
      <c r="AE41" s="77">
        <f>Tabella34[[#This Row],[Italy acc. fit]]+CIf</f>
        <v>1723.2907868156926</v>
      </c>
      <c r="AF41" s="77">
        <f>MAX(Tabella34[[#This Row],[Italy acc. fit]]-CIf,0)</f>
        <v>0</v>
      </c>
      <c r="AG41" s="141"/>
      <c r="AH41" s="33"/>
      <c r="AI41" s="33"/>
      <c r="AJ41" s="142">
        <f>Tabella34[[#This Row],[selected region rate data]]*NOT(ISBLANK(Tabella34[[#This Row],[selected region rate data]]))</f>
        <v>0</v>
      </c>
      <c r="AK41" s="147">
        <f>Tabella8[[#This Row],[region fit]]</f>
        <v>0</v>
      </c>
      <c r="AL41" s="143">
        <f>(ATANH(alpha*Tabella34[[#This Row],[sel. region cumul. fit]]/Kl-(1-alpha*Tabella34[[#This Row],[sel. region cumul. fit]]/Kl)*TANH(phi_l))+phi_l)/psi_l-(Tabella34[[#This Row],[Day]]-pl)</f>
        <v>41.240334693239106</v>
      </c>
      <c r="AM41" s="142">
        <f>Tabella34[[#This Row],[sel. region cumul. fit]]/Kl</f>
        <v>0</v>
      </c>
      <c r="AN41" s="143">
        <f>Tabella3[[#This Row],[region fit]]</f>
        <v>4.7272927758679311</v>
      </c>
      <c r="AO41" s="183" t="e">
        <f>Tabella34[[#This Row],[sel. region velocity]]/Tabella34[[#This Row],[sel. region cumul. fit]]</f>
        <v>#DIV/0!</v>
      </c>
      <c r="AP41" s="236" t="e">
        <f>(LN(Tabella34[[#This Row],[Day]]-pr)-phi_r)/psi_r</f>
        <v>#NUM!</v>
      </c>
      <c r="AQ41" s="244">
        <f>EXP(phi_r+psi_r*Tabella34[[#This Row],[x_r_alpha©+plus]])-(Tabella34[[#This Row],[Day]]-pr)</f>
        <v>45.024630110714774</v>
      </c>
      <c r="AR41" s="244">
        <f>EXP(phi_r+psi_r*Tabella34[[#This Row],[x_r_alpha©-minus]])-(Tabella34[[#This Row],[Day]]-pr)</f>
        <v>44.192729687486406</v>
      </c>
      <c r="AS41" s="244">
        <f>-psi_r+SQRT(psi_r^2-2*Tabella34[[#This Row],[c_r]])</f>
        <v>4.3726249410938287</v>
      </c>
      <c r="AT41" s="244">
        <f>-psi_r-SQRT(psi_r^2-2*Tabella34[[#This Row],[c_r]])</f>
        <v>-4.4290331795124906</v>
      </c>
      <c r="AU41" s="244">
        <f>phi_r-LN(alpha*Kr/(Tabella34[[#This Row],[sel. region velocity]]*psi_r*SQRTPI(2)))</f>
        <v>-9.6832504728342084</v>
      </c>
      <c r="AV41" s="244">
        <f>(ACOSH(SQRT(alpha*Kl*psi_l/(Tabella34[[#This Row],[sel. region velocity]]*(1+TANH(phi_l)))))+phi_l)/psi_l-(Tabella34[[#This Row],[Day]]-pl)</f>
        <v>180.55193962056364</v>
      </c>
      <c r="AW41" s="72">
        <f>-2*$BY$22*TANH($BY$22*(Tabella34[[#This Row],[Day]]-$BY$31)-$BY$21)*Tabella34[[#This Row],[sel. region velocity]]</f>
        <v>0.26204440084988645</v>
      </c>
      <c r="AX41" s="143">
        <f>Tabella34[[#This Row],[sel. region acc. fit]]/y_l_peak</f>
        <v>1.9016384293819564E-3</v>
      </c>
      <c r="AY41" s="143">
        <f>Tabella34[[#This Row],[sel. region acc. fit]]*NOT(ISBLANK(Tabella34[[#This Row],[selected region rate data]]))</f>
        <v>0</v>
      </c>
      <c r="AZ41" s="77">
        <f>Tabella34[[#This Row],[sel. region acc. fit]]+CIl</f>
        <v>54.026884810398343</v>
      </c>
      <c r="BA41" s="77">
        <f>MAX(Tabella34[[#This Row],[sel. region acc. fit]]-CIl,0)</f>
        <v>0</v>
      </c>
      <c r="BB41" s="141"/>
      <c r="BC41" s="33"/>
      <c r="BD41" s="33"/>
      <c r="BE41" s="142">
        <f>Tabella34[[#This Row],[rest of Italy rate data]]*NOT(ISBLANK(Tabella34[[#This Row],[rest of Italy rate data]]))</f>
        <v>0</v>
      </c>
      <c r="BF41" s="188">
        <f>Tabella8[[#This Row],[rest of Italy fit]]</f>
        <v>0</v>
      </c>
      <c r="BG41" s="78">
        <f>(ATANH(alpha*Tabella34[[#This Row],[rest of Italy cumul. fit]]/Ka-(1-alpha*Tabella34[[#This Row],[rest of Italy cumul. fit]]/Ka)*TANH(phi_a))+phi_a)/psi_a-(Tabella34[[#This Row],[Day]]-pa)</f>
        <v>35.695444456084331</v>
      </c>
      <c r="BH41" s="143">
        <f>Tabella34[[#This Row],[rest of Italy cumul. fit]]/Ka</f>
        <v>0</v>
      </c>
      <c r="BI41" s="143">
        <f>Tabella3[[#This Row],[rest of Italy fit]]</f>
        <v>156.31356218893211</v>
      </c>
      <c r="BJ41" s="183" t="e">
        <f>Tabella34[[#This Row],[rest of Italy velocity]]/Tabella34[[#This Row],[rest of Italy cumul. fit]]</f>
        <v>#DIV/0!</v>
      </c>
      <c r="BK41" s="236" t="e">
        <f>(LN(Tabella34[[#This Row],[Day]]-po)-phi_o)/psi_o</f>
        <v>#NUM!</v>
      </c>
      <c r="BL41" s="244">
        <f>EXP(phi_o+psi_o*Tabella34[[#This Row],[x_o_alpha©+plus]])-(Tabella34[[#This Row],[Day]]-po)</f>
        <v>39.606695836027519</v>
      </c>
      <c r="BM41" s="244">
        <f>EXP(phi_o+psi_o*Tabella34[[#This Row],[x_o_alpha©-minus]])-(Tabella34[[#This Row],[Day]]-po)</f>
        <v>38.855669157689391</v>
      </c>
      <c r="BN41" s="244">
        <f>-psi_o+SQRT(psi_o^2-2*Tabella34[[#This Row],[c_o]])</f>
        <v>4.3243934575774521</v>
      </c>
      <c r="BO41" s="244">
        <f>-psi_o-SQRT(psi_o^2-2*Tabella34[[#This Row],[c_o]])</f>
        <v>-4.3734205431470805</v>
      </c>
      <c r="BP41" s="244">
        <f>phi_o-LN(alpha*Ko/(Tabella34[[#This Row],[rest of Italy velocity]]*psi_o*SQRTPI(2)))</f>
        <v>-9.4561955920100313</v>
      </c>
      <c r="BQ41" s="244">
        <f>(ACOSH(SQRT(alpha*Ka*psi_a/(Tabella34[[#This Row],[rest of Italy velocity]]*(1+TANH(phi_a)))))+phi_a)/psi_a-(Tabella34[[#This Row],[Day]]-pa)</f>
        <v>188.44133128152475</v>
      </c>
      <c r="BR41" s="72">
        <f>-2*$BY$35*TANH($BY$35*(Tabella34[[#This Row],[Day]]-$BY$44)-$BY$34)*Tabella34[[#This Row],[rest of Italy velocity]]</f>
        <v>7.4513633288900651</v>
      </c>
      <c r="BS41" s="143">
        <f>Tabella34[[#This Row],[rest of Italy acc. fit]]/y_a_peak</f>
        <v>2.603741022024853E-3</v>
      </c>
      <c r="BT41" s="142">
        <f>Tabella34[[#This Row],[rest of Italy acc. fit]]*NOT(ISBLANK(Tabella34[[#This Row],[rest of Italy rate data]]))</f>
        <v>0</v>
      </c>
      <c r="BU41" s="77">
        <f>Tabella34[[#This Row],[rest of Italy acc. fit]]+CIa</f>
        <v>1702.0255582384727</v>
      </c>
      <c r="BV41" s="77">
        <f>MAX(Tabella34[[#This Row],[rest of Italy acc. fit]]-CIa,0)</f>
        <v>0</v>
      </c>
      <c r="BX41" s="213" t="s">
        <v>6</v>
      </c>
      <c r="BY41" s="214">
        <f>Critical_ta*SE_of_ya</f>
        <v>1694.5741949095827</v>
      </c>
      <c r="CL41" s="45"/>
    </row>
    <row r="42" spans="2:90" ht="15" thickBot="1" x14ac:dyDescent="0.35">
      <c r="B42" s="262">
        <v>43865</v>
      </c>
      <c r="C42" s="4">
        <v>35</v>
      </c>
      <c r="D42" s="10">
        <f>Tabella8[[#This Row],[Italy cumulative]]</f>
        <v>0</v>
      </c>
      <c r="E42" s="72">
        <f>(Tabella34[[#This Row],[Italy cumul. data]]-D41)</f>
        <v>0</v>
      </c>
      <c r="F42" s="72">
        <f>Tabella34[[#This Row],[Italy rate data]]-E41</f>
        <v>0</v>
      </c>
      <c r="G42" s="142">
        <f>Tabella34[[#This Row],[Italy rate data]]*NOT(ISBLANK(Tabella34[[#This Row],[Italy rate data]]))</f>
        <v>0</v>
      </c>
      <c r="H42" s="143">
        <f>Tabella8[[#This Row],[Italy fit]]</f>
        <v>0</v>
      </c>
      <c r="I42" s="143">
        <f>(ATANH(alpha*Tabella34[[#This Row],[Italy cumul. Fit]]/Kf-(1-alpha*Tabella34[[#This Row],[Italy cumul. Fit]]/Kf)*TANH(phi_f))+phi_f)/psi_f-(Tabella34[[#This Row],[Day]]-pf)</f>
        <v>34.844294912230211</v>
      </c>
      <c r="J42" s="143">
        <f>Tabella34[[#This Row],[Italy d.t.]]/Italy_dt_at_lockdown</f>
        <v>31.601578018474349</v>
      </c>
      <c r="K42" s="143">
        <f>Tabella34[[#This Row],[Italy cumul. Fit]]/Kf</f>
        <v>0</v>
      </c>
      <c r="L42" s="146">
        <f>Tabella34[[#This Row],[sel. region acc. fit]]+Tabella34[[#This Row],[rest of Italy acc. fit]]</f>
        <v>8.080576295131598</v>
      </c>
      <c r="M42" s="143">
        <f>Tabella34[[#This Row],[Italy (fit of selected region + fitted sum of the other regions)]]/(y_l_peak+y_a_peak)</f>
        <v>2.6938931048992821E-3</v>
      </c>
      <c r="N42" s="143">
        <f>Tabella3[[#This Row],[Italy remov. rate fit]]</f>
        <v>167.5713460122526</v>
      </c>
      <c r="O42" s="143" t="e">
        <f>Kt*EXP(-0.5*Tabella34[[#This Row],[x_t]]^2)/(psi_t*SQRTPI(2)*(Tabella34[[#This Row],[Day]]-D_bk))</f>
        <v>#NUM!</v>
      </c>
      <c r="P42" s="183" t="e">
        <f>Tabella34[[#This Row],[Italy velocity]]/Tabella34[[#This Row],[Italy cumul. Fit]]</f>
        <v>#DIV/0!</v>
      </c>
      <c r="Q42" s="244" t="e">
        <f>(LN(Tabella34[[#This Row],[Day]]-D_bk)-phi_t)/psi_t</f>
        <v>#NUM!</v>
      </c>
      <c r="R42" s="244">
        <f>EXP(phi_t+psi_t*Tabella34[[#This Row],[x_t_alpha©+plus]])-(Tabella34[[#This Row],[Day]]-D_bk)</f>
        <v>38.770374828199479</v>
      </c>
      <c r="S42" s="244">
        <f>EXP(phi_t+psi_t*Tabella34[[#This Row],[x_t_alpha©-minus]])-(Tabella34[[#This Row],[Day]]-D_bk)</f>
        <v>38.012883519474883</v>
      </c>
      <c r="T42" s="244">
        <f>-psi_t+SQRT(psi_t^2-2*Tabella34[[#This Row],[c_t]])</f>
        <v>4.3151159412219773</v>
      </c>
      <c r="U42" s="244">
        <f>-psi_t-SQRT(psi_t^2-2*Tabella34[[#This Row],[c_t]])</f>
        <v>-4.3645086756417815</v>
      </c>
      <c r="V42" s="244">
        <f>phi_t-LN(alpha*Kt/(Tabella34[[#This Row],[Italy velocity]]*psi_t*SQRTPI(2)))</f>
        <v>-9.4166804809317348</v>
      </c>
      <c r="W42" s="244" t="e">
        <f>Tabella34[[#This Row],[Italy g.r.]]/Italy_gr_at_lockdown</f>
        <v>#DIV/0!</v>
      </c>
      <c r="X42" s="244">
        <f>(ACOSH(SQRT(alpha*Kf*psi_f/(Tabella34[[#This Row],[Italy velocity]]*(1+TANH(phi_f)))))+phi_f)/psi_f-(Tabella34[[#This Row],[Day]]-pf)</f>
        <v>186.1400252885598</v>
      </c>
      <c r="Y42" s="244">
        <f>Tabella34[[#This Row],[Italy h.t.]]/Italy_ht_at_lockdown</f>
        <v>1.6101575946383577</v>
      </c>
      <c r="Z42" s="72">
        <f>-2*$BY$48*TANH($BY$48*(Tabella34[[#This Row],[Day]]-$BY$57)-$BY$47)*Tabella34[[#This Row],[Italy velocity]]</f>
        <v>8.0424377505467284</v>
      </c>
      <c r="AA42" s="72">
        <f>Tabella34[[#This Row],[Italy acc. fit]]/Itali_acc_at_lockdown</f>
        <v>0.2227293447938441</v>
      </c>
      <c r="AB42" s="143">
        <f>Tabella34[[#This Row],[Italy acc. fit]]/y_f_peak</f>
        <v>2.6795567571911462E-3</v>
      </c>
      <c r="AC42" s="143">
        <f>Tabella34[[#This Row],[Italy (fit of selected region + fitted sum of the other regions)]]*NOT(ISBLANK(Tabella34[[#This Row],[Italy rate data]]))</f>
        <v>8.080576295131598</v>
      </c>
      <c r="AD42" s="143">
        <f>Tabella34[[#This Row],[Italy acc. fit]]*NOT(ISBLANK(Tabella34[[#This Row],[Italy rate data]]))</f>
        <v>8.0424377505467284</v>
      </c>
      <c r="AE42" s="77">
        <f>Tabella34[[#This Row],[Italy acc. fit]]+CIf</f>
        <v>1723.657297085098</v>
      </c>
      <c r="AF42" s="77">
        <f>MAX(Tabella34[[#This Row],[Italy acc. fit]]-CIf,0)</f>
        <v>0</v>
      </c>
      <c r="AG42" s="141"/>
      <c r="AH42" s="33"/>
      <c r="AI42" s="33"/>
      <c r="AJ42" s="142">
        <f>Tabella34[[#This Row],[selected region rate data]]*NOT(ISBLANK(Tabella34[[#This Row],[selected region rate data]]))</f>
        <v>0</v>
      </c>
      <c r="AK42" s="147">
        <f>Tabella8[[#This Row],[region fit]]</f>
        <v>0</v>
      </c>
      <c r="AL42" s="143">
        <f>(ATANH(alpha*Tabella34[[#This Row],[sel. region cumul. fit]]/Kl-(1-alpha*Tabella34[[#This Row],[sel. region cumul. fit]]/Kl)*TANH(phi_l))+phi_l)/psi_l-(Tabella34[[#This Row],[Day]]-pl)</f>
        <v>40.240334693239106</v>
      </c>
      <c r="AM42" s="142">
        <f>Tabella34[[#This Row],[sel. region cumul. fit]]/Kl</f>
        <v>0</v>
      </c>
      <c r="AN42" s="143">
        <f>Tabella3[[#This Row],[region fit]]</f>
        <v>4.9965972001753212</v>
      </c>
      <c r="AO42" s="183" t="e">
        <f>Tabella34[[#This Row],[sel. region velocity]]/Tabella34[[#This Row],[sel. region cumul. fit]]</f>
        <v>#DIV/0!</v>
      </c>
      <c r="AP42" s="236" t="e">
        <f>(LN(Tabella34[[#This Row],[Day]]-pr)-phi_r)/psi_r</f>
        <v>#NUM!</v>
      </c>
      <c r="AQ42" s="244">
        <f>EXP(phi_r+psi_r*Tabella34[[#This Row],[x_r_alpha©+plus]])-(Tabella34[[#This Row],[Day]]-pr)</f>
        <v>44.023284706083182</v>
      </c>
      <c r="AR42" s="244">
        <f>EXP(phi_r+psi_r*Tabella34[[#This Row],[x_r_alpha©-minus]])-(Tabella34[[#This Row],[Day]]-pr)</f>
        <v>43.193779705563848</v>
      </c>
      <c r="AS42" s="244">
        <f>-psi_r+SQRT(psi_r^2-2*Tabella34[[#This Row],[c_r]])</f>
        <v>4.3600173371541322</v>
      </c>
      <c r="AT42" s="244">
        <f>-psi_r-SQRT(psi_r^2-2*Tabella34[[#This Row],[c_r]])</f>
        <v>-4.4164255755727941</v>
      </c>
      <c r="AU42" s="244">
        <f>phi_r-LN(alpha*Kr/(Tabella34[[#This Row],[sel. region velocity]]*psi_r*SQRTPI(2)))</f>
        <v>-9.6278460388741482</v>
      </c>
      <c r="AV42" s="244">
        <f>(ACOSH(SQRT(alpha*Kl*psi_l/(Tabella34[[#This Row],[sel. region velocity]]*(1+TANH(phi_l)))))+phi_l)/psi_l-(Tabella34[[#This Row],[Day]]-pl)</f>
        <v>178.56095714176183</v>
      </c>
      <c r="AW42" s="72">
        <f>-2*$BY$22*TANH($BY$22*(Tabella34[[#This Row],[Day]]-$BY$31)-$BY$21)*Tabella34[[#This Row],[sel. region velocity]]</f>
        <v>0.27669214327123492</v>
      </c>
      <c r="AX42" s="143">
        <f>Tabella34[[#This Row],[sel. region acc. fit]]/y_l_peak</f>
        <v>2.0079361018442705E-3</v>
      </c>
      <c r="AY42" s="143">
        <f>Tabella34[[#This Row],[sel. region acc. fit]]*NOT(ISBLANK(Tabella34[[#This Row],[selected region rate data]]))</f>
        <v>0</v>
      </c>
      <c r="AZ42" s="77">
        <f>Tabella34[[#This Row],[sel. region acc. fit]]+CIl</f>
        <v>54.041532552819689</v>
      </c>
      <c r="BA42" s="77">
        <f>MAX(Tabella34[[#This Row],[sel. region acc. fit]]-CIl,0)</f>
        <v>0</v>
      </c>
      <c r="BB42" s="141"/>
      <c r="BC42" s="33"/>
      <c r="BD42" s="33"/>
      <c r="BE42" s="142">
        <f>Tabella34[[#This Row],[rest of Italy rate data]]*NOT(ISBLANK(Tabella34[[#This Row],[rest of Italy rate data]]))</f>
        <v>0</v>
      </c>
      <c r="BF42" s="188">
        <f>Tabella8[[#This Row],[rest of Italy fit]]</f>
        <v>0</v>
      </c>
      <c r="BG42" s="78">
        <f>(ATANH(alpha*Tabella34[[#This Row],[rest of Italy cumul. fit]]/Ka-(1-alpha*Tabella34[[#This Row],[rest of Italy cumul. fit]]/Ka)*TANH(phi_a))+phi_a)/psi_a-(Tabella34[[#This Row],[Day]]-pa)</f>
        <v>34.695444456084331</v>
      </c>
      <c r="BH42" s="143">
        <f>Tabella34[[#This Row],[rest of Italy cumul. fit]]/Ka</f>
        <v>0</v>
      </c>
      <c r="BI42" s="143">
        <f>Tabella3[[#This Row],[rest of Italy fit]]</f>
        <v>163.93991477180751</v>
      </c>
      <c r="BJ42" s="183" t="e">
        <f>Tabella34[[#This Row],[rest of Italy velocity]]/Tabella34[[#This Row],[rest of Italy cumul. fit]]</f>
        <v>#DIV/0!</v>
      </c>
      <c r="BK42" s="236" t="e">
        <f>(LN(Tabella34[[#This Row],[Day]]-po)-phi_o)/psi_o</f>
        <v>#NUM!</v>
      </c>
      <c r="BL42" s="244">
        <f>EXP(phi_o+psi_o*Tabella34[[#This Row],[x_o_alpha©+plus]])-(Tabella34[[#This Row],[Day]]-po)</f>
        <v>38.605644439809872</v>
      </c>
      <c r="BM42" s="244">
        <f>EXP(phi_o+psi_o*Tabella34[[#This Row],[x_o_alpha©-minus]])-(Tabella34[[#This Row],[Day]]-po)</f>
        <v>37.856518896401482</v>
      </c>
      <c r="BN42" s="244">
        <f>-psi_o+SQRT(psi_o^2-2*Tabella34[[#This Row],[c_o]])</f>
        <v>4.3134260753876914</v>
      </c>
      <c r="BO42" s="244">
        <f>-psi_o-SQRT(psi_o^2-2*Tabella34[[#This Row],[c_o]])</f>
        <v>-4.3624531609573198</v>
      </c>
      <c r="BP42" s="244">
        <f>phi_o-LN(alpha*Ko/(Tabella34[[#This Row],[rest of Italy velocity]]*psi_o*SQRTPI(2)))</f>
        <v>-9.4085596085653798</v>
      </c>
      <c r="BQ42" s="244">
        <f>(ACOSH(SQRT(alpha*Ka*psi_a/(Tabella34[[#This Row],[rest of Italy velocity]]*(1+TANH(phi_a)))))+phi_a)/psi_a-(Tabella34[[#This Row],[Day]]-pa)</f>
        <v>186.4558246379367</v>
      </c>
      <c r="BR42" s="72">
        <f>-2*$BY$35*TANH($BY$35*(Tabella34[[#This Row],[Day]]-$BY$44)-$BY$34)*Tabella34[[#This Row],[rest of Italy velocity]]</f>
        <v>7.8038841518603634</v>
      </c>
      <c r="BS42" s="143">
        <f>Tabella34[[#This Row],[rest of Italy acc. fit]]/y_a_peak</f>
        <v>2.7269228999406694E-3</v>
      </c>
      <c r="BT42" s="142">
        <f>Tabella34[[#This Row],[rest of Italy acc. fit]]*NOT(ISBLANK(Tabella34[[#This Row],[rest of Italy rate data]]))</f>
        <v>0</v>
      </c>
      <c r="BU42" s="77">
        <f>Tabella34[[#This Row],[rest of Italy acc. fit]]+CIa</f>
        <v>1702.378079061443</v>
      </c>
      <c r="BV42" s="77">
        <f>MAX(Tabella34[[#This Row],[rest of Italy acc. fit]]-CIa,0)</f>
        <v>0</v>
      </c>
      <c r="BX42" s="224" t="s">
        <v>299</v>
      </c>
      <c r="BY42" s="225">
        <f>Ka*_xlfn.LOGNORM.DIST(EXP(phi_a-psi_a^2),phi_a,psi_a,FALSE)</f>
        <v>999702.35858553974</v>
      </c>
      <c r="CL42" s="46"/>
    </row>
    <row r="43" spans="2:90" ht="15" thickTop="1" x14ac:dyDescent="0.3">
      <c r="B43" s="262">
        <v>43866</v>
      </c>
      <c r="C43" s="4">
        <v>36</v>
      </c>
      <c r="D43" s="10">
        <f>Tabella8[[#This Row],[Italy cumulative]]</f>
        <v>0</v>
      </c>
      <c r="E43" s="72">
        <f>(Tabella34[[#This Row],[Italy cumul. data]]-D42)</f>
        <v>0</v>
      </c>
      <c r="F43" s="72">
        <f>Tabella34[[#This Row],[Italy rate data]]-E42</f>
        <v>0</v>
      </c>
      <c r="G43" s="142">
        <f>Tabella34[[#This Row],[Italy rate data]]*NOT(ISBLANK(Tabella34[[#This Row],[Italy rate data]]))</f>
        <v>0</v>
      </c>
      <c r="H43" s="143">
        <f>Tabella8[[#This Row],[Italy fit]]</f>
        <v>0</v>
      </c>
      <c r="I43" s="143">
        <f>(ATANH(alpha*Tabella34[[#This Row],[Italy cumul. Fit]]/Kf-(1-alpha*Tabella34[[#This Row],[Italy cumul. Fit]]/Kf)*TANH(phi_f))+phi_f)/psi_f-(Tabella34[[#This Row],[Day]]-pf)</f>
        <v>33.844294912230211</v>
      </c>
      <c r="J43" s="143">
        <f>Tabella34[[#This Row],[Italy d.t.]]/Italy_dt_at_lockdown</f>
        <v>30.694641083803237</v>
      </c>
      <c r="K43" s="143">
        <f>Tabella34[[#This Row],[Italy cumul. Fit]]/Kf</f>
        <v>0</v>
      </c>
      <c r="L43" s="146">
        <f>Tabella34[[#This Row],[sel. region acc. fit]]+Tabella34[[#This Row],[rest of Italy acc. fit]]</f>
        <v>8.4640645862259145</v>
      </c>
      <c r="M43" s="143">
        <f>Tabella34[[#This Row],[Italy (fit of selected region + fitted sum of the other regions)]]/(y_l_peak+y_a_peak)</f>
        <v>2.8217399843119546E-3</v>
      </c>
      <c r="N43" s="143">
        <f>Tabella3[[#This Row],[Italy remov. rate fit]]</f>
        <v>175.80382007670573</v>
      </c>
      <c r="O43" s="143" t="e">
        <f>Kt*EXP(-0.5*Tabella34[[#This Row],[x_t]]^2)/(psi_t*SQRTPI(2)*(Tabella34[[#This Row],[Day]]-D_bk))</f>
        <v>#NUM!</v>
      </c>
      <c r="P43" s="183" t="e">
        <f>Tabella34[[#This Row],[Italy velocity]]/Tabella34[[#This Row],[Italy cumul. Fit]]</f>
        <v>#DIV/0!</v>
      </c>
      <c r="Q43" s="244" t="e">
        <f>(LN(Tabella34[[#This Row],[Day]]-D_bk)-phi_t)/psi_t</f>
        <v>#NUM!</v>
      </c>
      <c r="R43" s="244">
        <f>EXP(phi_t+psi_t*Tabella34[[#This Row],[x_t_alpha©+plus]])-(Tabella34[[#This Row],[Day]]-D_bk)</f>
        <v>37.769302097642559</v>
      </c>
      <c r="S43" s="244">
        <f>EXP(phi_t+psi_t*Tabella34[[#This Row],[x_t_alpha©-minus]])-(Tabella34[[#This Row],[Day]]-D_bk)</f>
        <v>37.013749515805785</v>
      </c>
      <c r="T43" s="244">
        <f>-psi_t+SQRT(psi_t^2-2*Tabella34[[#This Row],[c_t]])</f>
        <v>4.3040507791216713</v>
      </c>
      <c r="U43" s="244">
        <f>-psi_t-SQRT(psi_t^2-2*Tabella34[[#This Row],[c_t]])</f>
        <v>-4.3534435135414755</v>
      </c>
      <c r="V43" s="244">
        <f>phi_t-LN(alpha*Kt/(Tabella34[[#This Row],[Italy velocity]]*psi_t*SQRTPI(2)))</f>
        <v>-9.3687209731601868</v>
      </c>
      <c r="W43" s="244" t="e">
        <f>Tabella34[[#This Row],[Italy g.r.]]/Italy_gr_at_lockdown</f>
        <v>#DIV/0!</v>
      </c>
      <c r="X43" s="244">
        <f>(ACOSH(SQRT(alpha*Kf*psi_f/(Tabella34[[#This Row],[Italy velocity]]*(1+TANH(phi_f)))))+phi_f)/psi_f-(Tabella34[[#This Row],[Day]]-pf)</f>
        <v>184.15485418183056</v>
      </c>
      <c r="Y43" s="244">
        <f>Tabella34[[#This Row],[Italy h.t.]]/Italy_ht_at_lockdown</f>
        <v>1.5929853699693135</v>
      </c>
      <c r="Z43" s="72">
        <f>-2*$BY$48*TANH($BY$48*(Tabella34[[#This Row],[Day]]-$BY$57)-$BY$47)*Tabella34[[#This Row],[Italy velocity]]</f>
        <v>8.4252832961930224</v>
      </c>
      <c r="AA43" s="72">
        <f>Tabella34[[#This Row],[Italy acc. fit]]/Itali_acc_at_lockdown</f>
        <v>0.23333196805110762</v>
      </c>
      <c r="AB43" s="143">
        <f>Tabella34[[#This Row],[Italy acc. fit]]/y_f_peak</f>
        <v>2.8071121577570154E-3</v>
      </c>
      <c r="AC43" s="143">
        <f>Tabella34[[#This Row],[Italy (fit of selected region + fitted sum of the other regions)]]*NOT(ISBLANK(Tabella34[[#This Row],[Italy rate data]]))</f>
        <v>8.4640645862259145</v>
      </c>
      <c r="AD43" s="143">
        <f>Tabella34[[#This Row],[Italy acc. fit]]*NOT(ISBLANK(Tabella34[[#This Row],[Italy rate data]]))</f>
        <v>8.4252832961930224</v>
      </c>
      <c r="AE43" s="77">
        <f>Tabella34[[#This Row],[Italy acc. fit]]+CIf</f>
        <v>1724.0401426307444</v>
      </c>
      <c r="AF43" s="77">
        <f>MAX(Tabella34[[#This Row],[Italy acc. fit]]-CIf,0)</f>
        <v>0</v>
      </c>
      <c r="AG43" s="141"/>
      <c r="AH43" s="33"/>
      <c r="AI43" s="33"/>
      <c r="AJ43" s="142">
        <f>Tabella34[[#This Row],[selected region rate data]]*NOT(ISBLANK(Tabella34[[#This Row],[selected region rate data]]))</f>
        <v>0</v>
      </c>
      <c r="AK43" s="147">
        <f>Tabella8[[#This Row],[region fit]]</f>
        <v>0</v>
      </c>
      <c r="AL43" s="143">
        <f>(ATANH(alpha*Tabella34[[#This Row],[sel. region cumul. fit]]/Kl-(1-alpha*Tabella34[[#This Row],[sel. region cumul. fit]]/Kl)*TANH(phi_l))+phi_l)/psi_l-(Tabella34[[#This Row],[Day]]-pl)</f>
        <v>39.240334693239106</v>
      </c>
      <c r="AM43" s="142">
        <f>Tabella34[[#This Row],[sel. region cumul. fit]]/Kl</f>
        <v>0</v>
      </c>
      <c r="AN43" s="143">
        <f>Tabella3[[#This Row],[region fit]]</f>
        <v>5.2809386296004064</v>
      </c>
      <c r="AO43" s="183" t="e">
        <f>Tabella34[[#This Row],[sel. region velocity]]/Tabella34[[#This Row],[sel. region cumul. fit]]</f>
        <v>#DIV/0!</v>
      </c>
      <c r="AP43" s="236" t="e">
        <f>(LN(Tabella34[[#This Row],[Day]]-pr)-phi_r)/psi_r</f>
        <v>#NUM!</v>
      </c>
      <c r="AQ43" s="244">
        <f>EXP(phi_r+psi_r*Tabella34[[#This Row],[x_r_alpha©+plus]])-(Tabella34[[#This Row],[Day]]-pr)</f>
        <v>43.021937311780114</v>
      </c>
      <c r="AR43" s="244">
        <f>EXP(phi_r+psi_r*Tabella34[[#This Row],[x_r_alpha©-minus]])-(Tabella34[[#This Row],[Day]]-pr)</f>
        <v>42.194832025277321</v>
      </c>
      <c r="AS43" s="244">
        <f>-psi_r+SQRT(psi_r^2-2*Tabella34[[#This Row],[c_r]])</f>
        <v>4.3473865936318434</v>
      </c>
      <c r="AT43" s="244">
        <f>-psi_r-SQRT(psi_r^2-2*Tabella34[[#This Row],[c_r]])</f>
        <v>-4.4037948320505054</v>
      </c>
      <c r="AU43" s="244">
        <f>phi_r-LN(alpha*Kr/(Tabella34[[#This Row],[sel. region velocity]]*psi_r*SQRTPI(2)))</f>
        <v>-9.5724993069807827</v>
      </c>
      <c r="AV43" s="244">
        <f>(ACOSH(SQRT(alpha*Kl*psi_l/(Tabella34[[#This Row],[sel. region velocity]]*(1+TANH(phi_l)))))+phi_l)/psi_l-(Tabella34[[#This Row],[Day]]-pl)</f>
        <v>176.57050037405901</v>
      </c>
      <c r="AW43" s="72">
        <f>-2*$BY$22*TANH($BY$22*(Tabella34[[#This Row],[Day]]-$BY$31)-$BY$21)*Tabella34[[#This Row],[sel. region velocity]]</f>
        <v>0.2921246326023122</v>
      </c>
      <c r="AX43" s="143">
        <f>Tabella34[[#This Row],[sel. region acc. fit]]/y_l_peak</f>
        <v>2.119928629361831E-3</v>
      </c>
      <c r="AY43" s="143">
        <f>Tabella34[[#This Row],[sel. region acc. fit]]*NOT(ISBLANK(Tabella34[[#This Row],[selected region rate data]]))</f>
        <v>0</v>
      </c>
      <c r="AZ43" s="77">
        <f>Tabella34[[#This Row],[sel. region acc. fit]]+CIl</f>
        <v>54.056965042150765</v>
      </c>
      <c r="BA43" s="77">
        <f>MAX(Tabella34[[#This Row],[sel. region acc. fit]]-CIl,0)</f>
        <v>0</v>
      </c>
      <c r="BB43" s="141"/>
      <c r="BC43" s="33"/>
      <c r="BD43" s="33"/>
      <c r="BE43" s="142">
        <f>Tabella34[[#This Row],[rest of Italy rate data]]*NOT(ISBLANK(Tabella34[[#This Row],[rest of Italy rate data]]))</f>
        <v>0</v>
      </c>
      <c r="BF43" s="188">
        <f>Tabella8[[#This Row],[rest of Italy fit]]</f>
        <v>0</v>
      </c>
      <c r="BG43" s="78">
        <f>(ATANH(alpha*Tabella34[[#This Row],[rest of Italy cumul. fit]]/Ka-(1-alpha*Tabella34[[#This Row],[rest of Italy cumul. fit]]/Ka)*TANH(phi_a))+phi_a)/psi_a-(Tabella34[[#This Row],[Day]]-pa)</f>
        <v>33.695444456084331</v>
      </c>
      <c r="BH43" s="143">
        <f>Tabella34[[#This Row],[rest of Italy cumul. fit]]/Ka</f>
        <v>0</v>
      </c>
      <c r="BI43" s="143">
        <f>Tabella3[[#This Row],[rest of Italy fit]]</f>
        <v>171.92650871152725</v>
      </c>
      <c r="BJ43" s="183" t="e">
        <f>Tabella34[[#This Row],[rest of Italy velocity]]/Tabella34[[#This Row],[rest of Italy cumul. fit]]</f>
        <v>#DIV/0!</v>
      </c>
      <c r="BK43" s="236" t="e">
        <f>(LN(Tabella34[[#This Row],[Day]]-po)-phi_o)/psi_o</f>
        <v>#NUM!</v>
      </c>
      <c r="BL43" s="244">
        <f>EXP(phi_o+psi_o*Tabella34[[#This Row],[x_o_alpha©+plus]])-(Tabella34[[#This Row],[Day]]-po)</f>
        <v>37.604592187377484</v>
      </c>
      <c r="BM43" s="244">
        <f>EXP(phi_o+psi_o*Tabella34[[#This Row],[x_o_alpha©-minus]])-(Tabella34[[#This Row],[Day]]-po)</f>
        <v>36.857369784752962</v>
      </c>
      <c r="BN43" s="244">
        <f>-psi_o+SQRT(psi_o^2-2*Tabella34[[#This Row],[c_o]])</f>
        <v>4.302446808832296</v>
      </c>
      <c r="BO43" s="244">
        <f>-psi_o-SQRT(psi_o^2-2*Tabella34[[#This Row],[c_o]])</f>
        <v>-4.3514738944019244</v>
      </c>
      <c r="BP43" s="244">
        <f>phi_o-LN(alpha*Ko/(Tabella34[[#This Row],[rest of Italy velocity]]*psi_o*SQRTPI(2)))</f>
        <v>-9.3609924853433029</v>
      </c>
      <c r="BQ43" s="244">
        <f>(ACOSH(SQRT(alpha*Ka*psi_a/(Tabella34[[#This Row],[rest of Italy velocity]]*(1+TANH(phi_a)))))+phi_a)/psi_a-(Tabella34[[#This Row],[Day]]-pa)</f>
        <v>184.47105157015835</v>
      </c>
      <c r="BR43" s="72">
        <f>-2*$BY$35*TANH($BY$35*(Tabella34[[#This Row],[Day]]-$BY$44)-$BY$34)*Tabella34[[#This Row],[rest of Italy velocity]]</f>
        <v>8.1719399536236015</v>
      </c>
      <c r="BS43" s="143">
        <f>Tabella34[[#This Row],[rest of Italy acc. fit]]/y_a_peak</f>
        <v>2.855533188708851E-3</v>
      </c>
      <c r="BT43" s="142">
        <f>Tabella34[[#This Row],[rest of Italy acc. fit]]*NOT(ISBLANK(Tabella34[[#This Row],[rest of Italy rate data]]))</f>
        <v>0</v>
      </c>
      <c r="BU43" s="77">
        <f>Tabella34[[#This Row],[rest of Italy acc. fit]]+CIa</f>
        <v>1702.7461348632064</v>
      </c>
      <c r="BV43" s="77">
        <f>MAX(Tabella34[[#This Row],[rest of Italy acc. fit]]-CIa,0)</f>
        <v>0</v>
      </c>
      <c r="BX43" s="224" t="s">
        <v>128</v>
      </c>
      <c r="BY43" s="226">
        <f>_xlfn.XLOOKUP(ROUND(EXP(phi_a-psi_a^2),0),Tabella34[Day],Tabella34[Date])</f>
        <v>43834</v>
      </c>
      <c r="CL43" s="50">
        <f>MAX($BY$52)</f>
        <v>0.14118686184312534</v>
      </c>
    </row>
    <row r="44" spans="2:90" x14ac:dyDescent="0.3">
      <c r="B44" s="262">
        <v>43867</v>
      </c>
      <c r="C44" s="4">
        <v>37</v>
      </c>
      <c r="D44" s="10">
        <f>Tabella8[[#This Row],[Italy cumulative]]</f>
        <v>0</v>
      </c>
      <c r="E44" s="72">
        <f>(Tabella34[[#This Row],[Italy cumul. data]]-D43)</f>
        <v>0</v>
      </c>
      <c r="F44" s="72">
        <f>Tabella34[[#This Row],[Italy rate data]]-E43</f>
        <v>0</v>
      </c>
      <c r="G44" s="142">
        <f>Tabella34[[#This Row],[Italy rate data]]*NOT(ISBLANK(Tabella34[[#This Row],[Italy rate data]]))</f>
        <v>0</v>
      </c>
      <c r="H44" s="143">
        <f>Tabella8[[#This Row],[Italy fit]]</f>
        <v>0</v>
      </c>
      <c r="I44" s="143">
        <f>(ATANH(alpha*Tabella34[[#This Row],[Italy cumul. Fit]]/Kf-(1-alpha*Tabella34[[#This Row],[Italy cumul. Fit]]/Kf)*TANH(phi_f))+phi_f)/psi_f-(Tabella34[[#This Row],[Day]]-pf)</f>
        <v>32.844294912230211</v>
      </c>
      <c r="J44" s="143">
        <f>Tabella34[[#This Row],[Italy d.t.]]/Italy_dt_at_lockdown</f>
        <v>29.787704149132122</v>
      </c>
      <c r="K44" s="143">
        <f>Tabella34[[#This Row],[Italy cumul. Fit]]/Kf</f>
        <v>0</v>
      </c>
      <c r="L44" s="146">
        <f>Tabella34[[#This Row],[sel. region acc. fit]]+Tabella34[[#This Row],[rest of Italy acc. fit]]</f>
        <v>8.8644787012155799</v>
      </c>
      <c r="M44" s="143">
        <f>Tabella34[[#This Row],[Italy (fit of selected region + fitted sum of the other regions)]]/(y_l_peak+y_a_peak)</f>
        <v>2.9552295751626577E-3</v>
      </c>
      <c r="N44" s="143">
        <f>Tabella3[[#This Row],[Italy remov. rate fit]]</f>
        <v>184.42756036348933</v>
      </c>
      <c r="O44" s="143" t="e">
        <f>Kt*EXP(-0.5*Tabella34[[#This Row],[x_t]]^2)/(psi_t*SQRTPI(2)*(Tabella34[[#This Row],[Day]]-D_bk))</f>
        <v>#NUM!</v>
      </c>
      <c r="P44" s="183" t="e">
        <f>Tabella34[[#This Row],[Italy velocity]]/Tabella34[[#This Row],[Italy cumul. Fit]]</f>
        <v>#DIV/0!</v>
      </c>
      <c r="Q44" s="244" t="e">
        <f>(LN(Tabella34[[#This Row],[Day]]-D_bk)-phi_t)/psi_t</f>
        <v>#NUM!</v>
      </c>
      <c r="R44" s="244">
        <f>EXP(phi_t+psi_t*Tabella34[[#This Row],[x_t_alpha©+plus]])-(Tabella34[[#This Row],[Day]]-D_bk)</f>
        <v>36.768228516095739</v>
      </c>
      <c r="S44" s="244">
        <f>EXP(phi_t+psi_t*Tabella34[[#This Row],[x_t_alpha©-minus]])-(Tabella34[[#This Row],[Day]]-D_bk)</f>
        <v>36.014616673183916</v>
      </c>
      <c r="T44" s="244">
        <f>-psi_t+SQRT(psi_t^2-2*Tabella34[[#This Row],[c_t]])</f>
        <v>4.2929738109069016</v>
      </c>
      <c r="U44" s="244">
        <f>-psi_t-SQRT(psi_t^2-2*Tabella34[[#This Row],[c_t]])</f>
        <v>-4.3423665453267057</v>
      </c>
      <c r="V44" s="244">
        <f>phi_t-LN(alpha*Kt/(Tabella34[[#This Row],[Italy velocity]]*psi_t*SQRTPI(2)))</f>
        <v>-9.3208329282229112</v>
      </c>
      <c r="W44" s="244" t="e">
        <f>Tabella34[[#This Row],[Italy g.r.]]/Italy_gr_at_lockdown</f>
        <v>#DIV/0!</v>
      </c>
      <c r="X44" s="244">
        <f>(ACOSH(SQRT(alpha*Kf*psi_f/(Tabella34[[#This Row],[Italy velocity]]*(1+TANH(phi_f)))))+phi_f)/psi_f-(Tabella34[[#This Row],[Day]]-pf)</f>
        <v>182.17043949387084</v>
      </c>
      <c r="Y44" s="244">
        <f>Tabella34[[#This Row],[Italy h.t.]]/Italy_ht_at_lockdown</f>
        <v>1.5758196885110838</v>
      </c>
      <c r="Z44" s="72">
        <f>-2*$BY$48*TANH($BY$48*(Tabella34[[#This Row],[Day]]-$BY$57)-$BY$47)*Tabella34[[#This Row],[Italy velocity]]</f>
        <v>8.8250724500127404</v>
      </c>
      <c r="AA44" s="72">
        <f>Tabella34[[#This Row],[Italy acc. fit]]/Itali_acc_at_lockdown</f>
        <v>0.24440383196200924</v>
      </c>
      <c r="AB44" s="143">
        <f>Tabella34[[#This Row],[Italy acc. fit]]/y_f_peak</f>
        <v>2.9403127819703058E-3</v>
      </c>
      <c r="AC44" s="143">
        <f>Tabella34[[#This Row],[Italy (fit of selected region + fitted sum of the other regions)]]*NOT(ISBLANK(Tabella34[[#This Row],[Italy rate data]]))</f>
        <v>8.8644787012155799</v>
      </c>
      <c r="AD44" s="143">
        <f>Tabella34[[#This Row],[Italy acc. fit]]*NOT(ISBLANK(Tabella34[[#This Row],[Italy rate data]]))</f>
        <v>8.8250724500127404</v>
      </c>
      <c r="AE44" s="77">
        <f>Tabella34[[#This Row],[Italy acc. fit]]+CIf</f>
        <v>1724.4399317845641</v>
      </c>
      <c r="AF44" s="77">
        <f>MAX(Tabella34[[#This Row],[Italy acc. fit]]-CIf,0)</f>
        <v>0</v>
      </c>
      <c r="AG44" s="141"/>
      <c r="AH44" s="33"/>
      <c r="AI44" s="33"/>
      <c r="AJ44" s="142">
        <f>Tabella34[[#This Row],[selected region rate data]]*NOT(ISBLANK(Tabella34[[#This Row],[selected region rate data]]))</f>
        <v>0</v>
      </c>
      <c r="AK44" s="147">
        <f>Tabella8[[#This Row],[region fit]]</f>
        <v>0</v>
      </c>
      <c r="AL44" s="143">
        <f>(ATANH(alpha*Tabella34[[#This Row],[sel. region cumul. fit]]/Kl-(1-alpha*Tabella34[[#This Row],[sel. region cumul. fit]]/Kl)*TANH(phi_l))+phi_l)/psi_l-(Tabella34[[#This Row],[Day]]-pl)</f>
        <v>38.240334693239106</v>
      </c>
      <c r="AM44" s="142">
        <f>Tabella34[[#This Row],[sel. region cumul. fit]]/Kl</f>
        <v>0</v>
      </c>
      <c r="AN44" s="143">
        <f>Tabella3[[#This Row],[region fit]]</f>
        <v>5.5811207021199758</v>
      </c>
      <c r="AO44" s="183" t="e">
        <f>Tabella34[[#This Row],[sel. region velocity]]/Tabella34[[#This Row],[sel. region cumul. fit]]</f>
        <v>#DIV/0!</v>
      </c>
      <c r="AP44" s="236" t="e">
        <f>(LN(Tabella34[[#This Row],[Day]]-pr)-phi_r)/psi_r</f>
        <v>#NUM!</v>
      </c>
      <c r="AQ44" s="244">
        <f>EXP(phi_r+psi_r*Tabella34[[#This Row],[x_r_alpha©+plus]])-(Tabella34[[#This Row],[Day]]-pr)</f>
        <v>42.020587989088298</v>
      </c>
      <c r="AR44" s="244">
        <f>EXP(phi_r+psi_r*Tabella34[[#This Row],[x_r_alpha©-minus]])-(Tabella34[[#This Row],[Day]]-pr)</f>
        <v>41.195886602836289</v>
      </c>
      <c r="AS44" s="244">
        <f>-psi_r+SQRT(psi_r^2-2*Tabella34[[#This Row],[c_r]])</f>
        <v>4.3347332621718371</v>
      </c>
      <c r="AT44" s="244">
        <f>-psi_r-SQRT(psi_r^2-2*Tabella34[[#This Row],[c_r]])</f>
        <v>-4.391141500590499</v>
      </c>
      <c r="AU44" s="244">
        <f>phi_r-LN(alpha*Kr/(Tabella34[[#This Row],[sel. region velocity]]*psi_r*SQRTPI(2)))</f>
        <v>-9.5172135607563959</v>
      </c>
      <c r="AV44" s="244">
        <f>(ACOSH(SQRT(alpha*Kl*psi_l/(Tabella34[[#This Row],[sel. region velocity]]*(1+TANH(phi_l)))))+phi_l)/psi_l-(Tabella34[[#This Row],[Day]]-pl)</f>
        <v>174.58060011122933</v>
      </c>
      <c r="AW44" s="72">
        <f>-2*$BY$22*TANH($BY$22*(Tabella34[[#This Row],[Day]]-$BY$31)-$BY$21)*Tabella34[[#This Row],[sel. region velocity]]</f>
        <v>0.3083798773107097</v>
      </c>
      <c r="AX44" s="143">
        <f>Tabella34[[#This Row],[sel. region acc. fit]]/y_l_peak</f>
        <v>2.2378918368039327E-3</v>
      </c>
      <c r="AY44" s="143">
        <f>Tabella34[[#This Row],[sel. region acc. fit]]*NOT(ISBLANK(Tabella34[[#This Row],[selected region rate data]]))</f>
        <v>0</v>
      </c>
      <c r="AZ44" s="77">
        <f>Tabella34[[#This Row],[sel. region acc. fit]]+CIl</f>
        <v>54.073220286859161</v>
      </c>
      <c r="BA44" s="77">
        <f>MAX(Tabella34[[#This Row],[sel. region acc. fit]]-CIl,0)</f>
        <v>0</v>
      </c>
      <c r="BB44" s="141"/>
      <c r="BC44" s="33"/>
      <c r="BD44" s="33"/>
      <c r="BE44" s="142">
        <f>Tabella34[[#This Row],[rest of Italy rate data]]*NOT(ISBLANK(Tabella34[[#This Row],[rest of Italy rate data]]))</f>
        <v>0</v>
      </c>
      <c r="BF44" s="188">
        <f>Tabella8[[#This Row],[rest of Italy fit]]</f>
        <v>0</v>
      </c>
      <c r="BG44" s="78">
        <f>(ATANH(alpha*Tabella34[[#This Row],[rest of Italy cumul. fit]]/Ka-(1-alpha*Tabella34[[#This Row],[rest of Italy cumul. fit]]/Ka)*TANH(phi_a))+phi_a)/psi_a-(Tabella34[[#This Row],[Day]]-pa)</f>
        <v>32.695444456084331</v>
      </c>
      <c r="BH44" s="143">
        <f>Tabella34[[#This Row],[rest of Italy cumul. fit]]/Ka</f>
        <v>0</v>
      </c>
      <c r="BI44" s="143">
        <f>Tabella3[[#This Row],[rest of Italy fit]]</f>
        <v>180.28916227420532</v>
      </c>
      <c r="BJ44" s="183" t="e">
        <f>Tabella34[[#This Row],[rest of Italy velocity]]/Tabella34[[#This Row],[rest of Italy cumul. fit]]</f>
        <v>#DIV/0!</v>
      </c>
      <c r="BK44" s="236" t="e">
        <f>(LN(Tabella34[[#This Row],[Day]]-po)-phi_o)/psi_o</f>
        <v>#NUM!</v>
      </c>
      <c r="BL44" s="244">
        <f>EXP(phi_o+psi_o*Tabella34[[#This Row],[x_o_alpha©+plus]])-(Tabella34[[#This Row],[Day]]-po)</f>
        <v>36.603539145346147</v>
      </c>
      <c r="BM44" s="244">
        <f>EXP(phi_o+psi_o*Tabella34[[#This Row],[x_o_alpha©-minus]])-(Tabella34[[#This Row],[Day]]-po)</f>
        <v>35.858221770320299</v>
      </c>
      <c r="BN44" s="244">
        <f>-psi_o+SQRT(psi_o^2-2*Tabella34[[#This Row],[c_o]])</f>
        <v>4.2914563444615137</v>
      </c>
      <c r="BO44" s="244">
        <f>-psi_o-SQRT(psi_o^2-2*Tabella34[[#This Row],[c_o]])</f>
        <v>-4.3404834300311421</v>
      </c>
      <c r="BP44" s="244">
        <f>phi_o-LN(alpha*Ko/(Tabella34[[#This Row],[rest of Italy velocity]]*psi_o*SQRTPI(2)))</f>
        <v>-9.3134975769186088</v>
      </c>
      <c r="BQ44" s="244">
        <f>(ACOSH(SQRT(alpha*Ka*psi_a/(Tabella34[[#This Row],[rest of Italy velocity]]*(1+TANH(phi_a)))))+phi_a)/psi_a-(Tabella34[[#This Row],[Day]]-pa)</f>
        <v>182.48704947648821</v>
      </c>
      <c r="BR44" s="72">
        <f>-2*$BY$35*TANH($BY$35*(Tabella34[[#This Row],[Day]]-$BY$44)-$BY$34)*Tabella34[[#This Row],[rest of Italy velocity]]</f>
        <v>8.5560988239048701</v>
      </c>
      <c r="BS44" s="143">
        <f>Tabella34[[#This Row],[rest of Italy acc. fit]]/y_a_peak</f>
        <v>2.9897703967708897E-3</v>
      </c>
      <c r="BT44" s="142">
        <f>Tabella34[[#This Row],[rest of Italy acc. fit]]*NOT(ISBLANK(Tabella34[[#This Row],[rest of Italy rate data]]))</f>
        <v>0</v>
      </c>
      <c r="BU44" s="77">
        <f>Tabella34[[#This Row],[rest of Italy acc. fit]]+CIa</f>
        <v>1703.1302937334876</v>
      </c>
      <c r="BV44" s="77">
        <f>MAX(Tabella34[[#This Row],[rest of Italy acc. fit]]-CIa,0)</f>
        <v>0</v>
      </c>
      <c r="BX44" s="227" t="s">
        <v>4346</v>
      </c>
      <c r="BY44" s="228">
        <f>pa</f>
        <v>69.695444456084331</v>
      </c>
      <c r="CL44" s="51">
        <f>COUNT($BY$46,$BY$47,$BY$48,$BY$57)</f>
        <v>4</v>
      </c>
    </row>
    <row r="45" spans="2:90" x14ac:dyDescent="0.3">
      <c r="B45" s="262">
        <v>43868</v>
      </c>
      <c r="C45" s="4">
        <v>38</v>
      </c>
      <c r="D45" s="10">
        <f>Tabella8[[#This Row],[Italy cumulative]]</f>
        <v>0</v>
      </c>
      <c r="E45" s="72">
        <f>(Tabella34[[#This Row],[Italy cumul. data]]-D44)</f>
        <v>0</v>
      </c>
      <c r="F45" s="72">
        <f>Tabella34[[#This Row],[Italy rate data]]-E44</f>
        <v>0</v>
      </c>
      <c r="G45" s="142">
        <f>Tabella34[[#This Row],[Italy rate data]]*NOT(ISBLANK(Tabella34[[#This Row],[Italy rate data]]))</f>
        <v>0</v>
      </c>
      <c r="H45" s="143">
        <f>Tabella8[[#This Row],[Italy fit]]</f>
        <v>0</v>
      </c>
      <c r="I45" s="143">
        <f>(ATANH(alpha*Tabella34[[#This Row],[Italy cumul. Fit]]/Kf-(1-alpha*Tabella34[[#This Row],[Italy cumul. Fit]]/Kf)*TANH(phi_f))+phi_f)/psi_f-(Tabella34[[#This Row],[Day]]-pf)</f>
        <v>31.844294912230211</v>
      </c>
      <c r="J45" s="143">
        <f>Tabella34[[#This Row],[Italy d.t.]]/Italy_dt_at_lockdown</f>
        <v>28.880767214461009</v>
      </c>
      <c r="K45" s="143">
        <f>Tabella34[[#This Row],[Italy cumul. Fit]]/Kf</f>
        <v>0</v>
      </c>
      <c r="L45" s="146">
        <f>Tabella34[[#This Row],[sel. region acc. fit]]+Tabella34[[#This Row],[rest of Italy acc. fit]]</f>
        <v>9.282434560713698</v>
      </c>
      <c r="M45" s="143">
        <f>Tabella34[[#This Row],[Italy (fit of selected region + fitted sum of the other regions)]]/(y_l_peak+y_a_peak)</f>
        <v>3.0945672123473453E-3</v>
      </c>
      <c r="N45" s="143">
        <f>Tabella3[[#This Row],[Italy remov. rate fit]]</f>
        <v>193.4598188363677</v>
      </c>
      <c r="O45" s="143" t="e">
        <f>Kt*EXP(-0.5*Tabella34[[#This Row],[x_t]]^2)/(psi_t*SQRTPI(2)*(Tabella34[[#This Row],[Day]]-D_bk))</f>
        <v>#NUM!</v>
      </c>
      <c r="P45" s="183" t="e">
        <f>Tabella34[[#This Row],[Italy velocity]]/Tabella34[[#This Row],[Italy cumul. Fit]]</f>
        <v>#DIV/0!</v>
      </c>
      <c r="Q45" s="244" t="e">
        <f>(LN(Tabella34[[#This Row],[Day]]-D_bk)-phi_t)/psi_t</f>
        <v>#NUM!</v>
      </c>
      <c r="R45" s="244">
        <f>EXP(phi_t+psi_t*Tabella34[[#This Row],[x_t_alpha©+plus]])-(Tabella34[[#This Row],[Day]]-D_bk)</f>
        <v>35.7671541544494</v>
      </c>
      <c r="S45" s="244">
        <f>EXP(phi_t+psi_t*Tabella34[[#This Row],[x_t_alpha©-minus]])-(Tabella34[[#This Row],[Day]]-D_bk)</f>
        <v>35.01548493581997</v>
      </c>
      <c r="T45" s="244">
        <f>-psi_t+SQRT(psi_t^2-2*Tabella34[[#This Row],[c_t]])</f>
        <v>4.281885759445001</v>
      </c>
      <c r="U45" s="244">
        <f>-psi_t-SQRT(psi_t^2-2*Tabella34[[#This Row],[c_t]])</f>
        <v>-4.3312784938648052</v>
      </c>
      <c r="V45" s="244">
        <f>phi_t-LN(alpha*Kt/(Tabella34[[#This Row],[Italy velocity]]*psi_t*SQRTPI(2)))</f>
        <v>-9.2730198515350502</v>
      </c>
      <c r="W45" s="244" t="e">
        <f>Tabella34[[#This Row],[Italy g.r.]]/Italy_gr_at_lockdown</f>
        <v>#DIV/0!</v>
      </c>
      <c r="X45" s="244">
        <f>(ACOSH(SQRT(alpha*Kf*psi_f/(Tabella34[[#This Row],[Italy velocity]]*(1+TANH(phi_f)))))+phi_f)/psi_f-(Tabella34[[#This Row],[Day]]-pf)</f>
        <v>180.1868200945957</v>
      </c>
      <c r="Y45" s="244">
        <f>Tabella34[[#This Row],[Italy h.t.]]/Italy_ht_at_lockdown</f>
        <v>1.558660886498118</v>
      </c>
      <c r="Z45" s="72">
        <f>-2*$BY$48*TANH($BY$48*(Tabella34[[#This Row],[Day]]-$BY$57)-$BY$47)*Tabella34[[#This Row],[Italy velocity]]</f>
        <v>9.2424234682086297</v>
      </c>
      <c r="AA45" s="72">
        <f>Tabella34[[#This Row],[Italy acc. fit]]/Itali_acc_at_lockdown</f>
        <v>0.25596205867324429</v>
      </c>
      <c r="AB45" s="143">
        <f>Tabella34[[#This Row],[Italy acc. fit]]/y_f_peak</f>
        <v>3.0793646186912525E-3</v>
      </c>
      <c r="AC45" s="143">
        <f>Tabella34[[#This Row],[Italy (fit of selected region + fitted sum of the other regions)]]*NOT(ISBLANK(Tabella34[[#This Row],[Italy rate data]]))</f>
        <v>9.282434560713698</v>
      </c>
      <c r="AD45" s="143">
        <f>Tabella34[[#This Row],[Italy acc. fit]]*NOT(ISBLANK(Tabella34[[#This Row],[Italy rate data]]))</f>
        <v>9.2424234682086297</v>
      </c>
      <c r="AE45" s="77">
        <f>Tabella34[[#This Row],[Italy acc. fit]]+CIf</f>
        <v>1724.85728280276</v>
      </c>
      <c r="AF45" s="77">
        <f>MAX(Tabella34[[#This Row],[Italy acc. fit]]-CIf,0)</f>
        <v>0</v>
      </c>
      <c r="AG45" s="141"/>
      <c r="AH45" s="33"/>
      <c r="AI45" s="33"/>
      <c r="AJ45" s="142">
        <f>Tabella34[[#This Row],[selected region rate data]]*NOT(ISBLANK(Tabella34[[#This Row],[selected region rate data]]))</f>
        <v>0</v>
      </c>
      <c r="AK45" s="147">
        <f>Tabella8[[#This Row],[region fit]]</f>
        <v>0</v>
      </c>
      <c r="AL45" s="143">
        <f>(ATANH(alpha*Tabella34[[#This Row],[sel. region cumul. fit]]/Kl-(1-alpha*Tabella34[[#This Row],[sel. region cumul. fit]]/Kl)*TANH(phi_l))+phi_l)/psi_l-(Tabella34[[#This Row],[Day]]-pl)</f>
        <v>37.240334693239106</v>
      </c>
      <c r="AM45" s="142">
        <f>Tabella34[[#This Row],[sel. region cumul. fit]]/Kl</f>
        <v>0</v>
      </c>
      <c r="AN45" s="143">
        <f>Tabella3[[#This Row],[region fit]]</f>
        <v>5.8979857418232573</v>
      </c>
      <c r="AO45" s="183" t="e">
        <f>Tabella34[[#This Row],[sel. region velocity]]/Tabella34[[#This Row],[sel. region cumul. fit]]</f>
        <v>#DIV/0!</v>
      </c>
      <c r="AP45" s="236" t="e">
        <f>(LN(Tabella34[[#This Row],[Day]]-pr)-phi_r)/psi_r</f>
        <v>#NUM!</v>
      </c>
      <c r="AQ45" s="244">
        <f>EXP(phi_r+psi_r*Tabella34[[#This Row],[x_r_alpha©+plus]])-(Tabella34[[#This Row],[Day]]-pr)</f>
        <v>41.019236804336913</v>
      </c>
      <c r="AR45" s="244">
        <f>EXP(phi_r+psi_r*Tabella34[[#This Row],[x_r_alpha©-minus]])-(Tabella34[[#This Row],[Day]]-pr)</f>
        <v>40.19694339037796</v>
      </c>
      <c r="AS45" s="244">
        <f>-psi_r+SQRT(psi_r^2-2*Tabella34[[#This Row],[c_r]])</f>
        <v>4.3220579425283034</v>
      </c>
      <c r="AT45" s="244">
        <f>-psi_r-SQRT(psi_r^2-2*Tabella34[[#This Row],[c_r]])</f>
        <v>-4.3784661809469654</v>
      </c>
      <c r="AU45" s="244">
        <f>phi_r-LN(alpha*Kr/(Tabella34[[#This Row],[sel. region velocity]]*psi_r*SQRTPI(2)))</f>
        <v>-9.461992266726698</v>
      </c>
      <c r="AV45" s="244">
        <f>(ACOSH(SQRT(alpha*Kl*psi_l/(Tabella34[[#This Row],[sel. region velocity]]*(1+TANH(phi_l)))))+phi_l)/psi_l-(Tabella34[[#This Row],[Day]]-pl)</f>
        <v>172.59128896770761</v>
      </c>
      <c r="AW45" s="72">
        <f>-2*$BY$22*TANH($BY$22*(Tabella34[[#This Row],[Day]]-$BY$31)-$BY$21)*Tabella34[[#This Row],[sel. region velocity]]</f>
        <v>0.32549723949347437</v>
      </c>
      <c r="AX45" s="143">
        <f>Tabella34[[#This Row],[sel. region acc. fit]]/y_l_peak</f>
        <v>2.362111372236944E-3</v>
      </c>
      <c r="AY45" s="143">
        <f>Tabella34[[#This Row],[sel. region acc. fit]]*NOT(ISBLANK(Tabella34[[#This Row],[selected region rate data]]))</f>
        <v>0</v>
      </c>
      <c r="AZ45" s="77">
        <f>Tabella34[[#This Row],[sel. region acc. fit]]+CIl</f>
        <v>54.090337649041928</v>
      </c>
      <c r="BA45" s="77">
        <f>MAX(Tabella34[[#This Row],[sel. region acc. fit]]-CIl,0)</f>
        <v>0</v>
      </c>
      <c r="BB45" s="141"/>
      <c r="BC45" s="33"/>
      <c r="BD45" s="33"/>
      <c r="BE45" s="142">
        <f>Tabella34[[#This Row],[rest of Italy rate data]]*NOT(ISBLANK(Tabella34[[#This Row],[rest of Italy rate data]]))</f>
        <v>0</v>
      </c>
      <c r="BF45" s="188">
        <f>Tabella8[[#This Row],[rest of Italy fit]]</f>
        <v>0</v>
      </c>
      <c r="BG45" s="78">
        <f>(ATANH(alpha*Tabella34[[#This Row],[rest of Italy cumul. fit]]/Ka-(1-alpha*Tabella34[[#This Row],[rest of Italy cumul. fit]]/Ka)*TANH(phi_a))+phi_a)/psi_a-(Tabella34[[#This Row],[Day]]-pa)</f>
        <v>31.695444456084331</v>
      </c>
      <c r="BH45" s="143">
        <f>Tabella34[[#This Row],[rest of Italy cumul. fit]]/Ka</f>
        <v>0</v>
      </c>
      <c r="BI45" s="143">
        <f>Tabella3[[#This Row],[rest of Italy fit]]</f>
        <v>189.04426615585976</v>
      </c>
      <c r="BJ45" s="183" t="e">
        <f>Tabella34[[#This Row],[rest of Italy velocity]]/Tabella34[[#This Row],[rest of Italy cumul. fit]]</f>
        <v>#DIV/0!</v>
      </c>
      <c r="BK45" s="236" t="e">
        <f>(LN(Tabella34[[#This Row],[Day]]-po)-phi_o)/psi_o</f>
        <v>#NUM!</v>
      </c>
      <c r="BL45" s="244">
        <f>EXP(phi_o+psi_o*Tabella34[[#This Row],[x_o_alpha©+plus]])-(Tabella34[[#This Row],[Day]]-po)</f>
        <v>35.602485384437983</v>
      </c>
      <c r="BM45" s="244">
        <f>EXP(phi_o+psi_o*Tabella34[[#This Row],[x_o_alpha©-minus]])-(Tabella34[[#This Row],[Day]]-po)</f>
        <v>34.859074797241718</v>
      </c>
      <c r="BN45" s="244">
        <f>-psi_o+SQRT(psi_o^2-2*Tabella34[[#This Row],[c_o]])</f>
        <v>4.2804554124353533</v>
      </c>
      <c r="BO45" s="244">
        <f>-psi_o-SQRT(psi_o^2-2*Tabella34[[#This Row],[c_o]])</f>
        <v>-4.3294824980049817</v>
      </c>
      <c r="BP45" s="244">
        <f>phi_o-LN(alpha*Ko/(Tabella34[[#This Row],[rest of Italy velocity]]*psi_o*SQRTPI(2)))</f>
        <v>-9.2660783958147803</v>
      </c>
      <c r="BQ45" s="244">
        <f>(ACOSH(SQRT(alpha*Ka*psi_a/(Tabella34[[#This Row],[rest of Italy velocity]]*(1+TANH(phi_a)))))+phi_a)/psi_a-(Tabella34[[#This Row],[Day]]-pa)</f>
        <v>180.50385768828681</v>
      </c>
      <c r="BR45" s="72">
        <f>-2*$BY$35*TANH($BY$35*(Tabella34[[#This Row],[Day]]-$BY$44)-$BY$34)*Tabella34[[#This Row],[rest of Italy velocity]]</f>
        <v>8.9569373212202237</v>
      </c>
      <c r="BS45" s="143">
        <f>Tabella34[[#This Row],[rest of Italy acc. fit]]/y_a_peak</f>
        <v>3.1298359918305592E-3</v>
      </c>
      <c r="BT45" s="142">
        <f>Tabella34[[#This Row],[rest of Italy acc. fit]]*NOT(ISBLANK(Tabella34[[#This Row],[rest of Italy rate data]]))</f>
        <v>0</v>
      </c>
      <c r="BU45" s="77">
        <f>Tabella34[[#This Row],[rest of Italy acc. fit]]+CIa</f>
        <v>1703.531132230803</v>
      </c>
      <c r="BV45" s="77">
        <f>MAX(Tabella34[[#This Row],[rest of Italy acc. fit]]-CIa,0)</f>
        <v>0</v>
      </c>
      <c r="BX45" s="229" t="s">
        <v>129</v>
      </c>
      <c r="BY45" s="230" t="s">
        <v>85</v>
      </c>
      <c r="CL45" s="51" t="b">
        <f>pf&lt;=0</f>
        <v>0</v>
      </c>
    </row>
    <row r="46" spans="2:90" x14ac:dyDescent="0.3">
      <c r="B46" s="262">
        <v>43869</v>
      </c>
      <c r="C46" s="4">
        <v>39</v>
      </c>
      <c r="D46" s="10">
        <f>Tabella8[[#This Row],[Italy cumulative]]</f>
        <v>0</v>
      </c>
      <c r="E46" s="72">
        <f>(Tabella34[[#This Row],[Italy cumul. data]]-D45)</f>
        <v>0</v>
      </c>
      <c r="F46" s="72">
        <f>Tabella34[[#This Row],[Italy rate data]]-E45</f>
        <v>0</v>
      </c>
      <c r="G46" s="142">
        <f>Tabella34[[#This Row],[Italy rate data]]*NOT(ISBLANK(Tabella34[[#This Row],[Italy rate data]]))</f>
        <v>0</v>
      </c>
      <c r="H46" s="143">
        <f>Tabella8[[#This Row],[Italy fit]]</f>
        <v>0</v>
      </c>
      <c r="I46" s="143">
        <f>(ATANH(alpha*Tabella34[[#This Row],[Italy cumul. Fit]]/Kf-(1-alpha*Tabella34[[#This Row],[Italy cumul. Fit]]/Kf)*TANH(phi_f))+phi_f)/psi_f-(Tabella34[[#This Row],[Day]]-pf)</f>
        <v>30.844294912230211</v>
      </c>
      <c r="J46" s="143">
        <f>Tabella34[[#This Row],[Italy d.t.]]/Italy_dt_at_lockdown</f>
        <v>27.973830279789894</v>
      </c>
      <c r="K46" s="143">
        <f>Tabella34[[#This Row],[Italy cumul. Fit]]/Kf</f>
        <v>0</v>
      </c>
      <c r="L46" s="146">
        <f>Tabella34[[#This Row],[sel. region acc. fit]]+Tabella34[[#This Row],[rest of Italy acc. fit]]</f>
        <v>9.7185565227053559</v>
      </c>
      <c r="M46" s="143">
        <f>Tabella34[[#This Row],[Italy (fit of selected region + fitted sum of the other regions)]]/(y_l_peak+y_a_peak)</f>
        <v>3.2399610436032061E-3</v>
      </c>
      <c r="N46" s="143">
        <f>Tabella3[[#This Row],[Italy remov. rate fit]]</f>
        <v>202.91847010856659</v>
      </c>
      <c r="O46" s="143" t="e">
        <f>Kt*EXP(-0.5*Tabella34[[#This Row],[x_t]]^2)/(psi_t*SQRTPI(2)*(Tabella34[[#This Row],[Day]]-D_bk))</f>
        <v>#NUM!</v>
      </c>
      <c r="P46" s="183" t="e">
        <f>Tabella34[[#This Row],[Italy velocity]]/Tabella34[[#This Row],[Italy cumul. Fit]]</f>
        <v>#DIV/0!</v>
      </c>
      <c r="Q46" s="244" t="e">
        <f>(LN(Tabella34[[#This Row],[Day]]-D_bk)-phi_t)/psi_t</f>
        <v>#NUM!</v>
      </c>
      <c r="R46" s="244">
        <f>EXP(phi_t+psi_t*Tabella34[[#This Row],[x_t_alpha©+plus]])-(Tabella34[[#This Row],[Day]]-D_bk)</f>
        <v>34.766079087975932</v>
      </c>
      <c r="S46" s="244">
        <f>EXP(phi_t+psi_t*Tabella34[[#This Row],[x_t_alpha©-minus]])-(Tabella34[[#This Row],[Day]]-D_bk)</f>
        <v>34.016354244257805</v>
      </c>
      <c r="T46" s="244">
        <f>-psi_t+SQRT(psi_t^2-2*Tabella34[[#This Row],[c_t]])</f>
        <v>4.2707873936342882</v>
      </c>
      <c r="U46" s="244">
        <f>-psi_t-SQRT(psi_t^2-2*Tabella34[[#This Row],[c_t]])</f>
        <v>-4.3201801280540923</v>
      </c>
      <c r="V46" s="244">
        <f>phi_t-LN(alpha*Kt/(Tabella34[[#This Row],[Italy velocity]]*psi_t*SQRTPI(2)))</f>
        <v>-9.225285414561391</v>
      </c>
      <c r="W46" s="244" t="e">
        <f>Tabella34[[#This Row],[Italy g.r.]]/Italy_gr_at_lockdown</f>
        <v>#DIV/0!</v>
      </c>
      <c r="X46" s="244">
        <f>(ACOSH(SQRT(alpha*Kf*psi_f/(Tabella34[[#This Row],[Italy velocity]]*(1+TANH(phi_f)))))+phi_f)/psi_f-(Tabella34[[#This Row],[Day]]-pf)</f>
        <v>178.20403687959919</v>
      </c>
      <c r="Y46" s="244">
        <f>Tabella34[[#This Row],[Italy h.t.]]/Italy_ht_at_lockdown</f>
        <v>1.5415093176874937</v>
      </c>
      <c r="Z46" s="72">
        <f>-2*$BY$48*TANH($BY$48*(Tabella34[[#This Row],[Day]]-$BY$57)-$BY$47)*Tabella34[[#This Row],[Italy velocity]]</f>
        <v>9.677963144194841</v>
      </c>
      <c r="AA46" s="72">
        <f>Tabella34[[#This Row],[Italy acc. fit]]/Itali_acc_at_lockdown</f>
        <v>0.2680240067632419</v>
      </c>
      <c r="AB46" s="143">
        <f>Tabella34[[#This Row],[Italy acc. fit]]/y_f_peak</f>
        <v>3.2244765011841393E-3</v>
      </c>
      <c r="AC46" s="143">
        <f>Tabella34[[#This Row],[Italy (fit of selected region + fitted sum of the other regions)]]*NOT(ISBLANK(Tabella34[[#This Row],[Italy rate data]]))</f>
        <v>9.7185565227053559</v>
      </c>
      <c r="AD46" s="143">
        <f>Tabella34[[#This Row],[Italy acc. fit]]*NOT(ISBLANK(Tabella34[[#This Row],[Italy rate data]]))</f>
        <v>9.677963144194841</v>
      </c>
      <c r="AE46" s="77">
        <f>Tabella34[[#This Row],[Italy acc. fit]]+CIf</f>
        <v>1725.2928224787461</v>
      </c>
      <c r="AF46" s="77">
        <f>MAX(Tabella34[[#This Row],[Italy acc. fit]]-CIf,0)</f>
        <v>0</v>
      </c>
      <c r="AG46" s="141"/>
      <c r="AH46" s="33"/>
      <c r="AI46" s="33"/>
      <c r="AJ46" s="142">
        <f>Tabella34[[#This Row],[selected region rate data]]*NOT(ISBLANK(Tabella34[[#This Row],[selected region rate data]]))</f>
        <v>0</v>
      </c>
      <c r="AK46" s="147">
        <f>Tabella8[[#This Row],[region fit]]</f>
        <v>0</v>
      </c>
      <c r="AL46" s="143">
        <f>(ATANH(alpha*Tabella34[[#This Row],[sel. region cumul. fit]]/Kl-(1-alpha*Tabella34[[#This Row],[sel. region cumul. fit]]/Kl)*TANH(phi_l))+phi_l)/psi_l-(Tabella34[[#This Row],[Day]]-pl)</f>
        <v>36.240334693239106</v>
      </c>
      <c r="AM46" s="142">
        <f>Tabella34[[#This Row],[sel. region cumul. fit]]/Kl</f>
        <v>0</v>
      </c>
      <c r="AN46" s="143">
        <f>Tabella3[[#This Row],[region fit]]</f>
        <v>6.2324161059704046</v>
      </c>
      <c r="AO46" s="183" t="e">
        <f>Tabella34[[#This Row],[sel. region velocity]]/Tabella34[[#This Row],[sel. region cumul. fit]]</f>
        <v>#DIV/0!</v>
      </c>
      <c r="AP46" s="236" t="e">
        <f>(LN(Tabella34[[#This Row],[Day]]-pr)-phi_r)/psi_r</f>
        <v>#NUM!</v>
      </c>
      <c r="AQ46" s="244">
        <f>EXP(phi_r+psi_r*Tabella34[[#This Row],[x_r_alpha©+plus]])-(Tabella34[[#This Row],[Day]]-pr)</f>
        <v>40.017883829208998</v>
      </c>
      <c r="AR46" s="244">
        <f>EXP(phi_r+psi_r*Tabella34[[#This Row],[x_r_alpha©-minus]])-(Tabella34[[#This Row],[Day]]-pr)</f>
        <v>39.198002335711614</v>
      </c>
      <c r="AS46" s="244">
        <f>-psi_r+SQRT(psi_r^2-2*Tabella34[[#This Row],[c_r]])</f>
        <v>4.3093612855395715</v>
      </c>
      <c r="AT46" s="244">
        <f>-psi_r-SQRT(psi_r^2-2*Tabella34[[#This Row],[c_r]])</f>
        <v>-4.3657695239582335</v>
      </c>
      <c r="AU46" s="244">
        <f>phi_r-LN(alpha*Kr/(Tabella34[[#This Row],[sel. region velocity]]*psi_r*SQRTPI(2)))</f>
        <v>-9.4068390840670695</v>
      </c>
      <c r="AV46" s="244">
        <f>(ACOSH(SQRT(alpha*Kl*psi_l/(Tabella34[[#This Row],[sel. region velocity]]*(1+TANH(phi_l)))))+phi_l)/psi_l-(Tabella34[[#This Row],[Day]]-pl)</f>
        <v>170.60260148816292</v>
      </c>
      <c r="AW46" s="72">
        <f>-2*$BY$22*TANH($BY$22*(Tabella34[[#This Row],[Day]]-$BY$31)-$BY$21)*Tabella34[[#This Row],[sel. region velocity]]</f>
        <v>0.3435174200993148</v>
      </c>
      <c r="AX46" s="143">
        <f>Tabella34[[#This Row],[sel. region acc. fit]]/y_l_peak</f>
        <v>2.4928825996828612E-3</v>
      </c>
      <c r="AY46" s="143">
        <f>Tabella34[[#This Row],[sel. region acc. fit]]*NOT(ISBLANK(Tabella34[[#This Row],[selected region rate data]]))</f>
        <v>0</v>
      </c>
      <c r="AZ46" s="77">
        <f>Tabella34[[#This Row],[sel. region acc. fit]]+CIl</f>
        <v>54.108357829647773</v>
      </c>
      <c r="BA46" s="77">
        <f>MAX(Tabella34[[#This Row],[sel. region acc. fit]]-CIl,0)</f>
        <v>0</v>
      </c>
      <c r="BB46" s="141"/>
      <c r="BC46" s="33"/>
      <c r="BD46" s="33"/>
      <c r="BE46" s="142">
        <f>Tabella34[[#This Row],[rest of Italy rate data]]*NOT(ISBLANK(Tabella34[[#This Row],[rest of Italy rate data]]))</f>
        <v>0</v>
      </c>
      <c r="BF46" s="188">
        <f>Tabella8[[#This Row],[rest of Italy fit]]</f>
        <v>0</v>
      </c>
      <c r="BG46" s="78">
        <f>(ATANH(alpha*Tabella34[[#This Row],[rest of Italy cumul. fit]]/Ka-(1-alpha*Tabella34[[#This Row],[rest of Italy cumul. fit]]/Ka)*TANH(phi_a))+phi_a)/psi_a-(Tabella34[[#This Row],[Day]]-pa)</f>
        <v>30.695444456084331</v>
      </c>
      <c r="BH46" s="143">
        <f>Tabella34[[#This Row],[rest of Italy cumul. fit]]/Ka</f>
        <v>0</v>
      </c>
      <c r="BI46" s="143">
        <f>Tabella3[[#This Row],[rest of Italy fit]]</f>
        <v>198.20879128308931</v>
      </c>
      <c r="BJ46" s="183" t="e">
        <f>Tabella34[[#This Row],[rest of Italy velocity]]/Tabella34[[#This Row],[rest of Italy cumul. fit]]</f>
        <v>#DIV/0!</v>
      </c>
      <c r="BK46" s="236" t="e">
        <f>(LN(Tabella34[[#This Row],[Day]]-po)-phi_o)/psi_o</f>
        <v>#NUM!</v>
      </c>
      <c r="BL46" s="244">
        <f>EXP(phi_o+psi_o*Tabella34[[#This Row],[x_o_alpha©+plus]])-(Tabella34[[#This Row],[Day]]-po)</f>
        <v>34.601430979684352</v>
      </c>
      <c r="BM46" s="244">
        <f>EXP(phi_o+psi_o*Tabella34[[#This Row],[x_o_alpha©-minus]])-(Tabella34[[#This Row],[Day]]-po)</f>
        <v>33.859928806043413</v>
      </c>
      <c r="BN46" s="244">
        <f>-psi_o+SQRT(psi_o^2-2*Tabella34[[#This Row],[c_o]])</f>
        <v>4.2694447887031766</v>
      </c>
      <c r="BO46" s="244">
        <f>-psi_o-SQRT(psi_o^2-2*Tabella34[[#This Row],[c_o]])</f>
        <v>-4.318471874272805</v>
      </c>
      <c r="BP46" s="244">
        <f>phi_o-LN(alpha*Ko/(Tabella34[[#This Row],[rest of Italy velocity]]*psi_o*SQRTPI(2)))</f>
        <v>-9.2187386193876346</v>
      </c>
      <c r="BQ46" s="244">
        <f>(ACOSH(SQRT(alpha*Ka*psi_a/(Tabella34[[#This Row],[rest of Italy velocity]]*(1+TANH(phi_a)))))+phi_a)/psi_a-(Tabella34[[#This Row],[Day]]-pa)</f>
        <v>178.52151757241967</v>
      </c>
      <c r="BR46" s="72">
        <f>-2*$BY$35*TANH($BY$35*(Tabella34[[#This Row],[Day]]-$BY$44)-$BY$34)*Tabella34[[#This Row],[rest of Italy velocity]]</f>
        <v>9.3750391026060402</v>
      </c>
      <c r="BS46" s="143">
        <f>Tabella34[[#This Row],[rest of Italy acc. fit]]/y_a_peak</f>
        <v>3.2759339220381949E-3</v>
      </c>
      <c r="BT46" s="142">
        <f>Tabella34[[#This Row],[rest of Italy acc. fit]]*NOT(ISBLANK(Tabella34[[#This Row],[rest of Italy rate data]]))</f>
        <v>0</v>
      </c>
      <c r="BU46" s="77">
        <f>Tabella34[[#This Row],[rest of Italy acc. fit]]+CIa</f>
        <v>1703.9492340121888</v>
      </c>
      <c r="BV46" s="77">
        <f>MAX(Tabella34[[#This Row],[rest of Italy acc. fit]]-CIa,0)</f>
        <v>0</v>
      </c>
      <c r="BX46" s="212" t="s">
        <v>0</v>
      </c>
      <c r="BY46" s="211">
        <f>Kf</f>
        <v>225000</v>
      </c>
      <c r="CL46" s="51" t="b">
        <f>psi_f&gt;=0.000001</f>
        <v>1</v>
      </c>
    </row>
    <row r="47" spans="2:90" x14ac:dyDescent="0.3">
      <c r="B47" s="262">
        <v>43870</v>
      </c>
      <c r="C47" s="4">
        <v>40</v>
      </c>
      <c r="D47" s="10">
        <f>Tabella8[[#This Row],[Italy cumulative]]</f>
        <v>0</v>
      </c>
      <c r="E47" s="72">
        <f>(Tabella34[[#This Row],[Italy cumul. data]]-D46)</f>
        <v>0</v>
      </c>
      <c r="F47" s="72">
        <f>Tabella34[[#This Row],[Italy rate data]]-E46</f>
        <v>0</v>
      </c>
      <c r="G47" s="142">
        <f>Tabella34[[#This Row],[Italy rate data]]*NOT(ISBLANK(Tabella34[[#This Row],[Italy rate data]]))</f>
        <v>0</v>
      </c>
      <c r="H47" s="143">
        <f>Tabella8[[#This Row],[Italy fit]]</f>
        <v>0</v>
      </c>
      <c r="I47" s="143">
        <f>(ATANH(alpha*Tabella34[[#This Row],[Italy cumul. Fit]]/Kf-(1-alpha*Tabella34[[#This Row],[Italy cumul. Fit]]/Kf)*TANH(phi_f))+phi_f)/psi_f-(Tabella34[[#This Row],[Day]]-pf)</f>
        <v>29.844294912230211</v>
      </c>
      <c r="J47" s="143">
        <f>Tabella34[[#This Row],[Italy d.t.]]/Italy_dt_at_lockdown</f>
        <v>27.066893345118782</v>
      </c>
      <c r="K47" s="143">
        <f>Tabella34[[#This Row],[Italy cumul. Fit]]/Kf</f>
        <v>0</v>
      </c>
      <c r="L47" s="146">
        <f>Tabella34[[#This Row],[sel. region acc. fit]]+Tabella34[[#This Row],[rest of Italy acc. fit]]</f>
        <v>10.173475773096214</v>
      </c>
      <c r="M47" s="143">
        <f>Tabella34[[#This Row],[Italy (fit of selected region + fitted sum of the other regions)]]/(y_l_peak+y_a_peak)</f>
        <v>3.3916214929516305E-3</v>
      </c>
      <c r="N47" s="143">
        <f>Tabella3[[#This Row],[Italy remov. rate fit]]</f>
        <v>212.82201919349529</v>
      </c>
      <c r="O47" s="143" t="e">
        <f>Kt*EXP(-0.5*Tabella34[[#This Row],[x_t]]^2)/(psi_t*SQRTPI(2)*(Tabella34[[#This Row],[Day]]-D_bk))</f>
        <v>#NUM!</v>
      </c>
      <c r="P47" s="183" t="e">
        <f>Tabella34[[#This Row],[Italy velocity]]/Tabella34[[#This Row],[Italy cumul. Fit]]</f>
        <v>#DIV/0!</v>
      </c>
      <c r="Q47" s="244" t="e">
        <f>(LN(Tabella34[[#This Row],[Day]]-D_bk)-phi_t)/psi_t</f>
        <v>#NUM!</v>
      </c>
      <c r="R47" s="244">
        <f>EXP(phi_t+psi_t*Tabella34[[#This Row],[x_t_alpha©+plus]])-(Tabella34[[#This Row],[Day]]-D_bk)</f>
        <v>33.765003396547201</v>
      </c>
      <c r="S47" s="244">
        <f>EXP(phi_t+psi_t*Tabella34[[#This Row],[x_t_alpha©-minus]])-(Tabella34[[#This Row],[Day]]-D_bk)</f>
        <v>33.017224535188262</v>
      </c>
      <c r="T47" s="244">
        <f>-psi_t+SQRT(psi_t^2-2*Tabella34[[#This Row],[c_t]])</f>
        <v>4.2596795307145205</v>
      </c>
      <c r="U47" s="244">
        <f>-psi_t-SQRT(psi_t^2-2*Tabella34[[#This Row],[c_t]])</f>
        <v>-4.3090722651343247</v>
      </c>
      <c r="V47" s="244">
        <f>phi_t-LN(alpha*Kt/(Tabella34[[#This Row],[Italy velocity]]*psi_t*SQRTPI(2)))</f>
        <v>-9.1776334620811681</v>
      </c>
      <c r="W47" s="244" t="e">
        <f>Tabella34[[#This Row],[Italy g.r.]]/Italy_gr_at_lockdown</f>
        <v>#DIV/0!</v>
      </c>
      <c r="X47" s="244">
        <f>(ACOSH(SQRT(alpha*Kf*psi_f/(Tabella34[[#This Row],[Italy velocity]]*(1+TANH(phi_f)))))+phi_f)/psi_f-(Tabella34[[#This Row],[Day]]-pf)</f>
        <v>176.22213287843522</v>
      </c>
      <c r="Y47" s="244">
        <f>Tabella34[[#This Row],[Italy h.t.]]/Italy_ht_at_lockdown</f>
        <v>1.5243653542955726</v>
      </c>
      <c r="Z47" s="72">
        <f>-2*$BY$48*TANH($BY$48*(Tabella34[[#This Row],[Day]]-$BY$57)-$BY$47)*Tabella34[[#This Row],[Italy velocity]]</f>
        <v>10.132325196326796</v>
      </c>
      <c r="AA47" s="72">
        <f>Tabella34[[#This Row],[Italy acc. fit]]/Itali_acc_at_lockdown</f>
        <v>0.28060722659154053</v>
      </c>
      <c r="AB47" s="143">
        <f>Tabella34[[#This Row],[Italy acc. fit]]/y_f_peak</f>
        <v>3.3758595699456789E-3</v>
      </c>
      <c r="AC47" s="143">
        <f>Tabella34[[#This Row],[Italy (fit of selected region + fitted sum of the other regions)]]*NOT(ISBLANK(Tabella34[[#This Row],[Italy rate data]]))</f>
        <v>10.173475773096214</v>
      </c>
      <c r="AD47" s="143">
        <f>Tabella34[[#This Row],[Italy acc. fit]]*NOT(ISBLANK(Tabella34[[#This Row],[Italy rate data]]))</f>
        <v>10.132325196326796</v>
      </c>
      <c r="AE47" s="77">
        <f>Tabella34[[#This Row],[Italy acc. fit]]+CIf</f>
        <v>1725.747184530878</v>
      </c>
      <c r="AF47" s="77">
        <f>MAX(Tabella34[[#This Row],[Italy acc. fit]]-CIf,0)</f>
        <v>0</v>
      </c>
      <c r="AG47" s="141"/>
      <c r="AH47" s="33"/>
      <c r="AI47" s="33"/>
      <c r="AJ47" s="142">
        <f>Tabella34[[#This Row],[selected region rate data]]*NOT(ISBLANK(Tabella34[[#This Row],[selected region rate data]]))</f>
        <v>0</v>
      </c>
      <c r="AK47" s="147">
        <f>Tabella8[[#This Row],[region fit]]</f>
        <v>0</v>
      </c>
      <c r="AL47" s="143">
        <f>(ATANH(alpha*Tabella34[[#This Row],[sel. region cumul. fit]]/Kl-(1-alpha*Tabella34[[#This Row],[sel. region cumul. fit]]/Kl)*TANH(phi_l))+phi_l)/psi_l-(Tabella34[[#This Row],[Day]]-pl)</f>
        <v>35.240334693239106</v>
      </c>
      <c r="AM47" s="142">
        <f>Tabella34[[#This Row],[sel. region cumul. fit]]/Kl</f>
        <v>0</v>
      </c>
      <c r="AN47" s="143">
        <f>Tabella3[[#This Row],[region fit]]</f>
        <v>6.5853355121307011</v>
      </c>
      <c r="AO47" s="183" t="e">
        <f>Tabella34[[#This Row],[sel. region velocity]]/Tabella34[[#This Row],[sel. region cumul. fit]]</f>
        <v>#DIV/0!</v>
      </c>
      <c r="AP47" s="236" t="e">
        <f>(LN(Tabella34[[#This Row],[Day]]-pr)-phi_r)/psi_r</f>
        <v>#NUM!</v>
      </c>
      <c r="AQ47" s="244">
        <f>EXP(phi_r+psi_r*Tabella34[[#This Row],[x_r_alpha©+plus]])-(Tabella34[[#This Row],[Day]]-pr)</f>
        <v>39.016529141065554</v>
      </c>
      <c r="AR47" s="244">
        <f>EXP(phi_r+psi_r*Tabella34[[#This Row],[x_r_alpha©-minus]])-(Tabella34[[#This Row],[Day]]-pr)</f>
        <v>38.199063382048841</v>
      </c>
      <c r="AS47" s="244">
        <f>-psi_r+SQRT(psi_r^2-2*Tabella34[[#This Row],[c_r]])</f>
        <v>4.2966439962650567</v>
      </c>
      <c r="AT47" s="244">
        <f>-psi_r-SQRT(psi_r^2-2*Tabella34[[#This Row],[c_r]])</f>
        <v>-4.3530522346837186</v>
      </c>
      <c r="AU47" s="244">
        <f>phi_r-LN(alpha*Kr/(Tabella34[[#This Row],[sel. region velocity]]*psi_r*SQRTPI(2)))</f>
        <v>-9.3517578747909944</v>
      </c>
      <c r="AV47" s="244">
        <f>(ACOSH(SQRT(alpha*Kl*psi_l/(Tabella34[[#This Row],[sel. region velocity]]*(1+TANH(phi_l)))))+phi_l)/psi_l-(Tabella34[[#This Row],[Day]]-pl)</f>
        <v>168.61457426387909</v>
      </c>
      <c r="AW47" s="72">
        <f>-2*$BY$22*TANH($BY$22*(Tabella34[[#This Row],[Day]]-$BY$31)-$BY$21)*Tabella34[[#This Row],[sel. region velocity]]</f>
        <v>0.36248243362625221</v>
      </c>
      <c r="AX47" s="143">
        <f>Tabella34[[#This Row],[sel. region acc. fit]]/y_l_peak</f>
        <v>2.6305104155018781E-3</v>
      </c>
      <c r="AY47" s="143">
        <f>Tabella34[[#This Row],[sel. region acc. fit]]*NOT(ISBLANK(Tabella34[[#This Row],[selected region rate data]]))</f>
        <v>0</v>
      </c>
      <c r="AZ47" s="77">
        <f>Tabella34[[#This Row],[sel. region acc. fit]]+CIl</f>
        <v>54.12732284317471</v>
      </c>
      <c r="BA47" s="77">
        <f>MAX(Tabella34[[#This Row],[sel. region acc. fit]]-CIl,0)</f>
        <v>0</v>
      </c>
      <c r="BB47" s="141"/>
      <c r="BC47" s="33"/>
      <c r="BD47" s="33"/>
      <c r="BE47" s="142">
        <f>Tabella34[[#This Row],[rest of Italy rate data]]*NOT(ISBLANK(Tabella34[[#This Row],[rest of Italy rate data]]))</f>
        <v>0</v>
      </c>
      <c r="BF47" s="188">
        <f>Tabella8[[#This Row],[rest of Italy fit]]</f>
        <v>0</v>
      </c>
      <c r="BG47" s="78">
        <f>(ATANH(alpha*Tabella34[[#This Row],[rest of Italy cumul. fit]]/Ka-(1-alpha*Tabella34[[#This Row],[rest of Italy cumul. fit]]/Ka)*TANH(phi_a))+phi_a)/psi_a-(Tabella34[[#This Row],[Day]]-pa)</f>
        <v>29.695444456084331</v>
      </c>
      <c r="BH47" s="143">
        <f>Tabella34[[#This Row],[rest of Italy cumul. fit]]/Ka</f>
        <v>0</v>
      </c>
      <c r="BI47" s="143">
        <f>Tabella3[[#This Row],[rest of Italy fit]]</f>
        <v>207.800295138157</v>
      </c>
      <c r="BJ47" s="183" t="e">
        <f>Tabella34[[#This Row],[rest of Italy velocity]]/Tabella34[[#This Row],[rest of Italy cumul. fit]]</f>
        <v>#DIV/0!</v>
      </c>
      <c r="BK47" s="236" t="e">
        <f>(LN(Tabella34[[#This Row],[Day]]-po)-phi_o)/psi_o</f>
        <v>#NUM!</v>
      </c>
      <c r="BL47" s="244">
        <f>EXP(phi_o+psi_o*Tabella34[[#This Row],[x_o_alpha©+plus]])-(Tabella34[[#This Row],[Day]]-po)</f>
        <v>33.600376010637149</v>
      </c>
      <c r="BM47" s="244">
        <f>EXP(phi_o+psi_o*Tabella34[[#This Row],[x_o_alpha©-minus]])-(Tabella34[[#This Row],[Day]]-po)</f>
        <v>32.860783733458376</v>
      </c>
      <c r="BN47" s="244">
        <f>-psi_o+SQRT(psi_o^2-2*Tabella34[[#This Row],[c_o]])</f>
        <v>4.2584252972740826</v>
      </c>
      <c r="BO47" s="244">
        <f>-psi_o-SQRT(psi_o^2-2*Tabella34[[#This Row],[c_o]])</f>
        <v>-4.307452382843711</v>
      </c>
      <c r="BP47" s="244">
        <f>phi_o-LN(alpha*Ko/(Tabella34[[#This Row],[rest of Italy velocity]]*psi_o*SQRTPI(2)))</f>
        <v>-9.1714820969525928</v>
      </c>
      <c r="BQ47" s="244">
        <f>(ACOSH(SQRT(alpha*Ka*psi_a/(Tabella34[[#This Row],[rest of Italy velocity]]*(1+TANH(phi_a)))))+phi_a)/psi_a-(Tabella34[[#This Row],[Day]]-pa)</f>
        <v>176.54007263935608</v>
      </c>
      <c r="BR47" s="72">
        <f>-2*$BY$35*TANH($BY$35*(Tabella34[[#This Row],[Day]]-$BY$44)-$BY$34)*Tabella34[[#This Row],[rest of Italy velocity]]</f>
        <v>9.8109933394699631</v>
      </c>
      <c r="BS47" s="143">
        <f>Tabella34[[#This Row],[rest of Italy acc. fit]]/y_a_peak</f>
        <v>3.4282700624391248E-3</v>
      </c>
      <c r="BT47" s="142">
        <f>Tabella34[[#This Row],[rest of Italy acc. fit]]*NOT(ISBLANK(Tabella34[[#This Row],[rest of Italy rate data]]))</f>
        <v>0</v>
      </c>
      <c r="BU47" s="77">
        <f>Tabella34[[#This Row],[rest of Italy acc. fit]]+CIa</f>
        <v>1704.3851882490526</v>
      </c>
      <c r="BV47" s="77">
        <f>MAX(Tabella34[[#This Row],[rest of Italy acc. fit]]-CIa,0)</f>
        <v>0</v>
      </c>
      <c r="BX47" s="212" t="s">
        <v>4713</v>
      </c>
      <c r="BY47" s="212">
        <f>phi_f</f>
        <v>1.2610737633797455</v>
      </c>
      <c r="CL47" s="51">
        <f>{32767;32767;0.000001;0.01;FALSE;FALSE;FALSE;1;2;1;0.0001;TRUE}</f>
        <v>32767</v>
      </c>
    </row>
    <row r="48" spans="2:90" ht="15" thickBot="1" x14ac:dyDescent="0.35">
      <c r="B48" s="262">
        <v>43871</v>
      </c>
      <c r="C48" s="4">
        <v>41</v>
      </c>
      <c r="D48" s="10">
        <f>Tabella8[[#This Row],[Italy cumulative]]</f>
        <v>0</v>
      </c>
      <c r="E48" s="72">
        <f>(Tabella34[[#This Row],[Italy cumul. data]]-D47)</f>
        <v>0</v>
      </c>
      <c r="F48" s="72">
        <f>Tabella34[[#This Row],[Italy rate data]]-E47</f>
        <v>0</v>
      </c>
      <c r="G48" s="142">
        <f>Tabella34[[#This Row],[Italy rate data]]*NOT(ISBLANK(Tabella34[[#This Row],[Italy rate data]]))</f>
        <v>0</v>
      </c>
      <c r="H48" s="143">
        <f>Tabella8[[#This Row],[Italy fit]]</f>
        <v>0</v>
      </c>
      <c r="I48" s="143">
        <f>(ATANH(alpha*Tabella34[[#This Row],[Italy cumul. Fit]]/Kf-(1-alpha*Tabella34[[#This Row],[Italy cumul. Fit]]/Kf)*TANH(phi_f))+phi_f)/psi_f-(Tabella34[[#This Row],[Day]]-pf)</f>
        <v>28.844294912230211</v>
      </c>
      <c r="J48" s="143">
        <f>Tabella34[[#This Row],[Italy d.t.]]/Italy_dt_at_lockdown</f>
        <v>26.159956410447666</v>
      </c>
      <c r="K48" s="143">
        <f>Tabella34[[#This Row],[Italy cumul. Fit]]/Kf</f>
        <v>0</v>
      </c>
      <c r="L48" s="146">
        <f>Tabella34[[#This Row],[sel. region acc. fit]]+Tabella34[[#This Row],[rest of Italy acc. fit]]</f>
        <v>10.64782847034035</v>
      </c>
      <c r="M48" s="143">
        <f>Tabella34[[#This Row],[Italy (fit of selected region + fitted sum of the other regions)]]/(y_l_peak+y_a_peak)</f>
        <v>3.5497606421564017E-3</v>
      </c>
      <c r="N48" s="143">
        <f>Tabella3[[#This Row],[Italy remov. rate fit]]</f>
        <v>223.18960752165887</v>
      </c>
      <c r="O48" s="143" t="e">
        <f>Kt*EXP(-0.5*Tabella34[[#This Row],[x_t]]^2)/(psi_t*SQRTPI(2)*(Tabella34[[#This Row],[Day]]-D_bk))</f>
        <v>#NUM!</v>
      </c>
      <c r="P48" s="183" t="e">
        <f>Tabella34[[#This Row],[Italy velocity]]/Tabella34[[#This Row],[Italy cumul. Fit]]</f>
        <v>#DIV/0!</v>
      </c>
      <c r="Q48" s="244" t="e">
        <f>(LN(Tabella34[[#This Row],[Day]]-D_bk)-phi_t)/psi_t</f>
        <v>#NUM!</v>
      </c>
      <c r="R48" s="244">
        <f>EXP(phi_t+psi_t*Tabella34[[#This Row],[x_t_alpha©+plus]])-(Tabella34[[#This Row],[Day]]-D_bk)</f>
        <v>32.763927164860959</v>
      </c>
      <c r="S48" s="244">
        <f>EXP(phi_t+psi_t*Tabella34[[#This Row],[x_t_alpha©-minus]])-(Tabella34[[#This Row],[Day]]-D_bk)</f>
        <v>32.018095741255152</v>
      </c>
      <c r="T48" s="244">
        <f>-psi_t+SQRT(psi_t^2-2*Tabella34[[#This Row],[c_t]])</f>
        <v>4.2485630386735505</v>
      </c>
      <c r="U48" s="244">
        <f>-psi_t-SQRT(psi_t^2-2*Tabella34[[#This Row],[c_t]])</f>
        <v>-4.2979557730933546</v>
      </c>
      <c r="V48" s="244">
        <f>phi_t-LN(alpha*Kt/(Tabella34[[#This Row],[Italy velocity]]*psi_t*SQRTPI(2)))</f>
        <v>-9.1300680197090163</v>
      </c>
      <c r="W48" s="244" t="e">
        <f>Tabella34[[#This Row],[Italy g.r.]]/Italy_gr_at_lockdown</f>
        <v>#DIV/0!</v>
      </c>
      <c r="X48" s="244">
        <f>(ACOSH(SQRT(alpha*Kf*psi_f/(Tabella34[[#This Row],[Italy velocity]]*(1+TANH(phi_f)))))+phi_f)/psi_f-(Tabella34[[#This Row],[Day]]-pf)</f>
        <v>174.2411533689322</v>
      </c>
      <c r="Y48" s="244">
        <f>Tabella34[[#This Row],[Italy h.t.]]/Italy_ht_at_lockdown</f>
        <v>1.5072293879868515</v>
      </c>
      <c r="Z48" s="72">
        <f>-2*$BY$48*TANH($BY$48*(Tabella34[[#This Row],[Day]]-$BY$57)-$BY$47)*Tabella34[[#This Row],[Italy velocity]]</f>
        <v>10.606148408844106</v>
      </c>
      <c r="AA48" s="72">
        <f>Tabella34[[#This Row],[Italy acc. fit]]/Itali_acc_at_lockdown</f>
        <v>0.29372940881358139</v>
      </c>
      <c r="AB48" s="143">
        <f>Tabella34[[#This Row],[Italy acc. fit]]/y_f_peak</f>
        <v>3.5337266533096083E-3</v>
      </c>
      <c r="AC48" s="143">
        <f>Tabella34[[#This Row],[Italy (fit of selected region + fitted sum of the other regions)]]*NOT(ISBLANK(Tabella34[[#This Row],[Italy rate data]]))</f>
        <v>10.64782847034035</v>
      </c>
      <c r="AD48" s="143">
        <f>Tabella34[[#This Row],[Italy acc. fit]]*NOT(ISBLANK(Tabella34[[#This Row],[Italy rate data]]))</f>
        <v>10.606148408844106</v>
      </c>
      <c r="AE48" s="77">
        <f>Tabella34[[#This Row],[Italy acc. fit]]+CIf</f>
        <v>1726.2210077433954</v>
      </c>
      <c r="AF48" s="77">
        <f>MAX(Tabella34[[#This Row],[Italy acc. fit]]-CIf,0)</f>
        <v>0</v>
      </c>
      <c r="AG48" s="141"/>
      <c r="AH48" s="33"/>
      <c r="AI48" s="33"/>
      <c r="AJ48" s="142">
        <f>Tabella34[[#This Row],[selected region rate data]]*NOT(ISBLANK(Tabella34[[#This Row],[selected region rate data]]))</f>
        <v>0</v>
      </c>
      <c r="AK48" s="147">
        <f>Tabella8[[#This Row],[region fit]]</f>
        <v>0</v>
      </c>
      <c r="AL48" s="143">
        <f>(ATANH(alpha*Tabella34[[#This Row],[sel. region cumul. fit]]/Kl-(1-alpha*Tabella34[[#This Row],[sel. region cumul. fit]]/Kl)*TANH(phi_l))+phi_l)/psi_l-(Tabella34[[#This Row],[Day]]-pl)</f>
        <v>34.240334693239106</v>
      </c>
      <c r="AM48" s="142">
        <f>Tabella34[[#This Row],[sel. region cumul. fit]]/Kl</f>
        <v>0</v>
      </c>
      <c r="AN48" s="143">
        <f>Tabella3[[#This Row],[region fit]]</f>
        <v>6.9577103341329911</v>
      </c>
      <c r="AO48" s="183" t="e">
        <f>Tabella34[[#This Row],[sel. region velocity]]/Tabella34[[#This Row],[sel. region cumul. fit]]</f>
        <v>#DIV/0!</v>
      </c>
      <c r="AP48" s="236" t="e">
        <f>(LN(Tabella34[[#This Row],[Day]]-pr)-phi_r)/psi_r</f>
        <v>#NUM!</v>
      </c>
      <c r="AQ48" s="244">
        <f>EXP(phi_r+psi_r*Tabella34[[#This Row],[x_r_alpha©+plus]])-(Tabella34[[#This Row],[Day]]-pr)</f>
        <v>38.015172823286747</v>
      </c>
      <c r="AR48" s="244">
        <f>EXP(phi_r+psi_r*Tabella34[[#This Row],[x_r_alpha©-minus]])-(Tabella34[[#This Row],[Day]]-pr)</f>
        <v>37.200126467719016</v>
      </c>
      <c r="AS48" s="244">
        <f>-psi_r+SQRT(psi_r^2-2*Tabella34[[#This Row],[c_r]])</f>
        <v>4.2839068372912434</v>
      </c>
      <c r="AT48" s="244">
        <f>-psi_r-SQRT(psi_r^2-2*Tabella34[[#This Row],[c_r]])</f>
        <v>-4.3403150757099054</v>
      </c>
      <c r="AU48" s="244">
        <f>phi_r-LN(alpha*Kr/(Tabella34[[#This Row],[sel. region velocity]]*psi_r*SQRTPI(2)))</f>
        <v>-9.2967527144159607</v>
      </c>
      <c r="AV48" s="244">
        <f>(ACOSH(SQRT(alpha*Kl*psi_l/(Tabella34[[#This Row],[sel. region velocity]]*(1+TANH(phi_l)))))+phi_l)/psi_l-(Tabella34[[#This Row],[Day]]-pl)</f>
        <v>166.62724605638687</v>
      </c>
      <c r="AW48" s="72">
        <f>-2*$BY$22*TANH($BY$22*(Tabella34[[#This Row],[Day]]-$BY$31)-$BY$21)*Tabella34[[#This Row],[sel. region velocity]]</f>
        <v>0.38243557078414425</v>
      </c>
      <c r="AX48" s="143">
        <f>Tabella34[[#This Row],[sel. region acc. fit]]/y_l_peak</f>
        <v>2.7753089774368565E-3</v>
      </c>
      <c r="AY48" s="143">
        <f>Tabella34[[#This Row],[sel. region acc. fit]]*NOT(ISBLANK(Tabella34[[#This Row],[selected region rate data]]))</f>
        <v>0</v>
      </c>
      <c r="AZ48" s="77">
        <f>Tabella34[[#This Row],[sel. region acc. fit]]+CIl</f>
        <v>54.147275980332601</v>
      </c>
      <c r="BA48" s="77">
        <f>MAX(Tabella34[[#This Row],[sel. region acc. fit]]-CIl,0)</f>
        <v>0</v>
      </c>
      <c r="BB48" s="141"/>
      <c r="BC48" s="33"/>
      <c r="BD48" s="33"/>
      <c r="BE48" s="142">
        <f>Tabella34[[#This Row],[rest of Italy rate data]]*NOT(ISBLANK(Tabella34[[#This Row],[rest of Italy rate data]]))</f>
        <v>0</v>
      </c>
      <c r="BF48" s="188">
        <f>Tabella8[[#This Row],[rest of Italy fit]]</f>
        <v>0</v>
      </c>
      <c r="BG48" s="78">
        <f>(ATANH(alpha*Tabella34[[#This Row],[rest of Italy cumul. fit]]/Ka-(1-alpha*Tabella34[[#This Row],[rest of Italy cumul. fit]]/Ka)*TANH(phi_a))+phi_a)/psi_a-(Tabella34[[#This Row],[Day]]-pa)</f>
        <v>28.695444456084331</v>
      </c>
      <c r="BH48" s="143">
        <f>Tabella34[[#This Row],[rest of Italy cumul. fit]]/Ka</f>
        <v>0</v>
      </c>
      <c r="BI48" s="143">
        <f>Tabella3[[#This Row],[rest of Italy fit]]</f>
        <v>217.83692638470077</v>
      </c>
      <c r="BJ48" s="183" t="e">
        <f>Tabella34[[#This Row],[rest of Italy velocity]]/Tabella34[[#This Row],[rest of Italy cumul. fit]]</f>
        <v>#DIV/0!</v>
      </c>
      <c r="BK48" s="236" t="e">
        <f>(LN(Tabella34[[#This Row],[Day]]-po)-phi_o)/psi_o</f>
        <v>#NUM!</v>
      </c>
      <c r="BL48" s="244">
        <f>EXP(phi_o+psi_o*Tabella34[[#This Row],[x_o_alpha©+plus]])-(Tabella34[[#This Row],[Day]]-po)</f>
        <v>32.599320561588648</v>
      </c>
      <c r="BM48" s="244">
        <f>EXP(phi_o+psi_o*Tabella34[[#This Row],[x_o_alpha©-minus]])-(Tabella34[[#This Row],[Day]]-po)</f>
        <v>31.86163951223778</v>
      </c>
      <c r="BN48" s="244">
        <f>-psi_o+SQRT(psi_o^2-2*Tabella34[[#This Row],[c_o]])</f>
        <v>4.2473978125801706</v>
      </c>
      <c r="BO48" s="244">
        <f>-psi_o-SQRT(psi_o^2-2*Tabella34[[#This Row],[c_o]])</f>
        <v>-4.296424898149799</v>
      </c>
      <c r="BP48" s="244">
        <f>phi_o-LN(alpha*Ko/(Tabella34[[#This Row],[rest of Italy velocity]]*psi_o*SQRTPI(2)))</f>
        <v>-9.1243128571582179</v>
      </c>
      <c r="BQ48" s="244">
        <f>(ACOSH(SQRT(alpha*Ka*psi_a/(Tabella34[[#This Row],[rest of Italy velocity]]*(1+TANH(phi_a)))))+phi_a)/psi_a-(Tabella34[[#This Row],[Day]]-pa)</f>
        <v>174.55956865725494</v>
      </c>
      <c r="BR48" s="72">
        <f>-2*$BY$35*TANH($BY$35*(Tabella34[[#This Row],[Day]]-$BY$44)-$BY$34)*Tabella34[[#This Row],[rest of Italy velocity]]</f>
        <v>10.265392899556206</v>
      </c>
      <c r="BS48" s="143">
        <f>Tabella34[[#This Row],[rest of Italy acc. fit]]/y_a_peak</f>
        <v>3.5870515796950862E-3</v>
      </c>
      <c r="BT48" s="142">
        <f>Tabella34[[#This Row],[rest of Italy acc. fit]]*NOT(ISBLANK(Tabella34[[#This Row],[rest of Italy rate data]]))</f>
        <v>0</v>
      </c>
      <c r="BU48" s="77">
        <f>Tabella34[[#This Row],[rest of Italy acc. fit]]+CIa</f>
        <v>1704.8395878091389</v>
      </c>
      <c r="BV48" s="77">
        <f>MAX(Tabella34[[#This Row],[rest of Italy acc. fit]]-CIa,0)</f>
        <v>0</v>
      </c>
      <c r="BX48" s="212" t="s">
        <v>4714</v>
      </c>
      <c r="BY48" s="212">
        <f>psi_f</f>
        <v>2.4696367209902436E-2</v>
      </c>
      <c r="BZ48" s="6"/>
      <c r="CL48" s="52">
        <f>{0;0;1;200;0;FALSE;FALSE;0.075;0;0;FALSE;30}</f>
        <v>0</v>
      </c>
    </row>
    <row r="49" spans="2:79" x14ac:dyDescent="0.3">
      <c r="B49" s="262">
        <v>43872</v>
      </c>
      <c r="C49" s="4">
        <v>42</v>
      </c>
      <c r="D49" s="10">
        <f>Tabella8[[#This Row],[Italy cumulative]]</f>
        <v>0</v>
      </c>
      <c r="E49" s="72">
        <f>(Tabella34[[#This Row],[Italy cumul. data]]-D48)</f>
        <v>0</v>
      </c>
      <c r="F49" s="72">
        <f>Tabella34[[#This Row],[Italy rate data]]-E48</f>
        <v>0</v>
      </c>
      <c r="G49" s="142">
        <f>Tabella34[[#This Row],[Italy rate data]]*NOT(ISBLANK(Tabella34[[#This Row],[Italy rate data]]))</f>
        <v>0</v>
      </c>
      <c r="H49" s="143">
        <f>Tabella8[[#This Row],[Italy fit]]</f>
        <v>0</v>
      </c>
      <c r="I49" s="143">
        <f>(ATANH(alpha*Tabella34[[#This Row],[Italy cumul. Fit]]/Kf-(1-alpha*Tabella34[[#This Row],[Italy cumul. Fit]]/Kf)*TANH(phi_f))+phi_f)/psi_f-(Tabella34[[#This Row],[Day]]-pf)</f>
        <v>27.844294912230211</v>
      </c>
      <c r="J49" s="143">
        <f>Tabella34[[#This Row],[Italy d.t.]]/Italy_dt_at_lockdown</f>
        <v>25.253019475776554</v>
      </c>
      <c r="K49" s="143">
        <f>Tabella34[[#This Row],[Italy cumul. Fit]]/Kf</f>
        <v>0</v>
      </c>
      <c r="L49" s="146">
        <f>Tabella34[[#This Row],[sel. region acc. fit]]+Tabella34[[#This Row],[rest of Italy acc. fit]]</f>
        <v>11.142253621285642</v>
      </c>
      <c r="M49" s="143">
        <f>Tabella34[[#This Row],[Italy (fit of selected region + fitted sum of the other regions)]]/(y_l_peak+y_a_peak)</f>
        <v>3.7145915225755091E-3</v>
      </c>
      <c r="N49" s="143">
        <f>Tabella3[[#This Row],[Italy remov. rate fit]]</f>
        <v>234.04101696562907</v>
      </c>
      <c r="O49" s="143" t="e">
        <f>Kt*EXP(-0.5*Tabella34[[#This Row],[x_t]]^2)/(psi_t*SQRTPI(2)*(Tabella34[[#This Row],[Day]]-D_bk))</f>
        <v>#NUM!</v>
      </c>
      <c r="P49" s="183" t="e">
        <f>Tabella34[[#This Row],[Italy velocity]]/Tabella34[[#This Row],[Italy cumul. Fit]]</f>
        <v>#DIV/0!</v>
      </c>
      <c r="Q49" s="244" t="e">
        <f>(LN(Tabella34[[#This Row],[Day]]-D_bk)-phi_t)/psi_t</f>
        <v>#NUM!</v>
      </c>
      <c r="R49" s="244">
        <f>EXP(phi_t+psi_t*Tabella34[[#This Row],[x_t_alpha©+plus]])-(Tabella34[[#This Row],[Day]]-D_bk)</f>
        <v>31.762850482676402</v>
      </c>
      <c r="S49" s="244">
        <f>EXP(phi_t+psi_t*Tabella34[[#This Row],[x_t_alpha©-minus]])-(Tabella34[[#This Row],[Day]]-D_bk)</f>
        <v>31.01896779085315</v>
      </c>
      <c r="T49" s="244">
        <f>-psi_t+SQRT(psi_t^2-2*Tabella34[[#This Row],[c_t]])</f>
        <v>4.2374388387522872</v>
      </c>
      <c r="U49" s="244">
        <f>-psi_t-SQRT(psi_t^2-2*Tabella34[[#This Row],[c_t]])</f>
        <v>-4.2868315731720914</v>
      </c>
      <c r="V49" s="244">
        <f>phi_t-LN(alpha*Kt/(Tabella34[[#This Row],[Italy velocity]]*psi_t*SQRTPI(2)))</f>
        <v>-9.0825933016744944</v>
      </c>
      <c r="W49" s="244" t="e">
        <f>Tabella34[[#This Row],[Italy g.r.]]/Italy_gr_at_lockdown</f>
        <v>#DIV/0!</v>
      </c>
      <c r="X49" s="244">
        <f>(ACOSH(SQRT(alpha*Kf*psi_f/(Tabella34[[#This Row],[Italy velocity]]*(1+TANH(phi_f)))))+phi_f)/psi_f-(Tabella34[[#This Row],[Day]]-pf)</f>
        <v>172.26114599789548</v>
      </c>
      <c r="Y49" s="244">
        <f>Tabella34[[#This Row],[Italy h.t.]]/Italy_ht_at_lockdown</f>
        <v>1.4901018309180676</v>
      </c>
      <c r="Z49" s="72">
        <f>-2*$BY$48*TANH($BY$48*(Tabella34[[#This Row],[Day]]-$BY$57)-$BY$47)*Tabella34[[#This Row],[Italy velocity]]</f>
        <v>11.100074503112781</v>
      </c>
      <c r="AA49" s="72">
        <f>Tabella34[[#This Row],[Italy acc. fit]]/Itali_acc_at_lockdown</f>
        <v>0.30740832542634172</v>
      </c>
      <c r="AB49" s="143">
        <f>Tabella34[[#This Row],[Italy acc. fit]]/y_f_peak</f>
        <v>3.6982915581931664E-3</v>
      </c>
      <c r="AC49" s="143">
        <f>Tabella34[[#This Row],[Italy (fit of selected region + fitted sum of the other regions)]]*NOT(ISBLANK(Tabella34[[#This Row],[Italy rate data]]))</f>
        <v>11.142253621285642</v>
      </c>
      <c r="AD49" s="143">
        <f>Tabella34[[#This Row],[Italy acc. fit]]*NOT(ISBLANK(Tabella34[[#This Row],[Italy rate data]]))</f>
        <v>11.100074503112781</v>
      </c>
      <c r="AE49" s="77">
        <f>Tabella34[[#This Row],[Italy acc. fit]]+CIf</f>
        <v>1726.7149338376641</v>
      </c>
      <c r="AF49" s="77">
        <f>MAX(Tabella34[[#This Row],[Italy acc. fit]]-CIf,0)</f>
        <v>0</v>
      </c>
      <c r="AG49" s="141"/>
      <c r="AH49" s="33"/>
      <c r="AI49" s="33"/>
      <c r="AJ49" s="142">
        <f>Tabella34[[#This Row],[selected region rate data]]*NOT(ISBLANK(Tabella34[[#This Row],[selected region rate data]]))</f>
        <v>0</v>
      </c>
      <c r="AK49" s="147">
        <f>Tabella8[[#This Row],[region fit]]</f>
        <v>0</v>
      </c>
      <c r="AL49" s="143">
        <f>(ATANH(alpha*Tabella34[[#This Row],[sel. region cumul. fit]]/Kl-(1-alpha*Tabella34[[#This Row],[sel. region cumul. fit]]/Kl)*TANH(phi_l))+phi_l)/psi_l-(Tabella34[[#This Row],[Day]]-pl)</f>
        <v>33.240334693239106</v>
      </c>
      <c r="AM49" s="142">
        <f>Tabella34[[#This Row],[sel. region cumul. fit]]/Kl</f>
        <v>0</v>
      </c>
      <c r="AN49" s="143">
        <f>Tabella3[[#This Row],[region fit]]</f>
        <v>7.3505508539746485</v>
      </c>
      <c r="AO49" s="183" t="e">
        <f>Tabella34[[#This Row],[sel. region velocity]]/Tabella34[[#This Row],[sel. region cumul. fit]]</f>
        <v>#DIV/0!</v>
      </c>
      <c r="AP49" s="236" t="e">
        <f>(LN(Tabella34[[#This Row],[Day]]-pr)-phi_r)/psi_r</f>
        <v>#NUM!</v>
      </c>
      <c r="AQ49" s="244">
        <f>EXP(phi_r+psi_r*Tabella34[[#This Row],[x_r_alpha©+plus]])-(Tabella34[[#This Row],[Day]]-pr)</f>
        <v>37.013814965631191</v>
      </c>
      <c r="AR49" s="244">
        <f>EXP(phi_r+psi_r*Tabella34[[#This Row],[x_r_alpha©-minus]])-(Tabella34[[#This Row],[Day]]-pr)</f>
        <v>36.201191525869511</v>
      </c>
      <c r="AS49" s="244">
        <f>-psi_r+SQRT(psi_r^2-2*Tabella34[[#This Row],[c_r]])</f>
        <v>4.2711506322137289</v>
      </c>
      <c r="AT49" s="244">
        <f>-psi_r-SQRT(psi_r^2-2*Tabella34[[#This Row],[c_r]])</f>
        <v>-4.3275588706323909</v>
      </c>
      <c r="AU49" s="244">
        <f>phi_r-LN(alpha*Kr/(Tabella34[[#This Row],[sel. region velocity]]*psi_r*SQRTPI(2)))</f>
        <v>-9.2418279031218322</v>
      </c>
      <c r="AV49" s="244">
        <f>(ACOSH(SQRT(alpha*Kl*psi_l/(Tabella34[[#This Row],[sel. region velocity]]*(1+TANH(phi_l)))))+phi_l)/psi_l-(Tabella34[[#This Row],[Day]]-pl)</f>
        <v>164.64065792882508</v>
      </c>
      <c r="AW49" s="72">
        <f>-2*$BY$22*TANH($BY$22*(Tabella34[[#This Row],[Day]]-$BY$31)-$BY$21)*Tabella34[[#This Row],[sel. region velocity]]</f>
        <v>0.40342134745898262</v>
      </c>
      <c r="AX49" s="143">
        <f>Tabella34[[#This Row],[sel. region acc. fit]]/y_l_peak</f>
        <v>2.9276013342506976E-3</v>
      </c>
      <c r="AY49" s="143">
        <f>Tabella34[[#This Row],[sel. region acc. fit]]*NOT(ISBLANK(Tabella34[[#This Row],[selected region rate data]]))</f>
        <v>0</v>
      </c>
      <c r="AZ49" s="77">
        <f>Tabella34[[#This Row],[sel. region acc. fit]]+CIl</f>
        <v>54.168261757007436</v>
      </c>
      <c r="BA49" s="77">
        <f>MAX(Tabella34[[#This Row],[sel. region acc. fit]]-CIl,0)</f>
        <v>0</v>
      </c>
      <c r="BB49" s="141"/>
      <c r="BC49" s="33"/>
      <c r="BD49" s="33"/>
      <c r="BE49" s="142">
        <f>Tabella34[[#This Row],[rest of Italy rate data]]*NOT(ISBLANK(Tabella34[[#This Row],[rest of Italy rate data]]))</f>
        <v>0</v>
      </c>
      <c r="BF49" s="188">
        <f>Tabella8[[#This Row],[rest of Italy fit]]</f>
        <v>0</v>
      </c>
      <c r="BG49" s="78">
        <f>(ATANH(alpha*Tabella34[[#This Row],[rest of Italy cumul. fit]]/Ka-(1-alpha*Tabella34[[#This Row],[rest of Italy cumul. fit]]/Ka)*TANH(phi_a))+phi_a)/psi_a-(Tabella34[[#This Row],[Day]]-pa)</f>
        <v>27.695444456084331</v>
      </c>
      <c r="BH49" s="143">
        <f>Tabella34[[#This Row],[rest of Italy cumul. fit]]/Ka</f>
        <v>0</v>
      </c>
      <c r="BI49" s="143">
        <f>Tabella3[[#This Row],[rest of Italy fit]]</f>
        <v>228.33742754968139</v>
      </c>
      <c r="BJ49" s="183" t="e">
        <f>Tabella34[[#This Row],[rest of Italy velocity]]/Tabella34[[#This Row],[rest of Italy cumul. fit]]</f>
        <v>#DIV/0!</v>
      </c>
      <c r="BK49" s="236" t="e">
        <f>(LN(Tabella34[[#This Row],[Day]]-po)-phi_o)/psi_o</f>
        <v>#NUM!</v>
      </c>
      <c r="BL49" s="244">
        <f>EXP(phi_o+psi_o*Tabella34[[#This Row],[x_o_alpha©+plus]])-(Tabella34[[#This Row],[Day]]-po)</f>
        <v>31.598264721799996</v>
      </c>
      <c r="BM49" s="244">
        <f>EXP(phi_o+psi_o*Tabella34[[#This Row],[x_o_alpha©-minus]])-(Tabella34[[#This Row],[Day]]-po)</f>
        <v>30.862496070954634</v>
      </c>
      <c r="BN49" s="244">
        <f>-psi_o+SQRT(psi_o^2-2*Tabella34[[#This Row],[c_o]])</f>
        <v>4.2363632619345823</v>
      </c>
      <c r="BO49" s="244">
        <f>-psi_o-SQRT(psi_o^2-2*Tabella34[[#This Row],[c_o]])</f>
        <v>-4.2853903475042108</v>
      </c>
      <c r="BP49" s="244">
        <f>phi_o-LN(alpha*Ko/(Tabella34[[#This Row],[rest of Italy velocity]]*psi_o*SQRTPI(2)))</f>
        <v>-9.0772351156079552</v>
      </c>
      <c r="BQ49" s="244">
        <f>(ACOSH(SQRT(alpha*Ka*psi_a/(Tabella34[[#This Row],[rest of Italy velocity]]*(1+TANH(phi_a)))))+phi_a)/psi_a-(Tabella34[[#This Row],[Day]]-pa)</f>
        <v>172.58005377238749</v>
      </c>
      <c r="BR49" s="72">
        <f>-2*$BY$35*TANH($BY$35*(Tabella34[[#This Row],[Day]]-$BY$44)-$BY$34)*Tabella34[[#This Row],[rest of Italy velocity]]</f>
        <v>10.73883227382666</v>
      </c>
      <c r="BS49" s="143">
        <f>Tabella34[[#This Row],[rest of Italy acc. fit]]/y_a_peak</f>
        <v>3.7524862076711964E-3</v>
      </c>
      <c r="BT49" s="142">
        <f>Tabella34[[#This Row],[rest of Italy acc. fit]]*NOT(ISBLANK(Tabella34[[#This Row],[rest of Italy rate data]]))</f>
        <v>0</v>
      </c>
      <c r="BU49" s="77">
        <f>Tabella34[[#This Row],[rest of Italy acc. fit]]+CIa</f>
        <v>1705.3130271834093</v>
      </c>
      <c r="BV49" s="77">
        <f>MAX(Tabella34[[#This Row],[rest of Italy acc. fit]]-CIa,0)</f>
        <v>0</v>
      </c>
      <c r="BX49" s="213" t="s">
        <v>1</v>
      </c>
      <c r="BY49" s="214">
        <f>AVERAGE(Tabella34[Italy rate data])</f>
        <v>1282.5625</v>
      </c>
    </row>
    <row r="50" spans="2:79" x14ac:dyDescent="0.3">
      <c r="B50" s="262">
        <v>43873</v>
      </c>
      <c r="C50" s="4">
        <v>43</v>
      </c>
      <c r="D50" s="10">
        <f>Tabella8[[#This Row],[Italy cumulative]]</f>
        <v>0</v>
      </c>
      <c r="E50" s="72">
        <f>(Tabella34[[#This Row],[Italy cumul. data]]-D49)</f>
        <v>0</v>
      </c>
      <c r="F50" s="72">
        <f>Tabella34[[#This Row],[Italy rate data]]-E49</f>
        <v>0</v>
      </c>
      <c r="G50" s="142">
        <f>Tabella34[[#This Row],[Italy rate data]]*NOT(ISBLANK(Tabella34[[#This Row],[Italy rate data]]))</f>
        <v>0</v>
      </c>
      <c r="H50" s="143">
        <f>Tabella8[[#This Row],[Italy fit]]</f>
        <v>0</v>
      </c>
      <c r="I50" s="143">
        <f>(ATANH(alpha*Tabella34[[#This Row],[Italy cumul. Fit]]/Kf-(1-alpha*Tabella34[[#This Row],[Italy cumul. Fit]]/Kf)*TANH(phi_f))+phi_f)/psi_f-(Tabella34[[#This Row],[Day]]-pf)</f>
        <v>26.844294912230211</v>
      </c>
      <c r="J50" s="143">
        <f>Tabella34[[#This Row],[Italy d.t.]]/Italy_dt_at_lockdown</f>
        <v>24.346082541105439</v>
      </c>
      <c r="K50" s="143">
        <f>Tabella34[[#This Row],[Italy cumul. Fit]]/Kf</f>
        <v>0</v>
      </c>
      <c r="L50" s="146">
        <f>Tabella34[[#This Row],[sel. region acc. fit]]+Tabella34[[#This Row],[rest of Italy acc. fit]]</f>
        <v>11.657390664039182</v>
      </c>
      <c r="M50" s="143">
        <f>Tabella34[[#This Row],[Italy (fit of selected region + fitted sum of the other regions)]]/(y_l_peak+y_a_peak)</f>
        <v>3.8863273093396348E-3</v>
      </c>
      <c r="N50" s="143">
        <f>Tabella3[[#This Row],[Italy remov. rate fit]]</f>
        <v>245.39667159136027</v>
      </c>
      <c r="O50" s="143" t="e">
        <f>Kt*EXP(-0.5*Tabella34[[#This Row],[x_t]]^2)/(psi_t*SQRTPI(2)*(Tabella34[[#This Row],[Day]]-D_bk))</f>
        <v>#NUM!</v>
      </c>
      <c r="P50" s="183" t="e">
        <f>Tabella34[[#This Row],[Italy velocity]]/Tabella34[[#This Row],[Italy cumul. Fit]]</f>
        <v>#DIV/0!</v>
      </c>
      <c r="Q50" s="244" t="e">
        <f>(LN(Tabella34[[#This Row],[Day]]-D_bk)-phi_t)/psi_t</f>
        <v>#NUM!</v>
      </c>
      <c r="R50" s="244">
        <f>EXP(phi_t+psi_t*Tabella34[[#This Row],[x_t_alpha©+plus]])-(Tabella34[[#This Row],[Day]]-D_bk)</f>
        <v>30.761773445059006</v>
      </c>
      <c r="S50" s="244">
        <f>EXP(phi_t+psi_t*Tabella34[[#This Row],[x_t_alpha©-minus]])-(Tabella34[[#This Row],[Day]]-D_bk)</f>
        <v>30.019840607917637</v>
      </c>
      <c r="T50" s="244">
        <f>-psi_t+SQRT(psi_t^2-2*Tabella34[[#This Row],[c_t]])</f>
        <v>4.2263079080498898</v>
      </c>
      <c r="U50" s="244">
        <f>-psi_t-SQRT(psi_t^2-2*Tabella34[[#This Row],[c_t]])</f>
        <v>-4.2757006424696939</v>
      </c>
      <c r="V50" s="244">
        <f>phi_t-LN(alpha*Kt/(Tabella34[[#This Row],[Italy velocity]]*psi_t*SQRTPI(2)))</f>
        <v>-9.0352137188618329</v>
      </c>
      <c r="W50" s="244" t="e">
        <f>Tabella34[[#This Row],[Italy g.r.]]/Italy_gr_at_lockdown</f>
        <v>#DIV/0!</v>
      </c>
      <c r="X50" s="244">
        <f>(ACOSH(SQRT(alpha*Kf*psi_f/(Tabella34[[#This Row],[Italy velocity]]*(1+TANH(phi_f)))))+phi_f)/psi_f-(Tabella34[[#This Row],[Day]]-pf)</f>
        <v>170.28216090857643</v>
      </c>
      <c r="Y50" s="244">
        <f>Tabella34[[#This Row],[Italy h.t.]]/Italy_ht_at_lockdown</f>
        <v>1.4729831168408378</v>
      </c>
      <c r="Z50" s="72">
        <f>-2*$BY$48*TANH($BY$48*(Tabella34[[#This Row],[Day]]-$BY$57)-$BY$47)*Tabella34[[#This Row],[Italy velocity]]</f>
        <v>11.614745714924274</v>
      </c>
      <c r="AA50" s="72">
        <f>Tabella34[[#This Row],[Italy acc. fit]]/Itali_acc_at_lockdown</f>
        <v>0.3216617626734295</v>
      </c>
      <c r="AB50" s="143">
        <f>Tabella34[[#This Row],[Italy acc. fit]]/y_f_peak</f>
        <v>3.8697682629084116E-3</v>
      </c>
      <c r="AC50" s="143">
        <f>Tabella34[[#This Row],[Italy (fit of selected region + fitted sum of the other regions)]]*NOT(ISBLANK(Tabella34[[#This Row],[Italy rate data]]))</f>
        <v>11.657390664039182</v>
      </c>
      <c r="AD50" s="143">
        <f>Tabella34[[#This Row],[Italy acc. fit]]*NOT(ISBLANK(Tabella34[[#This Row],[Italy rate data]]))</f>
        <v>11.614745714924274</v>
      </c>
      <c r="AE50" s="77">
        <f>Tabella34[[#This Row],[Italy acc. fit]]+CIf</f>
        <v>1727.2296050494756</v>
      </c>
      <c r="AF50" s="77">
        <f>MAX(Tabella34[[#This Row],[Italy acc. fit]]-CIf,0)</f>
        <v>0</v>
      </c>
      <c r="AG50" s="141"/>
      <c r="AH50" s="33"/>
      <c r="AI50" s="33"/>
      <c r="AJ50" s="142">
        <f>Tabella34[[#This Row],[selected region rate data]]*NOT(ISBLANK(Tabella34[[#This Row],[selected region rate data]]))</f>
        <v>0</v>
      </c>
      <c r="AK50" s="147">
        <f>Tabella8[[#This Row],[region fit]]</f>
        <v>0</v>
      </c>
      <c r="AL50" s="143">
        <f>(ATANH(alpha*Tabella34[[#This Row],[sel. region cumul. fit]]/Kl-(1-alpha*Tabella34[[#This Row],[sel. region cumul. fit]]/Kl)*TANH(phi_l))+phi_l)/psi_l-(Tabella34[[#This Row],[Day]]-pl)</f>
        <v>32.240334693239106</v>
      </c>
      <c r="AM50" s="142">
        <f>Tabella34[[#This Row],[sel. region cumul. fit]]/Kl</f>
        <v>0</v>
      </c>
      <c r="AN50" s="143">
        <f>Tabella3[[#This Row],[region fit]]</f>
        <v>7.7649124550922322</v>
      </c>
      <c r="AO50" s="183" t="e">
        <f>Tabella34[[#This Row],[sel. region velocity]]/Tabella34[[#This Row],[sel. region cumul. fit]]</f>
        <v>#DIV/0!</v>
      </c>
      <c r="AP50" s="236" t="e">
        <f>(LN(Tabella34[[#This Row],[Day]]-pr)-phi_r)/psi_r</f>
        <v>#NUM!</v>
      </c>
      <c r="AQ50" s="244">
        <f>EXP(phi_r+psi_r*Tabella34[[#This Row],[x_r_alpha©+plus]])-(Tabella34[[#This Row],[Day]]-pr)</f>
        <v>36.012455664613803</v>
      </c>
      <c r="AR50" s="244">
        <f>EXP(phi_r+psi_r*Tabella34[[#This Row],[x_r_alpha©-minus]])-(Tabella34[[#This Row],[Day]]-pr)</f>
        <v>35.202258484149873</v>
      </c>
      <c r="AS50" s="244">
        <f>-psi_r+SQRT(psi_r^2-2*Tabella34[[#This Row],[c_r]])</f>
        <v>4.2583762693022997</v>
      </c>
      <c r="AT50" s="244">
        <f>-psi_r-SQRT(psi_r^2-2*Tabella34[[#This Row],[c_r]])</f>
        <v>-4.3147845077209617</v>
      </c>
      <c r="AU50" s="244">
        <f>phi_r-LN(alpha*Kr/(Tabella34[[#This Row],[sel. region velocity]]*psi_r*SQRTPI(2)))</f>
        <v>-9.1869879774160754</v>
      </c>
      <c r="AV50" s="244">
        <f>(ACOSH(SQRT(alpha*Kl*psi_l/(Tabella34[[#This Row],[sel. region velocity]]*(1+TANH(phi_l)))))+phi_l)/psi_l-(Tabella34[[#This Row],[Day]]-pl)</f>
        <v>162.65485338553833</v>
      </c>
      <c r="AW50" s="72">
        <f>-2*$BY$22*TANH($BY$22*(Tabella34[[#This Row],[Day]]-$BY$31)-$BY$21)*Tabella34[[#This Row],[sel. region velocity]]</f>
        <v>0.42548543815359452</v>
      </c>
      <c r="AX50" s="143">
        <f>Tabella34[[#This Row],[sel. region acc. fit]]/y_l_peak</f>
        <v>3.0877189427100313E-3</v>
      </c>
      <c r="AY50" s="143">
        <f>Tabella34[[#This Row],[sel. region acc. fit]]*NOT(ISBLANK(Tabella34[[#This Row],[selected region rate data]]))</f>
        <v>0</v>
      </c>
      <c r="AZ50" s="77">
        <f>Tabella34[[#This Row],[sel. region acc. fit]]+CIl</f>
        <v>54.190325847702049</v>
      </c>
      <c r="BA50" s="77">
        <f>MAX(Tabella34[[#This Row],[sel. region acc. fit]]-CIl,0)</f>
        <v>0</v>
      </c>
      <c r="BB50" s="141"/>
      <c r="BC50" s="33"/>
      <c r="BD50" s="33"/>
      <c r="BE50" s="142">
        <f>Tabella34[[#This Row],[rest of Italy rate data]]*NOT(ISBLANK(Tabella34[[#This Row],[rest of Italy rate data]]))</f>
        <v>0</v>
      </c>
      <c r="BF50" s="188">
        <f>Tabella8[[#This Row],[rest of Italy fit]]</f>
        <v>0</v>
      </c>
      <c r="BG50" s="78">
        <f>(ATANH(alpha*Tabella34[[#This Row],[rest of Italy cumul. fit]]/Ka-(1-alpha*Tabella34[[#This Row],[rest of Italy cumul. fit]]/Ka)*TANH(phi_a))+phi_a)/psi_a-(Tabella34[[#This Row],[Day]]-pa)</f>
        <v>26.695444456084331</v>
      </c>
      <c r="BH50" s="143">
        <f>Tabella34[[#This Row],[rest of Italy cumul. fit]]/Ka</f>
        <v>0</v>
      </c>
      <c r="BI50" s="143">
        <f>Tabella3[[#This Row],[rest of Italy fit]]</f>
        <v>239.3211354953965</v>
      </c>
      <c r="BJ50" s="183" t="e">
        <f>Tabella34[[#This Row],[rest of Italy velocity]]/Tabella34[[#This Row],[rest of Italy cumul. fit]]</f>
        <v>#DIV/0!</v>
      </c>
      <c r="BK50" s="236" t="e">
        <f>(LN(Tabella34[[#This Row],[Day]]-po)-phi_o)/psi_o</f>
        <v>#NUM!</v>
      </c>
      <c r="BL50" s="244">
        <f>EXP(phi_o+psi_o*Tabella34[[#This Row],[x_o_alpha©+plus]])-(Tabella34[[#This Row],[Day]]-po)</f>
        <v>30.597208585738638</v>
      </c>
      <c r="BM50" s="244">
        <f>EXP(phi_o+psi_o*Tabella34[[#This Row],[x_o_alpha©-minus]])-(Tabella34[[#This Row],[Day]]-po)</f>
        <v>29.863353333799722</v>
      </c>
      <c r="BN50" s="244">
        <f>-psi_o+SQRT(psi_o^2-2*Tabella34[[#This Row],[c_o]])</f>
        <v>4.2253226280860412</v>
      </c>
      <c r="BO50" s="244">
        <f>-psi_o-SQRT(psi_o^2-2*Tabella34[[#This Row],[c_o]])</f>
        <v>-4.2743497136556696</v>
      </c>
      <c r="BP50" s="244">
        <f>phi_o-LN(alpha*Ko/(Tabella34[[#This Row],[rest of Italy velocity]]*psi_o*SQRTPI(2)))</f>
        <v>-9.030253282731195</v>
      </c>
      <c r="BQ50" s="244">
        <f>(ACOSH(SQRT(alpha*Ka*psi_a/(Tabella34[[#This Row],[rest of Italy velocity]]*(1+TANH(phi_a)))))+phi_a)/psi_a-(Tabella34[[#This Row],[Day]]-pa)</f>
        <v>170.6015786362687</v>
      </c>
      <c r="BR50" s="72">
        <f>-2*$BY$35*TANH($BY$35*(Tabella34[[#This Row],[Day]]-$BY$44)-$BY$34)*Tabella34[[#This Row],[rest of Italy velocity]]</f>
        <v>11.231905225885587</v>
      </c>
      <c r="BS50" s="143">
        <f>Tabella34[[#This Row],[rest of Italy acc. fit]]/y_a_peak</f>
        <v>3.924781426070909E-3</v>
      </c>
      <c r="BT50" s="142">
        <f>Tabella34[[#This Row],[rest of Italy acc. fit]]*NOT(ISBLANK(Tabella34[[#This Row],[rest of Italy rate data]]))</f>
        <v>0</v>
      </c>
      <c r="BU50" s="77">
        <f>Tabella34[[#This Row],[rest of Italy acc. fit]]+CIa</f>
        <v>1705.8061001354683</v>
      </c>
      <c r="BV50" s="77">
        <f>MAX(Tabella34[[#This Row],[rest of Italy acc. fit]]-CIa,0)</f>
        <v>0</v>
      </c>
      <c r="BX50" s="213" t="s">
        <v>2</v>
      </c>
      <c r="BY50" s="215">
        <f>COUNT(Tabella34[Italy rate data])-COUNT(BY46:BY48)</f>
        <v>109</v>
      </c>
      <c r="BZ50" s="6"/>
      <c r="CA50" s="6"/>
    </row>
    <row r="51" spans="2:79" x14ac:dyDescent="0.3">
      <c r="B51" s="262">
        <v>43874</v>
      </c>
      <c r="C51" s="4">
        <v>44</v>
      </c>
      <c r="D51" s="10">
        <f>Tabella8[[#This Row],[Italy cumulative]]</f>
        <v>0</v>
      </c>
      <c r="E51" s="72">
        <f>(Tabella34[[#This Row],[Italy cumul. data]]-D50)</f>
        <v>0</v>
      </c>
      <c r="F51" s="72">
        <f>Tabella34[[#This Row],[Italy rate data]]-E50</f>
        <v>0</v>
      </c>
      <c r="G51" s="142">
        <f>Tabella34[[#This Row],[Italy rate data]]*NOT(ISBLANK(Tabella34[[#This Row],[Italy rate data]]))</f>
        <v>0</v>
      </c>
      <c r="H51" s="143">
        <f>Tabella8[[#This Row],[Italy fit]]</f>
        <v>0</v>
      </c>
      <c r="I51" s="143">
        <f>(ATANH(alpha*Tabella34[[#This Row],[Italy cumul. Fit]]/Kf-(1-alpha*Tabella34[[#This Row],[Italy cumul. Fit]]/Kf)*TANH(phi_f))+phi_f)/psi_f-(Tabella34[[#This Row],[Day]]-pf)</f>
        <v>25.844294912230211</v>
      </c>
      <c r="J51" s="143">
        <f>Tabella34[[#This Row],[Italy d.t.]]/Italy_dt_at_lockdown</f>
        <v>23.439145606434327</v>
      </c>
      <c r="K51" s="143">
        <f>Tabella34[[#This Row],[Italy cumul. Fit]]/Kf</f>
        <v>0</v>
      </c>
      <c r="L51" s="146">
        <f>Tabella34[[#This Row],[sel. region acc. fit]]+Tabella34[[#This Row],[rest of Italy acc. fit]]</f>
        <v>12.193876732344904</v>
      </c>
      <c r="M51" s="143">
        <f>Tabella34[[#This Row],[Italy (fit of selected region + fitted sum of the other regions)]]/(y_l_peak+y_a_peak)</f>
        <v>4.0651804093535578E-3</v>
      </c>
      <c r="N51" s="143">
        <f>Tabella3[[#This Row],[Italy remov. rate fit]]</f>
        <v>257.27763682924325</v>
      </c>
      <c r="O51" s="143" t="e">
        <f>Kt*EXP(-0.5*Tabella34[[#This Row],[x_t]]^2)/(psi_t*SQRTPI(2)*(Tabella34[[#This Row],[Day]]-D_bk))</f>
        <v>#NUM!</v>
      </c>
      <c r="P51" s="183" t="e">
        <f>Tabella34[[#This Row],[Italy velocity]]/Tabella34[[#This Row],[Italy cumul. Fit]]</f>
        <v>#DIV/0!</v>
      </c>
      <c r="Q51" s="244" t="e">
        <f>(LN(Tabella34[[#This Row],[Day]]-D_bk)-phi_t)/psi_t</f>
        <v>#NUM!</v>
      </c>
      <c r="R51" s="244">
        <f>EXP(phi_t+psi_t*Tabella34[[#This Row],[x_t_alpha©+plus]])-(Tabella34[[#This Row],[Day]]-D_bk)</f>
        <v>29.760696152634871</v>
      </c>
      <c r="S51" s="244">
        <f>EXP(phi_t+psi_t*Tabella34[[#This Row],[x_t_alpha©-minus]])-(Tabella34[[#This Row],[Day]]-D_bk)</f>
        <v>29.020714111706052</v>
      </c>
      <c r="T51" s="244">
        <f>-psi_t+SQRT(psi_t^2-2*Tabella34[[#This Row],[c_t]])</f>
        <v>4.2151712822308811</v>
      </c>
      <c r="U51" s="244">
        <f>-psi_t-SQRT(psi_t^2-2*Tabella34[[#This Row],[c_t]])</f>
        <v>-4.2645640166506853</v>
      </c>
      <c r="V51" s="244">
        <f>phi_t-LN(alpha*Kt/(Tabella34[[#This Row],[Italy velocity]]*psi_t*SQRTPI(2)))</f>
        <v>-8.9879338871105734</v>
      </c>
      <c r="W51" s="244" t="e">
        <f>Tabella34[[#This Row],[Italy g.r.]]/Italy_gr_at_lockdown</f>
        <v>#DIV/0!</v>
      </c>
      <c r="X51" s="244">
        <f>(ACOSH(SQRT(alpha*Kf*psi_f/(Tabella34[[#This Row],[Italy velocity]]*(1+TANH(phi_f)))))+phi_f)/psi_f-(Tabella34[[#This Row],[Day]]-pf)</f>
        <v>168.30425087530887</v>
      </c>
      <c r="Y51" s="244">
        <f>Tabella34[[#This Row],[Italy h.t.]]/Italy_ht_at_lockdown</f>
        <v>1.4558737022662989</v>
      </c>
      <c r="Z51" s="72">
        <f>-2*$BY$48*TANH($BY$48*(Tabella34[[#This Row],[Day]]-$BY$57)-$BY$47)*Tabella34[[#This Row],[Italy velocity]]</f>
        <v>12.150802052309805</v>
      </c>
      <c r="AA51" s="72">
        <f>Tabella34[[#This Row],[Italy acc. fit]]/Itali_acc_at_lockdown</f>
        <v>0.33650744510228642</v>
      </c>
      <c r="AB51" s="143">
        <f>Tabella34[[#This Row],[Italy acc. fit]]/y_f_peak</f>
        <v>4.0483700035285229E-3</v>
      </c>
      <c r="AC51" s="143">
        <f>Tabella34[[#This Row],[Italy (fit of selected region + fitted sum of the other regions)]]*NOT(ISBLANK(Tabella34[[#This Row],[Italy rate data]]))</f>
        <v>12.193876732344904</v>
      </c>
      <c r="AD51" s="143">
        <f>Tabella34[[#This Row],[Italy acc. fit]]*NOT(ISBLANK(Tabella34[[#This Row],[Italy rate data]]))</f>
        <v>12.150802052309805</v>
      </c>
      <c r="AE51" s="77">
        <f>Tabella34[[#This Row],[Italy acc. fit]]+CIf</f>
        <v>1727.765661386861</v>
      </c>
      <c r="AF51" s="77">
        <f>MAX(Tabella34[[#This Row],[Italy acc. fit]]-CIf,0)</f>
        <v>0</v>
      </c>
      <c r="AG51" s="141"/>
      <c r="AH51" s="33"/>
      <c r="AI51" s="33"/>
      <c r="AJ51" s="142">
        <f>Tabella34[[#This Row],[selected region rate data]]*NOT(ISBLANK(Tabella34[[#This Row],[selected region rate data]]))</f>
        <v>0</v>
      </c>
      <c r="AK51" s="147">
        <f>Tabella8[[#This Row],[region fit]]</f>
        <v>0</v>
      </c>
      <c r="AL51" s="143">
        <f>(ATANH(alpha*Tabella34[[#This Row],[sel. region cumul. fit]]/Kl-(1-alpha*Tabella34[[#This Row],[sel. region cumul. fit]]/Kl)*TANH(phi_l))+phi_l)/psi_l-(Tabella34[[#This Row],[Day]]-pl)</f>
        <v>31.240334693239106</v>
      </c>
      <c r="AM51" s="142">
        <f>Tabella34[[#This Row],[sel. region cumul. fit]]/Kl</f>
        <v>0</v>
      </c>
      <c r="AN51" s="143">
        <f>Tabella3[[#This Row],[region fit]]</f>
        <v>8.2018967404862906</v>
      </c>
      <c r="AO51" s="183" t="e">
        <f>Tabella34[[#This Row],[sel. region velocity]]/Tabella34[[#This Row],[sel. region cumul. fit]]</f>
        <v>#DIV/0!</v>
      </c>
      <c r="AP51" s="236" t="e">
        <f>(LN(Tabella34[[#This Row],[Day]]-pr)-phi_r)/psi_r</f>
        <v>#NUM!</v>
      </c>
      <c r="AQ51" s="244">
        <f>EXP(phi_r+psi_r*Tabella34[[#This Row],[x_r_alpha©+plus]])-(Tabella34[[#This Row],[Day]]-pr)</f>
        <v>35.011095023903039</v>
      </c>
      <c r="AR51" s="244">
        <f>EXP(phi_r+psi_r*Tabella34[[#This Row],[x_r_alpha©-minus]])-(Tabella34[[#This Row],[Day]]-pr)</f>
        <v>34.203327264379503</v>
      </c>
      <c r="AS51" s="244">
        <f>-psi_r+SQRT(psi_r^2-2*Tabella34[[#This Row],[c_r]])</f>
        <v>4.2455847053560163</v>
      </c>
      <c r="AT51" s="244">
        <f>-psi_r-SQRT(psi_r^2-2*Tabella34[[#This Row],[c_r]])</f>
        <v>-4.3019929437746782</v>
      </c>
      <c r="AU51" s="244">
        <f>phi_r-LN(alpha*Kr/(Tabella34[[#This Row],[sel. region velocity]]*psi_r*SQRTPI(2)))</f>
        <v>-9.1322377223196387</v>
      </c>
      <c r="AV51" s="244">
        <f>(ACOSH(SQRT(alpha*Kl*psi_l/(Tabella34[[#This Row],[sel. region velocity]]*(1+TANH(phi_l)))))+phi_l)/psi_l-(Tabella34[[#This Row],[Day]]-pl)</f>
        <v>160.66987852045793</v>
      </c>
      <c r="AW51" s="72">
        <f>-2*$BY$22*TANH($BY$22*(Tabella34[[#This Row],[Day]]-$BY$31)-$BY$21)*Tabella34[[#This Row],[sel. region velocity]]</f>
        <v>0.44867459190763348</v>
      </c>
      <c r="AX51" s="143">
        <f>Tabella34[[#This Row],[sel. region acc. fit]]/y_l_peak</f>
        <v>3.2560010574222966E-3</v>
      </c>
      <c r="AY51" s="143">
        <f>Tabella34[[#This Row],[sel. region acc. fit]]*NOT(ISBLANK(Tabella34[[#This Row],[selected region rate data]]))</f>
        <v>0</v>
      </c>
      <c r="AZ51" s="77">
        <f>Tabella34[[#This Row],[sel. region acc. fit]]+CIl</f>
        <v>54.213515001456088</v>
      </c>
      <c r="BA51" s="77">
        <f>MAX(Tabella34[[#This Row],[sel. region acc. fit]]-CIl,0)</f>
        <v>0</v>
      </c>
      <c r="BB51" s="141"/>
      <c r="BC51" s="33"/>
      <c r="BD51" s="33"/>
      <c r="BE51" s="142">
        <f>Tabella34[[#This Row],[rest of Italy rate data]]*NOT(ISBLANK(Tabella34[[#This Row],[rest of Italy rate data]]))</f>
        <v>0</v>
      </c>
      <c r="BF51" s="188">
        <f>Tabella8[[#This Row],[rest of Italy fit]]</f>
        <v>0</v>
      </c>
      <c r="BG51" s="78">
        <f>(ATANH(alpha*Tabella34[[#This Row],[rest of Italy cumul. fit]]/Ka-(1-alpha*Tabella34[[#This Row],[rest of Italy cumul. fit]]/Ka)*TANH(phi_a))+phi_a)/psi_a-(Tabella34[[#This Row],[Day]]-pa)</f>
        <v>25.695444456084331</v>
      </c>
      <c r="BH51" s="143">
        <f>Tabella34[[#This Row],[rest of Italy cumul. fit]]/Ka</f>
        <v>0</v>
      </c>
      <c r="BI51" s="143">
        <f>Tabella3[[#This Row],[rest of Italy fit]]</f>
        <v>250.80797939244133</v>
      </c>
      <c r="BJ51" s="183" t="e">
        <f>Tabella34[[#This Row],[rest of Italy velocity]]/Tabella34[[#This Row],[rest of Italy cumul. fit]]</f>
        <v>#DIV/0!</v>
      </c>
      <c r="BK51" s="236" t="e">
        <f>(LN(Tabella34[[#This Row],[Day]]-po)-phi_o)/psi_o</f>
        <v>#NUM!</v>
      </c>
      <c r="BL51" s="244">
        <f>EXP(phi_o+psi_o*Tabella34[[#This Row],[x_o_alpha©+plus]])-(Tabella34[[#This Row],[Day]]-po)</f>
        <v>29.596152253324675</v>
      </c>
      <c r="BM51" s="244">
        <f>EXP(phi_o+psi_o*Tabella34[[#This Row],[x_o_alpha©-minus]])-(Tabella34[[#This Row],[Day]]-po)</f>
        <v>28.864211220369533</v>
      </c>
      <c r="BN51" s="244">
        <f>-psi_o+SQRT(psi_o^2-2*Tabella34[[#This Row],[c_o]])</f>
        <v>4.2142769518713612</v>
      </c>
      <c r="BO51" s="244">
        <f>-psi_o-SQRT(psi_o^2-2*Tabella34[[#This Row],[c_o]])</f>
        <v>-4.2633040374409896</v>
      </c>
      <c r="BP51" s="244">
        <f>phi_o-LN(alpha*Ko/(Tabella34[[#This Row],[rest of Italy velocity]]*psi_o*SQRTPI(2)))</f>
        <v>-8.983371971903841</v>
      </c>
      <c r="BQ51" s="244">
        <f>(ACOSH(SQRT(alpha*Ka*psi_a/(Tabella34[[#This Row],[rest of Italy velocity]]*(1+TANH(phi_a)))))+phi_a)/psi_a-(Tabella34[[#This Row],[Day]]-pa)</f>
        <v>168.62419653989463</v>
      </c>
      <c r="BR51" s="72">
        <f>-2*$BY$35*TANH($BY$35*(Tabella34[[#This Row],[Day]]-$BY$44)-$BY$34)*Tabella34[[#This Row],[rest of Italy velocity]]</f>
        <v>11.745202140437272</v>
      </c>
      <c r="BS51" s="143">
        <f>Tabella34[[#This Row],[rest of Italy acc. fit]]/y_a_peak</f>
        <v>4.104143533903609E-3</v>
      </c>
      <c r="BT51" s="142">
        <f>Tabella34[[#This Row],[rest of Italy acc. fit]]*NOT(ISBLANK(Tabella34[[#This Row],[rest of Italy rate data]]))</f>
        <v>0</v>
      </c>
      <c r="BU51" s="77">
        <f>Tabella34[[#This Row],[rest of Italy acc. fit]]+CIa</f>
        <v>1706.3193970500199</v>
      </c>
      <c r="BV51" s="77">
        <f>MAX(Tabella34[[#This Row],[rest of Italy acc. fit]]-CIa,0)</f>
        <v>0</v>
      </c>
      <c r="BX51" s="213" t="s">
        <v>3</v>
      </c>
      <c r="BY51" s="214" cm="1">
        <f t="array" ref="BY51">SQRT(SUM((Tabella34[Colonna1]-Tabella34[Colonna22])^2)/dff)</f>
        <v>2285.325708287201</v>
      </c>
    </row>
    <row r="52" spans="2:79" ht="16.2" x14ac:dyDescent="0.3">
      <c r="B52" s="262">
        <v>43875</v>
      </c>
      <c r="C52" s="4">
        <v>45</v>
      </c>
      <c r="D52" s="10">
        <f>Tabella8[[#This Row],[Italy cumulative]]</f>
        <v>0</v>
      </c>
      <c r="E52" s="72">
        <f>(Tabella34[[#This Row],[Italy cumul. data]]-D51)</f>
        <v>0</v>
      </c>
      <c r="F52" s="72">
        <f>Tabella34[[#This Row],[Italy rate data]]-E51</f>
        <v>0</v>
      </c>
      <c r="G52" s="142">
        <f>Tabella34[[#This Row],[Italy rate data]]*NOT(ISBLANK(Tabella34[[#This Row],[Italy rate data]]))</f>
        <v>0</v>
      </c>
      <c r="H52" s="143">
        <f>Tabella8[[#This Row],[Italy fit]]</f>
        <v>0</v>
      </c>
      <c r="I52" s="143">
        <f>(ATANH(alpha*Tabella34[[#This Row],[Italy cumul. Fit]]/Kf-(1-alpha*Tabella34[[#This Row],[Italy cumul. Fit]]/Kf)*TANH(phi_f))+phi_f)/psi_f-(Tabella34[[#This Row],[Day]]-pf)</f>
        <v>24.844294912230211</v>
      </c>
      <c r="J52" s="143">
        <f>Tabella34[[#This Row],[Italy d.t.]]/Italy_dt_at_lockdown</f>
        <v>22.532208671763211</v>
      </c>
      <c r="K52" s="143">
        <f>Tabella34[[#This Row],[Italy cumul. Fit]]/Kf</f>
        <v>0</v>
      </c>
      <c r="L52" s="146">
        <f>Tabella34[[#This Row],[sel. region acc. fit]]+Tabella34[[#This Row],[rest of Italy acc. fit]]</f>
        <v>12.752343574705824</v>
      </c>
      <c r="M52" s="143">
        <f>Tabella34[[#This Row],[Italy (fit of selected region + fitted sum of the other regions)]]/(y_l_peak+y_a_peak)</f>
        <v>4.2513614341967189E-3</v>
      </c>
      <c r="N52" s="143">
        <f>Tabella3[[#This Row],[Italy remov. rate fit]]</f>
        <v>269.70561573211904</v>
      </c>
      <c r="O52" s="143" t="e">
        <f>Kt*EXP(-0.5*Tabella34[[#This Row],[x_t]]^2)/(psi_t*SQRTPI(2)*(Tabella34[[#This Row],[Day]]-D_bk))</f>
        <v>#NUM!</v>
      </c>
      <c r="P52" s="183" t="e">
        <f>Tabella34[[#This Row],[Italy velocity]]/Tabella34[[#This Row],[Italy cumul. Fit]]</f>
        <v>#DIV/0!</v>
      </c>
      <c r="Q52" s="244" t="e">
        <f>(LN(Tabella34[[#This Row],[Day]]-D_bk)-phi_t)/psi_t</f>
        <v>#NUM!</v>
      </c>
      <c r="R52" s="244">
        <f>EXP(phi_t+psi_t*Tabella34[[#This Row],[x_t_alpha©+plus]])-(Tabella34[[#This Row],[Day]]-D_bk)</f>
        <v>28.759618711854579</v>
      </c>
      <c r="S52" s="244">
        <f>EXP(phi_t+psi_t*Tabella34[[#This Row],[x_t_alpha©-minus]])-(Tabella34[[#This Row],[Day]]-D_bk)</f>
        <v>28.021588216570926</v>
      </c>
      <c r="T52" s="244">
        <f>-psi_t+SQRT(psi_t^2-2*Tabella34[[#This Row],[c_t]])</f>
        <v>4.2040300583356149</v>
      </c>
      <c r="U52" s="244">
        <f>-psi_t-SQRT(psi_t^2-2*Tabella34[[#This Row],[c_t]])</f>
        <v>-4.2534227927554191</v>
      </c>
      <c r="V52" s="244">
        <f>phi_t-LN(alpha*Kt/(Tabella34[[#This Row],[Italy velocity]]*psi_t*SQRTPI(2)))</f>
        <v>-8.9407586357768007</v>
      </c>
      <c r="W52" s="244" t="e">
        <f>Tabella34[[#This Row],[Italy g.r.]]/Italy_gr_at_lockdown</f>
        <v>#DIV/0!</v>
      </c>
      <c r="X52" s="244">
        <f>(ACOSH(SQRT(alpha*Kf*psi_f/(Tabella34[[#This Row],[Italy velocity]]*(1+TANH(phi_f)))))+phi_f)/psi_f-(Tabella34[[#This Row],[Day]]-pf)</f>
        <v>166.32747144573847</v>
      </c>
      <c r="Y52" s="244">
        <f>Tabella34[[#This Row],[Italy h.t.]]/Italy_ht_at_lockdown</f>
        <v>1.4387740676954246</v>
      </c>
      <c r="Z52" s="72">
        <f>-2*$BY$48*TANH($BY$48*(Tabella34[[#This Row],[Day]]-$BY$57)-$BY$47)*Tabella34[[#This Row],[Italy velocity]]</f>
        <v>12.708878207081984</v>
      </c>
      <c r="AA52" s="72">
        <f>Tabella34[[#This Row],[Italy acc. fit]]/Itali_acc_at_lockdown</f>
        <v>0.3519629500316252</v>
      </c>
      <c r="AB52" s="143">
        <f>Tabella34[[#This Row],[Italy acc. fit]]/y_f_peak</f>
        <v>4.234308244883936E-3</v>
      </c>
      <c r="AC52" s="143">
        <f>Tabella34[[#This Row],[Italy (fit of selected region + fitted sum of the other regions)]]*NOT(ISBLANK(Tabella34[[#This Row],[Italy rate data]]))</f>
        <v>12.752343574705824</v>
      </c>
      <c r="AD52" s="143">
        <f>Tabella34[[#This Row],[Italy acc. fit]]*NOT(ISBLANK(Tabella34[[#This Row],[Italy rate data]]))</f>
        <v>12.708878207081984</v>
      </c>
      <c r="AE52" s="77">
        <f>Tabella34[[#This Row],[Italy acc. fit]]+CIf</f>
        <v>1728.3237375416334</v>
      </c>
      <c r="AF52" s="77">
        <f>MAX(Tabella34[[#This Row],[Italy acc. fit]]-CIf,0)</f>
        <v>0</v>
      </c>
      <c r="AG52" s="141"/>
      <c r="AH52" s="33"/>
      <c r="AI52" s="33"/>
      <c r="AJ52" s="142">
        <f>Tabella34[[#This Row],[selected region rate data]]*NOT(ISBLANK(Tabella34[[#This Row],[selected region rate data]]))</f>
        <v>0</v>
      </c>
      <c r="AK52" s="147">
        <f>Tabella8[[#This Row],[region fit]]</f>
        <v>0</v>
      </c>
      <c r="AL52" s="143">
        <f>(ATANH(alpha*Tabella34[[#This Row],[sel. region cumul. fit]]/Kl-(1-alpha*Tabella34[[#This Row],[sel. region cumul. fit]]/Kl)*TANH(phi_l))+phi_l)/psi_l-(Tabella34[[#This Row],[Day]]-pl)</f>
        <v>30.240334693239106</v>
      </c>
      <c r="AM52" s="142">
        <f>Tabella34[[#This Row],[sel. region cumul. fit]]/Kl</f>
        <v>0</v>
      </c>
      <c r="AN52" s="143">
        <f>Tabella3[[#This Row],[region fit]]</f>
        <v>8.662652557106199</v>
      </c>
      <c r="AO52" s="183" t="e">
        <f>Tabella34[[#This Row],[sel. region velocity]]/Tabella34[[#This Row],[sel. region cumul. fit]]</f>
        <v>#DIV/0!</v>
      </c>
      <c r="AP52" s="236" t="e">
        <f>(LN(Tabella34[[#This Row],[Day]]-pr)-phi_r)/psi_r</f>
        <v>#NUM!</v>
      </c>
      <c r="AQ52" s="244">
        <f>EXP(phi_r+psi_r*Tabella34[[#This Row],[x_r_alpha©+plus]])-(Tabella34[[#This Row],[Day]]-pr)</f>
        <v>34.009733154738171</v>
      </c>
      <c r="AR52" s="244">
        <f>EXP(phi_r+psi_r*Tabella34[[#This Row],[x_r_alpha©-minus]])-(Tabella34[[#This Row],[Day]]-pr)</f>
        <v>33.204397782198086</v>
      </c>
      <c r="AS52" s="244">
        <f>-psi_r+SQRT(psi_r^2-2*Tabella34[[#This Row],[c_r]])</f>
        <v>4.2327769697551689</v>
      </c>
      <c r="AT52" s="244">
        <f>-psi_r-SQRT(psi_r^2-2*Tabella34[[#This Row],[c_r]])</f>
        <v>-4.2891852081738309</v>
      </c>
      <c r="AU52" s="244">
        <f>phi_r-LN(alpha*Kr/(Tabella34[[#This Row],[sel. region velocity]]*psi_r*SQRTPI(2)))</f>
        <v>-9.07758218408636</v>
      </c>
      <c r="AV52" s="244">
        <f>(ACOSH(SQRT(alpha*Kl*psi_l/(Tabella34[[#This Row],[sel. region velocity]]*(1+TANH(phi_l)))))+phi_l)/psi_l-(Tabella34[[#This Row],[Day]]-pl)</f>
        <v>158.68578217484924</v>
      </c>
      <c r="AW52" s="72">
        <f>-2*$BY$22*TANH($BY$22*(Tabella34[[#This Row],[Day]]-$BY$31)-$BY$21)*Tabella34[[#This Row],[sel. region velocity]]</f>
        <v>0.47303652851920797</v>
      </c>
      <c r="AX52" s="143">
        <f>Tabella34[[#This Row],[sel. region acc. fit]]/y_l_peak</f>
        <v>3.4327939777231437E-3</v>
      </c>
      <c r="AY52" s="143">
        <f>Tabella34[[#This Row],[sel. region acc. fit]]*NOT(ISBLANK(Tabella34[[#This Row],[selected region rate data]]))</f>
        <v>0</v>
      </c>
      <c r="AZ52" s="77">
        <f>Tabella34[[#This Row],[sel. region acc. fit]]+CIl</f>
        <v>54.237876938067664</v>
      </c>
      <c r="BA52" s="77">
        <f>MAX(Tabella34[[#This Row],[sel. region acc. fit]]-CIl,0)</f>
        <v>0</v>
      </c>
      <c r="BB52" s="141"/>
      <c r="BC52" s="33"/>
      <c r="BD52" s="33"/>
      <c r="BE52" s="142">
        <f>Tabella34[[#This Row],[rest of Italy rate data]]*NOT(ISBLANK(Tabella34[[#This Row],[rest of Italy rate data]]))</f>
        <v>0</v>
      </c>
      <c r="BF52" s="188">
        <f>Tabella8[[#This Row],[rest of Italy fit]]</f>
        <v>0</v>
      </c>
      <c r="BG52" s="78">
        <f>(ATANH(alpha*Tabella34[[#This Row],[rest of Italy cumul. fit]]/Ka-(1-alpha*Tabella34[[#This Row],[rest of Italy cumul. fit]]/Ka)*TANH(phi_a))+phi_a)/psi_a-(Tabella34[[#This Row],[Day]]-pa)</f>
        <v>24.695444456084331</v>
      </c>
      <c r="BH52" s="143">
        <f>Tabella34[[#This Row],[rest of Italy cumul. fit]]/Ka</f>
        <v>0</v>
      </c>
      <c r="BI52" s="143">
        <f>Tabella3[[#This Row],[rest of Italy fit]]</f>
        <v>262.81847588044036</v>
      </c>
      <c r="BJ52" s="183" t="e">
        <f>Tabella34[[#This Row],[rest of Italy velocity]]/Tabella34[[#This Row],[rest of Italy cumul. fit]]</f>
        <v>#DIV/0!</v>
      </c>
      <c r="BK52" s="236" t="e">
        <f>(LN(Tabella34[[#This Row],[Day]]-po)-phi_o)/psi_o</f>
        <v>#NUM!</v>
      </c>
      <c r="BL52" s="244">
        <f>EXP(phi_o+psi_o*Tabella34[[#This Row],[x_o_alpha©+plus]])-(Tabella34[[#This Row],[Day]]-po)</f>
        <v>28.595095830186338</v>
      </c>
      <c r="BM52" s="244">
        <f>EXP(phi_o+psi_o*Tabella34[[#This Row],[x_o_alpha©-minus]])-(Tabella34[[#This Row],[Day]]-po)</f>
        <v>27.865069645446198</v>
      </c>
      <c r="BN52" s="244">
        <f>-psi_o+SQRT(psi_o^2-2*Tabella34[[#This Row],[c_o]])</f>
        <v>4.2032273349671456</v>
      </c>
      <c r="BO52" s="244">
        <f>-psi_o-SQRT(psi_o^2-2*Tabella34[[#This Row],[c_o]])</f>
        <v>-4.252254420536774</v>
      </c>
      <c r="BP52" s="244">
        <f>phi_o-LN(alpha*Ko/(Tabella34[[#This Row],[rest of Italy velocity]]*psi_o*SQRTPI(2)))</f>
        <v>-8.9365960078175259</v>
      </c>
      <c r="BQ52" s="244">
        <f>(ACOSH(SQRT(alpha*Ka*psi_a/(Tabella34[[#This Row],[rest of Italy velocity]]*(1+TANH(phi_a)))))+phi_a)/psi_a-(Tabella34[[#This Row],[Day]]-pa)</f>
        <v>166.64796355550192</v>
      </c>
      <c r="BR52" s="72">
        <f>-2*$BY$35*TANH($BY$35*(Tabella34[[#This Row],[Day]]-$BY$44)-$BY$34)*Tabella34[[#This Row],[rest of Italy velocity]]</f>
        <v>12.279307046186617</v>
      </c>
      <c r="BS52" s="143">
        <f>Tabella34[[#This Row],[rest of Italy acc. fit]]/y_a_peak</f>
        <v>4.2907766091923212E-3</v>
      </c>
      <c r="BT52" s="142">
        <f>Tabella34[[#This Row],[rest of Italy acc. fit]]*NOT(ISBLANK(Tabella34[[#This Row],[rest of Italy rate data]]))</f>
        <v>0</v>
      </c>
      <c r="BU52" s="77">
        <f>Tabella34[[#This Row],[rest of Italy acc. fit]]+CIa</f>
        <v>1706.8535019557694</v>
      </c>
      <c r="BV52" s="77">
        <f>MAX(Tabella34[[#This Row],[rest of Italy acc. fit]]-CIa,0)</f>
        <v>0</v>
      </c>
      <c r="BX52" s="213" t="s">
        <v>4357</v>
      </c>
      <c r="BY52" s="216" cm="1">
        <f t="array" ref="BY52">1-SUM((Tabella34[Colonna1]-Tabella34[Colonna22])^2)/SUM((Tabella34[Colonna1]-Mean_of_yf)^2)</f>
        <v>0.14118686184312534</v>
      </c>
    </row>
    <row r="53" spans="2:79" x14ac:dyDescent="0.3">
      <c r="B53" s="262">
        <v>43876</v>
      </c>
      <c r="C53" s="4">
        <v>46</v>
      </c>
      <c r="D53" s="10">
        <f>Tabella8[[#This Row],[Italy cumulative]]</f>
        <v>0</v>
      </c>
      <c r="E53" s="72">
        <f>(Tabella34[[#This Row],[Italy cumul. data]]-D52)</f>
        <v>0</v>
      </c>
      <c r="F53" s="72">
        <f>Tabella34[[#This Row],[Italy rate data]]-E52</f>
        <v>0</v>
      </c>
      <c r="G53" s="142">
        <f>Tabella34[[#This Row],[Italy rate data]]*NOT(ISBLANK(Tabella34[[#This Row],[Italy rate data]]))</f>
        <v>0</v>
      </c>
      <c r="H53" s="143">
        <f>Tabella8[[#This Row],[Italy fit]]</f>
        <v>0</v>
      </c>
      <c r="I53" s="143">
        <f>(ATANH(alpha*Tabella34[[#This Row],[Italy cumul. Fit]]/Kf-(1-alpha*Tabella34[[#This Row],[Italy cumul. Fit]]/Kf)*TANH(phi_f))+phi_f)/psi_f-(Tabella34[[#This Row],[Day]]-pf)</f>
        <v>23.844294912230211</v>
      </c>
      <c r="J53" s="143">
        <f>Tabella34[[#This Row],[Italy d.t.]]/Italy_dt_at_lockdown</f>
        <v>21.625271737092099</v>
      </c>
      <c r="K53" s="143">
        <f>Tabella34[[#This Row],[Italy cumul. Fit]]/Kf</f>
        <v>0</v>
      </c>
      <c r="L53" s="146">
        <f>Tabella34[[#This Row],[sel. region acc. fit]]+Tabella34[[#This Row],[rest of Italy acc. fit]]</f>
        <v>13.333414100300129</v>
      </c>
      <c r="M53" s="143">
        <f>Tabella34[[#This Row],[Italy (fit of selected region + fitted sum of the other regions)]]/(y_l_peak+y_a_peak)</f>
        <v>4.445078048604752E-3</v>
      </c>
      <c r="N53" s="143">
        <f>Tabella3[[#This Row],[Italy remov. rate fit]]</f>
        <v>282.70294196009769</v>
      </c>
      <c r="O53" s="143" t="e">
        <f>Kt*EXP(-0.5*Tabella34[[#This Row],[x_t]]^2)/(psi_t*SQRTPI(2)*(Tabella34[[#This Row],[Day]]-D_bk))</f>
        <v>#NUM!</v>
      </c>
      <c r="P53" s="183" t="e">
        <f>Tabella34[[#This Row],[Italy velocity]]/Tabella34[[#This Row],[Italy cumul. Fit]]</f>
        <v>#DIV/0!</v>
      </c>
      <c r="Q53" s="244" t="e">
        <f>(LN(Tabella34[[#This Row],[Day]]-D_bk)-phi_t)/psi_t</f>
        <v>#NUM!</v>
      </c>
      <c r="R53" s="244">
        <f>EXP(phi_t+psi_t*Tabella34[[#This Row],[x_t_alpha©+plus]])-(Tabella34[[#This Row],[Day]]-D_bk)</f>
        <v>27.758541235266783</v>
      </c>
      <c r="S53" s="244">
        <f>EXP(phi_t+psi_t*Tabella34[[#This Row],[x_t_alpha©-minus]])-(Tabella34[[#This Row],[Day]]-D_bk)</f>
        <v>27.022462831724258</v>
      </c>
      <c r="T53" s="244">
        <f>-psi_t+SQRT(psi_t^2-2*Tabella34[[#This Row],[c_t]])</f>
        <v>4.1928853976952087</v>
      </c>
      <c r="U53" s="244">
        <f>-psi_t-SQRT(psi_t^2-2*Tabella34[[#This Row],[c_t]])</f>
        <v>-4.2422781321150129</v>
      </c>
      <c r="V53" s="244">
        <f>phi_t-LN(alpha*Kt/(Tabella34[[#This Row],[Italy velocity]]*psi_t*SQRTPI(2)))</f>
        <v>-8.893693016553371</v>
      </c>
      <c r="W53" s="244" t="e">
        <f>Tabella34[[#This Row],[Italy g.r.]]/Italy_gr_at_lockdown</f>
        <v>#DIV/0!</v>
      </c>
      <c r="X53" s="244">
        <f>(ACOSH(SQRT(alpha*Kf*psi_f/(Tabella34[[#This Row],[Italy velocity]]*(1+TANH(phi_f)))))+phi_f)/psi_f-(Tabella34[[#This Row],[Day]]-pf)</f>
        <v>164.35188109109731</v>
      </c>
      <c r="Y53" s="244">
        <f>Tabella34[[#This Row],[Italy h.t.]]/Italy_ht_at_lockdown</f>
        <v>1.4216847189189405</v>
      </c>
      <c r="Z53" s="72">
        <f>-2*$BY$48*TANH($BY$48*(Tabella34[[#This Row],[Day]]-$BY$57)-$BY$47)*Tabella34[[#This Row],[Italy velocity]]</f>
        <v>13.289600092150321</v>
      </c>
      <c r="AA53" s="72">
        <f>Tabella34[[#This Row],[Italy acc. fit]]/Itali_acc_at_lockdown</f>
        <v>0.36804561165495253</v>
      </c>
      <c r="AB53" s="143">
        <f>Tabella34[[#This Row],[Italy acc. fit]]/y_f_peak</f>
        <v>4.4277915268748792E-3</v>
      </c>
      <c r="AC53" s="143">
        <f>Tabella34[[#This Row],[Italy (fit of selected region + fitted sum of the other regions)]]*NOT(ISBLANK(Tabella34[[#This Row],[Italy rate data]]))</f>
        <v>13.333414100300129</v>
      </c>
      <c r="AD53" s="143">
        <f>Tabella34[[#This Row],[Italy acc. fit]]*NOT(ISBLANK(Tabella34[[#This Row],[Italy rate data]]))</f>
        <v>13.289600092150321</v>
      </c>
      <c r="AE53" s="77">
        <f>Tabella34[[#This Row],[Italy acc. fit]]+CIf</f>
        <v>1728.9044594267016</v>
      </c>
      <c r="AF53" s="77">
        <f>MAX(Tabella34[[#This Row],[Italy acc. fit]]-CIf,0)</f>
        <v>0</v>
      </c>
      <c r="AG53" s="141"/>
      <c r="AH53" s="33"/>
      <c r="AI53" s="33"/>
      <c r="AJ53" s="142">
        <f>Tabella34[[#This Row],[selected region rate data]]*NOT(ISBLANK(Tabella34[[#This Row],[selected region rate data]]))</f>
        <v>0</v>
      </c>
      <c r="AK53" s="147">
        <f>Tabella8[[#This Row],[region fit]]</f>
        <v>0</v>
      </c>
      <c r="AL53" s="143">
        <f>(ATANH(alpha*Tabella34[[#This Row],[sel. region cumul. fit]]/Kl-(1-alpha*Tabella34[[#This Row],[sel. region cumul. fit]]/Kl)*TANH(phi_l))+phi_l)/psi_l-(Tabella34[[#This Row],[Day]]-pl)</f>
        <v>29.240334693239106</v>
      </c>
      <c r="AM53" s="142">
        <f>Tabella34[[#This Row],[sel. region cumul. fit]]/Kl</f>
        <v>0</v>
      </c>
      <c r="AN53" s="143">
        <f>Tabella3[[#This Row],[region fit]]</f>
        <v>9.1483769056295188</v>
      </c>
      <c r="AO53" s="183" t="e">
        <f>Tabella34[[#This Row],[sel. region velocity]]/Tabella34[[#This Row],[sel. region cumul. fit]]</f>
        <v>#DIV/0!</v>
      </c>
      <c r="AP53" s="236" t="e">
        <f>(LN(Tabella34[[#This Row],[Day]]-pr)-phi_r)/psi_r</f>
        <v>#NUM!</v>
      </c>
      <c r="AQ53" s="244">
        <f>EXP(phi_r+psi_r*Tabella34[[#This Row],[x_r_alpha©+plus]])-(Tabella34[[#This Row],[Day]]-pr)</f>
        <v>33.008370176367201</v>
      </c>
      <c r="AR53" s="244">
        <f>EXP(phi_r+psi_r*Tabella34[[#This Row],[x_r_alpha©-minus]])-(Tabella34[[#This Row],[Day]]-pr)</f>
        <v>32.205469946698273</v>
      </c>
      <c r="AS53" s="244">
        <f>-psi_r+SQRT(psi_r^2-2*Tabella34[[#This Row],[c_r]])</f>
        <v>4.21995416871684</v>
      </c>
      <c r="AT53" s="244">
        <f>-psi_r-SQRT(psi_r^2-2*Tabella34[[#This Row],[c_r]])</f>
        <v>-4.276362407135502</v>
      </c>
      <c r="AU53" s="244">
        <f>phi_r-LN(alpha*Kr/(Tabella34[[#This Row],[sel. region velocity]]*psi_r*SQRTPI(2)))</f>
        <v>-9.0230266834677195</v>
      </c>
      <c r="AV53" s="244">
        <f>(ACOSH(SQRT(alpha*Kl*psi_l/(Tabella34[[#This Row],[sel. region velocity]]*(1+TANH(phi_l)))))+phi_l)/psi_l-(Tabella34[[#This Row],[Day]]-pl)</f>
        <v>156.7026161050502</v>
      </c>
      <c r="AW53" s="72">
        <f>-2*$BY$22*TANH($BY$22*(Tabella34[[#This Row],[Day]]-$BY$31)-$BY$21)*Tabella34[[#This Row],[sel. region velocity]]</f>
        <v>0.49861981270200234</v>
      </c>
      <c r="AX53" s="143">
        <f>Tabella34[[#This Row],[sel. region acc. fit]]/y_l_peak</f>
        <v>3.6184501344432062E-3</v>
      </c>
      <c r="AY53" s="143">
        <f>Tabella34[[#This Row],[sel. region acc. fit]]*NOT(ISBLANK(Tabella34[[#This Row],[selected region rate data]]))</f>
        <v>0</v>
      </c>
      <c r="AZ53" s="77">
        <f>Tabella34[[#This Row],[sel. region acc. fit]]+CIl</f>
        <v>54.263460222250458</v>
      </c>
      <c r="BA53" s="77">
        <f>MAX(Tabella34[[#This Row],[sel. region acc. fit]]-CIl,0)</f>
        <v>0</v>
      </c>
      <c r="BB53" s="141"/>
      <c r="BC53" s="33"/>
      <c r="BD53" s="33"/>
      <c r="BE53" s="142">
        <f>Tabella34[[#This Row],[rest of Italy rate data]]*NOT(ISBLANK(Tabella34[[#This Row],[rest of Italy rate data]]))</f>
        <v>0</v>
      </c>
      <c r="BF53" s="188">
        <f>Tabella8[[#This Row],[rest of Italy fit]]</f>
        <v>0</v>
      </c>
      <c r="BG53" s="78">
        <f>(ATANH(alpha*Tabella34[[#This Row],[rest of Italy cumul. fit]]/Ka-(1-alpha*Tabella34[[#This Row],[rest of Italy cumul. fit]]/Ka)*TANH(phi_a))+phi_a)/psi_a-(Tabella34[[#This Row],[Day]]-pa)</f>
        <v>23.695444456084331</v>
      </c>
      <c r="BH53" s="143">
        <f>Tabella34[[#This Row],[rest of Italy cumul. fit]]/Ka</f>
        <v>0</v>
      </c>
      <c r="BI53" s="143">
        <f>Tabella3[[#This Row],[rest of Italy fit]]</f>
        <v>275.37372107827872</v>
      </c>
      <c r="BJ53" s="183" t="e">
        <f>Tabella34[[#This Row],[rest of Italy velocity]]/Tabella34[[#This Row],[rest of Italy cumul. fit]]</f>
        <v>#DIV/0!</v>
      </c>
      <c r="BK53" s="236" t="e">
        <f>(LN(Tabella34[[#This Row],[Day]]-po)-phi_o)/psi_o</f>
        <v>#NUM!</v>
      </c>
      <c r="BL53" s="244">
        <f>EXP(phi_o+psi_o*Tabella34[[#This Row],[x_o_alpha©+plus]])-(Tabella34[[#This Row],[Day]]-po)</f>
        <v>27.594039427924617</v>
      </c>
      <c r="BM53" s="244">
        <f>EXP(phi_o+psi_o*Tabella34[[#This Row],[x_o_alpha©-minus]])-(Tabella34[[#This Row],[Day]]-po)</f>
        <v>26.865928518769291</v>
      </c>
      <c r="BN53" s="244">
        <f>-psi_o+SQRT(psi_o^2-2*Tabella34[[#This Row],[c_o]])</f>
        <v>4.1921749427415609</v>
      </c>
      <c r="BO53" s="244">
        <f>-psi_o-SQRT(psi_o^2-2*Tabella34[[#This Row],[c_o]])</f>
        <v>-4.2412020283111893</v>
      </c>
      <c r="BP53" s="244">
        <f>phi_o-LN(alpha*Ko/(Tabella34[[#This Row],[rest of Italy velocity]]*psi_o*SQRTPI(2)))</f>
        <v>-8.889930435095426</v>
      </c>
      <c r="BQ53" s="244">
        <f>(ACOSH(SQRT(alpha*Ka*psi_a/(Tabella34[[#This Row],[rest of Italy velocity]]*(1+TANH(phi_a)))))+phi_a)/psi_a-(Tabella34[[#This Row],[Day]]-pa)</f>
        <v>164.67293868629753</v>
      </c>
      <c r="BR53" s="72">
        <f>-2*$BY$35*TANH($BY$35*(Tabella34[[#This Row],[Day]]-$BY$44)-$BY$34)*Tabella34[[#This Row],[rest of Italy velocity]]</f>
        <v>12.834794287598125</v>
      </c>
      <c r="BS53" s="143">
        <f>Tabella34[[#This Row],[rest of Italy acc. fit]]/y_a_peak</f>
        <v>4.4848813459814757E-3</v>
      </c>
      <c r="BT53" s="142">
        <f>Tabella34[[#This Row],[rest of Italy acc. fit]]*NOT(ISBLANK(Tabella34[[#This Row],[rest of Italy rate data]]))</f>
        <v>0</v>
      </c>
      <c r="BU53" s="77">
        <f>Tabella34[[#This Row],[rest of Italy acc. fit]]+CIa</f>
        <v>1707.4089891971807</v>
      </c>
      <c r="BV53" s="77">
        <f>MAX(Tabella34[[#This Row],[rest of Italy acc. fit]]-CIa,0)</f>
        <v>0</v>
      </c>
      <c r="BX53" s="213" t="s">
        <v>5</v>
      </c>
      <c r="BY53" s="216">
        <f>TINV(0.05,dff)</f>
        <v>1.9912543953883848</v>
      </c>
    </row>
    <row r="54" spans="2:79" x14ac:dyDescent="0.3">
      <c r="B54" s="262">
        <v>43877</v>
      </c>
      <c r="C54" s="4">
        <v>47</v>
      </c>
      <c r="D54" s="10">
        <f>Tabella8[[#This Row],[Italy cumulative]]</f>
        <v>0</v>
      </c>
      <c r="E54" s="72">
        <f>(Tabella34[[#This Row],[Italy cumul. data]]-D53)</f>
        <v>0</v>
      </c>
      <c r="F54" s="72">
        <f>Tabella34[[#This Row],[Italy rate data]]-E53</f>
        <v>0</v>
      </c>
      <c r="G54" s="142">
        <f>Tabella34[[#This Row],[Italy rate data]]*NOT(ISBLANK(Tabella34[[#This Row],[Italy rate data]]))</f>
        <v>0</v>
      </c>
      <c r="H54" s="143">
        <f>Tabella8[[#This Row],[Italy fit]]</f>
        <v>0</v>
      </c>
      <c r="I54" s="143">
        <f>(ATANH(alpha*Tabella34[[#This Row],[Italy cumul. Fit]]/Kf-(1-alpha*Tabella34[[#This Row],[Italy cumul. Fit]]/Kf)*TANH(phi_f))+phi_f)/psi_f-(Tabella34[[#This Row],[Day]]-pf)</f>
        <v>22.844294912230211</v>
      </c>
      <c r="J54" s="143">
        <f>Tabella34[[#This Row],[Italy d.t.]]/Italy_dt_at_lockdown</f>
        <v>20.718334802420987</v>
      </c>
      <c r="K54" s="143">
        <f>Tabella34[[#This Row],[Italy cumul. Fit]]/Kf</f>
        <v>0</v>
      </c>
      <c r="L54" s="146">
        <f>Tabella34[[#This Row],[sel. region acc. fit]]+Tabella34[[#This Row],[rest of Italy acc. fit]]</f>
        <v>13.937698522667482</v>
      </c>
      <c r="M54" s="143">
        <f>Tabella34[[#This Row],[Italy (fit of selected region + fitted sum of the other regions)]]/(y_l_peak+y_a_peak)</f>
        <v>4.6465336848561202E-3</v>
      </c>
      <c r="N54" s="143">
        <f>Tabella3[[#This Row],[Italy remov. rate fit]]</f>
        <v>296.29256910353371</v>
      </c>
      <c r="O54" s="143" t="e">
        <f>Kt*EXP(-0.5*Tabella34[[#This Row],[x_t]]^2)/(psi_t*SQRTPI(2)*(Tabella34[[#This Row],[Day]]-D_bk))</f>
        <v>#NUM!</v>
      </c>
      <c r="P54" s="183" t="e">
        <f>Tabella34[[#This Row],[Italy velocity]]/Tabella34[[#This Row],[Italy cumul. Fit]]</f>
        <v>#DIV/0!</v>
      </c>
      <c r="Q54" s="244" t="e">
        <f>(LN(Tabella34[[#This Row],[Day]]-D_bk)-phi_t)/psi_t</f>
        <v>#NUM!</v>
      </c>
      <c r="R54" s="244">
        <f>EXP(phi_t+psi_t*Tabella34[[#This Row],[x_t_alpha©+plus]])-(Tabella34[[#This Row],[Day]]-D_bk)</f>
        <v>26.757463841801471</v>
      </c>
      <c r="S54" s="244">
        <f>EXP(phi_t+psi_t*Tabella34[[#This Row],[x_t_alpha©-minus]])-(Tabella34[[#This Row],[Day]]-D_bk)</f>
        <v>26.023337860993312</v>
      </c>
      <c r="T54" s="244">
        <f>-psi_t+SQRT(psi_t^2-2*Tabella34[[#This Row],[c_t]])</f>
        <v>4.1817385289516924</v>
      </c>
      <c r="U54" s="244">
        <f>-psi_t-SQRT(psi_t^2-2*Tabella34[[#This Row],[c_t]])</f>
        <v>-4.2311312633714966</v>
      </c>
      <c r="V54" s="244">
        <f>phi_t-LN(alpha*Kt/(Tabella34[[#This Row],[Italy velocity]]*psi_t*SQRTPI(2)))</f>
        <v>-8.8467423125463203</v>
      </c>
      <c r="W54" s="244" t="e">
        <f>Tabella34[[#This Row],[Italy g.r.]]/Italy_gr_at_lockdown</f>
        <v>#DIV/0!</v>
      </c>
      <c r="X54" s="244">
        <f>(ACOSH(SQRT(alpha*Kf*psi_f/(Tabella34[[#This Row],[Italy velocity]]*(1+TANH(phi_f)))))+phi_f)/psi_f-(Tabella34[[#This Row],[Day]]-pf)</f>
        <v>162.37754136500314</v>
      </c>
      <c r="Y54" s="244">
        <f>Tabella34[[#This Row],[Italy h.t.]]/Italy_ht_at_lockdown</f>
        <v>1.4046061883909762</v>
      </c>
      <c r="Z54" s="72">
        <f>-2*$BY$48*TANH($BY$48*(Tabella34[[#This Row],[Day]]-$BY$57)-$BY$47)*Tabella34[[#This Row],[Italy velocity]]</f>
        <v>13.893580975605326</v>
      </c>
      <c r="AA54" s="72">
        <f>Tabella34[[#This Row],[Italy acc. fit]]/Itali_acc_at_lockdown</f>
        <v>0.38477241397689721</v>
      </c>
      <c r="AB54" s="143">
        <f>Tabella34[[#This Row],[Italy acc. fit]]/y_f_peak</f>
        <v>4.6290241764364026E-3</v>
      </c>
      <c r="AC54" s="143">
        <f>Tabella34[[#This Row],[Italy (fit of selected region + fitted sum of the other regions)]]*NOT(ISBLANK(Tabella34[[#This Row],[Italy rate data]]))</f>
        <v>13.937698522667482</v>
      </c>
      <c r="AD54" s="143">
        <f>Tabella34[[#This Row],[Italy acc. fit]]*NOT(ISBLANK(Tabella34[[#This Row],[Italy rate data]]))</f>
        <v>13.893580975605326</v>
      </c>
      <c r="AE54" s="77">
        <f>Tabella34[[#This Row],[Italy acc. fit]]+CIf</f>
        <v>1729.5084403101566</v>
      </c>
      <c r="AF54" s="77">
        <f>MAX(Tabella34[[#This Row],[Italy acc. fit]]-CIf,0)</f>
        <v>0</v>
      </c>
      <c r="AG54" s="141"/>
      <c r="AH54" s="33"/>
      <c r="AI54" s="33"/>
      <c r="AJ54" s="142">
        <f>Tabella34[[#This Row],[selected region rate data]]*NOT(ISBLANK(Tabella34[[#This Row],[selected region rate data]]))</f>
        <v>0</v>
      </c>
      <c r="AK54" s="147">
        <f>Tabella8[[#This Row],[region fit]]</f>
        <v>0</v>
      </c>
      <c r="AL54" s="143">
        <f>(ATANH(alpha*Tabella34[[#This Row],[sel. region cumul. fit]]/Kl-(1-alpha*Tabella34[[#This Row],[sel. region cumul. fit]]/Kl)*TANH(phi_l))+phi_l)/psi_l-(Tabella34[[#This Row],[Day]]-pl)</f>
        <v>28.240334693239106</v>
      </c>
      <c r="AM54" s="142">
        <f>Tabella34[[#This Row],[sel. region cumul. fit]]/Kl</f>
        <v>0</v>
      </c>
      <c r="AN54" s="143">
        <f>Tabella3[[#This Row],[region fit]]</f>
        <v>9.6603157123074794</v>
      </c>
      <c r="AO54" s="183" t="e">
        <f>Tabella34[[#This Row],[sel. region velocity]]/Tabella34[[#This Row],[sel. region cumul. fit]]</f>
        <v>#DIV/0!</v>
      </c>
      <c r="AP54" s="236" t="e">
        <f>(LN(Tabella34[[#This Row],[Day]]-pr)-phi_r)/psi_r</f>
        <v>#NUM!</v>
      </c>
      <c r="AQ54" s="244">
        <f>EXP(phi_r+psi_r*Tabella34[[#This Row],[x_r_alpha©+plus]])-(Tabella34[[#This Row],[Day]]-pr)</f>
        <v>32.007006216506191</v>
      </c>
      <c r="AR54" s="244">
        <f>EXP(phi_r+psi_r*Tabella34[[#This Row],[x_r_alpha©-minus]])-(Tabella34[[#This Row],[Day]]-pr)</f>
        <v>31.20654366003993</v>
      </c>
      <c r="AS54" s="244">
        <f>-psi_r+SQRT(psi_r^2-2*Tabella34[[#This Row],[c_r]])</f>
        <v>4.2071174897605452</v>
      </c>
      <c r="AT54" s="244">
        <f>-psi_r-SQRT(psi_r^2-2*Tabella34[[#This Row],[c_r]])</f>
        <v>-4.2635257281792072</v>
      </c>
      <c r="AU54" s="244">
        <f>phi_r-LN(alpha*Kr/(Tabella34[[#This Row],[sel. region velocity]]*psi_r*SQRTPI(2)))</f>
        <v>-8.9685768295334025</v>
      </c>
      <c r="AV54" s="244">
        <f>(ACOSH(SQRT(alpha*Kl*psi_l/(Tabella34[[#This Row],[sel. region velocity]]*(1+TANH(phi_l)))))+phi_l)/psi_l-(Tabella34[[#This Row],[Day]]-pl)</f>
        <v>154.72043516087126</v>
      </c>
      <c r="AW54" s="72">
        <f>-2*$BY$22*TANH($BY$22*(Tabella34[[#This Row],[Day]]-$BY$31)-$BY$21)*Tabella34[[#This Row],[sel. region velocity]]</f>
        <v>0.52547370361668477</v>
      </c>
      <c r="AX54" s="143">
        <f>Tabella34[[#This Row],[sel. region acc. fit]]/y_l_peak</f>
        <v>3.8133269979677381E-3</v>
      </c>
      <c r="AY54" s="143">
        <f>Tabella34[[#This Row],[sel. region acc. fit]]*NOT(ISBLANK(Tabella34[[#This Row],[selected region rate data]]))</f>
        <v>0</v>
      </c>
      <c r="AZ54" s="77">
        <f>Tabella34[[#This Row],[sel. region acc. fit]]+CIl</f>
        <v>54.290314113165138</v>
      </c>
      <c r="BA54" s="77">
        <f>MAX(Tabella34[[#This Row],[sel. region acc. fit]]-CIl,0)</f>
        <v>0</v>
      </c>
      <c r="BB54" s="141"/>
      <c r="BC54" s="33"/>
      <c r="BD54" s="33"/>
      <c r="BE54" s="142">
        <f>Tabella34[[#This Row],[rest of Italy rate data]]*NOT(ISBLANK(Tabella34[[#This Row],[rest of Italy rate data]]))</f>
        <v>0</v>
      </c>
      <c r="BF54" s="188">
        <f>Tabella8[[#This Row],[rest of Italy fit]]</f>
        <v>0</v>
      </c>
      <c r="BG54" s="78">
        <f>(ATANH(alpha*Tabella34[[#This Row],[rest of Italy cumul. fit]]/Ka-(1-alpha*Tabella34[[#This Row],[rest of Italy cumul. fit]]/Ka)*TANH(phi_a))+phi_a)/psi_a-(Tabella34[[#This Row],[Day]]-pa)</f>
        <v>22.695444456084331</v>
      </c>
      <c r="BH54" s="143">
        <f>Tabella34[[#This Row],[rest of Italy cumul. fit]]/Ka</f>
        <v>0</v>
      </c>
      <c r="BI54" s="143">
        <f>Tabella3[[#This Row],[rest of Italy fit]]</f>
        <v>288.49537907953078</v>
      </c>
      <c r="BJ54" s="183" t="e">
        <f>Tabella34[[#This Row],[rest of Italy velocity]]/Tabella34[[#This Row],[rest of Italy cumul. fit]]</f>
        <v>#DIV/0!</v>
      </c>
      <c r="BK54" s="236" t="e">
        <f>(LN(Tabella34[[#This Row],[Day]]-po)-phi_o)/psi_o</f>
        <v>#NUM!</v>
      </c>
      <c r="BL54" s="244">
        <f>EXP(phi_o+psi_o*Tabella34[[#This Row],[x_o_alpha©+plus]])-(Tabella34[[#This Row],[Day]]-po)</f>
        <v>26.592983164387064</v>
      </c>
      <c r="BM54" s="244">
        <f>EXP(phi_o+psi_o*Tabella34[[#This Row],[x_o_alpha©-minus]])-(Tabella34[[#This Row],[Day]]-po)</f>
        <v>25.866787744799471</v>
      </c>
      <c r="BN54" s="244">
        <f>-psi_o+SQRT(psi_o^2-2*Tabella34[[#This Row],[c_o]])</f>
        <v>4.1811210072067171</v>
      </c>
      <c r="BO54" s="244">
        <f>-psi_o-SQRT(psi_o^2-2*Tabella34[[#This Row],[c_o]])</f>
        <v>-4.2301480927763455</v>
      </c>
      <c r="BP54" s="244">
        <f>phi_o-LN(alpha*Ko/(Tabella34[[#This Row],[rest of Italy velocity]]*psi_o*SQRTPI(2)))</f>
        <v>-8.8433805271513037</v>
      </c>
      <c r="BQ54" s="244">
        <f>(ACOSH(SQRT(alpha*Ka*psi_a/(Tabella34[[#This Row],[rest of Italy velocity]]*(1+TANH(phi_a)))))+phi_a)/psi_a-(Tabella34[[#This Row],[Day]]-pa)</f>
        <v>162.6991840246277</v>
      </c>
      <c r="BR54" s="72">
        <f>-2*$BY$35*TANH($BY$35*(Tabella34[[#This Row],[Day]]-$BY$44)-$BY$34)*Tabella34[[#This Row],[rest of Italy velocity]]</f>
        <v>13.412224819050797</v>
      </c>
      <c r="BS54" s="143">
        <f>Tabella34[[#This Row],[rest of Italy acc. fit]]/y_a_peak</f>
        <v>4.6866537593979194E-3</v>
      </c>
      <c r="BT54" s="142">
        <f>Tabella34[[#This Row],[rest of Italy acc. fit]]*NOT(ISBLANK(Tabella34[[#This Row],[rest of Italy rate data]]))</f>
        <v>0</v>
      </c>
      <c r="BU54" s="77">
        <f>Tabella34[[#This Row],[rest of Italy acc. fit]]+CIa</f>
        <v>1707.9864197286336</v>
      </c>
      <c r="BV54" s="77">
        <f>MAX(Tabella34[[#This Row],[rest of Italy acc. fit]]-CIa,0)</f>
        <v>0</v>
      </c>
      <c r="BX54" s="213" t="s">
        <v>6</v>
      </c>
      <c r="BY54" s="214">
        <f>Critical_tf*SE_of_yf</f>
        <v>1715.6148593345513</v>
      </c>
    </row>
    <row r="55" spans="2:79" x14ac:dyDescent="0.3">
      <c r="B55" s="262">
        <v>43878</v>
      </c>
      <c r="C55" s="4">
        <v>48</v>
      </c>
      <c r="D55" s="10">
        <f>Tabella8[[#This Row],[Italy cumulative]]</f>
        <v>0</v>
      </c>
      <c r="E55" s="72">
        <f>(Tabella34[[#This Row],[Italy cumul. data]]-D54)</f>
        <v>0</v>
      </c>
      <c r="F55" s="72">
        <f>Tabella34[[#This Row],[Italy rate data]]-E54</f>
        <v>0</v>
      </c>
      <c r="G55" s="142">
        <f>Tabella34[[#This Row],[Italy rate data]]*NOT(ISBLANK(Tabella34[[#This Row],[Italy rate data]]))</f>
        <v>0</v>
      </c>
      <c r="H55" s="143">
        <f>Tabella8[[#This Row],[Italy fit]]</f>
        <v>0</v>
      </c>
      <c r="I55" s="143">
        <f>(ATANH(alpha*Tabella34[[#This Row],[Italy cumul. Fit]]/Kf-(1-alpha*Tabella34[[#This Row],[Italy cumul. Fit]]/Kf)*TANH(phi_f))+phi_f)/psi_f-(Tabella34[[#This Row],[Day]]-pf)</f>
        <v>21.844294912230211</v>
      </c>
      <c r="J55" s="143">
        <f>Tabella34[[#This Row],[Italy d.t.]]/Italy_dt_at_lockdown</f>
        <v>19.811397867749871</v>
      </c>
      <c r="K55" s="143">
        <f>Tabella34[[#This Row],[Italy cumul. Fit]]/Kf</f>
        <v>0</v>
      </c>
      <c r="L55" s="146">
        <f>Tabella34[[#This Row],[sel. region acc. fit]]+Tabella34[[#This Row],[rest of Italy acc. fit]]</f>
        <v>14.565790071215289</v>
      </c>
      <c r="M55" s="143">
        <f>Tabella34[[#This Row],[Italy (fit of selected region + fitted sum of the other regions)]]/(y_l_peak+y_a_peak)</f>
        <v>4.8559261130790747E-3</v>
      </c>
      <c r="N55" s="143">
        <f>Tabella3[[#This Row],[Italy remov. rate fit]]</f>
        <v>310.49805592604093</v>
      </c>
      <c r="O55" s="143" t="e">
        <f>Kt*EXP(-0.5*Tabella34[[#This Row],[x_t]]^2)/(psi_t*SQRTPI(2)*(Tabella34[[#This Row],[Day]]-D_bk))</f>
        <v>#NUM!</v>
      </c>
      <c r="P55" s="183" t="e">
        <f>Tabella34[[#This Row],[Italy velocity]]/Tabella34[[#This Row],[Italy cumul. Fit]]</f>
        <v>#DIV/0!</v>
      </c>
      <c r="Q55" s="244" t="e">
        <f>(LN(Tabella34[[#This Row],[Day]]-D_bk)-phi_t)/psi_t</f>
        <v>#NUM!</v>
      </c>
      <c r="R55" s="244">
        <f>EXP(phi_t+psi_t*Tabella34[[#This Row],[x_t_alpha©+plus]])-(Tabella34[[#This Row],[Day]]-D_bk)</f>
        <v>25.756386657063029</v>
      </c>
      <c r="S55" s="244">
        <f>EXP(phi_t+psi_t*Tabella34[[#This Row],[x_t_alpha©-minus]])-(Tabella34[[#This Row],[Day]]-D_bk)</f>
        <v>25.024213202567747</v>
      </c>
      <c r="T55" s="244">
        <f>-psi_t+SQRT(psi_t^2-2*Tabella34[[#This Row],[c_t]])</f>
        <v>4.1705907511837319</v>
      </c>
      <c r="U55" s="244">
        <f>-psi_t-SQRT(psi_t^2-2*Tabella34[[#This Row],[c_t]])</f>
        <v>-4.2199834856035361</v>
      </c>
      <c r="V55" s="244">
        <f>phi_t-LN(alpha*Kt/(Tabella34[[#This Row],[Italy velocity]]*psi_t*SQRTPI(2)))</f>
        <v>-8.7999120476030974</v>
      </c>
      <c r="W55" s="244" t="e">
        <f>Tabella34[[#This Row],[Italy g.r.]]/Italy_gr_at_lockdown</f>
        <v>#DIV/0!</v>
      </c>
      <c r="X55" s="244">
        <f>(ACOSH(SQRT(alpha*Kf*psi_f/(Tabella34[[#This Row],[Italy velocity]]*(1+TANH(phi_f)))))+phi_f)/psi_f-(Tabella34[[#This Row],[Day]]-pf)</f>
        <v>160.40451707129336</v>
      </c>
      <c r="Y55" s="244">
        <f>Tabella34[[#This Row],[Italy h.t.]]/Italy_ht_at_lockdown</f>
        <v>1.3875390366808702</v>
      </c>
      <c r="Z55" s="72">
        <f>-2*$BY$48*TANH($BY$48*(Tabella34[[#This Row],[Day]]-$BY$57)-$BY$47)*Tabella34[[#This Row],[Italy velocity]]</f>
        <v>14.52141718166574</v>
      </c>
      <c r="AA55" s="72">
        <f>Tabella34[[#This Row],[Italy acc. fit]]/Itali_acc_at_lockdown</f>
        <v>0.40215987175413426</v>
      </c>
      <c r="AB55" s="143">
        <f>Tabella34[[#This Row],[Italy acc. fit]]/y_f_peak</f>
        <v>4.8382048751920842E-3</v>
      </c>
      <c r="AC55" s="143">
        <f>Tabella34[[#This Row],[Italy (fit of selected region + fitted sum of the other regions)]]*NOT(ISBLANK(Tabella34[[#This Row],[Italy rate data]]))</f>
        <v>14.565790071215289</v>
      </c>
      <c r="AD55" s="143">
        <f>Tabella34[[#This Row],[Italy acc. fit]]*NOT(ISBLANK(Tabella34[[#This Row],[Italy rate data]]))</f>
        <v>14.52141718166574</v>
      </c>
      <c r="AE55" s="77">
        <f>Tabella34[[#This Row],[Italy acc. fit]]+CIf</f>
        <v>1730.1362765162171</v>
      </c>
      <c r="AF55" s="77">
        <f>MAX(Tabella34[[#This Row],[Italy acc. fit]]-CIf,0)</f>
        <v>0</v>
      </c>
      <c r="AG55" s="141"/>
      <c r="AH55" s="33"/>
      <c r="AI55" s="33"/>
      <c r="AJ55" s="142">
        <f>Tabella34[[#This Row],[selected region rate data]]*NOT(ISBLANK(Tabella34[[#This Row],[selected region rate data]]))</f>
        <v>0</v>
      </c>
      <c r="AK55" s="147">
        <f>Tabella8[[#This Row],[region fit]]</f>
        <v>0</v>
      </c>
      <c r="AL55" s="143">
        <f>(ATANH(alpha*Tabella34[[#This Row],[sel. region cumul. fit]]/Kl-(1-alpha*Tabella34[[#This Row],[sel. region cumul. fit]]/Kl)*TANH(phi_l))+phi_l)/psi_l-(Tabella34[[#This Row],[Day]]-pl)</f>
        <v>27.240334693239106</v>
      </c>
      <c r="AM55" s="142">
        <f>Tabella34[[#This Row],[sel. region cumul. fit]]/Kl</f>
        <v>0</v>
      </c>
      <c r="AN55" s="143">
        <f>Tabella3[[#This Row],[region fit]]</f>
        <v>10.199764436886774</v>
      </c>
      <c r="AO55" s="183" t="e">
        <f>Tabella34[[#This Row],[sel. region velocity]]/Tabella34[[#This Row],[sel. region cumul. fit]]</f>
        <v>#DIV/0!</v>
      </c>
      <c r="AP55" s="236" t="e">
        <f>(LN(Tabella34[[#This Row],[Day]]-pr)-phi_r)/psi_r</f>
        <v>#NUM!</v>
      </c>
      <c r="AQ55" s="244">
        <f>EXP(phi_r+psi_r*Tabella34[[#This Row],[x_r_alpha©+plus]])-(Tabella34[[#This Row],[Day]]-pr)</f>
        <v>31.005641411820466</v>
      </c>
      <c r="AR55" s="244">
        <f>EXP(phi_r+psi_r*Tabella34[[#This Row],[x_r_alpha©-minus]])-(Tabella34[[#This Row],[Day]]-pr)</f>
        <v>30.207618817045532</v>
      </c>
      <c r="AS55" s="244">
        <f>-psi_r+SQRT(psi_r^2-2*Tabella34[[#This Row],[c_r]])</f>
        <v>4.1942682063901549</v>
      </c>
      <c r="AT55" s="244">
        <f>-psi_r-SQRT(psi_r^2-2*Tabella34[[#This Row],[c_r]])</f>
        <v>-4.2506764448088168</v>
      </c>
      <c r="AU55" s="244">
        <f>phi_r-LN(alpha*Kr/(Tabella34[[#This Row],[sel. region velocity]]*psi_r*SQRTPI(2)))</f>
        <v>-8.9142385340565777</v>
      </c>
      <c r="AV55" s="244">
        <f>(ACOSH(SQRT(alpha*Kl*psi_l/(Tabella34[[#This Row],[sel. region velocity]]*(1+TANH(phi_l)))))+phi_l)/psi_l-(Tabella34[[#This Row],[Day]]-pl)</f>
        <v>152.73929747537258</v>
      </c>
      <c r="AW55" s="72">
        <f>-2*$BY$22*TANH($BY$22*(Tabella34[[#This Row],[Day]]-$BY$31)-$BY$21)*Tabella34[[#This Row],[sel. region velocity]]</f>
        <v>0.55364797701541824</v>
      </c>
      <c r="AX55" s="143">
        <f>Tabella34[[#This Row],[sel. region acc. fit]]/y_l_peak</f>
        <v>4.0177857875514063E-3</v>
      </c>
      <c r="AY55" s="143">
        <f>Tabella34[[#This Row],[sel. region acc. fit]]*NOT(ISBLANK(Tabella34[[#This Row],[selected region rate data]]))</f>
        <v>0</v>
      </c>
      <c r="AZ55" s="77">
        <f>Tabella34[[#This Row],[sel. region acc. fit]]+CIl</f>
        <v>54.318488386563871</v>
      </c>
      <c r="BA55" s="77">
        <f>MAX(Tabella34[[#This Row],[sel. region acc. fit]]-CIl,0)</f>
        <v>0</v>
      </c>
      <c r="BB55" s="141"/>
      <c r="BC55" s="33"/>
      <c r="BD55" s="33"/>
      <c r="BE55" s="142">
        <f>Tabella34[[#This Row],[rest of Italy rate data]]*NOT(ISBLANK(Tabella34[[#This Row],[rest of Italy rate data]]))</f>
        <v>0</v>
      </c>
      <c r="BF55" s="188">
        <f>Tabella8[[#This Row],[rest of Italy fit]]</f>
        <v>0</v>
      </c>
      <c r="BG55" s="78">
        <f>(ATANH(alpha*Tabella34[[#This Row],[rest of Italy cumul. fit]]/Ka-(1-alpha*Tabella34[[#This Row],[rest of Italy cumul. fit]]/Ka)*TANH(phi_a))+phi_a)/psi_a-(Tabella34[[#This Row],[Day]]-pa)</f>
        <v>21.695444456084331</v>
      </c>
      <c r="BH55" s="143">
        <f>Tabella34[[#This Row],[rest of Italy cumul. fit]]/Ka</f>
        <v>0</v>
      </c>
      <c r="BI55" s="143">
        <f>Tabella3[[#This Row],[rest of Italy fit]]</f>
        <v>302.20566654193533</v>
      </c>
      <c r="BJ55" s="183" t="e">
        <f>Tabella34[[#This Row],[rest of Italy velocity]]/Tabella34[[#This Row],[rest of Italy cumul. fit]]</f>
        <v>#DIV/0!</v>
      </c>
      <c r="BK55" s="236" t="e">
        <f>(LN(Tabella34[[#This Row],[Day]]-po)-phi_o)/psi_o</f>
        <v>#NUM!</v>
      </c>
      <c r="BL55" s="244">
        <f>EXP(phi_o+psi_o*Tabella34[[#This Row],[x_o_alpha©+plus]])-(Tabella34[[#This Row],[Day]]-po)</f>
        <v>25.591927163950835</v>
      </c>
      <c r="BM55" s="244">
        <f>EXP(phi_o+psi_o*Tabella34[[#This Row],[x_o_alpha©-minus]])-(Tabella34[[#This Row],[Day]]-po)</f>
        <v>24.867647222473927</v>
      </c>
      <c r="BN55" s="244">
        <f>-psi_o+SQRT(psi_o^2-2*Tabella34[[#This Row],[c_o]])</f>
        <v>4.1700668300717814</v>
      </c>
      <c r="BO55" s="244">
        <f>-psi_o-SQRT(psi_o^2-2*Tabella34[[#This Row],[c_o]])</f>
        <v>-4.2190939156414098</v>
      </c>
      <c r="BP55" s="244">
        <f>phi_o-LN(alpha*Ko/(Tabella34[[#This Row],[rest of Italy velocity]]*psi_o*SQRTPI(2)))</f>
        <v>-8.7969517952869563</v>
      </c>
      <c r="BQ55" s="244">
        <f>(ACOSH(SQRT(alpha*Ka*psi_a/(Tabella34[[#This Row],[rest of Italy velocity]]*(1+TANH(phi_a)))))+phi_a)/psi_a-(Tabella34[[#This Row],[Day]]-pa)</f>
        <v>160.72676491908948</v>
      </c>
      <c r="BR55" s="72">
        <f>-2*$BY$35*TANH($BY$35*(Tabella34[[#This Row],[Day]]-$BY$44)-$BY$34)*Tabella34[[#This Row],[rest of Italy velocity]]</f>
        <v>14.012142094199872</v>
      </c>
      <c r="BS55" s="143">
        <f>Tabella34[[#This Row],[rest of Italy acc. fit]]/y_a_peak</f>
        <v>4.8962837492644443E-3</v>
      </c>
      <c r="BT55" s="142">
        <f>Tabella34[[#This Row],[rest of Italy acc. fit]]*NOT(ISBLANK(Tabella34[[#This Row],[rest of Italy rate data]]))</f>
        <v>0</v>
      </c>
      <c r="BU55" s="77">
        <f>Tabella34[[#This Row],[rest of Italy acc. fit]]+CIa</f>
        <v>1708.5863370037825</v>
      </c>
      <c r="BV55" s="77">
        <f>MAX(Tabella34[[#This Row],[rest of Italy acc. fit]]-CIa,0)</f>
        <v>0</v>
      </c>
      <c r="BX55" s="231" t="s">
        <v>299</v>
      </c>
      <c r="BY55" s="232">
        <f>Kf*_xlfn.LOGNORM.DIST(EXP(phi_f-psi_f^2),phi_f,psi_f,FALSE)</f>
        <v>1030183.4617679982</v>
      </c>
    </row>
    <row r="56" spans="2:79" x14ac:dyDescent="0.3">
      <c r="B56" s="262">
        <v>43879</v>
      </c>
      <c r="C56" s="4">
        <v>49</v>
      </c>
      <c r="D56" s="10">
        <f>Tabella8[[#This Row],[Italy cumulative]]</f>
        <v>0</v>
      </c>
      <c r="E56" s="72">
        <f>(Tabella34[[#This Row],[Italy cumul. data]]-D55)</f>
        <v>0</v>
      </c>
      <c r="F56" s="72">
        <f>Tabella34[[#This Row],[Italy rate data]]-E55</f>
        <v>0</v>
      </c>
      <c r="G56" s="142">
        <f>Tabella34[[#This Row],[Italy rate data]]*NOT(ISBLANK(Tabella34[[#This Row],[Italy rate data]]))</f>
        <v>0</v>
      </c>
      <c r="H56" s="143">
        <f>Tabella8[[#This Row],[Italy fit]]</f>
        <v>0</v>
      </c>
      <c r="I56" s="143">
        <f>(ATANH(alpha*Tabella34[[#This Row],[Italy cumul. Fit]]/Kf-(1-alpha*Tabella34[[#This Row],[Italy cumul. Fit]]/Kf)*TANH(phi_f))+phi_f)/psi_f-(Tabella34[[#This Row],[Day]]-pf)</f>
        <v>20.844294912230211</v>
      </c>
      <c r="J56" s="143">
        <f>Tabella34[[#This Row],[Italy d.t.]]/Italy_dt_at_lockdown</f>
        <v>18.904460933078759</v>
      </c>
      <c r="K56" s="143">
        <f>Tabella34[[#This Row],[Italy cumul. Fit]]/Kf</f>
        <v>0</v>
      </c>
      <c r="L56" s="146">
        <f>Tabella34[[#This Row],[sel. region acc. fit]]+Tabella34[[#This Row],[rest of Italy acc. fit]]</f>
        <v>15.21826023985968</v>
      </c>
      <c r="M56" s="143">
        <f>Tabella34[[#This Row],[Italy (fit of selected region + fitted sum of the other regions)]]/(y_l_peak+y_a_peak)</f>
        <v>5.0734458572491243E-3</v>
      </c>
      <c r="N56" s="143">
        <f>Tabella3[[#This Row],[Italy remov. rate fit]]</f>
        <v>325.34354707915702</v>
      </c>
      <c r="O56" s="143" t="e">
        <f>Kt*EXP(-0.5*Tabella34[[#This Row],[x_t]]^2)/(psi_t*SQRTPI(2)*(Tabella34[[#This Row],[Day]]-D_bk))</f>
        <v>#NUM!</v>
      </c>
      <c r="P56" s="183" t="e">
        <f>Tabella34[[#This Row],[Italy velocity]]/Tabella34[[#This Row],[Italy cumul. Fit]]</f>
        <v>#DIV/0!</v>
      </c>
      <c r="Q56" s="244" t="e">
        <f>(LN(Tabella34[[#This Row],[Day]]-D_bk)-phi_t)/psi_t</f>
        <v>#NUM!</v>
      </c>
      <c r="R56" s="244">
        <f>EXP(phi_t+psi_t*Tabella34[[#This Row],[x_t_alpha©+plus]])-(Tabella34[[#This Row],[Day]]-D_bk)</f>
        <v>24.755309813632998</v>
      </c>
      <c r="S56" s="244">
        <f>EXP(phi_t+psi_t*Tabella34[[#This Row],[x_t_alpha©-minus]])-(Tabella34[[#This Row],[Day]]-D_bk)</f>
        <v>24.025088748738067</v>
      </c>
      <c r="T56" s="244">
        <f>-psi_t+SQRT(psi_t^2-2*Tabella34[[#This Row],[c_t]])</f>
        <v>4.1594434371377611</v>
      </c>
      <c r="U56" s="244">
        <f>-psi_t-SQRT(psi_t^2-2*Tabella34[[#This Row],[c_t]])</f>
        <v>-4.2088361715575653</v>
      </c>
      <c r="V56" s="244">
        <f>phi_t-LN(alpha*Kt/(Tabella34[[#This Row],[Italy velocity]]*psi_t*SQRTPI(2)))</f>
        <v>-8.7532079958865694</v>
      </c>
      <c r="W56" s="244" t="e">
        <f>Tabella34[[#This Row],[Italy g.r.]]/Italy_gr_at_lockdown</f>
        <v>#DIV/0!</v>
      </c>
      <c r="X56" s="244">
        <f>(ACOSH(SQRT(alpha*Kf*psi_f/(Tabella34[[#This Row],[Italy velocity]]*(1+TANH(phi_f)))))+phi_f)/psi_f-(Tabella34[[#This Row],[Day]]-pf)</f>
        <v>158.43287644143254</v>
      </c>
      <c r="Y56" s="244">
        <f>Tabella34[[#This Row],[Italy h.t.]]/Italy_ht_at_lockdown</f>
        <v>1.3704838540077913</v>
      </c>
      <c r="Z56" s="72">
        <f>-2*$BY$48*TANH($BY$48*(Tabella34[[#This Row],[Day]]-$BY$57)-$BY$47)*Tabella34[[#This Row],[Italy velocity]]</f>
        <v>15.173683327879315</v>
      </c>
      <c r="AA56" s="72">
        <f>Tabella34[[#This Row],[Italy acc. fit]]/Itali_acc_at_lockdown</f>
        <v>0.42022389859319553</v>
      </c>
      <c r="AB56" s="143">
        <f>Tabella34[[#This Row],[Italy acc. fit]]/y_f_peak</f>
        <v>5.0555250725980013E-3</v>
      </c>
      <c r="AC56" s="143">
        <f>Tabella34[[#This Row],[Italy (fit of selected region + fitted sum of the other regions)]]*NOT(ISBLANK(Tabella34[[#This Row],[Italy rate data]]))</f>
        <v>15.21826023985968</v>
      </c>
      <c r="AD56" s="143">
        <f>Tabella34[[#This Row],[Italy acc. fit]]*NOT(ISBLANK(Tabella34[[#This Row],[Italy rate data]]))</f>
        <v>15.173683327879315</v>
      </c>
      <c r="AE56" s="77">
        <f>Tabella34[[#This Row],[Italy acc. fit]]+CIf</f>
        <v>1730.7885426624307</v>
      </c>
      <c r="AF56" s="77">
        <f>MAX(Tabella34[[#This Row],[Italy acc. fit]]-CIf,0)</f>
        <v>0</v>
      </c>
      <c r="AG56" s="141"/>
      <c r="AH56" s="33"/>
      <c r="AI56" s="33"/>
      <c r="AJ56" s="142">
        <f>Tabella34[[#This Row],[selected region rate data]]*NOT(ISBLANK(Tabella34[[#This Row],[selected region rate data]]))</f>
        <v>0</v>
      </c>
      <c r="AK56" s="147">
        <f>Tabella8[[#This Row],[region fit]]</f>
        <v>0</v>
      </c>
      <c r="AL56" s="143">
        <f>(ATANH(alpha*Tabella34[[#This Row],[sel. region cumul. fit]]/Kl-(1-alpha*Tabella34[[#This Row],[sel. region cumul. fit]]/Kl)*TANH(phi_l))+phi_l)/psi_l-(Tabella34[[#This Row],[Day]]-pl)</f>
        <v>26.240334693239106</v>
      </c>
      <c r="AM56" s="142">
        <f>Tabella34[[#This Row],[sel. region cumul. fit]]/Kl</f>
        <v>0</v>
      </c>
      <c r="AN56" s="143">
        <f>Tabella3[[#This Row],[region fit]]</f>
        <v>10.768068487756093</v>
      </c>
      <c r="AO56" s="183" t="e">
        <f>Tabella34[[#This Row],[sel. region velocity]]/Tabella34[[#This Row],[sel. region cumul. fit]]</f>
        <v>#DIV/0!</v>
      </c>
      <c r="AP56" s="236" t="e">
        <f>(LN(Tabella34[[#This Row],[Day]]-pr)-phi_r)/psi_r</f>
        <v>#NUM!</v>
      </c>
      <c r="AQ56" s="244">
        <f>EXP(phi_r+psi_r*Tabella34[[#This Row],[x_r_alpha©+plus]])-(Tabella34[[#This Row],[Day]]-pr)</f>
        <v>30.004275908428355</v>
      </c>
      <c r="AR56" s="244">
        <f>EXP(phi_r+psi_r*Tabella34[[#This Row],[x_r_alpha©-minus]])-(Tabella34[[#This Row],[Day]]-pr)</f>
        <v>29.208695304776015</v>
      </c>
      <c r="AS56" s="244">
        <f>-psi_r+SQRT(psi_r^2-2*Tabella34[[#This Row],[c_r]])</f>
        <v>4.1814076829978646</v>
      </c>
      <c r="AT56" s="244">
        <f>-psi_r-SQRT(psi_r^2-2*Tabella34[[#This Row],[c_r]])</f>
        <v>-4.2378159214165265</v>
      </c>
      <c r="AU56" s="244">
        <f>phi_r-LN(alpha*Kr/(Tabella34[[#This Row],[sel. region velocity]]*psi_r*SQRTPI(2)))</f>
        <v>-8.8600180264708683</v>
      </c>
      <c r="AV56" s="244">
        <f>(ACOSH(SQRT(alpha*Kl*psi_l/(Tabella34[[#This Row],[sel. region velocity]]*(1+TANH(phi_l)))))+phi_l)/psi_l-(Tabella34[[#This Row],[Day]]-pl)</f>
        <v>150.75926466678754</v>
      </c>
      <c r="AW56" s="72">
        <f>-2*$BY$22*TANH($BY$22*(Tabella34[[#This Row],[Day]]-$BY$31)-$BY$21)*Tabella34[[#This Row],[sel. region velocity]]</f>
        <v>0.58319271703580589</v>
      </c>
      <c r="AX56" s="143">
        <f>Tabella34[[#This Row],[sel. region acc. fit]]/y_l_peak</f>
        <v>4.2321899603810836E-3</v>
      </c>
      <c r="AY56" s="143">
        <f>Tabella34[[#This Row],[sel. region acc. fit]]*NOT(ISBLANK(Tabella34[[#This Row],[selected region rate data]]))</f>
        <v>0</v>
      </c>
      <c r="AZ56" s="77">
        <f>Tabella34[[#This Row],[sel. region acc. fit]]+CIl</f>
        <v>54.348033126584262</v>
      </c>
      <c r="BA56" s="77">
        <f>MAX(Tabella34[[#This Row],[sel. region acc. fit]]-CIl,0)</f>
        <v>0</v>
      </c>
      <c r="BB56" s="141"/>
      <c r="BC56" s="33"/>
      <c r="BD56" s="33"/>
      <c r="BE56" s="142">
        <f>Tabella34[[#This Row],[rest of Italy rate data]]*NOT(ISBLANK(Tabella34[[#This Row],[rest of Italy rate data]]))</f>
        <v>0</v>
      </c>
      <c r="BF56" s="188">
        <f>Tabella8[[#This Row],[rest of Italy fit]]</f>
        <v>0</v>
      </c>
      <c r="BG56" s="78">
        <f>(ATANH(alpha*Tabella34[[#This Row],[rest of Italy cumul. fit]]/Ka-(1-alpha*Tabella34[[#This Row],[rest of Italy cumul. fit]]/Ka)*TANH(phi_a))+phi_a)/psi_a-(Tabella34[[#This Row],[Day]]-pa)</f>
        <v>20.695444456084331</v>
      </c>
      <c r="BH56" s="143">
        <f>Tabella34[[#This Row],[rest of Italy cumul. fit]]/Ka</f>
        <v>0</v>
      </c>
      <c r="BI56" s="143">
        <f>Tabella3[[#This Row],[rest of Italy fit]]</f>
        <v>316.52733295230428</v>
      </c>
      <c r="BJ56" s="183" t="e">
        <f>Tabella34[[#This Row],[rest of Italy velocity]]/Tabella34[[#This Row],[rest of Italy cumul. fit]]</f>
        <v>#DIV/0!</v>
      </c>
      <c r="BK56" s="236" t="e">
        <f>(LN(Tabella34[[#This Row],[Day]]-po)-phi_o)/psi_o</f>
        <v>#NUM!</v>
      </c>
      <c r="BL56" s="244">
        <f>EXP(phi_o+psi_o*Tabella34[[#This Row],[x_o_alpha©+plus]])-(Tabella34[[#This Row],[Day]]-po)</f>
        <v>24.590871557814843</v>
      </c>
      <c r="BM56" s="244">
        <f>EXP(phi_o+psi_o*Tabella34[[#This Row],[x_o_alpha©-minus]])-(Tabella34[[#This Row],[Day]]-po)</f>
        <v>23.868506844953661</v>
      </c>
      <c r="BN56" s="244">
        <f>-psi_o+SQRT(psi_o^2-2*Tabella34[[#This Row],[c_o]])</f>
        <v>4.1590137858964438</v>
      </c>
      <c r="BO56" s="244">
        <f>-psi_o-SQRT(psi_o^2-2*Tabella34[[#This Row],[c_o]])</f>
        <v>-4.2080408714660722</v>
      </c>
      <c r="BP56" s="244">
        <f>phi_o-LN(alpha*Ko/(Tabella34[[#This Row],[rest of Italy velocity]]*psi_o*SQRTPI(2)))</f>
        <v>-8.7506499980215384</v>
      </c>
      <c r="BQ56" s="244">
        <f>(ACOSH(SQRT(alpha*Ka*psi_a/(Tabella34[[#This Row],[rest of Italy velocity]]*(1+TANH(phi_a)))))+phi_a)/psi_a-(Tabella34[[#This Row],[Day]]-pa)</f>
        <v>158.75575015111286</v>
      </c>
      <c r="BR56" s="72">
        <f>-2*$BY$35*TANH($BY$35*(Tabella34[[#This Row],[Day]]-$BY$44)-$BY$34)*Tabella34[[#This Row],[rest of Italy velocity]]</f>
        <v>14.635067522823874</v>
      </c>
      <c r="BS56" s="143">
        <f>Tabella34[[#This Row],[rest of Italy acc. fit]]/y_a_peak</f>
        <v>5.1139535125790626E-3</v>
      </c>
      <c r="BT56" s="142">
        <f>Tabella34[[#This Row],[rest of Italy acc. fit]]*NOT(ISBLANK(Tabella34[[#This Row],[rest of Italy rate data]]))</f>
        <v>0</v>
      </c>
      <c r="BU56" s="77">
        <f>Tabella34[[#This Row],[rest of Italy acc. fit]]+CIa</f>
        <v>1709.2092624324066</v>
      </c>
      <c r="BV56" s="77">
        <f>MAX(Tabella34[[#This Row],[rest of Italy acc. fit]]-CIa,0)</f>
        <v>0</v>
      </c>
      <c r="BX56" s="231" t="s">
        <v>128</v>
      </c>
      <c r="BY56" s="233">
        <f>_xlfn.XLOOKUP(ROUND(EXP(phi_f-psi_f^2),0),Tabella34[Day],Tabella34[Date])</f>
        <v>43834</v>
      </c>
    </row>
    <row r="57" spans="2:79" x14ac:dyDescent="0.3">
      <c r="B57" s="262">
        <v>43880</v>
      </c>
      <c r="C57" s="4">
        <v>50</v>
      </c>
      <c r="D57" s="10">
        <f>Tabella8[[#This Row],[Italy cumulative]]</f>
        <v>0</v>
      </c>
      <c r="E57" s="72">
        <f>(Tabella34[[#This Row],[Italy cumul. data]]-D56)</f>
        <v>0</v>
      </c>
      <c r="F57" s="72">
        <f>Tabella34[[#This Row],[Italy rate data]]-E56</f>
        <v>0</v>
      </c>
      <c r="G57" s="142">
        <f>Tabella34[[#This Row],[Italy rate data]]*NOT(ISBLANK(Tabella34[[#This Row],[Italy rate data]]))</f>
        <v>0</v>
      </c>
      <c r="H57" s="143">
        <f>Tabella8[[#This Row],[Italy fit]]</f>
        <v>0</v>
      </c>
      <c r="I57" s="143">
        <f>(ATANH(alpha*Tabella34[[#This Row],[Italy cumul. Fit]]/Kf-(1-alpha*Tabella34[[#This Row],[Italy cumul. Fit]]/Kf)*TANH(phi_f))+phi_f)/psi_f-(Tabella34[[#This Row],[Day]]-pf)</f>
        <v>19.844294912230211</v>
      </c>
      <c r="J57" s="143">
        <f>Tabella34[[#This Row],[Italy d.t.]]/Italy_dt_at_lockdown</f>
        <v>17.997523998407644</v>
      </c>
      <c r="K57" s="143">
        <f>Tabella34[[#This Row],[Italy cumul. Fit]]/Kf</f>
        <v>0</v>
      </c>
      <c r="L57" s="146">
        <f>Tabella34[[#This Row],[sel. region acc. fit]]+Tabella34[[#This Row],[rest of Italy acc. fit]]</f>
        <v>15.895653541620733</v>
      </c>
      <c r="M57" s="143">
        <f>Tabella34[[#This Row],[Italy (fit of selected region + fitted sum of the other regions)]]/(y_l_peak+y_a_peak)</f>
        <v>5.2992744464821087E-3</v>
      </c>
      <c r="N57" s="143">
        <f>Tabella3[[#This Row],[Italy remov. rate fit]]</f>
        <v>340.85374880940071</v>
      </c>
      <c r="O57" s="143" t="e">
        <f>Kt*EXP(-0.5*Tabella34[[#This Row],[x_t]]^2)/(psi_t*SQRTPI(2)*(Tabella34[[#This Row],[Day]]-D_bk))</f>
        <v>#NUM!</v>
      </c>
      <c r="P57" s="183" t="e">
        <f>Tabella34[[#This Row],[Italy velocity]]/Tabella34[[#This Row],[Italy cumul. Fit]]</f>
        <v>#DIV/0!</v>
      </c>
      <c r="Q57" s="244" t="e">
        <f>(LN(Tabella34[[#This Row],[Day]]-D_bk)-phi_t)/psi_t</f>
        <v>#NUM!</v>
      </c>
      <c r="R57" s="244">
        <f>EXP(phi_t+psi_t*Tabella34[[#This Row],[x_t_alpha©+plus]])-(Tabella34[[#This Row],[Day]]-D_bk)</f>
        <v>23.754233451382483</v>
      </c>
      <c r="S57" s="244">
        <f>EXP(phi_t+psi_t*Tabella34[[#This Row],[x_t_alpha©-minus]])-(Tabella34[[#This Row],[Day]]-D_bk)</f>
        <v>23.02596438562545</v>
      </c>
      <c r="T57" s="244">
        <f>-psi_t+SQRT(psi_t^2-2*Tabella34[[#This Row],[c_t]])</f>
        <v>4.1482980365638857</v>
      </c>
      <c r="U57" s="244">
        <f>-psi_t-SQRT(psi_t^2-2*Tabella34[[#This Row],[c_t]])</f>
        <v>-4.1976907709836899</v>
      </c>
      <c r="V57" s="244">
        <f>phi_t-LN(alpha*Kt/(Tabella34[[#This Row],[Italy velocity]]*psi_t*SQRTPI(2)))</f>
        <v>-8.7066361916869912</v>
      </c>
      <c r="W57" s="244" t="e">
        <f>Tabella34[[#This Row],[Italy g.r.]]/Italy_gr_at_lockdown</f>
        <v>#DIV/0!</v>
      </c>
      <c r="X57" s="244">
        <f>(ACOSH(SQRT(alpha*Kf*psi_f/(Tabella34[[#This Row],[Italy velocity]]*(1+TANH(phi_f)))))+phi_f)/psi_f-(Tabella34[[#This Row],[Day]]-pf)</f>
        <v>156.46269132206675</v>
      </c>
      <c r="Y57" s="244">
        <f>Tabella34[[#This Row],[Italy h.t.]]/Italy_ht_at_lockdown</f>
        <v>1.3534412618631275</v>
      </c>
      <c r="Z57" s="72">
        <f>-2*$BY$48*TANH($BY$48*(Tabella34[[#This Row],[Day]]-$BY$57)-$BY$47)*Tabella34[[#This Row],[Italy velocity]]</f>
        <v>15.85092706750895</v>
      </c>
      <c r="AA57" s="72">
        <f>Tabella34[[#This Row],[Italy acc. fit]]/Itali_acc_at_lockdown</f>
        <v>0.43897966134475513</v>
      </c>
      <c r="AB57" s="143">
        <f>Tabella34[[#This Row],[Italy acc. fit]]/y_f_peak</f>
        <v>5.2811672342257523E-3</v>
      </c>
      <c r="AC57" s="143">
        <f>Tabella34[[#This Row],[Italy (fit of selected region + fitted sum of the other regions)]]*NOT(ISBLANK(Tabella34[[#This Row],[Italy rate data]]))</f>
        <v>15.895653541620733</v>
      </c>
      <c r="AD57" s="143">
        <f>Tabella34[[#This Row],[Italy acc. fit]]*NOT(ISBLANK(Tabella34[[#This Row],[Italy rate data]]))</f>
        <v>15.85092706750895</v>
      </c>
      <c r="AE57" s="77">
        <f>Tabella34[[#This Row],[Italy acc. fit]]+CIf</f>
        <v>1731.4657864020603</v>
      </c>
      <c r="AF57" s="77">
        <f>MAX(Tabella34[[#This Row],[Italy acc. fit]]-CIf,0)</f>
        <v>0</v>
      </c>
      <c r="AG57" s="141"/>
      <c r="AH57" s="33"/>
      <c r="AI57" s="33"/>
      <c r="AJ57" s="142">
        <f>Tabella34[[#This Row],[selected region rate data]]*NOT(ISBLANK(Tabella34[[#This Row],[selected region rate data]]))</f>
        <v>0</v>
      </c>
      <c r="AK57" s="147">
        <f>Tabella8[[#This Row],[region fit]]</f>
        <v>0</v>
      </c>
      <c r="AL57" s="143">
        <f>(ATANH(alpha*Tabella34[[#This Row],[sel. region cumul. fit]]/Kl-(1-alpha*Tabella34[[#This Row],[sel. region cumul. fit]]/Kl)*TANH(phi_l))+phi_l)/psi_l-(Tabella34[[#This Row],[Day]]-pl)</f>
        <v>25.240334693239106</v>
      </c>
      <c r="AM57" s="142">
        <f>Tabella34[[#This Row],[sel. region cumul. fit]]/Kl</f>
        <v>0</v>
      </c>
      <c r="AN57" s="143">
        <f>Tabella3[[#This Row],[region fit]]</f>
        <v>11.366623412400575</v>
      </c>
      <c r="AO57" s="183" t="e">
        <f>Tabella34[[#This Row],[sel. region velocity]]/Tabella34[[#This Row],[sel. region cumul. fit]]</f>
        <v>#DIV/0!</v>
      </c>
      <c r="AP57" s="236" t="e">
        <f>(LN(Tabella34[[#This Row],[Day]]-pr)-phi_r)/psi_r</f>
        <v>#NUM!</v>
      </c>
      <c r="AQ57" s="244">
        <f>EXP(phi_r+psi_r*Tabella34[[#This Row],[x_r_alpha©+plus]])-(Tabella34[[#This Row],[Day]]-pr)</f>
        <v>29.002909862427934</v>
      </c>
      <c r="AR57" s="244">
        <f>EXP(phi_r+psi_r*Tabella34[[#This Row],[x_r_alpha©-minus]])-(Tabella34[[#This Row],[Day]]-pr)</f>
        <v>28.209773002086731</v>
      </c>
      <c r="AS57" s="244">
        <f>-psi_r+SQRT(psi_r^2-2*Tabella34[[#This Row],[c_r]])</f>
        <v>4.1685373799954935</v>
      </c>
      <c r="AT57" s="244">
        <f>-psi_r-SQRT(psi_r^2-2*Tabella34[[#This Row],[c_r]])</f>
        <v>-4.2249456184141554</v>
      </c>
      <c r="AU57" s="244">
        <f>phi_r-LN(alpha*Kr/(Tabella34[[#This Row],[sel. region velocity]]*psi_r*SQRTPI(2)))</f>
        <v>-8.8059218694037895</v>
      </c>
      <c r="AV57" s="244">
        <f>(ACOSH(SQRT(alpha*Kl*psi_l/(Tabella34[[#This Row],[sel. region velocity]]*(1+TANH(phi_l)))))+phi_l)/psi_l-(Tabella34[[#This Row],[Day]]-pl)</f>
        <v>148.78040205341466</v>
      </c>
      <c r="AW57" s="72">
        <f>-2*$BY$22*TANH($BY$22*(Tabella34[[#This Row],[Day]]-$BY$31)-$BY$21)*Tabella34[[#This Row],[sel. region velocity]]</f>
        <v>0.61415807447843873</v>
      </c>
      <c r="AX57" s="143">
        <f>Tabella34[[#This Row],[sel. region acc. fit]]/y_l_peak</f>
        <v>4.4569034574124195E-3</v>
      </c>
      <c r="AY57" s="143">
        <f>Tabella34[[#This Row],[sel. region acc. fit]]*NOT(ISBLANK(Tabella34[[#This Row],[selected region rate data]]))</f>
        <v>0</v>
      </c>
      <c r="AZ57" s="77">
        <f>Tabella34[[#This Row],[sel. region acc. fit]]+CIl</f>
        <v>54.378998484026894</v>
      </c>
      <c r="BA57" s="77">
        <f>MAX(Tabella34[[#This Row],[sel. region acc. fit]]-CIl,0)</f>
        <v>0</v>
      </c>
      <c r="BB57" s="141"/>
      <c r="BC57" s="33"/>
      <c r="BD57" s="33"/>
      <c r="BE57" s="142">
        <f>Tabella34[[#This Row],[rest of Italy rate data]]*NOT(ISBLANK(Tabella34[[#This Row],[rest of Italy rate data]]))</f>
        <v>0</v>
      </c>
      <c r="BF57" s="188">
        <f>Tabella8[[#This Row],[rest of Italy fit]]</f>
        <v>0</v>
      </c>
      <c r="BG57" s="78">
        <f>(ATANH(alpha*Tabella34[[#This Row],[rest of Italy cumul. fit]]/Ka-(1-alpha*Tabella34[[#This Row],[rest of Italy cumul. fit]]/Ka)*TANH(phi_a))+phi_a)/psi_a-(Tabella34[[#This Row],[Day]]-pa)</f>
        <v>19.695444456084331</v>
      </c>
      <c r="BH57" s="143">
        <f>Tabella34[[#This Row],[rest of Italy cumul. fit]]/Ka</f>
        <v>0</v>
      </c>
      <c r="BI57" s="143">
        <f>Tabella3[[#This Row],[rest of Italy fit]]</f>
        <v>331.48363612035143</v>
      </c>
      <c r="BJ57" s="183" t="e">
        <f>Tabella34[[#This Row],[rest of Italy velocity]]/Tabella34[[#This Row],[rest of Italy cumul. fit]]</f>
        <v>#DIV/0!</v>
      </c>
      <c r="BK57" s="236" t="e">
        <f>(LN(Tabella34[[#This Row],[Day]]-po)-phi_o)/psi_o</f>
        <v>#NUM!</v>
      </c>
      <c r="BL57" s="244">
        <f>EXP(phi_o+psi_o*Tabella34[[#This Row],[x_o_alpha©+plus]])-(Tabella34[[#This Row],[Day]]-po)</f>
        <v>23.589816484300982</v>
      </c>
      <c r="BM57" s="244">
        <f>EXP(phi_o+psi_o*Tabella34[[#This Row],[x_o_alpha©-minus]])-(Tabella34[[#This Row],[Day]]-po)</f>
        <v>22.869366499362656</v>
      </c>
      <c r="BN57" s="244">
        <f>-psi_o+SQRT(psi_o^2-2*Tabella34[[#This Row],[c_o]])</f>
        <v>4.147963325343861</v>
      </c>
      <c r="BO57" s="244">
        <f>-psi_o-SQRT(psi_o^2-2*Tabella34[[#This Row],[c_o]])</f>
        <v>-4.1969904109134895</v>
      </c>
      <c r="BP57" s="244">
        <f>phi_o-LN(alpha*Ko/(Tabella34[[#This Row],[rest of Italy velocity]]*psi_o*SQRTPI(2)))</f>
        <v>-8.7044811506445079</v>
      </c>
      <c r="BQ57" s="244">
        <f>(ACOSH(SQRT(alpha*Ka*psi_a/(Tabella34[[#This Row],[rest of Italy velocity]]*(1+TANH(phi_a)))))+phi_a)/psi_a-(Tabella34[[#This Row],[Day]]-pa)</f>
        <v>156.78621212157753</v>
      </c>
      <c r="BR57" s="72">
        <f>-2*$BY$35*TANH($BY$35*(Tabella34[[#This Row],[Day]]-$BY$44)-$BY$34)*Tabella34[[#This Row],[rest of Italy velocity]]</f>
        <v>15.281495467142294</v>
      </c>
      <c r="BS57" s="143">
        <f>Tabella34[[#This Row],[rest of Italy acc. fit]]/y_a_peak</f>
        <v>5.3398357950708202E-3</v>
      </c>
      <c r="BT57" s="142">
        <f>Tabella34[[#This Row],[rest of Italy acc. fit]]*NOT(ISBLANK(Tabella34[[#This Row],[rest of Italy rate data]]))</f>
        <v>0</v>
      </c>
      <c r="BU57" s="77">
        <f>Tabella34[[#This Row],[rest of Italy acc. fit]]+CIa</f>
        <v>1709.8556903767251</v>
      </c>
      <c r="BV57" s="77">
        <f>MAX(Tabella34[[#This Row],[rest of Italy acc. fit]]-CIa,0)</f>
        <v>0</v>
      </c>
      <c r="BX57" s="227" t="s">
        <v>4346</v>
      </c>
      <c r="BY57" s="228">
        <f>pf</f>
        <v>69.844294912230211</v>
      </c>
    </row>
    <row r="58" spans="2:79" x14ac:dyDescent="0.3">
      <c r="B58" s="262">
        <v>43881</v>
      </c>
      <c r="C58" s="4">
        <v>51</v>
      </c>
      <c r="D58" s="10">
        <f>Tabella8[[#This Row],[Italy cumulative]]</f>
        <v>0</v>
      </c>
      <c r="E58" s="72">
        <f>(Tabella34[[#This Row],[Italy cumul. data]]-D57)</f>
        <v>0</v>
      </c>
      <c r="F58" s="72">
        <f>Tabella34[[#This Row],[Italy rate data]]-E57</f>
        <v>0</v>
      </c>
      <c r="G58" s="142">
        <f>Tabella34[[#This Row],[Italy rate data]]*NOT(ISBLANK(Tabella34[[#This Row],[Italy rate data]]))</f>
        <v>0</v>
      </c>
      <c r="H58" s="143">
        <f>Tabella8[[#This Row],[Italy fit]]</f>
        <v>0</v>
      </c>
      <c r="I58" s="143">
        <f>(ATANH(alpha*Tabella34[[#This Row],[Italy cumul. Fit]]/Kf-(1-alpha*Tabella34[[#This Row],[Italy cumul. Fit]]/Kf)*TANH(phi_f))+phi_f)/psi_f-(Tabella34[[#This Row],[Day]]-pf)</f>
        <v>18.844294912230211</v>
      </c>
      <c r="J58" s="143">
        <f>Tabella34[[#This Row],[Italy d.t.]]/Italy_dt_at_lockdown</f>
        <v>17.090587063736532</v>
      </c>
      <c r="K58" s="143">
        <f>Tabella34[[#This Row],[Italy cumul. Fit]]/Kf</f>
        <v>0</v>
      </c>
      <c r="L58" s="146">
        <f>Tabella34[[#This Row],[sel. region acc. fit]]+Tabella34[[#This Row],[rest of Italy acc. fit]]</f>
        <v>16.598481737794131</v>
      </c>
      <c r="M58" s="143">
        <f>Tabella34[[#This Row],[Italy (fit of selected region + fitted sum of the other regions)]]/(y_l_peak+y_a_peak)</f>
        <v>5.5335824911621669E-3</v>
      </c>
      <c r="N58" s="143">
        <f>Tabella3[[#This Row],[Italy remov. rate fit]]</f>
        <v>357.0538991472967</v>
      </c>
      <c r="O58" s="143" t="e">
        <f>Kt*EXP(-0.5*Tabella34[[#This Row],[x_t]]^2)/(psi_t*SQRTPI(2)*(Tabella34[[#This Row],[Day]]-D_bk))</f>
        <v>#NUM!</v>
      </c>
      <c r="P58" s="183" t="e">
        <f>Tabella34[[#This Row],[Italy velocity]]/Tabella34[[#This Row],[Italy cumul. Fit]]</f>
        <v>#DIV/0!</v>
      </c>
      <c r="Q58" s="244" t="e">
        <f>(LN(Tabella34[[#This Row],[Day]]-D_bk)-phi_t)/psi_t</f>
        <v>#NUM!</v>
      </c>
      <c r="R58" s="244">
        <f>EXP(phi_t+psi_t*Tabella34[[#This Row],[x_t_alpha©+plus]])-(Tabella34[[#This Row],[Day]]-D_bk)</f>
        <v>22.7531577177941</v>
      </c>
      <c r="S58" s="244">
        <f>EXP(phi_t+psi_t*Tabella34[[#This Row],[x_t_alpha©-minus]])-(Tabella34[[#This Row],[Day]]-D_bk)</f>
        <v>22.026839992903046</v>
      </c>
      <c r="T58" s="244">
        <f>-psi_t+SQRT(psi_t^2-2*Tabella34[[#This Row],[c_t]])</f>
        <v>4.1371560796552469</v>
      </c>
      <c r="U58" s="244">
        <f>-psi_t-SQRT(psi_t^2-2*Tabella34[[#This Row],[c_t]])</f>
        <v>-4.1865488140750511</v>
      </c>
      <c r="V58" s="244">
        <f>phi_t-LN(alpha*Kt/(Tabella34[[#This Row],[Italy velocity]]*psi_t*SQRTPI(2)))</f>
        <v>-8.6602029394620317</v>
      </c>
      <c r="W58" s="244" t="e">
        <f>Tabella34[[#This Row],[Italy g.r.]]/Italy_gr_at_lockdown</f>
        <v>#DIV/0!</v>
      </c>
      <c r="X58" s="244">
        <f>(ACOSH(SQRT(alpha*Kf*psi_f/(Tabella34[[#This Row],[Italy velocity]]*(1+TANH(phi_f)))))+phi_f)/psi_f-(Tabella34[[#This Row],[Day]]-pf)</f>
        <v>154.49403737333137</v>
      </c>
      <c r="Y58" s="244">
        <f>Tabella34[[#This Row],[Italy h.t.]]/Italy_ht_at_lockdown</f>
        <v>1.3364119147259006</v>
      </c>
      <c r="Z58" s="72">
        <f>-2*$BY$48*TANH($BY$48*(Tabella34[[#This Row],[Day]]-$BY$57)-$BY$47)*Tabella34[[#This Row],[Italy velocity]]</f>
        <v>16.553663305881063</v>
      </c>
      <c r="AA58" s="72">
        <f>Tabella34[[#This Row],[Italy acc. fit]]/Itali_acc_at_lockdown</f>
        <v>0.45844141992969056</v>
      </c>
      <c r="AB58" s="143">
        <f>Tabella34[[#This Row],[Italy acc. fit]]/y_f_peak</f>
        <v>5.5153029147816971E-3</v>
      </c>
      <c r="AC58" s="143">
        <f>Tabella34[[#This Row],[Italy (fit of selected region + fitted sum of the other regions)]]*NOT(ISBLANK(Tabella34[[#This Row],[Italy rate data]]))</f>
        <v>16.598481737794131</v>
      </c>
      <c r="AD58" s="143">
        <f>Tabella34[[#This Row],[Italy acc. fit]]*NOT(ISBLANK(Tabella34[[#This Row],[Italy rate data]]))</f>
        <v>16.553663305881063</v>
      </c>
      <c r="AE58" s="77">
        <f>Tabella34[[#This Row],[Italy acc. fit]]+CIf</f>
        <v>1732.1685226404325</v>
      </c>
      <c r="AF58" s="77">
        <f>MAX(Tabella34[[#This Row],[Italy acc. fit]]-CIf,0)</f>
        <v>0</v>
      </c>
      <c r="AG58" s="141"/>
      <c r="AH58" s="33"/>
      <c r="AI58" s="33"/>
      <c r="AJ58" s="142">
        <f>Tabella34[[#This Row],[selected region rate data]]*NOT(ISBLANK(Tabella34[[#This Row],[selected region rate data]]))</f>
        <v>0</v>
      </c>
      <c r="AK58" s="147">
        <f>Tabella8[[#This Row],[region fit]]</f>
        <v>0</v>
      </c>
      <c r="AL58" s="143">
        <f>(ATANH(alpha*Tabella34[[#This Row],[sel. region cumul. fit]]/Kl-(1-alpha*Tabella34[[#This Row],[sel. region cumul. fit]]/Kl)*TANH(phi_l))+phi_l)/psi_l-(Tabella34[[#This Row],[Day]]-pl)</f>
        <v>24.240334693239106</v>
      </c>
      <c r="AM58" s="142">
        <f>Tabella34[[#This Row],[sel. region cumul. fit]]/Kl</f>
        <v>0</v>
      </c>
      <c r="AN58" s="143">
        <f>Tabella3[[#This Row],[region fit]]</f>
        <v>11.996874827981992</v>
      </c>
      <c r="AO58" s="183" t="e">
        <f>Tabella34[[#This Row],[sel. region velocity]]/Tabella34[[#This Row],[sel. region cumul. fit]]</f>
        <v>#DIV/0!</v>
      </c>
      <c r="AP58" s="236" t="e">
        <f>(LN(Tabella34[[#This Row],[Day]]-pr)-phi_r)/psi_r</f>
        <v>#NUM!</v>
      </c>
      <c r="AQ58" s="244">
        <f>EXP(phi_r+psi_r*Tabella34[[#This Row],[x_r_alpha©+plus]])-(Tabella34[[#This Row],[Day]]-pr)</f>
        <v>28.001543440447218</v>
      </c>
      <c r="AR58" s="244">
        <f>EXP(phi_r+psi_r*Tabella34[[#This Row],[x_r_alpha©-minus]])-(Tabella34[[#This Row],[Day]]-pr)</f>
        <v>27.210851779163011</v>
      </c>
      <c r="AS58" s="244">
        <f>-psi_r+SQRT(psi_r^2-2*Tabella34[[#This Row],[c_r]])</f>
        <v>4.1556588591777448</v>
      </c>
      <c r="AT58" s="244">
        <f>-psi_r-SQRT(psi_r^2-2*Tabella34[[#This Row],[c_r]])</f>
        <v>-4.2120670975964067</v>
      </c>
      <c r="AU58" s="244">
        <f>phi_r-LN(alpha*Kr/(Tabella34[[#This Row],[sel. region velocity]]*psi_r*SQRTPI(2)))</f>
        <v>-8.7519569747887989</v>
      </c>
      <c r="AV58" s="244">
        <f>(ACOSH(SQRT(alpha*Kl*psi_l/(Tabella34[[#This Row],[sel. region velocity]]*(1+TANH(phi_l)))))+phi_l)/psi_l-(Tabella34[[#This Row],[Day]]-pl)</f>
        <v>146.80277888235835</v>
      </c>
      <c r="AW58" s="72">
        <f>-2*$BY$22*TANH($BY$22*(Tabella34[[#This Row],[Day]]-$BY$31)-$BY$21)*Tabella34[[#This Row],[sel. region velocity]]</f>
        <v>0.64659398820407143</v>
      </c>
      <c r="AX58" s="143">
        <f>Tabella34[[#This Row],[sel. region acc. fit]]/y_l_peak</f>
        <v>4.6922886815680591E-3</v>
      </c>
      <c r="AY58" s="143">
        <f>Tabella34[[#This Row],[sel. region acc. fit]]*NOT(ISBLANK(Tabella34[[#This Row],[selected region rate data]]))</f>
        <v>0</v>
      </c>
      <c r="AZ58" s="77">
        <f>Tabella34[[#This Row],[sel. region acc. fit]]+CIl</f>
        <v>54.411434397752529</v>
      </c>
      <c r="BA58" s="77">
        <f>MAX(Tabella34[[#This Row],[sel. region acc. fit]]-CIl,0)</f>
        <v>0</v>
      </c>
      <c r="BB58" s="141"/>
      <c r="BC58" s="33"/>
      <c r="BD58" s="33"/>
      <c r="BE58" s="142">
        <f>Tabella34[[#This Row],[rest of Italy rate data]]*NOT(ISBLANK(Tabella34[[#This Row],[rest of Italy rate data]]))</f>
        <v>0</v>
      </c>
      <c r="BF58" s="188">
        <f>Tabella8[[#This Row],[rest of Italy fit]]</f>
        <v>0</v>
      </c>
      <c r="BG58" s="78">
        <f>(ATANH(alpha*Tabella34[[#This Row],[rest of Italy cumul. fit]]/Ka-(1-alpha*Tabella34[[#This Row],[rest of Italy cumul. fit]]/Ka)*TANH(phi_a))+phi_a)/psi_a-(Tabella34[[#This Row],[Day]]-pa)</f>
        <v>18.695444456084331</v>
      </c>
      <c r="BH58" s="143">
        <f>Tabella34[[#This Row],[rest of Italy cumul. fit]]/Ka</f>
        <v>0</v>
      </c>
      <c r="BI58" s="143">
        <f>Tabella3[[#This Row],[rest of Italy fit]]</f>
        <v>347.0983124268933</v>
      </c>
      <c r="BJ58" s="183" t="e">
        <f>Tabella34[[#This Row],[rest of Italy velocity]]/Tabella34[[#This Row],[rest of Italy cumul. fit]]</f>
        <v>#DIV/0!</v>
      </c>
      <c r="BK58" s="236" t="e">
        <f>(LN(Tabella34[[#This Row],[Day]]-po)-phi_o)/psi_o</f>
        <v>#NUM!</v>
      </c>
      <c r="BL58" s="244">
        <f>EXP(phi_o+psi_o*Tabella34[[#This Row],[x_o_alpha©+plus]])-(Tabella34[[#This Row],[Day]]-po)</f>
        <v>22.58876208916427</v>
      </c>
      <c r="BM58" s="244">
        <f>EXP(phi_o+psi_o*Tabella34[[#This Row],[x_o_alpha©-minus]])-(Tabella34[[#This Row],[Day]]-po)</f>
        <v>21.870226066519034</v>
      </c>
      <c r="BN58" s="244">
        <f>-psi_o+SQRT(psi_o^2-2*Tabella34[[#This Row],[c_o]])</f>
        <v>4.1369169785315725</v>
      </c>
      <c r="BO58" s="244">
        <f>-psi_o-SQRT(psi_o^2-2*Tabella34[[#This Row],[c_o]])</f>
        <v>-4.1859440641012009</v>
      </c>
      <c r="BP58" s="244">
        <f>phi_o-LN(alpha*Ko/(Tabella34[[#This Row],[rest of Italy velocity]]*psi_o*SQRTPI(2)))</f>
        <v>-8.6584515349818538</v>
      </c>
      <c r="BQ58" s="244">
        <f>(ACOSH(SQRT(alpha*Ka*psi_a/(Tabella34[[#This Row],[rest of Italy velocity]]*(1+TANH(phi_a)))))+phi_a)/psi_a-(Tabella34[[#This Row],[Day]]-pa)</f>
        <v>154.81822704805796</v>
      </c>
      <c r="BR58" s="72">
        <f>-2*$BY$35*TANH($BY$35*(Tabella34[[#This Row],[Day]]-$BY$44)-$BY$34)*Tabella34[[#This Row],[rest of Italy velocity]]</f>
        <v>15.95188774959006</v>
      </c>
      <c r="BS58" s="143">
        <f>Tabella34[[#This Row],[rest of Italy acc. fit]]/y_a_peak</f>
        <v>5.57409197204322E-3</v>
      </c>
      <c r="BT58" s="142">
        <f>Tabella34[[#This Row],[rest of Italy acc. fit]]*NOT(ISBLANK(Tabella34[[#This Row],[rest of Italy rate data]]))</f>
        <v>0</v>
      </c>
      <c r="BU58" s="77">
        <f>Tabella34[[#This Row],[rest of Italy acc. fit]]+CIa</f>
        <v>1710.5260826591727</v>
      </c>
      <c r="BV58" s="77">
        <f>MAX(Tabella34[[#This Row],[rest of Italy acc. fit]]-CIa,0)</f>
        <v>0</v>
      </c>
      <c r="BX58" s="234"/>
      <c r="BY58" s="234"/>
    </row>
    <row r="59" spans="2:79" x14ac:dyDescent="0.3">
      <c r="B59" s="262">
        <v>43882</v>
      </c>
      <c r="C59" s="4">
        <v>52</v>
      </c>
      <c r="D59" s="10">
        <f>Tabella8[[#This Row],[Italy cumulative]]</f>
        <v>0</v>
      </c>
      <c r="E59" s="72">
        <f>(Tabella34[[#This Row],[Italy cumul. data]]-D58)</f>
        <v>0</v>
      </c>
      <c r="F59" s="72">
        <f>Tabella34[[#This Row],[Italy rate data]]-E58</f>
        <v>0</v>
      </c>
      <c r="G59" s="142">
        <f>Tabella34[[#This Row],[Italy rate data]]*NOT(ISBLANK(Tabella34[[#This Row],[Italy rate data]]))</f>
        <v>0</v>
      </c>
      <c r="H59" s="143">
        <f>Tabella8[[#This Row],[Italy fit]]</f>
        <v>0</v>
      </c>
      <c r="I59" s="143">
        <f>(ATANH(alpha*Tabella34[[#This Row],[Italy cumul. Fit]]/Kf-(1-alpha*Tabella34[[#This Row],[Italy cumul. Fit]]/Kf)*TANH(phi_f))+phi_f)/psi_f-(Tabella34[[#This Row],[Day]]-pf)</f>
        <v>17.844294912230211</v>
      </c>
      <c r="J59" s="143">
        <f>Tabella34[[#This Row],[Italy d.t.]]/Italy_dt_at_lockdown</f>
        <v>16.183650129065416</v>
      </c>
      <c r="K59" s="143">
        <f>Tabella34[[#This Row],[Italy cumul. Fit]]/Kf</f>
        <v>0</v>
      </c>
      <c r="L59" s="146">
        <f>Tabella34[[#This Row],[sel. region acc. fit]]+Tabella34[[#This Row],[rest of Italy acc. fit]]</f>
        <v>17.32721751048506</v>
      </c>
      <c r="M59" s="143">
        <f>Tabella34[[#This Row],[Italy (fit of selected region + fitted sum of the other regions)]]/(y_l_peak+y_a_peak)</f>
        <v>5.7765275734984727E-3</v>
      </c>
      <c r="N59" s="143">
        <f>Tabella3[[#This Row],[Italy remov. rate fit]]</f>
        <v>373.969732036788</v>
      </c>
      <c r="O59" s="143" t="e">
        <f>Kt*EXP(-0.5*Tabella34[[#This Row],[x_t]]^2)/(psi_t*SQRTPI(2)*(Tabella34[[#This Row],[Day]]-D_bk))</f>
        <v>#NUM!</v>
      </c>
      <c r="P59" s="183" t="e">
        <f>Tabella34[[#This Row],[Italy velocity]]/Tabella34[[#This Row],[Italy cumul. Fit]]</f>
        <v>#DIV/0!</v>
      </c>
      <c r="Q59" s="244" t="e">
        <f>(LN(Tabella34[[#This Row],[Day]]-D_bk)-phi_t)/psi_t</f>
        <v>#NUM!</v>
      </c>
      <c r="R59" s="244">
        <f>EXP(phi_t+psi_t*Tabella34[[#This Row],[x_t_alpha©+plus]])-(Tabella34[[#This Row],[Day]]-D_bk)</f>
        <v>21.752082768293192</v>
      </c>
      <c r="S59" s="244">
        <f>EXP(phi_t+psi_t*Tabella34[[#This Row],[x_t_alpha©-minus]])-(Tabella34[[#This Row],[Day]]-D_bk)</f>
        <v>21.027715443508882</v>
      </c>
      <c r="T59" s="244">
        <f>-psi_t+SQRT(psi_t^2-2*Tabella34[[#This Row],[c_t]])</f>
        <v>4.1260191805889068</v>
      </c>
      <c r="U59" s="244">
        <f>-psi_t-SQRT(psi_t^2-2*Tabella34[[#This Row],[c_t]])</f>
        <v>-4.175411915008711</v>
      </c>
      <c r="V59" s="244">
        <f>phi_t-LN(alpha*Kt/(Tabella34[[#This Row],[Italy velocity]]*psi_t*SQRTPI(2)))</f>
        <v>-8.6139148240926993</v>
      </c>
      <c r="W59" s="244" t="e">
        <f>Tabella34[[#This Row],[Italy g.r.]]/Italy_gr_at_lockdown</f>
        <v>#DIV/0!</v>
      </c>
      <c r="X59" s="244">
        <f>(ACOSH(SQRT(alpha*Kf*psi_f/(Tabella34[[#This Row],[Italy velocity]]*(1+TANH(phi_f)))))+phi_f)/psi_f-(Tabella34[[#This Row],[Day]]-pf)</f>
        <v>152.52699427855441</v>
      </c>
      <c r="Y59" s="244">
        <f>Tabella34[[#This Row],[Italy h.t.]]/Italy_ht_at_lockdown</f>
        <v>1.3193965018767508</v>
      </c>
      <c r="Z59" s="72">
        <f>-2*$BY$48*TANH($BY$48*(Tabella34[[#This Row],[Day]]-$BY$57)-$BY$47)*Tabella34[[#This Row],[Italy velocity]]</f>
        <v>17.2823678596855</v>
      </c>
      <c r="AA59" s="72">
        <f>Tabella34[[#This Row],[Italy acc. fit]]/Itali_acc_at_lockdown</f>
        <v>0.47862235173809892</v>
      </c>
      <c r="AB59" s="143">
        <f>Tabella34[[#This Row],[Italy acc. fit]]/y_f_peak</f>
        <v>5.7580906455303622E-3</v>
      </c>
      <c r="AC59" s="143">
        <f>Tabella34[[#This Row],[Italy (fit of selected region + fitted sum of the other regions)]]*NOT(ISBLANK(Tabella34[[#This Row],[Italy rate data]]))</f>
        <v>17.32721751048506</v>
      </c>
      <c r="AD59" s="143">
        <f>Tabella34[[#This Row],[Italy acc. fit]]*NOT(ISBLANK(Tabella34[[#This Row],[Italy rate data]]))</f>
        <v>17.2823678596855</v>
      </c>
      <c r="AE59" s="77">
        <f>Tabella34[[#This Row],[Italy acc. fit]]+CIf</f>
        <v>1732.8972271942368</v>
      </c>
      <c r="AF59" s="77">
        <f>MAX(Tabella34[[#This Row],[Italy acc. fit]]-CIf,0)</f>
        <v>0</v>
      </c>
      <c r="AG59" s="141"/>
      <c r="AH59" s="33"/>
      <c r="AI59" s="33"/>
      <c r="AJ59" s="142">
        <f>Tabella34[[#This Row],[selected region rate data]]*NOT(ISBLANK(Tabella34[[#This Row],[selected region rate data]]))</f>
        <v>0</v>
      </c>
      <c r="AK59" s="147">
        <f>Tabella8[[#This Row],[region fit]]</f>
        <v>0</v>
      </c>
      <c r="AL59" s="143">
        <f>(ATANH(alpha*Tabella34[[#This Row],[sel. region cumul. fit]]/Kl-(1-alpha*Tabella34[[#This Row],[sel. region cumul. fit]]/Kl)*TANH(phi_l))+phi_l)/psi_l-(Tabella34[[#This Row],[Day]]-pl)</f>
        <v>23.240334693239106</v>
      </c>
      <c r="AM59" s="142">
        <f>Tabella34[[#This Row],[sel. region cumul. fit]]/Kl</f>
        <v>0</v>
      </c>
      <c r="AN59" s="143">
        <f>Tabella3[[#This Row],[region fit]]</f>
        <v>12.660318053402866</v>
      </c>
      <c r="AO59" s="183" t="e">
        <f>Tabella34[[#This Row],[sel. region velocity]]/Tabella34[[#This Row],[sel. region cumul. fit]]</f>
        <v>#DIV/0!</v>
      </c>
      <c r="AP59" s="236" t="e">
        <f>(LN(Tabella34[[#This Row],[Day]]-pr)-phi_r)/psi_r</f>
        <v>#NUM!</v>
      </c>
      <c r="AQ59" s="244">
        <f>EXP(phi_r+psi_r*Tabella34[[#This Row],[x_r_alpha©+plus]])-(Tabella34[[#This Row],[Day]]-pr)</f>
        <v>27.000176820218183</v>
      </c>
      <c r="AR59" s="244">
        <f>EXP(phi_r+psi_r*Tabella34[[#This Row],[x_r_alpha©-minus]])-(Tabella34[[#This Row],[Day]]-pr)</f>
        <v>26.211931497034989</v>
      </c>
      <c r="AS59" s="244">
        <f>-psi_r+SQRT(psi_r^2-2*Tabella34[[#This Row],[c_r]])</f>
        <v>4.1427737893213132</v>
      </c>
      <c r="AT59" s="244">
        <f>-psi_r-SQRT(psi_r^2-2*Tabella34[[#This Row],[c_r]])</f>
        <v>-4.1991820277399752</v>
      </c>
      <c r="AU59" s="244">
        <f>phi_r-LN(alpha*Kr/(Tabella34[[#This Row],[sel. region velocity]]*psi_r*SQRTPI(2)))</f>
        <v>-8.6981306205551476</v>
      </c>
      <c r="AV59" s="244">
        <f>(ACOSH(SQRT(alpha*Kl*psi_l/(Tabella34[[#This Row],[sel. region velocity]]*(1+TANH(phi_l)))))+phi_l)/psi_l-(Tabella34[[#This Row],[Day]]-pl)</f>
        <v>144.82646857306358</v>
      </c>
      <c r="AW59" s="72">
        <f>-2*$BY$22*TANH($BY$22*(Tabella34[[#This Row],[Day]]-$BY$31)-$BY$21)*Tabella34[[#This Row],[sel. region velocity]]</f>
        <v>0.68054986609683688</v>
      </c>
      <c r="AX59" s="143">
        <f>Tabella34[[#This Row],[sel. region acc. fit]]/y_l_peak</f>
        <v>4.9387041825093457E-3</v>
      </c>
      <c r="AY59" s="143">
        <f>Tabella34[[#This Row],[sel. region acc. fit]]*NOT(ISBLANK(Tabella34[[#This Row],[selected region rate data]]))</f>
        <v>0</v>
      </c>
      <c r="AZ59" s="77">
        <f>Tabella34[[#This Row],[sel. region acc. fit]]+CIl</f>
        <v>54.445390275645295</v>
      </c>
      <c r="BA59" s="77">
        <f>MAX(Tabella34[[#This Row],[sel. region acc. fit]]-CIl,0)</f>
        <v>0</v>
      </c>
      <c r="BB59" s="141"/>
      <c r="BC59" s="33"/>
      <c r="BD59" s="33"/>
      <c r="BE59" s="142">
        <f>Tabella34[[#This Row],[rest of Italy rate data]]*NOT(ISBLANK(Tabella34[[#This Row],[rest of Italy rate data]]))</f>
        <v>0</v>
      </c>
      <c r="BF59" s="188">
        <f>Tabella8[[#This Row],[rest of Italy fit]]</f>
        <v>0</v>
      </c>
      <c r="BG59" s="78">
        <f>(ATANH(alpha*Tabella34[[#This Row],[rest of Italy cumul. fit]]/Ka-(1-alpha*Tabella34[[#This Row],[rest of Italy cumul. fit]]/Ka)*TANH(phi_a))+phi_a)/psi_a-(Tabella34[[#This Row],[Day]]-pa)</f>
        <v>17.695444456084331</v>
      </c>
      <c r="BH59" s="143">
        <f>Tabella34[[#This Row],[rest of Italy cumul. fit]]/Ka</f>
        <v>0</v>
      </c>
      <c r="BI59" s="143">
        <f>Tabella3[[#This Row],[rest of Italy fit]]</f>
        <v>363.39554132400372</v>
      </c>
      <c r="BJ59" s="183" t="e">
        <f>Tabella34[[#This Row],[rest of Italy velocity]]/Tabella34[[#This Row],[rest of Italy cumul. fit]]</f>
        <v>#DIV/0!</v>
      </c>
      <c r="BK59" s="236" t="e">
        <f>(LN(Tabella34[[#This Row],[Day]]-po)-phi_o)/psi_o</f>
        <v>#NUM!</v>
      </c>
      <c r="BL59" s="244">
        <f>EXP(phi_o+psi_o*Tabella34[[#This Row],[x_o_alpha©+plus]])-(Tabella34[[#This Row],[Day]]-po)</f>
        <v>21.587708525911641</v>
      </c>
      <c r="BM59" s="244">
        <f>EXP(phi_o+psi_o*Tabella34[[#This Row],[x_o_alpha©-minus]])-(Tabella34[[#This Row],[Day]]-po)</f>
        <v>20.871085420658389</v>
      </c>
      <c r="BN59" s="244">
        <f>-psi_o+SQRT(psi_o^2-2*Tabella34[[#This Row],[c_o]])</f>
        <v>4.1258763584782026</v>
      </c>
      <c r="BO59" s="244">
        <f>-psi_o-SQRT(psi_o^2-2*Tabella34[[#This Row],[c_o]])</f>
        <v>-4.174903444047831</v>
      </c>
      <c r="BP59" s="244">
        <f>phi_o-LN(alpha*Ko/(Tabella34[[#This Row],[rest of Italy velocity]]*psi_o*SQRTPI(2)))</f>
        <v>-8.6125677093630859</v>
      </c>
      <c r="BQ59" s="244">
        <f>(ACOSH(SQRT(alpha*Ka*psi_a/(Tabella34[[#This Row],[rest of Italy velocity]]*(1+TANH(phi_a)))))+phi_a)/psi_a-(Tabella34[[#This Row],[Day]]-pa)</f>
        <v>152.85187517332741</v>
      </c>
      <c r="BR59" s="72">
        <f>-2*$BY$35*TANH($BY$35*(Tabella34[[#This Row],[Day]]-$BY$44)-$BY$34)*Tabella34[[#This Row],[rest of Italy velocity]]</f>
        <v>16.646667644388224</v>
      </c>
      <c r="BS59" s="143">
        <f>Tabella34[[#This Row],[rest of Italy acc. fit]]/y_a_peak</f>
        <v>5.8168699488397903E-3</v>
      </c>
      <c r="BT59" s="142">
        <f>Tabella34[[#This Row],[rest of Italy acc. fit]]*NOT(ISBLANK(Tabella34[[#This Row],[rest of Italy rate data]]))</f>
        <v>0</v>
      </c>
      <c r="BU59" s="77">
        <f>Tabella34[[#This Row],[rest of Italy acc. fit]]+CIa</f>
        <v>1711.2208625539708</v>
      </c>
      <c r="BV59" s="77">
        <f>MAX(Tabella34[[#This Row],[rest of Italy acc. fit]]-CIa,0)</f>
        <v>0</v>
      </c>
      <c r="BY59" s="55"/>
    </row>
    <row r="60" spans="2:79" x14ac:dyDescent="0.3">
      <c r="B60" s="262">
        <v>43883</v>
      </c>
      <c r="C60" s="4">
        <v>53</v>
      </c>
      <c r="D60" s="10">
        <f>Tabella8[[#This Row],[Italy cumulative]]</f>
        <v>0</v>
      </c>
      <c r="E60" s="72">
        <f>(Tabella34[[#This Row],[Italy cumul. data]]-D59)</f>
        <v>0</v>
      </c>
      <c r="F60" s="72">
        <f>Tabella34[[#This Row],[Italy rate data]]-E59</f>
        <v>0</v>
      </c>
      <c r="G60" s="142">
        <f>Tabella34[[#This Row],[Italy rate data]]*NOT(ISBLANK(Tabella34[[#This Row],[Italy rate data]]))</f>
        <v>0</v>
      </c>
      <c r="H60" s="143">
        <f>Tabella8[[#This Row],[Italy fit]]</f>
        <v>0</v>
      </c>
      <c r="I60" s="143">
        <f>(ATANH(alpha*Tabella34[[#This Row],[Italy cumul. Fit]]/Kf-(1-alpha*Tabella34[[#This Row],[Italy cumul. Fit]]/Kf)*TANH(phi_f))+phi_f)/psi_f-(Tabella34[[#This Row],[Day]]-pf)</f>
        <v>16.844294912230211</v>
      </c>
      <c r="J60" s="143">
        <f>Tabella34[[#This Row],[Italy d.t.]]/Italy_dt_at_lockdown</f>
        <v>15.276713194394304</v>
      </c>
      <c r="K60" s="143">
        <f>Tabella34[[#This Row],[Italy cumul. Fit]]/Kf</f>
        <v>0</v>
      </c>
      <c r="L60" s="146">
        <f>Tabella34[[#This Row],[sel. region acc. fit]]+Tabella34[[#This Row],[rest of Italy acc. fit]]</f>
        <v>18.082287547887415</v>
      </c>
      <c r="M60" s="143">
        <f>Tabella34[[#This Row],[Italy (fit of selected region + fitted sum of the other regions)]]/(y_l_peak+y_a_peak)</f>
        <v>6.028251942303671E-3</v>
      </c>
      <c r="N60" s="143">
        <f>Tabella3[[#This Row],[Italy remov. rate fit]]</f>
        <v>391.62743483273545</v>
      </c>
      <c r="O60" s="143" t="e">
        <f>Kt*EXP(-0.5*Tabella34[[#This Row],[x_t]]^2)/(psi_t*SQRTPI(2)*(Tabella34[[#This Row],[Day]]-D_bk))</f>
        <v>#NUM!</v>
      </c>
      <c r="P60" s="183" t="e">
        <f>Tabella34[[#This Row],[Italy velocity]]/Tabella34[[#This Row],[Italy cumul. Fit]]</f>
        <v>#DIV/0!</v>
      </c>
      <c r="Q60" s="244" t="e">
        <f>(LN(Tabella34[[#This Row],[Day]]-D_bk)-phi_t)/psi_t</f>
        <v>#NUM!</v>
      </c>
      <c r="R60" s="244">
        <f>EXP(phi_t+psi_t*Tabella34[[#This Row],[x_t_alpha©+plus]])-(Tabella34[[#This Row],[Day]]-D_bk)</f>
        <v>20.751008766588143</v>
      </c>
      <c r="S60" s="244">
        <f>EXP(phi_t+psi_t*Tabella34[[#This Row],[x_t_alpha©-minus]])-(Tabella34[[#This Row],[Day]]-D_bk)</f>
        <v>20.028590603350619</v>
      </c>
      <c r="T60" s="244">
        <f>-psi_t+SQRT(psi_t^2-2*Tabella34[[#This Row],[c_t]])</f>
        <v>4.1148890411655064</v>
      </c>
      <c r="U60" s="244">
        <f>-psi_t-SQRT(psi_t^2-2*Tabella34[[#This Row],[c_t]])</f>
        <v>-4.1642817755853105</v>
      </c>
      <c r="V60" s="244">
        <f>phi_t-LN(alpha*Kt/(Tabella34[[#This Row],[Italy velocity]]*psi_t*SQRTPI(2)))</f>
        <v>-8.5677787213406145</v>
      </c>
      <c r="W60" s="244" t="e">
        <f>Tabella34[[#This Row],[Italy g.r.]]/Italy_gr_at_lockdown</f>
        <v>#DIV/0!</v>
      </c>
      <c r="X60" s="244">
        <f>(ACOSH(SQRT(alpha*Kf*psi_f/(Tabella34[[#This Row],[Italy velocity]]*(1+TANH(phi_f)))))+phi_f)/psi_f-(Tabella34[[#This Row],[Day]]-pf)</f>
        <v>150.56164596603475</v>
      </c>
      <c r="Y60" s="244">
        <f>Tabella34[[#This Row],[Italy h.t.]]/Italy_ht_at_lockdown</f>
        <v>1.3023957493163731</v>
      </c>
      <c r="Z60" s="72">
        <f>-2*$BY$48*TANH($BY$48*(Tabella34[[#This Row],[Day]]-$BY$57)-$BY$47)*Tabella34[[#This Row],[Italy velocity]]</f>
        <v>18.037470528868798</v>
      </c>
      <c r="AA60" s="72">
        <f>Tabella34[[#This Row],[Italy acc. fit]]/Itali_acc_at_lockdown</f>
        <v>0.49953435976052291</v>
      </c>
      <c r="AB60" s="143">
        <f>Tabella34[[#This Row],[Italy acc. fit]]/y_f_peak</f>
        <v>6.0096736260073485E-3</v>
      </c>
      <c r="AC60" s="143">
        <f>Tabella34[[#This Row],[Italy (fit of selected region + fitted sum of the other regions)]]*NOT(ISBLANK(Tabella34[[#This Row],[Italy rate data]]))</f>
        <v>18.082287547887415</v>
      </c>
      <c r="AD60" s="143">
        <f>Tabella34[[#This Row],[Italy acc. fit]]*NOT(ISBLANK(Tabella34[[#This Row],[Italy rate data]]))</f>
        <v>18.037470528868798</v>
      </c>
      <c r="AE60" s="77">
        <f>Tabella34[[#This Row],[Italy acc. fit]]+CIf</f>
        <v>1733.6523298634202</v>
      </c>
      <c r="AF60" s="77">
        <f>MAX(Tabella34[[#This Row],[Italy acc. fit]]-CIf,0)</f>
        <v>0</v>
      </c>
      <c r="AG60" s="141"/>
      <c r="AH60" s="33"/>
      <c r="AI60" s="33"/>
      <c r="AJ60" s="142">
        <f>Tabella34[[#This Row],[selected region rate data]]*NOT(ISBLANK(Tabella34[[#This Row],[selected region rate data]]))</f>
        <v>0</v>
      </c>
      <c r="AK60" s="147">
        <f>Tabella8[[#This Row],[region fit]]</f>
        <v>0</v>
      </c>
      <c r="AL60" s="143">
        <f>(ATANH(alpha*Tabella34[[#This Row],[sel. region cumul. fit]]/Kl-(1-alpha*Tabella34[[#This Row],[sel. region cumul. fit]]/Kl)*TANH(phi_l))+phi_l)/psi_l-(Tabella34[[#This Row],[Day]]-pl)</f>
        <v>22.240334693239106</v>
      </c>
      <c r="AM60" s="142">
        <f>Tabella34[[#This Row],[sel. region cumul. fit]]/Kl</f>
        <v>0</v>
      </c>
      <c r="AN60" s="143">
        <f>Tabella3[[#This Row],[region fit]]</f>
        <v>13.358497400569744</v>
      </c>
      <c r="AO60" s="183" t="e">
        <f>Tabella34[[#This Row],[sel. region velocity]]/Tabella34[[#This Row],[sel. region cumul. fit]]</f>
        <v>#DIV/0!</v>
      </c>
      <c r="AP60" s="236" t="e">
        <f>(LN(Tabella34[[#This Row],[Day]]-pr)-phi_r)/psi_r</f>
        <v>#NUM!</v>
      </c>
      <c r="AQ60" s="244">
        <f>EXP(phi_r+psi_r*Tabella34[[#This Row],[x_r_alpha©+plus]])-(Tabella34[[#This Row],[Day]]-pr)</f>
        <v>25.998810191174865</v>
      </c>
      <c r="AR60" s="244">
        <f>EXP(phi_r+psi_r*Tabella34[[#This Row],[x_r_alpha©-minus]])-(Tabella34[[#This Row],[Day]]-pr)</f>
        <v>25.213012007071391</v>
      </c>
      <c r="AS60" s="244">
        <f>-psi_r+SQRT(psi_r^2-2*Tabella34[[#This Row],[c_r]])</f>
        <v>4.1298839520227846</v>
      </c>
      <c r="AT60" s="244">
        <f>-psi_r-SQRT(psi_r^2-2*Tabella34[[#This Row],[c_r]])</f>
        <v>-4.1862921904414465</v>
      </c>
      <c r="AU60" s="244">
        <f>phi_r-LN(alpha*Kr/(Tabella34[[#This Row],[sel. region velocity]]*psi_r*SQRTPI(2)))</f>
        <v>-8.6444504678912182</v>
      </c>
      <c r="AV60" s="244">
        <f>(ACOSH(SQRT(alpha*Kl*psi_l/(Tabella34[[#This Row],[sel. region velocity]]*(1+TANH(phi_l)))))+phi_l)/psi_l-(Tabella34[[#This Row],[Day]]-pl)</f>
        <v>142.85154897665291</v>
      </c>
      <c r="AW60" s="72">
        <f>-2*$BY$22*TANH($BY$22*(Tabella34[[#This Row],[Day]]-$BY$31)-$BY$21)*Tabella34[[#This Row],[sel. region velocity]]</f>
        <v>0.7160742218642383</v>
      </c>
      <c r="AX60" s="143">
        <f>Tabella34[[#This Row],[sel. region acc. fit]]/y_l_peak</f>
        <v>5.1965020209185165E-3</v>
      </c>
      <c r="AY60" s="143">
        <f>Tabella34[[#This Row],[sel. region acc. fit]]*NOT(ISBLANK(Tabella34[[#This Row],[selected region rate data]]))</f>
        <v>0</v>
      </c>
      <c r="AZ60" s="77">
        <f>Tabella34[[#This Row],[sel. region acc. fit]]+CIl</f>
        <v>54.480914631412695</v>
      </c>
      <c r="BA60" s="77">
        <f>MAX(Tabella34[[#This Row],[sel. region acc. fit]]-CIl,0)</f>
        <v>0</v>
      </c>
      <c r="BB60" s="141"/>
      <c r="BC60" s="33"/>
      <c r="BD60" s="33"/>
      <c r="BE60" s="142">
        <f>Tabella34[[#This Row],[rest of Italy rate data]]*NOT(ISBLANK(Tabella34[[#This Row],[rest of Italy rate data]]))</f>
        <v>0</v>
      </c>
      <c r="BF60" s="188">
        <f>Tabella8[[#This Row],[rest of Italy fit]]</f>
        <v>0</v>
      </c>
      <c r="BG60" s="78">
        <f>(ATANH(alpha*Tabella34[[#This Row],[rest of Italy cumul. fit]]/Ka-(1-alpha*Tabella34[[#This Row],[rest of Italy cumul. fit]]/Ka)*TANH(phi_a))+phi_a)/psi_a-(Tabella34[[#This Row],[Day]]-pa)</f>
        <v>16.695444456084331</v>
      </c>
      <c r="BH60" s="143">
        <f>Tabella34[[#This Row],[rest of Italy cumul. fit]]/Ka</f>
        <v>0</v>
      </c>
      <c r="BI60" s="143">
        <f>Tabella3[[#This Row],[rest of Italy fit]]</f>
        <v>380.39990355738661</v>
      </c>
      <c r="BJ60" s="183" t="e">
        <f>Tabella34[[#This Row],[rest of Italy velocity]]/Tabella34[[#This Row],[rest of Italy cumul. fit]]</f>
        <v>#DIV/0!</v>
      </c>
      <c r="BK60" s="236" t="e">
        <f>(LN(Tabella34[[#This Row],[Day]]-po)-phi_o)/psi_o</f>
        <v>#NUM!</v>
      </c>
      <c r="BL60" s="244">
        <f>EXP(phi_o+psi_o*Tabella34[[#This Row],[x_o_alpha©+plus]])-(Tabella34[[#This Row],[Day]]-po)</f>
        <v>20.586655956129185</v>
      </c>
      <c r="BM60" s="244">
        <f>EXP(phi_o+psi_o*Tabella34[[#This Row],[x_o_alpha©-minus]])-(Tabella34[[#This Row],[Day]]-po)</f>
        <v>19.871944429149497</v>
      </c>
      <c r="BN60" s="244">
        <f>-psi_o+SQRT(psi_o^2-2*Tabella34[[#This Row],[c_o]])</f>
        <v>4.1148431646430534</v>
      </c>
      <c r="BO60" s="244">
        <f>-psi_o-SQRT(psi_o^2-2*Tabella34[[#This Row],[c_o]])</f>
        <v>-4.1638702502126819</v>
      </c>
      <c r="BP60" s="244">
        <f>phi_o-LN(alpha*Ko/(Tabella34[[#This Row],[rest of Italy velocity]]*psi_o*SQRTPI(2)))</f>
        <v>-8.5668365187741067</v>
      </c>
      <c r="BQ60" s="244">
        <f>(ACOSH(SQRT(alpha*Ka*psi_a/(Tabella34[[#This Row],[rest of Italy velocity]]*(1+TANH(phi_a)))))+phi_a)/psi_a-(Tabella34[[#This Row],[Day]]-pa)</f>
        <v>150.88724098578666</v>
      </c>
      <c r="BR60" s="72">
        <f>-2*$BY$35*TANH($BY$35*(Tabella34[[#This Row],[Day]]-$BY$44)-$BY$34)*Tabella34[[#This Row],[rest of Italy velocity]]</f>
        <v>17.366213326023175</v>
      </c>
      <c r="BS60" s="143">
        <f>Tabella34[[#This Row],[rest of Italy acc. fit]]/y_a_peak</f>
        <v>6.068301871536389E-3</v>
      </c>
      <c r="BT60" s="142">
        <f>Tabella34[[#This Row],[rest of Italy acc. fit]]*NOT(ISBLANK(Tabella34[[#This Row],[rest of Italy rate data]]))</f>
        <v>0</v>
      </c>
      <c r="BU60" s="77">
        <f>Tabella34[[#This Row],[rest of Italy acc. fit]]+CIa</f>
        <v>1711.9404082356059</v>
      </c>
      <c r="BV60" s="77">
        <f>MAX(Tabella34[[#This Row],[rest of Italy acc. fit]]-CIa,0)</f>
        <v>0</v>
      </c>
    </row>
    <row r="61" spans="2:79" ht="15" thickBot="1" x14ac:dyDescent="0.35">
      <c r="B61" s="262">
        <v>43884</v>
      </c>
      <c r="C61" s="4">
        <v>54</v>
      </c>
      <c r="D61" s="10">
        <f>Tabella8[[#This Row],[Italy cumulative]]</f>
        <v>0</v>
      </c>
      <c r="E61" s="72">
        <f>(Tabella34[[#This Row],[Italy cumul. data]]-D60)</f>
        <v>0</v>
      </c>
      <c r="F61" s="72">
        <f>Tabella34[[#This Row],[Italy rate data]]-E60</f>
        <v>0</v>
      </c>
      <c r="G61" s="142">
        <f>Tabella34[[#This Row],[Italy rate data]]*NOT(ISBLANK(Tabella34[[#This Row],[Italy rate data]]))</f>
        <v>0</v>
      </c>
      <c r="H61" s="143">
        <f>Tabella8[[#This Row],[Italy fit]]</f>
        <v>0</v>
      </c>
      <c r="I61" s="143">
        <f>(ATANH(alpha*Tabella34[[#This Row],[Italy cumul. Fit]]/Kf-(1-alpha*Tabella34[[#This Row],[Italy cumul. Fit]]/Kf)*TANH(phi_f))+phi_f)/psi_f-(Tabella34[[#This Row],[Day]]-pf)</f>
        <v>15.844294912230211</v>
      </c>
      <c r="J61" s="143">
        <f>Tabella34[[#This Row],[Italy d.t.]]/Italy_dt_at_lockdown</f>
        <v>14.36977625972319</v>
      </c>
      <c r="K61" s="143">
        <f>Tabella34[[#This Row],[Italy cumul. Fit]]/Kf</f>
        <v>0</v>
      </c>
      <c r="L61" s="146">
        <f>Tabella34[[#This Row],[sel. region acc. fit]]+Tabella34[[#This Row],[rest of Italy acc. fit]]</f>
        <v>18.864065012802342</v>
      </c>
      <c r="M61" s="143">
        <f>Tabella34[[#This Row],[Italy (fit of selected region + fitted sum of the other regions)]]/(y_l_peak+y_a_peak)</f>
        <v>6.2888800021573725E-3</v>
      </c>
      <c r="N61" s="143">
        <f>Tabella3[[#This Row],[Italy remov. rate fit]]</f>
        <v>410.05359856438071</v>
      </c>
      <c r="O61" s="143" t="e">
        <f>Kt*EXP(-0.5*Tabella34[[#This Row],[x_t]]^2)/(psi_t*SQRTPI(2)*(Tabella34[[#This Row],[Day]]-D_bk))</f>
        <v>#NUM!</v>
      </c>
      <c r="P61" s="183" t="e">
        <f>Tabella34[[#This Row],[Italy velocity]]/Tabella34[[#This Row],[Italy cumul. Fit]]</f>
        <v>#DIV/0!</v>
      </c>
      <c r="Q61" s="244" t="e">
        <f>(LN(Tabella34[[#This Row],[Day]]-D_bk)-phi_t)/psi_t</f>
        <v>#NUM!</v>
      </c>
      <c r="R61" s="244">
        <f>EXP(phi_t+psi_t*Tabella34[[#This Row],[x_t_alpha©+plus]])-(Tabella34[[#This Row],[Day]]-D_bk)</f>
        <v>19.749935885019344</v>
      </c>
      <c r="S61" s="244">
        <f>EXP(phi_t+psi_t*Tabella34[[#This Row],[x_t_alpha©-minus]])-(Tabella34[[#This Row],[Day]]-D_bk)</f>
        <v>19.029465331002346</v>
      </c>
      <c r="T61" s="244">
        <f>-psi_t+SQRT(psi_t^2-2*Tabella34[[#This Row],[c_t]])</f>
        <v>4.1037674545441369</v>
      </c>
      <c r="U61" s="244">
        <f>-psi_t-SQRT(psi_t^2-2*Tabella34[[#This Row],[c_t]])</f>
        <v>-4.1531601889639411</v>
      </c>
      <c r="V61" s="244">
        <f>phi_t-LN(alpha*Kt/(Tabella34[[#This Row],[Italy velocity]]*psi_t*SQRTPI(2)))</f>
        <v>-8.5218018084892986</v>
      </c>
      <c r="W61" s="244" t="e">
        <f>Tabella34[[#This Row],[Italy g.r.]]/Italy_gr_at_lockdown</f>
        <v>#DIV/0!</v>
      </c>
      <c r="X61" s="244">
        <f>(ACOSH(SQRT(alpha*Kf*psi_f/(Tabella34[[#This Row],[Italy velocity]]*(1+TANH(phi_f)))))+phi_f)/psi_f-(Tabella34[[#This Row],[Day]]-pf)</f>
        <v>148.59808084361487</v>
      </c>
      <c r="Y61" s="244">
        <f>Tabella34[[#This Row],[Italy h.t.]]/Italy_ht_at_lockdown</f>
        <v>1.2854104217946321</v>
      </c>
      <c r="Z61" s="72">
        <f>-2*$BY$48*TANH($BY$48*(Tabella34[[#This Row],[Day]]-$BY$57)-$BY$47)*Tabella34[[#This Row],[Italy velocity]]</f>
        <v>18.819347551935049</v>
      </c>
      <c r="AA61" s="72">
        <f>Tabella34[[#This Row],[Italy acc. fit]]/Itali_acc_at_lockdown</f>
        <v>0.52118786364310743</v>
      </c>
      <c r="AB61" s="143">
        <f>Tabella34[[#This Row],[Italy acc. fit]]/y_f_peak</f>
        <v>6.2701772102977272E-3</v>
      </c>
      <c r="AC61" s="143">
        <f>Tabella34[[#This Row],[Italy (fit of selected region + fitted sum of the other regions)]]*NOT(ISBLANK(Tabella34[[#This Row],[Italy rate data]]))</f>
        <v>18.864065012802342</v>
      </c>
      <c r="AD61" s="143">
        <f>Tabella34[[#This Row],[Italy acc. fit]]*NOT(ISBLANK(Tabella34[[#This Row],[Italy rate data]]))</f>
        <v>18.819347551935049</v>
      </c>
      <c r="AE61" s="77">
        <f>Tabella34[[#This Row],[Italy acc. fit]]+CIf</f>
        <v>1734.4342068864864</v>
      </c>
      <c r="AF61" s="77">
        <f>MAX(Tabella34[[#This Row],[Italy acc. fit]]-CIf,0)</f>
        <v>0</v>
      </c>
      <c r="AG61" s="141"/>
      <c r="AH61" s="33"/>
      <c r="AI61" s="33"/>
      <c r="AJ61" s="142">
        <f>Tabella34[[#This Row],[selected region rate data]]*NOT(ISBLANK(Tabella34[[#This Row],[selected region rate data]]))</f>
        <v>0</v>
      </c>
      <c r="AK61" s="147">
        <f>Tabella8[[#This Row],[region fit]]</f>
        <v>0</v>
      </c>
      <c r="AL61" s="143">
        <f>(ATANH(alpha*Tabella34[[#This Row],[sel. region cumul. fit]]/Kl-(1-alpha*Tabella34[[#This Row],[sel. region cumul. fit]]/Kl)*TANH(phi_l))+phi_l)/psi_l-(Tabella34[[#This Row],[Day]]-pl)</f>
        <v>21.240334693239106</v>
      </c>
      <c r="AM61" s="142">
        <f>Tabella34[[#This Row],[sel. region cumul. fit]]/Kl</f>
        <v>0</v>
      </c>
      <c r="AN61" s="143">
        <f>Tabella3[[#This Row],[region fit]]</f>
        <v>14.093005078762257</v>
      </c>
      <c r="AO61" s="183" t="e">
        <f>Tabella34[[#This Row],[sel. region velocity]]/Tabella34[[#This Row],[sel. region cumul. fit]]</f>
        <v>#DIV/0!</v>
      </c>
      <c r="AP61" s="236" t="e">
        <f>(LN(Tabella34[[#This Row],[Day]]-pr)-phi_r)/psi_r</f>
        <v>#NUM!</v>
      </c>
      <c r="AQ61" s="244">
        <f>EXP(phi_r+psi_r*Tabella34[[#This Row],[x_r_alpha©+plus]])-(Tabella34[[#This Row],[Day]]-pr)</f>
        <v>24.997443755075675</v>
      </c>
      <c r="AR61" s="244">
        <f>EXP(phi_r+psi_r*Tabella34[[#This Row],[x_r_alpha©-minus]])-(Tabella34[[#This Row],[Day]]-pr)</f>
        <v>24.214093150452115</v>
      </c>
      <c r="AS61" s="244">
        <f>-psi_r+SQRT(psi_r^2-2*Tabella34[[#This Row],[c_r]])</f>
        <v>4.1169912477772046</v>
      </c>
      <c r="AT61" s="244">
        <f>-psi_r-SQRT(psi_r^2-2*Tabella34[[#This Row],[c_r]])</f>
        <v>-4.1733994861958665</v>
      </c>
      <c r="AU61" s="244">
        <f>phi_r-LN(alpha*Kr/(Tabella34[[#This Row],[sel. region velocity]]*psi_r*SQRTPI(2)))</f>
        <v>-8.5909245790731337</v>
      </c>
      <c r="AV61" s="244">
        <f>(ACOSH(SQRT(alpha*Kl*psi_l/(Tabella34[[#This Row],[sel. region velocity]]*(1+TANH(phi_l)))))+phi_l)/psi_l-(Tabella34[[#This Row],[Day]]-pl)</f>
        <v>140.8781026521483</v>
      </c>
      <c r="AW61" s="72">
        <f>-2*$BY$22*TANH($BY$22*(Tabella34[[#This Row],[Day]]-$BY$31)-$BY$21)*Tabella34[[#This Row],[sel. region velocity]]</f>
        <v>0.75321426378953527</v>
      </c>
      <c r="AX61" s="143">
        <f>Tabella34[[#This Row],[sel. region acc. fit]]/y_l_peak</f>
        <v>5.4660247841026872E-3</v>
      </c>
      <c r="AY61" s="143">
        <f>Tabella34[[#This Row],[sel. region acc. fit]]*NOT(ISBLANK(Tabella34[[#This Row],[selected region rate data]]))</f>
        <v>0</v>
      </c>
      <c r="AZ61" s="77">
        <f>Tabella34[[#This Row],[sel. region acc. fit]]+CIl</f>
        <v>54.518054673337993</v>
      </c>
      <c r="BA61" s="77">
        <f>MAX(Tabella34[[#This Row],[sel. region acc. fit]]-CIl,0)</f>
        <v>0</v>
      </c>
      <c r="BB61" s="141"/>
      <c r="BC61" s="33"/>
      <c r="BD61" s="33"/>
      <c r="BE61" s="142">
        <f>Tabella34[[#This Row],[rest of Italy rate data]]*NOT(ISBLANK(Tabella34[[#This Row],[rest of Italy rate data]]))</f>
        <v>0</v>
      </c>
      <c r="BF61" s="188">
        <f>Tabella8[[#This Row],[rest of Italy fit]]</f>
        <v>0</v>
      </c>
      <c r="BG61" s="78">
        <f>(ATANH(alpha*Tabella34[[#This Row],[rest of Italy cumul. fit]]/Ka-(1-alpha*Tabella34[[#This Row],[rest of Italy cumul. fit]]/Ka)*TANH(phi_a))+phi_a)/psi_a-(Tabella34[[#This Row],[Day]]-pa)</f>
        <v>15.695444456084331</v>
      </c>
      <c r="BH61" s="143">
        <f>Tabella34[[#This Row],[rest of Italy cumul. fit]]/Ka</f>
        <v>0</v>
      </c>
      <c r="BI61" s="143">
        <f>Tabella3[[#This Row],[rest of Italy fit]]</f>
        <v>398.1363325549413</v>
      </c>
      <c r="BJ61" s="183" t="e">
        <f>Tabella34[[#This Row],[rest of Italy velocity]]/Tabella34[[#This Row],[rest of Italy cumul. fit]]</f>
        <v>#DIV/0!</v>
      </c>
      <c r="BK61" s="236" t="e">
        <f>(LN(Tabella34[[#This Row],[Day]]-po)-phi_o)/psi_o</f>
        <v>#NUM!</v>
      </c>
      <c r="BL61" s="244">
        <f>EXP(phi_o+psi_o*Tabella34[[#This Row],[x_o_alpha©+plus]])-(Tabella34[[#This Row],[Day]]-po)</f>
        <v>19.58560454981739</v>
      </c>
      <c r="BM61" s="244">
        <f>EXP(phi_o+psi_o*Tabella34[[#This Row],[x_o_alpha©-minus]])-(Tabella34[[#This Row],[Day]]-po)</f>
        <v>18.872802952202697</v>
      </c>
      <c r="BN61" s="244">
        <f>-psi_o+SQRT(psi_o^2-2*Tabella34[[#This Row],[c_o]])</f>
        <v>4.1038191865547846</v>
      </c>
      <c r="BO61" s="244">
        <f>-psi_o-SQRT(psi_o^2-2*Tabella34[[#This Row],[c_o]])</f>
        <v>-4.152846272124413</v>
      </c>
      <c r="BP61" s="244">
        <f>phi_o-LN(alpha*Ko/(Tabella34[[#This Row],[rest of Italy velocity]]*psi_o*SQRTPI(2)))</f>
        <v>-8.5212651051783403</v>
      </c>
      <c r="BQ61" s="244">
        <f>(ACOSH(SQRT(alpha*Ka*psi_a/(Tabella34[[#This Row],[rest of Italy velocity]]*(1+TANH(phi_a)))))+phi_a)/psi_a-(Tabella34[[#This Row],[Day]]-pa)</f>
        <v>148.92441345251916</v>
      </c>
      <c r="BR61" s="72">
        <f>-2*$BY$35*TANH($BY$35*(Tabella34[[#This Row],[Day]]-$BY$44)-$BY$34)*Tabella34[[#This Row],[rest of Italy velocity]]</f>
        <v>18.110850749012808</v>
      </c>
      <c r="BS61" s="143">
        <f>Tabella34[[#This Row],[rest of Italy acc. fit]]/y_a_peak</f>
        <v>6.3285016389072529E-3</v>
      </c>
      <c r="BT61" s="142">
        <f>Tabella34[[#This Row],[rest of Italy acc. fit]]*NOT(ISBLANK(Tabella34[[#This Row],[rest of Italy rate data]]))</f>
        <v>0</v>
      </c>
      <c r="BU61" s="77">
        <f>Tabella34[[#This Row],[rest of Italy acc. fit]]+CIa</f>
        <v>1712.6850456585955</v>
      </c>
      <c r="BV61" s="77">
        <f>MAX(Tabella34[[#This Row],[rest of Italy acc. fit]]-CIa,0)</f>
        <v>0</v>
      </c>
    </row>
    <row r="62" spans="2:79" ht="15" thickBot="1" x14ac:dyDescent="0.35">
      <c r="B62" s="262">
        <v>43885</v>
      </c>
      <c r="C62" s="174">
        <v>55</v>
      </c>
      <c r="D62" s="175">
        <f>Tabella8[[#This Row],[Italy cumulative]]</f>
        <v>8</v>
      </c>
      <c r="E62" s="176">
        <f>(Tabella34[[#This Row],[Italy cumul. data]]-D61)</f>
        <v>8</v>
      </c>
      <c r="F62" s="176">
        <f>Tabella34[[#This Row],[Italy rate data]]-E61</f>
        <v>8</v>
      </c>
      <c r="G62" s="177">
        <f>Tabella34[[#This Row],[Italy rate data]]*NOT(ISBLANK(Tabella34[[#This Row],[Italy rate data]]))</f>
        <v>8</v>
      </c>
      <c r="H62" s="178">
        <f>Tabella8[[#This Row],[Italy fit]]</f>
        <v>0</v>
      </c>
      <c r="I62" s="143">
        <f>(ATANH(alpha*Tabella34[[#This Row],[Italy cumul. Fit]]/Kf-(1-alpha*Tabella34[[#This Row],[Italy cumul. Fit]]/Kf)*TANH(phi_f))+phi_f)/psi_f-(Tabella34[[#This Row],[Day]]-pf)</f>
        <v>14.844294912230211</v>
      </c>
      <c r="J62" s="178">
        <f>Tabella34[[#This Row],[Italy d.t.]]/Italy_dt_at_lockdown</f>
        <v>13.462839325052077</v>
      </c>
      <c r="K62" s="177">
        <f>Tabella34[[#This Row],[Italy cumul. Fit]]/Kf</f>
        <v>0</v>
      </c>
      <c r="L62" s="179">
        <f>Tabella34[[#This Row],[sel. region acc. fit]]+Tabella34[[#This Row],[rest of Italy acc. fit]]</f>
        <v>19.67286136660303</v>
      </c>
      <c r="M62" s="177">
        <f>Tabella34[[#This Row],[Italy (fit of selected region + fitted sum of the other regions)]]/(y_l_peak+y_a_peak)</f>
        <v>6.5585155876890684E-3</v>
      </c>
      <c r="N62" s="143">
        <f>Tabella3[[#This Row],[Italy remov. rate fit]]</f>
        <v>429.27516033430464</v>
      </c>
      <c r="O62" s="178" t="e">
        <f>Kt*EXP(-0.5*Tabella34[[#This Row],[x_t]]^2)/(psi_t*SQRTPI(2)*(Tabella34[[#This Row],[Day]]-D_bk))</f>
        <v>#NUM!</v>
      </c>
      <c r="P62" s="184" t="e">
        <f>Tabella34[[#This Row],[Italy velocity]]/Tabella34[[#This Row],[Italy cumul. Fit]]</f>
        <v>#DIV/0!</v>
      </c>
      <c r="Q62" s="245" t="e">
        <f>(LN(Tabella34[[#This Row],[Day]]-D_bk)-phi_t)/psi_t</f>
        <v>#NUM!</v>
      </c>
      <c r="R62" s="245">
        <f>EXP(phi_t+psi_t*Tabella34[[#This Row],[x_t_alpha©+plus]])-(Tabella34[[#This Row],[Day]]-D_bk)</f>
        <v>18.748864304916424</v>
      </c>
      <c r="S62" s="245">
        <f>EXP(phi_t+psi_t*Tabella34[[#This Row],[x_t_alpha©-minus]])-(Tabella34[[#This Row],[Day]]-D_bk)</f>
        <v>18.030339477393891</v>
      </c>
      <c r="T62" s="245">
        <f>-psi_t+SQRT(psi_t^2-2*Tabella34[[#This Row],[c_t]])</f>
        <v>4.0926563090678885</v>
      </c>
      <c r="U62" s="245">
        <f>-psi_t-SQRT(psi_t^2-2*Tabella34[[#This Row],[c_t]])</f>
        <v>-4.1420490434876926</v>
      </c>
      <c r="V62" s="245">
        <f>phi_t-LN(alpha*Kt/(Tabella34[[#This Row],[Italy velocity]]*psi_t*SQRTPI(2)))</f>
        <v>-8.4759915751492603</v>
      </c>
      <c r="W62" s="245" t="e">
        <f>Tabella34[[#This Row],[Italy g.r.]]/Italy_gr_at_lockdown</f>
        <v>#DIV/0!</v>
      </c>
      <c r="X62" s="244">
        <f>(ACOSH(SQRT(alpha*Kf*psi_f/(Tabella34[[#This Row],[Italy velocity]]*(1+TANH(phi_f)))))+phi_f)/psi_f-(Tabella34[[#This Row],[Day]]-pf)</f>
        <v>146.6363920468043</v>
      </c>
      <c r="Y62" s="245">
        <f>Tabella34[[#This Row],[Italy h.t.]]/Italy_ht_at_lockdown</f>
        <v>1.2684413249568891</v>
      </c>
      <c r="Z62" s="72">
        <f>-2*$BY$48*TANH($BY$48*(Tabella34[[#This Row],[Day]]-$BY$57)-$BY$47)*Tabella34[[#This Row],[Italy velocity]]</f>
        <v>19.628313417249867</v>
      </c>
      <c r="AA62" s="176">
        <f>Tabella34[[#This Row],[Italy acc. fit]]/Itali_acc_at_lockdown</f>
        <v>0.54359157290773996</v>
      </c>
      <c r="AB62" s="177">
        <f>Tabella34[[#This Row],[Italy acc. fit]]/y_f_peak</f>
        <v>6.5397061787493566E-3</v>
      </c>
      <c r="AC62" s="178">
        <f>Tabella34[[#This Row],[Italy (fit of selected region + fitted sum of the other regions)]]*NOT(ISBLANK(Tabella34[[#This Row],[Italy rate data]]))</f>
        <v>19.67286136660303</v>
      </c>
      <c r="AD62" s="178">
        <f>Tabella34[[#This Row],[Italy acc. fit]]*NOT(ISBLANK(Tabella34[[#This Row],[Italy rate data]]))</f>
        <v>19.628313417249867</v>
      </c>
      <c r="AE62" s="177">
        <f>Tabella34[[#This Row],[Italy acc. fit]]+CIf</f>
        <v>1735.2431727518012</v>
      </c>
      <c r="AF62" s="177">
        <f>MAX(Tabella34[[#This Row],[Italy acc. fit]]-CIf,0)</f>
        <v>0</v>
      </c>
      <c r="AG62" s="180">
        <f>Tabella8[[#This Row],[region data]]</f>
        <v>0</v>
      </c>
      <c r="AH62" s="181"/>
      <c r="AI62" s="181"/>
      <c r="AJ62" s="177">
        <f>Tabella34[[#This Row],[selected region rate data]]*NOT(ISBLANK(Tabella34[[#This Row],[selected region rate data]]))</f>
        <v>0</v>
      </c>
      <c r="AK62" s="177">
        <f>Tabella8[[#This Row],[region fit]]</f>
        <v>0</v>
      </c>
      <c r="AL62" s="143">
        <f>(ATANH(alpha*Tabella34[[#This Row],[sel. region cumul. fit]]/Kl-(1-alpha*Tabella34[[#This Row],[sel. region cumul. fit]]/Kl)*TANH(phi_l))+phi_l)/psi_l-(Tabella34[[#This Row],[Day]]-pl)</f>
        <v>20.240334693239106</v>
      </c>
      <c r="AM62" s="177">
        <f>Tabella34[[#This Row],[sel. region cumul. fit]]/Kl</f>
        <v>0</v>
      </c>
      <c r="AN62" s="143">
        <f>Tabella3[[#This Row],[region fit]]</f>
        <v>14.865479662063601</v>
      </c>
      <c r="AO62" s="185" t="e">
        <f>Tabella34[[#This Row],[sel. region velocity]]/Tabella34[[#This Row],[sel. region cumul. fit]]</f>
        <v>#DIV/0!</v>
      </c>
      <c r="AP62" s="240" t="e">
        <f>(LN(Tabella34[[#This Row],[Day]]-pr)-phi_r)/psi_r</f>
        <v>#NUM!</v>
      </c>
      <c r="AQ62" s="245">
        <f>EXP(phi_r+psi_r*Tabella34[[#This Row],[x_r_alpha©+plus]])-(Tabella34[[#This Row],[Day]]-pr)</f>
        <v>23.99607772665</v>
      </c>
      <c r="AR62" s="245">
        <f>EXP(phi_r+psi_r*Tabella34[[#This Row],[x_r_alpha©-minus]])-(Tabella34[[#This Row],[Day]]-pr)</f>
        <v>23.215174757619462</v>
      </c>
      <c r="AS62" s="245">
        <f>-psi_r+SQRT(psi_r^2-2*Tabella34[[#This Row],[c_r]])</f>
        <v>4.1040977022979357</v>
      </c>
      <c r="AT62" s="245">
        <f>-psi_r-SQRT(psi_r^2-2*Tabella34[[#This Row],[c_r]])</f>
        <v>-4.1605059407165976</v>
      </c>
      <c r="AU62" s="245">
        <f>phi_r-LN(alpha*Kr/(Tabella34[[#This Row],[sel. region velocity]]*psi_r*SQRTPI(2)))</f>
        <v>-8.5375614358459497</v>
      </c>
      <c r="AV62" s="244">
        <f>(ACOSH(SQRT(alpha*Kl*psi_l/(Tabella34[[#This Row],[sel. region velocity]]*(1+TANH(phi_l)))))+phi_l)/psi_l-(Tabella34[[#This Row],[Day]]-pl)</f>
        <v>138.906217160734</v>
      </c>
      <c r="AW62" s="72">
        <f>-2*$BY$22*TANH($BY$22*(Tabella34[[#This Row],[Day]]-$BY$31)-$BY$21)*Tabella34[[#This Row],[sel. region velocity]]</f>
        <v>0.79201543142524244</v>
      </c>
      <c r="AX62" s="177">
        <f>Tabella34[[#This Row],[sel. region acc. fit]]/y_l_peak</f>
        <v>5.7476022238100166E-3</v>
      </c>
      <c r="AY62" s="178">
        <f>Tabella34[[#This Row],[sel. region acc. fit]]*NOT(ISBLANK(Tabella34[[#This Row],[selected region rate data]]))</f>
        <v>0</v>
      </c>
      <c r="AZ62" s="177">
        <f>Tabella34[[#This Row],[sel. region acc. fit]]+CIl</f>
        <v>54.556855840973697</v>
      </c>
      <c r="BA62" s="177">
        <f>MAX(Tabella34[[#This Row],[sel. region acc. fit]]-CIl,0)</f>
        <v>0</v>
      </c>
      <c r="BB62" s="175">
        <f>Tabella8[[#This Row],[rest of Italy ]]</f>
        <v>8</v>
      </c>
      <c r="BC62" s="181"/>
      <c r="BD62" s="181"/>
      <c r="BE62" s="177">
        <f>Tabella34[[#This Row],[rest of Italy rate data]]*NOT(ISBLANK(Tabella34[[#This Row],[rest of Italy rate data]]))</f>
        <v>0</v>
      </c>
      <c r="BF62" s="177">
        <f>Tabella8[[#This Row],[rest of Italy fit]]</f>
        <v>0</v>
      </c>
      <c r="BG62" s="78">
        <f>(ATANH(alpha*Tabella34[[#This Row],[rest of Italy cumul. fit]]/Ka-(1-alpha*Tabella34[[#This Row],[rest of Italy cumul. fit]]/Ka)*TANH(phi_a))+phi_a)/psi_a-(Tabella34[[#This Row],[Day]]-pa)</f>
        <v>14.695444456084331</v>
      </c>
      <c r="BH62" s="177">
        <f>Tabella34[[#This Row],[rest of Italy cumul. fit]]/Ka</f>
        <v>0</v>
      </c>
      <c r="BI62" s="143">
        <f>Tabella3[[#This Row],[rest of Italy fit]]</f>
        <v>416.63005840073617</v>
      </c>
      <c r="BJ62" s="184" t="e">
        <f>Tabella34[[#This Row],[rest of Italy velocity]]/Tabella34[[#This Row],[rest of Italy cumul. fit]]</f>
        <v>#DIV/0!</v>
      </c>
      <c r="BK62" s="237" t="e">
        <f>(LN(Tabella34[[#This Row],[Day]]-po)-phi_o)/psi_o</f>
        <v>#NUM!</v>
      </c>
      <c r="BL62" s="245">
        <f>EXP(phi_o+psi_o*Tabella34[[#This Row],[x_o_alpha©+plus]])-(Tabella34[[#This Row],[Day]]-po)</f>
        <v>18.584554485733992</v>
      </c>
      <c r="BM62" s="245">
        <f>EXP(phi_o+psi_o*Tabella34[[#This Row],[x_o_alpha©-minus]])-(Tabella34[[#This Row],[Day]]-po)</f>
        <v>17.87366084257129</v>
      </c>
      <c r="BN62" s="245">
        <f>-psi_o+SQRT(psi_o^2-2*Tabella34[[#This Row],[c_o]])</f>
        <v>4.0928063075245253</v>
      </c>
      <c r="BO62" s="245">
        <f>-psi_o-SQRT(psi_o^2-2*Tabella34[[#This Row],[c_o]])</f>
        <v>-4.1418333930941538</v>
      </c>
      <c r="BP62" s="245">
        <f>phi_o-LN(alpha*Ko/(Tabella34[[#This Row],[rest of Italy velocity]]*psi_o*SQRTPI(2)))</f>
        <v>-8.4758609179857292</v>
      </c>
      <c r="BQ62" s="245">
        <f>(ACOSH(SQRT(alpha*Ka*psi_a/(Tabella34[[#This Row],[rest of Italy velocity]]*(1+TANH(phi_a)))))+phi_a)/psi_a-(Tabella34[[#This Row],[Day]]-pa)</f>
        <v>146.96348626571574</v>
      </c>
      <c r="BR62" s="72">
        <f>-2*$BY$35*TANH($BY$35*(Tabella34[[#This Row],[Day]]-$BY$44)-$BY$34)*Tabella34[[#This Row],[rest of Italy velocity]]</f>
        <v>18.880845935177788</v>
      </c>
      <c r="BS62" s="177">
        <f>Tabella34[[#This Row],[rest of Italy acc. fit]]/y_a_peak</f>
        <v>6.5975622073546738E-3</v>
      </c>
      <c r="BT62" s="177">
        <f>Tabella34[[#This Row],[rest of Italy acc. fit]]*NOT(ISBLANK(Tabella34[[#This Row],[rest of Italy rate data]]))</f>
        <v>0</v>
      </c>
      <c r="BU62" s="177">
        <f>Tabella34[[#This Row],[rest of Italy acc. fit]]+CIa</f>
        <v>1713.4550408447606</v>
      </c>
      <c r="BV62" s="182">
        <f>MAX(Tabella34[[#This Row],[rest of Italy acc. fit]]-CIa,0)</f>
        <v>0</v>
      </c>
    </row>
    <row r="63" spans="2:79" x14ac:dyDescent="0.3">
      <c r="B63" s="262">
        <v>43886</v>
      </c>
      <c r="C63" s="29">
        <v>56</v>
      </c>
      <c r="D63" s="10">
        <f>Tabella8[[#This Row],[Italy cumulative]]</f>
        <v>11</v>
      </c>
      <c r="E63" s="72">
        <f>(Tabella34[[#This Row],[Italy cumul. data]]-D62)</f>
        <v>3</v>
      </c>
      <c r="F63" s="72">
        <f>Tabella34[[#This Row],[Italy rate data]]-E62</f>
        <v>-5</v>
      </c>
      <c r="G63" s="77">
        <f>Tabella34[[#This Row],[Italy rate data]]*NOT(ISBLANK(Tabella34[[#This Row],[Italy rate data]]))</f>
        <v>3</v>
      </c>
      <c r="H63" s="143">
        <f>Tabella8[[#This Row],[Italy fit]]</f>
        <v>0</v>
      </c>
      <c r="I63" s="143">
        <f>(ATANH(alpha*Tabella34[[#This Row],[Italy cumul. Fit]]/Kf-(1-alpha*Tabella34[[#This Row],[Italy cumul. Fit]]/Kf)*TANH(phi_f))+phi_f)/psi_f-(Tabella34[[#This Row],[Day]]-pf)</f>
        <v>13.844294912230211</v>
      </c>
      <c r="J63" s="143">
        <f>Tabella34[[#This Row],[Italy d.t.]]/Italy_dt_at_lockdown</f>
        <v>12.555902390380963</v>
      </c>
      <c r="K63" s="77">
        <f>Tabella34[[#This Row],[Italy cumul. Fit]]/Kf</f>
        <v>0</v>
      </c>
      <c r="L63" s="146">
        <f>Tabella34[[#This Row],[sel. region acc. fit]]+Tabella34[[#This Row],[rest of Italy acc. fit]]</f>
        <v>20.50891752326417</v>
      </c>
      <c r="M63" s="77">
        <f>Tabella34[[#This Row],[Italy (fit of selected region + fitted sum of the other regions)]]/(y_l_peak+y_a_peak)</f>
        <v>6.8372390145187839E-3</v>
      </c>
      <c r="N63" s="143">
        <f>Tabella3[[#This Row],[Italy remov. rate fit]]</f>
        <v>449.31933719618542</v>
      </c>
      <c r="O63" s="143" t="e">
        <f>Kt*EXP(-0.5*Tabella34[[#This Row],[x_t]]^2)/(psi_t*SQRTPI(2)*(Tabella34[[#This Row],[Day]]-D_bk))</f>
        <v>#NUM!</v>
      </c>
      <c r="P63" s="183" t="e">
        <f>Tabella34[[#This Row],[Italy velocity]]/Tabella34[[#This Row],[Italy cumul. Fit]]</f>
        <v>#DIV/0!</v>
      </c>
      <c r="Q63" s="244" t="e">
        <f>(LN(Tabella34[[#This Row],[Day]]-D_bk)-phi_t)/psi_t</f>
        <v>#NUM!</v>
      </c>
      <c r="R63" s="244">
        <f>EXP(phi_t+psi_t*Tabella34[[#This Row],[x_t_alpha©+plus]])-(Tabella34[[#This Row],[Day]]-D_bk)</f>
        <v>17.747794216963225</v>
      </c>
      <c r="S63" s="244">
        <f>EXP(phi_t+psi_t*Tabella34[[#This Row],[x_t_alpha©-minus]])-(Tabella34[[#This Row],[Day]]-D_bk)</f>
        <v>17.031212885492977</v>
      </c>
      <c r="T63" s="244">
        <f>-psi_t+SQRT(psi_t^2-2*Tabella34[[#This Row],[c_t]])</f>
        <v>4.0815575921745193</v>
      </c>
      <c r="U63" s="244">
        <f>-psi_t-SQRT(psi_t^2-2*Tabella34[[#This Row],[c_t]])</f>
        <v>-4.1309503265943235</v>
      </c>
      <c r="V63" s="244">
        <f>phi_t-LN(alpha*Kt/(Tabella34[[#This Row],[Italy velocity]]*psi_t*SQRTPI(2)))</f>
        <v>-8.4303558342034375</v>
      </c>
      <c r="W63" s="244" t="e">
        <f>Tabella34[[#This Row],[Italy g.r.]]/Italy_gr_at_lockdown</f>
        <v>#DIV/0!</v>
      </c>
      <c r="X63" s="244">
        <f>(ACOSH(SQRT(alpha*Kf*psi_f/(Tabella34[[#This Row],[Italy velocity]]*(1+TANH(phi_f)))))+phi_f)/psi_f-(Tabella34[[#This Row],[Day]]-pf)</f>
        <v>144.67667770125553</v>
      </c>
      <c r="Y63" s="244">
        <f>Tabella34[[#This Row],[Italy h.t.]]/Italy_ht_at_lockdown</f>
        <v>1.2514893076144855</v>
      </c>
      <c r="Z63" s="72">
        <f>-2*$BY$48*TANH($BY$48*(Tabella34[[#This Row],[Day]]-$BY$57)-$BY$47)*Tabella34[[#This Row],[Italy velocity]]</f>
        <v>20.464612005429149</v>
      </c>
      <c r="AA63" s="72">
        <f>Tabella34[[#This Row],[Italy acc. fit]]/Itali_acc_at_lockdown</f>
        <v>0.5667522416470816</v>
      </c>
      <c r="AB63" s="77">
        <f>Tabella34[[#This Row],[Italy acc. fit]]/y_f_peak</f>
        <v>6.8183417868189211E-3</v>
      </c>
      <c r="AC63" s="143">
        <f>Tabella34[[#This Row],[Italy (fit of selected region + fitted sum of the other regions)]]*NOT(ISBLANK(Tabella34[[#This Row],[Italy rate data]]))</f>
        <v>20.50891752326417</v>
      </c>
      <c r="AD63" s="143">
        <f>Tabella34[[#This Row],[Italy acc. fit]]*NOT(ISBLANK(Tabella34[[#This Row],[Italy rate data]]))</f>
        <v>20.464612005429149</v>
      </c>
      <c r="AE63" s="77">
        <f>Tabella34[[#This Row],[Italy acc. fit]]+CIf</f>
        <v>1736.0794713399805</v>
      </c>
      <c r="AF63" s="77">
        <f>MAX(Tabella34[[#This Row],[Italy acc. fit]]-CIf,0)</f>
        <v>0</v>
      </c>
      <c r="AG63" s="4">
        <f>Tabella8[[#This Row],[region data]]</f>
        <v>0</v>
      </c>
      <c r="AH63" s="72">
        <f>(Tabella34[[#This Row],[selected region cumul. data]]-AG62)</f>
        <v>0</v>
      </c>
      <c r="AI63" s="33"/>
      <c r="AJ63" s="77">
        <f>Tabella34[[#This Row],[selected region rate data]]*NOT(ISBLANK(Tabella34[[#This Row],[selected region rate data]]))</f>
        <v>0</v>
      </c>
      <c r="AK63" s="77">
        <f>Tabella8[[#This Row],[region fit]]</f>
        <v>0</v>
      </c>
      <c r="AL63" s="143">
        <f>(ATANH(alpha*Tabella34[[#This Row],[sel. region cumul. fit]]/Kl-(1-alpha*Tabella34[[#This Row],[sel. region cumul. fit]]/Kl)*TANH(phi_l))+phi_l)/psi_l-(Tabella34[[#This Row],[Day]]-pl)</f>
        <v>19.240334693239106</v>
      </c>
      <c r="AM63" s="77">
        <f>Tabella34[[#This Row],[sel. region cumul. fit]]/Kl</f>
        <v>0</v>
      </c>
      <c r="AN63" s="143">
        <f>Tabella3[[#This Row],[region fit]]</f>
        <v>15.67760406574914</v>
      </c>
      <c r="AO63" s="186" t="e">
        <f>Tabella34[[#This Row],[sel. region velocity]]/Tabella34[[#This Row],[sel. region cumul. fit]]</f>
        <v>#DIV/0!</v>
      </c>
      <c r="AP63" s="241" t="e">
        <f>(LN(Tabella34[[#This Row],[Day]]-pr)-phi_r)/psi_r</f>
        <v>#NUM!</v>
      </c>
      <c r="AQ63" s="244">
        <f>EXP(phi_r+psi_r*Tabella34[[#This Row],[x_r_alpha©+plus]])-(Tabella34[[#This Row],[Day]]-pr)</f>
        <v>22.9947123342689</v>
      </c>
      <c r="AR63" s="244">
        <f>EXP(phi_r+psi_r*Tabella34[[#This Row],[x_r_alpha©-minus]])-(Tabella34[[#This Row],[Day]]-pr)</f>
        <v>22.216256647708118</v>
      </c>
      <c r="AS63" s="244">
        <f>-psi_r+SQRT(psi_r^2-2*Tabella34[[#This Row],[c_r]])</f>
        <v>4.0912054730768865</v>
      </c>
      <c r="AT63" s="244">
        <f>-psi_r-SQRT(psi_r^2-2*Tabella34[[#This Row],[c_r]])</f>
        <v>-4.1476137114955485</v>
      </c>
      <c r="AU63" s="244">
        <f>phi_r-LN(alpha*Kr/(Tabella34[[#This Row],[sel. region velocity]]*psi_r*SQRTPI(2)))</f>
        <v>-8.4843699583396628</v>
      </c>
      <c r="AV63" s="244">
        <f>(ACOSH(SQRT(alpha*Kl*psi_l/(Tabella34[[#This Row],[sel. region velocity]]*(1+TANH(phi_l)))))+phi_l)/psi_l-(Tabella34[[#This Row],[Day]]-pl)</f>
        <v>136.93598537929813</v>
      </c>
      <c r="AW63" s="72">
        <f>-2*$BY$22*TANH($BY$22*(Tabella34[[#This Row],[Day]]-$BY$31)-$BY$21)*Tabella34[[#This Row],[sel. region velocity]]</f>
        <v>0.83252087612702441</v>
      </c>
      <c r="AX63" s="77">
        <f>Tabella34[[#This Row],[sel. region acc. fit]]/y_l_peak</f>
        <v>6.041547486499447E-3</v>
      </c>
      <c r="AY63" s="143">
        <f>Tabella34[[#This Row],[sel. region acc. fit]]*NOT(ISBLANK(Tabella34[[#This Row],[selected region rate data]]))</f>
        <v>0.83252087612702441</v>
      </c>
      <c r="AZ63" s="77">
        <f>Tabella34[[#This Row],[sel. region acc. fit]]+CIl</f>
        <v>54.597361285675483</v>
      </c>
      <c r="BA63" s="77">
        <f>MAX(Tabella34[[#This Row],[sel. region acc. fit]]-CIl,0)</f>
        <v>0</v>
      </c>
      <c r="BB63" s="10">
        <f>Tabella8[[#This Row],[rest of Italy ]]</f>
        <v>11</v>
      </c>
      <c r="BC63" s="10">
        <f>(Tabella34[[#This Row],[rest of Italy cum. Data]]-BB62)</f>
        <v>3</v>
      </c>
      <c r="BD63" s="33"/>
      <c r="BE63" s="77">
        <f>Tabella34[[#This Row],[rest of Italy rate data]]*NOT(ISBLANK(Tabella34[[#This Row],[rest of Italy rate data]]))</f>
        <v>3</v>
      </c>
      <c r="BF63" s="77">
        <f>Tabella8[[#This Row],[rest of Italy fit]]</f>
        <v>0</v>
      </c>
      <c r="BG63" s="78">
        <f>(ATANH(alpha*Tabella34[[#This Row],[rest of Italy cumul. fit]]/Ka-(1-alpha*Tabella34[[#This Row],[rest of Italy cumul. fit]]/Ka)*TANH(phi_a))+phi_a)/psi_a-(Tabella34[[#This Row],[Day]]-pa)</f>
        <v>13.695444456084331</v>
      </c>
      <c r="BH63" s="77">
        <f>Tabella34[[#This Row],[rest of Italy cumul. fit]]/Ka</f>
        <v>0</v>
      </c>
      <c r="BI63" s="143">
        <f>Tabella3[[#This Row],[rest of Italy fit]]</f>
        <v>435.90654379101215</v>
      </c>
      <c r="BJ63" s="183" t="e">
        <f>Tabella34[[#This Row],[rest of Italy velocity]]/Tabella34[[#This Row],[rest of Italy cumul. fit]]</f>
        <v>#DIV/0!</v>
      </c>
      <c r="BK63" s="236" t="e">
        <f>(LN(Tabella34[[#This Row],[Day]]-po)-phi_o)/psi_o</f>
        <v>#NUM!</v>
      </c>
      <c r="BL63" s="244">
        <f>EXP(phi_o+psi_o*Tabella34[[#This Row],[x_o_alpha©+plus]])-(Tabella34[[#This Row],[Day]]-po)</f>
        <v>17.583505951743877</v>
      </c>
      <c r="BM63" s="244">
        <f>EXP(phi_o+psi_o*Tabella34[[#This Row],[x_o_alpha©-minus]])-(Tabella34[[#This Row],[Day]]-po)</f>
        <v>16.874517945246467</v>
      </c>
      <c r="BN63" s="244">
        <f>-psi_o+SQRT(psi_o^2-2*Tabella34[[#This Row],[c_o]])</f>
        <v>4.0818065084376824</v>
      </c>
      <c r="BO63" s="244">
        <f>-psi_o-SQRT(psi_o^2-2*Tabella34[[#This Row],[c_o]])</f>
        <v>-4.1308335940073109</v>
      </c>
      <c r="BP63" s="244">
        <f>phi_o-LN(alpha*Ko/(Tabella34[[#This Row],[rest of Italy velocity]]*psi_o*SQRTPI(2)))</f>
        <v>-8.4306317246460321</v>
      </c>
      <c r="BQ63" s="244">
        <f>(ACOSH(SQRT(alpha*Ka*psi_a/(Tabella34[[#This Row],[rest of Italy velocity]]*(1+TANH(phi_a)))))+phi_a)/psi_a-(Tabella34[[#This Row],[Day]]-pa)</f>
        <v>145.004558103249</v>
      </c>
      <c r="BR63" s="72">
        <f>-2*$BY$35*TANH($BY$35*(Tabella34[[#This Row],[Day]]-$BY$44)-$BY$34)*Tabella34[[#This Row],[rest of Italy velocity]]</f>
        <v>19.676396647137146</v>
      </c>
      <c r="BS63" s="77">
        <f>Tabella34[[#This Row],[rest of Italy acc. fit]]/y_a_peak</f>
        <v>6.8755526813661198E-3</v>
      </c>
      <c r="BT63" s="77">
        <f>Tabella34[[#This Row],[rest of Italy acc. fit]]*NOT(ISBLANK(Tabella34[[#This Row],[rest of Italy rate data]]))</f>
        <v>19.676396647137146</v>
      </c>
      <c r="BU63" s="77">
        <f>Tabella34[[#This Row],[rest of Italy acc. fit]]+CIa</f>
        <v>1714.2505915567199</v>
      </c>
      <c r="BV63" s="77">
        <f>MAX(Tabella34[[#This Row],[rest of Italy acc. fit]]-CIa,0)</f>
        <v>0</v>
      </c>
    </row>
    <row r="64" spans="2:79" x14ac:dyDescent="0.3">
      <c r="B64" s="262">
        <v>43887</v>
      </c>
      <c r="C64" s="29">
        <v>57</v>
      </c>
      <c r="D64" s="10">
        <f>Tabella8[[#This Row],[Italy cumulative]]</f>
        <v>15</v>
      </c>
      <c r="E64" s="72">
        <f>(Tabella34[[#This Row],[Italy cumul. data]]-D63)</f>
        <v>4</v>
      </c>
      <c r="F64" s="72">
        <f>Tabella34[[#This Row],[Italy rate data]]-E63</f>
        <v>1</v>
      </c>
      <c r="G64" s="77">
        <f>Tabella34[[#This Row],[Italy rate data]]*NOT(ISBLANK(Tabella34[[#This Row],[Italy rate data]]))</f>
        <v>4</v>
      </c>
      <c r="H64" s="143">
        <f>Tabella8[[#This Row],[Italy fit]]</f>
        <v>0</v>
      </c>
      <c r="I64" s="143">
        <f>(ATANH(alpha*Tabella34[[#This Row],[Italy cumul. Fit]]/Kf-(1-alpha*Tabella34[[#This Row],[Italy cumul. Fit]]/Kf)*TANH(phi_f))+phi_f)/psi_f-(Tabella34[[#This Row],[Day]]-pf)</f>
        <v>12.844294912230211</v>
      </c>
      <c r="J64" s="143">
        <f>Tabella34[[#This Row],[Italy d.t.]]/Italy_dt_at_lockdown</f>
        <v>11.648965455709849</v>
      </c>
      <c r="K64" s="77">
        <f>Tabella34[[#This Row],[Italy cumul. Fit]]/Kf</f>
        <v>0</v>
      </c>
      <c r="L64" s="146">
        <f>Tabella34[[#This Row],[sel. region acc. fit]]+Tabella34[[#This Row],[rest of Italy acc. fit]]</f>
        <v>21.372394311292044</v>
      </c>
      <c r="M64" s="77">
        <f>Tabella34[[#This Row],[Italy (fit of selected region + fitted sum of the other regions)]]/(y_l_peak+y_a_peak)</f>
        <v>7.1251038994664465E-3</v>
      </c>
      <c r="N64" s="143">
        <f>Tabella3[[#This Row],[Italy remov. rate fit]]</f>
        <v>470.21355083131419</v>
      </c>
      <c r="O64" s="143" t="e">
        <f>Kt*EXP(-0.5*Tabella34[[#This Row],[x_t]]^2)/(psi_t*SQRTPI(2)*(Tabella34[[#This Row],[Day]]-D_bk))</f>
        <v>#NUM!</v>
      </c>
      <c r="P64" s="183" t="e">
        <f>Tabella34[[#This Row],[Italy velocity]]/Tabella34[[#This Row],[Italy cumul. Fit]]</f>
        <v>#DIV/0!</v>
      </c>
      <c r="Q64" s="244" t="e">
        <f>(LN(Tabella34[[#This Row],[Day]]-D_bk)-phi_t)/psi_t</f>
        <v>#NUM!</v>
      </c>
      <c r="R64" s="244">
        <f>EXP(phi_t+psi_t*Tabella34[[#This Row],[x_t_alpha©+plus]])-(Tabella34[[#This Row],[Day]]-D_bk)</f>
        <v>16.746725821569807</v>
      </c>
      <c r="S64" s="244">
        <f>EXP(phi_t+psi_t*Tabella34[[#This Row],[x_t_alpha©-minus]])-(Tabella34[[#This Row],[Day]]-D_bk)</f>
        <v>16.032085389980807</v>
      </c>
      <c r="T64" s="244">
        <f>-psi_t+SQRT(psi_t^2-2*Tabella34[[#This Row],[c_t]])</f>
        <v>4.0704733943855302</v>
      </c>
      <c r="U64" s="244">
        <f>-psi_t-SQRT(psi_t^2-2*Tabella34[[#This Row],[c_t]])</f>
        <v>-4.1198661288053344</v>
      </c>
      <c r="V64" s="244">
        <f>phi_t-LN(alpha*Kt/(Tabella34[[#This Row],[Italy velocity]]*psi_t*SQRTPI(2)))</f>
        <v>-8.3849027328661112</v>
      </c>
      <c r="W64" s="244" t="e">
        <f>Tabella34[[#This Row],[Italy g.r.]]/Italy_gr_at_lockdown</f>
        <v>#DIV/0!</v>
      </c>
      <c r="X64" s="244">
        <f>(ACOSH(SQRT(alpha*Kf*psi_f/(Tabella34[[#This Row],[Italy velocity]]*(1+TANH(phi_f)))))+phi_f)/psi_f-(Tabella34[[#This Row],[Day]]-pf)</f>
        <v>142.71904120043303</v>
      </c>
      <c r="Y64" s="244">
        <f>Tabella34[[#This Row],[Italy h.t.]]/Italy_ht_at_lockdown</f>
        <v>1.2345552641466493</v>
      </c>
      <c r="Z64" s="72">
        <f>-2*$BY$48*TANH($BY$48*(Tabella34[[#This Row],[Day]]-$BY$57)-$BY$47)*Tabella34[[#This Row],[Italy velocity]]</f>
        <v>21.328407041190356</v>
      </c>
      <c r="AA64" s="72">
        <f>Tabella34[[#This Row],[Italy acc. fit]]/Itali_acc_at_lockdown</f>
        <v>0.59067440409567373</v>
      </c>
      <c r="AB64" s="77">
        <f>Tabella34[[#This Row],[Italy acc. fit]]/y_f_peak</f>
        <v>7.1061385838466339E-3</v>
      </c>
      <c r="AC64" s="143">
        <f>Tabella34[[#This Row],[Italy (fit of selected region + fitted sum of the other regions)]]*NOT(ISBLANK(Tabella34[[#This Row],[Italy rate data]]))</f>
        <v>21.372394311292044</v>
      </c>
      <c r="AD64" s="143">
        <f>Tabella34[[#This Row],[Italy acc. fit]]*NOT(ISBLANK(Tabella34[[#This Row],[Italy rate data]]))</f>
        <v>21.328407041190356</v>
      </c>
      <c r="AE64" s="77">
        <f>Tabella34[[#This Row],[Italy acc. fit]]+CIf</f>
        <v>1736.9432663757416</v>
      </c>
      <c r="AF64" s="77">
        <f>MAX(Tabella34[[#This Row],[Italy acc. fit]]-CIf,0)</f>
        <v>0</v>
      </c>
      <c r="AG64" s="4">
        <f>Tabella8[[#This Row],[region data]]</f>
        <v>0</v>
      </c>
      <c r="AH64" s="72">
        <f>(Tabella34[[#This Row],[selected region cumul. data]]-AG63)</f>
        <v>0</v>
      </c>
      <c r="AI64" s="72">
        <f>Tabella34[[#This Row],[selected region rate data]]-AH63</f>
        <v>0</v>
      </c>
      <c r="AJ64" s="77">
        <f>Tabella34[[#This Row],[selected region rate data]]*NOT(ISBLANK(Tabella34[[#This Row],[selected region rate data]]))</f>
        <v>0</v>
      </c>
      <c r="AK64" s="77">
        <f>Tabella8[[#This Row],[region fit]]</f>
        <v>0</v>
      </c>
      <c r="AL64" s="143">
        <f>(ATANH(alpha*Tabella34[[#This Row],[sel. region cumul. fit]]/Kl-(1-alpha*Tabella34[[#This Row],[sel. region cumul. fit]]/Kl)*TANH(phi_l))+phi_l)/psi_l-(Tabella34[[#This Row],[Day]]-pl)</f>
        <v>18.240334693239106</v>
      </c>
      <c r="AM64" s="77">
        <f>Tabella34[[#This Row],[sel. region cumul. fit]]/Kl</f>
        <v>0</v>
      </c>
      <c r="AN64" s="143">
        <f>Tabella3[[#This Row],[region fit]]</f>
        <v>16.531102973403353</v>
      </c>
      <c r="AO64" s="186" t="e">
        <f>Tabella34[[#This Row],[sel. region velocity]]/Tabella34[[#This Row],[sel. region cumul. fit]]</f>
        <v>#DIV/0!</v>
      </c>
      <c r="AP64" s="241" t="e">
        <f>(LN(Tabella34[[#This Row],[Day]]-pr)-phi_r)/psi_r</f>
        <v>#NUM!</v>
      </c>
      <c r="AQ64" s="244">
        <f>EXP(phi_r+psi_r*Tabella34[[#This Row],[x_r_alpha©+plus]])-(Tabella34[[#This Row],[Day]]-pr)</f>
        <v>21.993347820639606</v>
      </c>
      <c r="AR64" s="244">
        <f>EXP(phi_r+psi_r*Tabella34[[#This Row],[x_r_alpha©-minus]])-(Tabella34[[#This Row],[Day]]-pr)</f>
        <v>21.217338627954053</v>
      </c>
      <c r="AS64" s="244">
        <f>-psi_r+SQRT(psi_r^2-2*Tabella34[[#This Row],[c_r]])</f>
        <v>4.0783168561825693</v>
      </c>
      <c r="AT64" s="244">
        <f>-psi_r-SQRT(psi_r^2-2*Tabella34[[#This Row],[c_r]])</f>
        <v>-4.1347250946012313</v>
      </c>
      <c r="AU64" s="244">
        <f>phi_r-LN(alpha*Kr/(Tabella34[[#This Row],[sel. region velocity]]*psi_r*SQRTPI(2)))</f>
        <v>-8.4313595244966333</v>
      </c>
      <c r="AV64" s="244">
        <f>(ACOSH(SQRT(alpha*Kl*psi_l/(Tabella34[[#This Row],[sel. region velocity]]*(1+TANH(phi_l)))))+phi_l)/psi_l-(Tabella34[[#This Row],[Day]]-pl)</f>
        <v>134.96750583457396</v>
      </c>
      <c r="AW64" s="72">
        <f>-2*$BY$22*TANH($BY$22*(Tabella34[[#This Row],[Day]]-$BY$31)-$BY$21)*Tabella34[[#This Row],[sel. region velocity]]</f>
        <v>0.87477088128574398</v>
      </c>
      <c r="AX64" s="77">
        <f>Tabella34[[#This Row],[sel. region acc. fit]]/y_l_peak</f>
        <v>6.3481529060040323E-3</v>
      </c>
      <c r="AY64" s="143">
        <f>Tabella34[[#This Row],[sel. region acc. fit]]*NOT(ISBLANK(Tabella34[[#This Row],[selected region rate data]]))</f>
        <v>0.87477088128574398</v>
      </c>
      <c r="AZ64" s="77">
        <f>Tabella34[[#This Row],[sel. region acc. fit]]+CIl</f>
        <v>54.639611290834196</v>
      </c>
      <c r="BA64" s="77">
        <f>MAX(Tabella34[[#This Row],[sel. region acc. fit]]-CIl,0)</f>
        <v>0</v>
      </c>
      <c r="BB64" s="10">
        <f>Tabella8[[#This Row],[rest of Italy ]]</f>
        <v>15</v>
      </c>
      <c r="BC64" s="10">
        <f>(Tabella34[[#This Row],[rest of Italy cum. Data]]-BB63)</f>
        <v>4</v>
      </c>
      <c r="BD64" s="10">
        <f>Tabella34[[#This Row],[rest of Italy rate data]]-BC63</f>
        <v>1</v>
      </c>
      <c r="BE64" s="77">
        <f>Tabella34[[#This Row],[rest of Italy rate data]]*NOT(ISBLANK(Tabella34[[#This Row],[rest of Italy rate data]]))</f>
        <v>4</v>
      </c>
      <c r="BF64" s="77">
        <f>Tabella8[[#This Row],[rest of Italy fit]]</f>
        <v>0</v>
      </c>
      <c r="BG64" s="78">
        <f>(ATANH(alpha*Tabella34[[#This Row],[rest of Italy cumul. fit]]/Ka-(1-alpha*Tabella34[[#This Row],[rest of Italy cumul. fit]]/Ka)*TANH(phi_a))+phi_a)/psi_a-(Tabella34[[#This Row],[Day]]-pa)</f>
        <v>12.695444456084331</v>
      </c>
      <c r="BH64" s="77">
        <f>Tabella34[[#This Row],[rest of Italy cumul. fit]]/Ka</f>
        <v>0</v>
      </c>
      <c r="BI64" s="143">
        <f>Tabella3[[#This Row],[rest of Italy fit]]</f>
        <v>455.99141134913026</v>
      </c>
      <c r="BJ64" s="183" t="e">
        <f>Tabella34[[#This Row],[rest of Italy velocity]]/Tabella34[[#This Row],[rest of Italy cumul. fit]]</f>
        <v>#DIV/0!</v>
      </c>
      <c r="BK64" s="236" t="e">
        <f>(LN(Tabella34[[#This Row],[Day]]-po)-phi_o)/psi_o</f>
        <v>#NUM!</v>
      </c>
      <c r="BL64" s="244">
        <f>EXP(phi_o+psi_o*Tabella34[[#This Row],[x_o_alpha©+plus]])-(Tabella34[[#This Row],[Day]]-po)</f>
        <v>16.582459145175346</v>
      </c>
      <c r="BM64" s="244">
        <f>EXP(phi_o+psi_o*Tabella34[[#This Row],[x_o_alpha©-minus]])-(Tabella34[[#This Row],[Day]]-po)</f>
        <v>15.875374097146185</v>
      </c>
      <c r="BN64" s="244">
        <f>-psi_o+SQRT(psi_o^2-2*Tabella34[[#This Row],[c_o]])</f>
        <v>4.0708218716176336</v>
      </c>
      <c r="BO64" s="244">
        <f>-psi_o-SQRT(psi_o^2-2*Tabella34[[#This Row],[c_o]])</f>
        <v>-4.1198489571872621</v>
      </c>
      <c r="BP64" s="244">
        <f>phi_o-LN(alpha*Ko/(Tabella34[[#This Row],[rest of Italy velocity]]*psi_o*SQRTPI(2)))</f>
        <v>-8.3855856213395015</v>
      </c>
      <c r="BQ64" s="244">
        <f>(ACOSH(SQRT(alpha*Ka*psi_a/(Tabella34[[#This Row],[rest of Italy velocity]]*(1+TANH(phi_a)))))+phi_a)/psi_a-(Tabella34[[#This Row],[Day]]-pa)</f>
        <v>143.04773290421889</v>
      </c>
      <c r="BR64" s="72">
        <f>-2*$BY$35*TANH($BY$35*(Tabella34[[#This Row],[Day]]-$BY$44)-$BY$34)*Tabella34[[#This Row],[rest of Italy velocity]]</f>
        <v>20.4976234300063</v>
      </c>
      <c r="BS64" s="77">
        <f>Tabella34[[#This Row],[rest of Italy acc. fit]]/y_a_peak</f>
        <v>7.1625151832013945E-3</v>
      </c>
      <c r="BT64" s="77">
        <f>Tabella34[[#This Row],[rest of Italy acc. fit]]*NOT(ISBLANK(Tabella34[[#This Row],[rest of Italy rate data]]))</f>
        <v>20.4976234300063</v>
      </c>
      <c r="BU64" s="77">
        <f>Tabella34[[#This Row],[rest of Italy acc. fit]]+CIa</f>
        <v>1715.0718183395891</v>
      </c>
      <c r="BV64" s="77">
        <f>MAX(Tabella34[[#This Row],[rest of Italy acc. fit]]-CIa,0)</f>
        <v>0</v>
      </c>
    </row>
    <row r="65" spans="2:74" x14ac:dyDescent="0.3">
      <c r="B65" s="262">
        <v>43888</v>
      </c>
      <c r="C65" s="29">
        <v>58</v>
      </c>
      <c r="D65" s="10">
        <f>Tabella8[[#This Row],[Italy cumulative]]</f>
        <v>62</v>
      </c>
      <c r="E65" s="72">
        <f>(Tabella34[[#This Row],[Italy cumul. data]]-D64)</f>
        <v>47</v>
      </c>
      <c r="F65" s="72">
        <f>Tabella34[[#This Row],[Italy rate data]]-E64</f>
        <v>43</v>
      </c>
      <c r="G65" s="77">
        <f>Tabella34[[#This Row],[Italy rate data]]*NOT(ISBLANK(Tabella34[[#This Row],[Italy rate data]]))</f>
        <v>47</v>
      </c>
      <c r="H65" s="143">
        <f>Tabella8[[#This Row],[Italy fit]]</f>
        <v>0</v>
      </c>
      <c r="I65" s="143">
        <f>(ATANH(alpha*Tabella34[[#This Row],[Italy cumul. Fit]]/Kf-(1-alpha*Tabella34[[#This Row],[Italy cumul. Fit]]/Kf)*TANH(phi_f))+phi_f)/psi_f-(Tabella34[[#This Row],[Day]]-pf)</f>
        <v>11.844294912230211</v>
      </c>
      <c r="J65" s="143">
        <f>Tabella34[[#This Row],[Italy d.t.]]/Italy_dt_at_lockdown</f>
        <v>10.742028521038735</v>
      </c>
      <c r="K65" s="77">
        <f>Tabella34[[#This Row],[Italy cumul. Fit]]/Kf</f>
        <v>0</v>
      </c>
      <c r="L65" s="146">
        <f>Tabella34[[#This Row],[sel. region acc. fit]]+Tabella34[[#This Row],[rest of Italy acc. fit]]</f>
        <v>22.263362225525103</v>
      </c>
      <c r="M65" s="77">
        <f>Tabella34[[#This Row],[Italy (fit of selected region + fitted sum of the other regions)]]/(y_l_peak+y_a_peak)</f>
        <v>7.4221337440191172E-3</v>
      </c>
      <c r="N65" s="143">
        <f>Tabella3[[#This Row],[Italy remov. rate fit]]</f>
        <v>491.98534232424345</v>
      </c>
      <c r="O65" s="143" t="e">
        <f>Kt*EXP(-0.5*Tabella34[[#This Row],[x_t]]^2)/(psi_t*SQRTPI(2)*(Tabella34[[#This Row],[Day]]-D_bk))</f>
        <v>#NUM!</v>
      </c>
      <c r="P65" s="183" t="e">
        <f>Tabella34[[#This Row],[Italy velocity]]/Tabella34[[#This Row],[Italy cumul. Fit]]</f>
        <v>#DIV/0!</v>
      </c>
      <c r="Q65" s="244" t="e">
        <f>(LN(Tabella34[[#This Row],[Day]]-D_bk)-phi_t)/psi_t</f>
        <v>#NUM!</v>
      </c>
      <c r="R65" s="244">
        <f>EXP(phi_t+psi_t*Tabella34[[#This Row],[x_t_alpha©+plus]])-(Tabella34[[#This Row],[Day]]-D_bk)</f>
        <v>15.745659329250785</v>
      </c>
      <c r="S65" s="244">
        <f>EXP(phi_t+psi_t*Tabella34[[#This Row],[x_t_alpha©-minus]])-(Tabella34[[#This Row],[Day]]-D_bk)</f>
        <v>15.032956816921685</v>
      </c>
      <c r="T65" s="244">
        <f>-psi_t+SQRT(psi_t^2-2*Tabella34[[#This Row],[c_t]])</f>
        <v>4.0594059133656799</v>
      </c>
      <c r="U65" s="244">
        <f>-psi_t-SQRT(psi_t^2-2*Tabella34[[#This Row],[c_t]])</f>
        <v>-4.1087986477854841</v>
      </c>
      <c r="V65" s="244">
        <f>phi_t-LN(alpha*Kt/(Tabella34[[#This Row],[Italy velocity]]*psi_t*SQRTPI(2)))</f>
        <v>-8.3396407638246508</v>
      </c>
      <c r="W65" s="244" t="e">
        <f>Tabella34[[#This Row],[Italy g.r.]]/Italy_gr_at_lockdown</f>
        <v>#DIV/0!</v>
      </c>
      <c r="X65" s="244">
        <f>(ACOSH(SQRT(alpha*Kf*psi_f/(Tabella34[[#This Row],[Italy velocity]]*(1+TANH(phi_f)))))+phi_f)/psi_f-(Tabella34[[#This Row],[Day]]-pf)</f>
        <v>140.76359149936002</v>
      </c>
      <c r="Y65" s="244">
        <f>Tabella34[[#This Row],[Italy h.t.]]/Italy_ht_at_lockdown</f>
        <v>1.2176401370414767</v>
      </c>
      <c r="Z65" s="72">
        <f>-2*$BY$48*TANH($BY$48*(Tabella34[[#This Row],[Day]]-$BY$57)-$BY$47)*Tabella34[[#This Row],[Italy velocity]]</f>
        <v>22.219771837263142</v>
      </c>
      <c r="AA65" s="72">
        <f>Tabella34[[#This Row],[Italy acc. fit]]/Itali_acc_at_lockdown</f>
        <v>0.61536009059515495</v>
      </c>
      <c r="AB65" s="77">
        <f>Tabella34[[#This Row],[Italy acc. fit]]/y_f_peak</f>
        <v>7.4031209959612657E-3</v>
      </c>
      <c r="AC65" s="143">
        <f>Tabella34[[#This Row],[Italy (fit of selected region + fitted sum of the other regions)]]*NOT(ISBLANK(Tabella34[[#This Row],[Italy rate data]]))</f>
        <v>22.263362225525103</v>
      </c>
      <c r="AD65" s="143">
        <f>Tabella34[[#This Row],[Italy acc. fit]]*NOT(ISBLANK(Tabella34[[#This Row],[Italy rate data]]))</f>
        <v>22.219771837263142</v>
      </c>
      <c r="AE65" s="77">
        <f>Tabella34[[#This Row],[Italy acc. fit]]+CIf</f>
        <v>1737.8346311718144</v>
      </c>
      <c r="AF65" s="77">
        <f>MAX(Tabella34[[#This Row],[Italy acc. fit]]-CIf,0)</f>
        <v>0</v>
      </c>
      <c r="AG65" s="4">
        <f>Tabella8[[#This Row],[region data]]</f>
        <v>0</v>
      </c>
      <c r="AH65" s="72">
        <f>(Tabella34[[#This Row],[selected region cumul. data]]-AG64)</f>
        <v>0</v>
      </c>
      <c r="AI65" s="72">
        <f>Tabella34[[#This Row],[selected region rate data]]-AH64</f>
        <v>0</v>
      </c>
      <c r="AJ65" s="77">
        <f>Tabella34[[#This Row],[selected region rate data]]*NOT(ISBLANK(Tabella34[[#This Row],[selected region rate data]]))</f>
        <v>0</v>
      </c>
      <c r="AK65" s="77">
        <f>Tabella8[[#This Row],[region fit]]</f>
        <v>0</v>
      </c>
      <c r="AL65" s="143">
        <f>(ATANH(alpha*Tabella34[[#This Row],[sel. region cumul. fit]]/Kl-(1-alpha*Tabella34[[#This Row],[sel. region cumul. fit]]/Kl)*TANH(phi_l))+phi_l)/psi_l-(Tabella34[[#This Row],[Day]]-pl)</f>
        <v>17.240334693239106</v>
      </c>
      <c r="AM65" s="77">
        <f>Tabella34[[#This Row],[sel. region cumul. fit]]/Kl</f>
        <v>0</v>
      </c>
      <c r="AN65" s="143">
        <f>Tabella3[[#This Row],[region fit]]</f>
        <v>17.427739652397136</v>
      </c>
      <c r="AO65" s="186" t="e">
        <f>Tabella34[[#This Row],[sel. region velocity]]/Tabella34[[#This Row],[sel. region cumul. fit]]</f>
        <v>#DIV/0!</v>
      </c>
      <c r="AP65" s="241" t="e">
        <f>(LN(Tabella34[[#This Row],[Day]]-pr)-phi_r)/psi_r</f>
        <v>#NUM!</v>
      </c>
      <c r="AQ65" s="244">
        <f>EXP(phi_r+psi_r*Tabella34[[#This Row],[x_r_alpha©+plus]])-(Tabella34[[#This Row],[Day]]-pr)</f>
        <v>20.991984443523354</v>
      </c>
      <c r="AR65" s="244">
        <f>EXP(phi_r+psi_r*Tabella34[[#This Row],[x_r_alpha©-minus]])-(Tabella34[[#This Row],[Day]]-pr)</f>
        <v>20.218420493082661</v>
      </c>
      <c r="AS65" s="244">
        <f>-psi_r+SQRT(psi_r^2-2*Tabella34[[#This Row],[c_r]])</f>
        <v>4.0654342932914185</v>
      </c>
      <c r="AT65" s="244">
        <f>-psi_r-SQRT(psi_r^2-2*Tabella34[[#This Row],[c_r]])</f>
        <v>-4.1218425317100804</v>
      </c>
      <c r="AU65" s="244">
        <f>phi_r-LN(alpha*Kr/(Tabella34[[#This Row],[sel. region velocity]]*psi_r*SQRTPI(2)))</f>
        <v>-8.3785399899806396</v>
      </c>
      <c r="AV65" s="244">
        <f>(ACOSH(SQRT(alpha*Kl*psi_l/(Tabella34[[#This Row],[sel. region velocity]]*(1+TANH(phi_l)))))+phi_l)/psi_l-(Tabella34[[#This Row],[Day]]-pl)</f>
        <v>133.00088305929336</v>
      </c>
      <c r="AW65" s="72">
        <f>-2*$BY$22*TANH($BY$22*(Tabella34[[#This Row],[Day]]-$BY$31)-$BY$21)*Tabella34[[#This Row],[sel. region velocity]]</f>
        <v>0.91880221813413387</v>
      </c>
      <c r="AX65" s="77">
        <f>Tabella34[[#This Row],[sel. region acc. fit]]/y_l_peak</f>
        <v>6.6676853286636792E-3</v>
      </c>
      <c r="AY65" s="143">
        <f>Tabella34[[#This Row],[sel. region acc. fit]]*NOT(ISBLANK(Tabella34[[#This Row],[selected region rate data]]))</f>
        <v>0.91880221813413387</v>
      </c>
      <c r="AZ65" s="77">
        <f>Tabella34[[#This Row],[sel. region acc. fit]]+CIl</f>
        <v>54.683642627682588</v>
      </c>
      <c r="BA65" s="77">
        <f>MAX(Tabella34[[#This Row],[sel. region acc. fit]]-CIl,0)</f>
        <v>0</v>
      </c>
      <c r="BB65" s="10">
        <f>Tabella8[[#This Row],[rest of Italy ]]</f>
        <v>62</v>
      </c>
      <c r="BC65" s="10">
        <f>(Tabella34[[#This Row],[rest of Italy cum. Data]]-BB64)</f>
        <v>47</v>
      </c>
      <c r="BD65" s="10">
        <f>Tabella34[[#This Row],[rest of Italy rate data]]-BC64</f>
        <v>43</v>
      </c>
      <c r="BE65" s="77">
        <f>Tabella34[[#This Row],[rest of Italy rate data]]*NOT(ISBLANK(Tabella34[[#This Row],[rest of Italy rate data]]))</f>
        <v>47</v>
      </c>
      <c r="BF65" s="77">
        <f>Tabella8[[#This Row],[rest of Italy fit]]</f>
        <v>0</v>
      </c>
      <c r="BG65" s="78">
        <f>(ATANH(alpha*Tabella34[[#This Row],[rest of Italy cumul. fit]]/Ka-(1-alpha*Tabella34[[#This Row],[rest of Italy cumul. fit]]/Ka)*TANH(phi_a))+phi_a)/psi_a-(Tabella34[[#This Row],[Day]]-pa)</f>
        <v>11.695444456084331</v>
      </c>
      <c r="BH65" s="77">
        <f>Tabella34[[#This Row],[rest of Italy cumul. fit]]/Ka</f>
        <v>0</v>
      </c>
      <c r="BI65" s="143">
        <f>Tabella3[[#This Row],[rest of Italy fit]]</f>
        <v>476.91036166032649</v>
      </c>
      <c r="BJ65" s="183" t="e">
        <f>Tabella34[[#This Row],[rest of Italy velocity]]/Tabella34[[#This Row],[rest of Italy cumul. fit]]</f>
        <v>#DIV/0!</v>
      </c>
      <c r="BK65" s="236" t="e">
        <f>(LN(Tabella34[[#This Row],[Day]]-po)-phi_o)/psi_o</f>
        <v>#NUM!</v>
      </c>
      <c r="BL65" s="244">
        <f>EXP(phi_o+psi_o*Tabella34[[#This Row],[x_o_alpha©+plus]])-(Tabella34[[#This Row],[Day]]-po)</f>
        <v>15.58141427318207</v>
      </c>
      <c r="BM65" s="244">
        <f>EXP(phi_o+psi_o*Tabella34[[#This Row],[x_o_alpha©-minus]])-(Tabella34[[#This Row],[Day]]-po)</f>
        <v>14.876229126798735</v>
      </c>
      <c r="BN65" s="244">
        <f>-psi_o+SQRT(psi_o^2-2*Tabella34[[#This Row],[c_o]])</f>
        <v>4.059854584753233</v>
      </c>
      <c r="BO65" s="244">
        <f>-psi_o-SQRT(psi_o^2-2*Tabella34[[#This Row],[c_o]])</f>
        <v>-4.1088816703228614</v>
      </c>
      <c r="BP65" s="244">
        <f>phi_o-LN(alpha*Ko/(Tabella34[[#This Row],[rest of Italy velocity]]*psi_o*SQRTPI(2)))</f>
        <v>-8.3407310437343956</v>
      </c>
      <c r="BQ65" s="244">
        <f>(ACOSH(SQRT(alpha*Ka*psi_a/(Tabella34[[#This Row],[rest of Italy velocity]]*(1+TANH(phi_a)))))+phi_a)/psi_a-(Tabella34[[#This Row],[Day]]-pa)</f>
        <v>141.09312016033169</v>
      </c>
      <c r="BR65" s="72">
        <f>-2*$BY$35*TANH($BY$35*(Tabella34[[#This Row],[Day]]-$BY$44)-$BY$34)*Tabella34[[#This Row],[rest of Italy velocity]]</f>
        <v>21.344560007390971</v>
      </c>
      <c r="BS65" s="77">
        <f>Tabella34[[#This Row],[rest of Italy acc. fit]]/y_a_peak</f>
        <v>7.4584614969504344E-3</v>
      </c>
      <c r="BT65" s="77">
        <f>Tabella34[[#This Row],[rest of Italy acc. fit]]*NOT(ISBLANK(Tabella34[[#This Row],[rest of Italy rate data]]))</f>
        <v>21.344560007390971</v>
      </c>
      <c r="BU65" s="77">
        <f>Tabella34[[#This Row],[rest of Italy acc. fit]]+CIa</f>
        <v>1715.9187549169737</v>
      </c>
      <c r="BV65" s="77">
        <f>MAX(Tabella34[[#This Row],[rest of Italy acc. fit]]-CIa,0)</f>
        <v>0</v>
      </c>
    </row>
    <row r="66" spans="2:74" x14ac:dyDescent="0.3">
      <c r="B66" s="262">
        <v>43889</v>
      </c>
      <c r="C66" s="29">
        <v>59</v>
      </c>
      <c r="D66" s="10">
        <f>Tabella8[[#This Row],[Italy cumulative]]</f>
        <v>67</v>
      </c>
      <c r="E66" s="72">
        <f>(Tabella34[[#This Row],[Italy cumul. data]]-D65)</f>
        <v>5</v>
      </c>
      <c r="F66" s="72">
        <f>Tabella34[[#This Row],[Italy rate data]]-E65</f>
        <v>-42</v>
      </c>
      <c r="G66" s="77">
        <f>Tabella34[[#This Row],[Italy rate data]]*NOT(ISBLANK(Tabella34[[#This Row],[Italy rate data]]))</f>
        <v>5</v>
      </c>
      <c r="H66" s="143">
        <f>Tabella8[[#This Row],[Italy fit]]</f>
        <v>0</v>
      </c>
      <c r="I66" s="143">
        <f>(ATANH(alpha*Tabella34[[#This Row],[Italy cumul. Fit]]/Kf-(1-alpha*Tabella34[[#This Row],[Italy cumul. Fit]]/Kf)*TANH(phi_f))+phi_f)/psi_f-(Tabella34[[#This Row],[Day]]-pf)</f>
        <v>10.844294912230211</v>
      </c>
      <c r="J66" s="143">
        <f>Tabella34[[#This Row],[Italy d.t.]]/Italy_dt_at_lockdown</f>
        <v>9.8350915863676214</v>
      </c>
      <c r="K66" s="77">
        <f>Tabella34[[#This Row],[Italy cumul. Fit]]/Kf</f>
        <v>0</v>
      </c>
      <c r="L66" s="146">
        <f>Tabella34[[#This Row],[sel. region acc. fit]]+Tabella34[[#This Row],[rest of Italy acc. fit]]</f>
        <v>23.181790455948587</v>
      </c>
      <c r="M66" s="77">
        <f>Tabella34[[#This Row],[Italy (fit of selected region + fitted sum of the other regions)]]/(y_l_peak+y_a_peak)</f>
        <v>7.7283182767699929E-3</v>
      </c>
      <c r="N66" s="143">
        <f>Tabella3[[#This Row],[Italy remov. rate fit]]</f>
        <v>514.6622763230647</v>
      </c>
      <c r="O66" s="143" t="e">
        <f>Kt*EXP(-0.5*Tabella34[[#This Row],[x_t]]^2)/(psi_t*SQRTPI(2)*(Tabella34[[#This Row],[Day]]-D_bk))</f>
        <v>#NUM!</v>
      </c>
      <c r="P66" s="183" t="e">
        <f>Tabella34[[#This Row],[Italy velocity]]/Tabella34[[#This Row],[Italy cumul. Fit]]</f>
        <v>#DIV/0!</v>
      </c>
      <c r="Q66" s="244" t="e">
        <f>(LN(Tabella34[[#This Row],[Day]]-D_bk)-phi_t)/psi_t</f>
        <v>#NUM!</v>
      </c>
      <c r="R66" s="244">
        <f>EXP(phi_t+psi_t*Tabella34[[#This Row],[x_t_alpha©+plus]])-(Tabella34[[#This Row],[Day]]-D_bk)</f>
        <v>14.744594961009087</v>
      </c>
      <c r="S66" s="244">
        <f>EXP(phi_t+psi_t*Tabella34[[#This Row],[x_t_alpha©-minus]])-(Tabella34[[#This Row],[Day]]-D_bk)</f>
        <v>14.033826983427446</v>
      </c>
      <c r="T66" s="244">
        <f>-psi_t+SQRT(psi_t^2-2*Tabella34[[#This Row],[c_t]])</f>
        <v>4.0483574580435997</v>
      </c>
      <c r="U66" s="244">
        <f>-psi_t-SQRT(psi_t^2-2*Tabella34[[#This Row],[c_t]])</f>
        <v>-4.0977501924634039</v>
      </c>
      <c r="V66" s="244">
        <f>phi_t-LN(alpha*Kt/(Tabella34[[#This Row],[Italy velocity]]*psi_t*SQRTPI(2)))</f>
        <v>-8.294578776429411</v>
      </c>
      <c r="W66" s="244" t="e">
        <f>Tabella34[[#This Row],[Italy g.r.]]/Italy_gr_at_lockdown</f>
        <v>#DIV/0!</v>
      </c>
      <c r="X66" s="244">
        <f>(ACOSH(SQRT(alpha*Kf*psi_f/(Tabella34[[#This Row],[Italy velocity]]*(1+TANH(phi_f)))))+phi_f)/psi_f-(Tabella34[[#This Row],[Day]]-pf)</f>
        <v>138.81044342537069</v>
      </c>
      <c r="Y66" s="244">
        <f>Tabella34[[#This Row],[Italy h.t.]]/Italy_ht_at_lockdown</f>
        <v>1.2007449195840174</v>
      </c>
      <c r="Z66" s="72">
        <f>-2*$BY$48*TANH($BY$48*(Tabella34[[#This Row],[Day]]-$BY$57)-$BY$47)*Tabella34[[#This Row],[Italy velocity]]</f>
        <v>23.138678318215611</v>
      </c>
      <c r="AA66" s="72">
        <f>Tabella34[[#This Row],[Italy acc. fit]]/Itali_acc_at_lockdown</f>
        <v>0.64080852361727525</v>
      </c>
      <c r="AB66" s="77">
        <f>Tabella34[[#This Row],[Italy acc. fit]]/y_f_peak</f>
        <v>7.7092796690694954E-3</v>
      </c>
      <c r="AC66" s="143">
        <f>Tabella34[[#This Row],[Italy (fit of selected region + fitted sum of the other regions)]]*NOT(ISBLANK(Tabella34[[#This Row],[Italy rate data]]))</f>
        <v>23.181790455948587</v>
      </c>
      <c r="AD66" s="143">
        <f>Tabella34[[#This Row],[Italy acc. fit]]*NOT(ISBLANK(Tabella34[[#This Row],[Italy rate data]]))</f>
        <v>23.138678318215611</v>
      </c>
      <c r="AE66" s="77">
        <f>Tabella34[[#This Row],[Italy acc. fit]]+CIf</f>
        <v>1738.7535376527669</v>
      </c>
      <c r="AF66" s="77">
        <f>MAX(Tabella34[[#This Row],[Italy acc. fit]]-CIf,0)</f>
        <v>0</v>
      </c>
      <c r="AG66" s="4">
        <f>Tabella8[[#This Row],[region data]]</f>
        <v>0</v>
      </c>
      <c r="AH66" s="72">
        <f>(Tabella34[[#This Row],[selected region cumul. data]]-AG65)</f>
        <v>0</v>
      </c>
      <c r="AI66" s="72">
        <f>Tabella34[[#This Row],[selected region rate data]]-AH65</f>
        <v>0</v>
      </c>
      <c r="AJ66" s="77">
        <f>Tabella34[[#This Row],[selected region rate data]]*NOT(ISBLANK(Tabella34[[#This Row],[selected region rate data]]))</f>
        <v>0</v>
      </c>
      <c r="AK66" s="77">
        <f>Tabella8[[#This Row],[region fit]]</f>
        <v>0</v>
      </c>
      <c r="AL66" s="143">
        <f>(ATANH(alpha*Tabella34[[#This Row],[sel. region cumul. fit]]/Kl-(1-alpha*Tabella34[[#This Row],[sel. region cumul. fit]]/Kl)*TANH(phi_l))+phi_l)/psi_l-(Tabella34[[#This Row],[Day]]-pl)</f>
        <v>16.240334693239106</v>
      </c>
      <c r="AM66" s="77">
        <f>Tabella34[[#This Row],[sel. region cumul. fit]]/Kl</f>
        <v>0</v>
      </c>
      <c r="AN66" s="143">
        <f>Tabella3[[#This Row],[region fit]]</f>
        <v>18.369312091273478</v>
      </c>
      <c r="AO66" s="186" t="e">
        <f>Tabella34[[#This Row],[sel. region velocity]]/Tabella34[[#This Row],[sel. region cumul. fit]]</f>
        <v>#DIV/0!</v>
      </c>
      <c r="AP66" s="241" t="e">
        <f>(LN(Tabella34[[#This Row],[Day]]-pr)-phi_r)/psi_r</f>
        <v>#NUM!</v>
      </c>
      <c r="AQ66" s="244">
        <f>EXP(phi_r+psi_r*Tabella34[[#This Row],[x_r_alpha©+plus]])-(Tabella34[[#This Row],[Day]]-pr)</f>
        <v>19.990622476475735</v>
      </c>
      <c r="AR66" s="244">
        <f>EXP(phi_r+psi_r*Tabella34[[#This Row],[x_r_alpha©-minus]])-(Tabella34[[#This Row],[Day]]-pr)</f>
        <v>19.219502024676714</v>
      </c>
      <c r="AS66" s="244">
        <f>-psi_r+SQRT(psi_r^2-2*Tabella34[[#This Row],[c_r]])</f>
        <v>4.0525603789456301</v>
      </c>
      <c r="AT66" s="244">
        <f>-psi_r-SQRT(psi_r^2-2*Tabella34[[#This Row],[c_r]])</f>
        <v>-4.1089686173642921</v>
      </c>
      <c r="AU66" s="244">
        <f>phi_r-LN(alpha*Kr/(Tabella34[[#This Row],[sel. region velocity]]*psi_r*SQRTPI(2)))</f>
        <v>-8.3259217085307693</v>
      </c>
      <c r="AV66" s="244">
        <f>(ACOSH(SQRT(alpha*Kl*psi_l/(Tabella34[[#This Row],[sel. region velocity]]*(1+TANH(phi_l)))))+phi_l)/psi_l-(Tabella34[[#This Row],[Day]]-pl)</f>
        <v>131.03622797185679</v>
      </c>
      <c r="AW66" s="72">
        <f>-2*$BY$22*TANH($BY$22*(Tabella34[[#This Row],[Day]]-$BY$31)-$BY$21)*Tabella34[[#This Row],[sel. region velocity]]</f>
        <v>0.96464743309735701</v>
      </c>
      <c r="AX66" s="77">
        <f>Tabella34[[#This Row],[sel. region acc. fit]]/y_l_peak</f>
        <v>7.0003809416765445E-3</v>
      </c>
      <c r="AY66" s="143">
        <f>Tabella34[[#This Row],[sel. region acc. fit]]*NOT(ISBLANK(Tabella34[[#This Row],[selected region rate data]]))</f>
        <v>0.96464743309735701</v>
      </c>
      <c r="AZ66" s="77">
        <f>Tabella34[[#This Row],[sel. region acc. fit]]+CIl</f>
        <v>54.72948784264581</v>
      </c>
      <c r="BA66" s="77">
        <f>MAX(Tabella34[[#This Row],[sel. region acc. fit]]-CIl,0)</f>
        <v>0</v>
      </c>
      <c r="BB66" s="10">
        <f>Tabella8[[#This Row],[rest of Italy ]]</f>
        <v>67</v>
      </c>
      <c r="BC66" s="10">
        <f>(Tabella34[[#This Row],[rest of Italy cum. Data]]-BB65)</f>
        <v>5</v>
      </c>
      <c r="BD66" s="10">
        <f>Tabella34[[#This Row],[rest of Italy rate data]]-BC65</f>
        <v>-42</v>
      </c>
      <c r="BE66" s="77">
        <f>Tabella34[[#This Row],[rest of Italy rate data]]*NOT(ISBLANK(Tabella34[[#This Row],[rest of Italy rate data]]))</f>
        <v>5</v>
      </c>
      <c r="BF66" s="77">
        <f>Tabella8[[#This Row],[rest of Italy fit]]</f>
        <v>0</v>
      </c>
      <c r="BG66" s="78">
        <f>(ATANH(alpha*Tabella34[[#This Row],[rest of Italy cumul. fit]]/Ka-(1-alpha*Tabella34[[#This Row],[rest of Italy cumul. fit]]/Ka)*TANH(phi_a))+phi_a)/psi_a-(Tabella34[[#This Row],[Day]]-pa)</f>
        <v>10.695444456084331</v>
      </c>
      <c r="BH66" s="77">
        <f>Tabella34[[#This Row],[rest of Italy cumul. fit]]/Ka</f>
        <v>0</v>
      </c>
      <c r="BI66" s="143">
        <f>Tabella3[[#This Row],[rest of Italy fit]]</f>
        <v>498.68908137569247</v>
      </c>
      <c r="BJ66" s="183" t="e">
        <f>Tabella34[[#This Row],[rest of Italy velocity]]/Tabella34[[#This Row],[rest of Italy cumul. fit]]</f>
        <v>#DIV/0!</v>
      </c>
      <c r="BK66" s="236" t="e">
        <f>(LN(Tabella34[[#This Row],[Day]]-po)-phi_o)/psi_o</f>
        <v>#NUM!</v>
      </c>
      <c r="BL66" s="244">
        <f>EXP(phi_o+psi_o*Tabella34[[#This Row],[x_o_alpha©+plus]])-(Tabella34[[#This Row],[Day]]-po)</f>
        <v>14.580371553109742</v>
      </c>
      <c r="BM66" s="244">
        <f>EXP(phi_o+psi_o*Tabella34[[#This Row],[x_o_alpha©-minus]])-(Tabella34[[#This Row],[Day]]-po)</f>
        <v>13.877082854021685</v>
      </c>
      <c r="BN66" s="244">
        <f>-psi_o+SQRT(psi_o^2-2*Tabella34[[#This Row],[c_o]])</f>
        <v>4.0489069448807626</v>
      </c>
      <c r="BO66" s="244">
        <f>-psi_o-SQRT(psi_o^2-2*Tabella34[[#This Row],[c_o]])</f>
        <v>-4.0979340304503911</v>
      </c>
      <c r="BP66" s="244">
        <f>phi_o-LN(alpha*Ko/(Tabella34[[#This Row],[rest of Italy velocity]]*psi_o*SQRTPI(2)))</f>
        <v>-8.2960767777769018</v>
      </c>
      <c r="BQ66" s="244">
        <f>(ACOSH(SQRT(alpha*Ka*psi_a/(Tabella34[[#This Row],[rest of Italy velocity]]*(1+TANH(phi_a)))))+phi_a)/psi_a-(Tabella34[[#This Row],[Day]]-pa)</f>
        <v>139.14083522401518</v>
      </c>
      <c r="BR66" s="72">
        <f>-2*$BY$35*TANH($BY$35*(Tabella34[[#This Row],[Day]]-$BY$44)-$BY$34)*Tabella34[[#This Row],[rest of Italy velocity]]</f>
        <v>22.217143022851229</v>
      </c>
      <c r="BS66" s="77">
        <f>Tabella34[[#This Row],[rest of Italy acc. fit]]/y_a_peak</f>
        <v>7.7633694838777677E-3</v>
      </c>
      <c r="BT66" s="77">
        <f>Tabella34[[#This Row],[rest of Italy acc. fit]]*NOT(ISBLANK(Tabella34[[#This Row],[rest of Italy rate data]]))</f>
        <v>22.217143022851229</v>
      </c>
      <c r="BU66" s="77">
        <f>Tabella34[[#This Row],[rest of Italy acc. fit]]+CIa</f>
        <v>1716.7913379324339</v>
      </c>
      <c r="BV66" s="77">
        <f>MAX(Tabella34[[#This Row],[rest of Italy acc. fit]]-CIa,0)</f>
        <v>0</v>
      </c>
    </row>
    <row r="67" spans="2:74" x14ac:dyDescent="0.3">
      <c r="B67" s="262">
        <v>43890</v>
      </c>
      <c r="C67" s="29">
        <v>60</v>
      </c>
      <c r="D67" s="10">
        <f>Tabella8[[#This Row],[Italy cumulative]]</f>
        <v>79</v>
      </c>
      <c r="E67" s="72">
        <f>(Tabella34[[#This Row],[Italy cumul. data]]-D66)</f>
        <v>12</v>
      </c>
      <c r="F67" s="72">
        <f>Tabella34[[#This Row],[Italy rate data]]-E66</f>
        <v>7</v>
      </c>
      <c r="G67" s="77">
        <f>Tabella34[[#This Row],[Italy rate data]]*NOT(ISBLANK(Tabella34[[#This Row],[Italy rate data]]))</f>
        <v>12</v>
      </c>
      <c r="H67" s="143">
        <f>Tabella8[[#This Row],[Italy fit]]</f>
        <v>0</v>
      </c>
      <c r="I67" s="143">
        <f>(ATANH(alpha*Tabella34[[#This Row],[Italy cumul. Fit]]/Kf-(1-alpha*Tabella34[[#This Row],[Italy cumul. Fit]]/Kf)*TANH(phi_f))+phi_f)/psi_f-(Tabella34[[#This Row],[Day]]-pf)</f>
        <v>9.844294912230211</v>
      </c>
      <c r="J67" s="143">
        <f>Tabella34[[#This Row],[Italy d.t.]]/Italy_dt_at_lockdown</f>
        <v>8.9281546516965076</v>
      </c>
      <c r="K67" s="77">
        <f>Tabella34[[#This Row],[Italy cumul. Fit]]/Kf</f>
        <v>0</v>
      </c>
      <c r="L67" s="146">
        <f>Tabella34[[#This Row],[sel. region acc. fit]]+Tabella34[[#This Row],[rest of Italy acc. fit]]</f>
        <v>24.127535187006171</v>
      </c>
      <c r="M67" s="77">
        <f>Tabella34[[#This Row],[Italy (fit of selected region + fitted sum of the other regions)]]/(y_l_peak+y_a_peak)</f>
        <v>8.0436095526565665E-3</v>
      </c>
      <c r="N67" s="143">
        <f>Tabella3[[#This Row],[Italy remov. rate fit]]</f>
        <v>538.27183386078821</v>
      </c>
      <c r="O67" s="143" t="e">
        <f>Kt*EXP(-0.5*Tabella34[[#This Row],[x_t]]^2)/(psi_t*SQRTPI(2)*(Tabella34[[#This Row],[Day]]-D_bk))</f>
        <v>#NUM!</v>
      </c>
      <c r="P67" s="183" t="e">
        <f>Tabella34[[#This Row],[Italy velocity]]/Tabella34[[#This Row],[Italy cumul. Fit]]</f>
        <v>#DIV/0!</v>
      </c>
      <c r="Q67" s="244" t="e">
        <f>(LN(Tabella34[[#This Row],[Day]]-D_bk)-phi_t)/psi_t</f>
        <v>#NUM!</v>
      </c>
      <c r="R67" s="244">
        <f>EXP(phi_t+psi_t*Tabella34[[#This Row],[x_t_alpha©+plus]])-(Tabella34[[#This Row],[Day]]-D_bk)</f>
        <v>13.743532948724088</v>
      </c>
      <c r="S67" s="244">
        <f>EXP(phi_t+psi_t*Tabella34[[#This Row],[x_t_alpha©-minus]])-(Tabella34[[#This Row],[Day]]-D_bk)</f>
        <v>13.03469569731752</v>
      </c>
      <c r="T67" s="244">
        <f>-psi_t+SQRT(psi_t^2-2*Tabella34[[#This Row],[c_t]])</f>
        <v>4.0373304527826805</v>
      </c>
      <c r="U67" s="244">
        <f>-psi_t-SQRT(psi_t^2-2*Tabella34[[#This Row],[c_t]])</f>
        <v>-4.0867231872024847</v>
      </c>
      <c r="V67" s="244">
        <f>phi_t-LN(alpha*Kt/(Tabella34[[#This Row],[Italy velocity]]*psi_t*SQRTPI(2)))</f>
        <v>-8.2497259878928428</v>
      </c>
      <c r="W67" s="244" t="e">
        <f>Tabella34[[#This Row],[Italy g.r.]]/Italy_gr_at_lockdown</f>
        <v>#DIV/0!</v>
      </c>
      <c r="X67" s="244">
        <f>(ACOSH(SQRT(alpha*Kf*psi_f/(Tabella34[[#This Row],[Italy velocity]]*(1+TANH(phi_f)))))+phi_f)/psi_f-(Tabella34[[#This Row],[Day]]-pf)</f>
        <v>136.85971800683856</v>
      </c>
      <c r="Y67" s="244">
        <f>Tabella34[[#This Row],[Italy h.t.]]/Italy_ht_at_lockdown</f>
        <v>1.1838706586998557</v>
      </c>
      <c r="Z67" s="72">
        <f>-2*$BY$48*TANH($BY$48*(Tabella34[[#This Row],[Day]]-$BY$57)-$BY$47)*Tabella34[[#This Row],[Italy velocity]]</f>
        <v>24.08498531847934</v>
      </c>
      <c r="AA67" s="72">
        <f>Tabella34[[#This Row],[Italy acc. fit]]/Itali_acc_at_lockdown</f>
        <v>0.66701579368638342</v>
      </c>
      <c r="AB67" s="77">
        <f>Tabella34[[#This Row],[Italy acc. fit]]/y_f_peak</f>
        <v>8.0245675700248483E-3</v>
      </c>
      <c r="AC67" s="143">
        <f>Tabella34[[#This Row],[Italy (fit of selected region + fitted sum of the other regions)]]*NOT(ISBLANK(Tabella34[[#This Row],[Italy rate data]]))</f>
        <v>24.127535187006171</v>
      </c>
      <c r="AD67" s="143">
        <f>Tabella34[[#This Row],[Italy acc. fit]]*NOT(ISBLANK(Tabella34[[#This Row],[Italy rate data]]))</f>
        <v>24.08498531847934</v>
      </c>
      <c r="AE67" s="77">
        <f>Tabella34[[#This Row],[Italy acc. fit]]+CIf</f>
        <v>1739.6998446530306</v>
      </c>
      <c r="AF67" s="77">
        <f>MAX(Tabella34[[#This Row],[Italy acc. fit]]-CIf,0)</f>
        <v>0</v>
      </c>
      <c r="AG67" s="4">
        <f>Tabella8[[#This Row],[region data]]</f>
        <v>4</v>
      </c>
      <c r="AH67" s="72">
        <f>(Tabella34[[#This Row],[selected region cumul. data]]-AG66)</f>
        <v>4</v>
      </c>
      <c r="AI67" s="72">
        <f>Tabella34[[#This Row],[selected region rate data]]-AH66</f>
        <v>4</v>
      </c>
      <c r="AJ67" s="77">
        <f>Tabella34[[#This Row],[selected region rate data]]*NOT(ISBLANK(Tabella34[[#This Row],[selected region rate data]]))</f>
        <v>4</v>
      </c>
      <c r="AK67" s="77">
        <f>Tabella8[[#This Row],[region fit]]</f>
        <v>0</v>
      </c>
      <c r="AL67" s="143">
        <f>(ATANH(alpha*Tabella34[[#This Row],[sel. region cumul. fit]]/Kl-(1-alpha*Tabella34[[#This Row],[sel. region cumul. fit]]/Kl)*TANH(phi_l))+phi_l)/psi_l-(Tabella34[[#This Row],[Day]]-pl)</f>
        <v>15.240334693239108</v>
      </c>
      <c r="AM67" s="77">
        <f>Tabella34[[#This Row],[sel. region cumul. fit]]/Kl</f>
        <v>0</v>
      </c>
      <c r="AN67" s="143">
        <f>Tabella3[[#This Row],[region fit]]</f>
        <v>19.357648388642112</v>
      </c>
      <c r="AO67" s="186" t="e">
        <f>Tabella34[[#This Row],[sel. region velocity]]/Tabella34[[#This Row],[sel. region cumul. fit]]</f>
        <v>#DIV/0!</v>
      </c>
      <c r="AP67" s="241" t="e">
        <f>(LN(Tabella34[[#This Row],[Day]]-pr)-phi_r)/psi_r</f>
        <v>#NUM!</v>
      </c>
      <c r="AQ67" s="244">
        <f>EXP(phi_r+psi_r*Tabella34[[#This Row],[x_r_alpha©+plus]])-(Tabella34[[#This Row],[Day]]-pr)</f>
        <v>18.989262209608636</v>
      </c>
      <c r="AR67" s="244">
        <f>EXP(phi_r+psi_r*Tabella34[[#This Row],[x_r_alpha©-minus]])-(Tabella34[[#This Row],[Day]]-pr)</f>
        <v>18.220582990524896</v>
      </c>
      <c r="AS67" s="244">
        <f>-psi_r+SQRT(psi_r^2-2*Tabella34[[#This Row],[c_r]])</f>
        <v>4.0396978680282194</v>
      </c>
      <c r="AT67" s="244">
        <f>-psi_r-SQRT(psi_r^2-2*Tabella34[[#This Row],[c_r]])</f>
        <v>-4.0961061064468813</v>
      </c>
      <c r="AU67" s="244">
        <f>phi_r-LN(alpha*Kr/(Tabella34[[#This Row],[sel. region velocity]]*psi_r*SQRTPI(2)))</f>
        <v>-8.2735155527154198</v>
      </c>
      <c r="AV67" s="244">
        <f>(ACOSH(SQRT(alpha*Kl*psi_l/(Tabella34[[#This Row],[sel. region velocity]]*(1+TANH(phi_l)))))+phi_l)/psi_l-(Tabella34[[#This Row],[Day]]-pl)</f>
        <v>129.07365828112393</v>
      </c>
      <c r="AW67" s="72">
        <f>-2*$BY$22*TANH($BY$22*(Tabella34[[#This Row],[Day]]-$BY$31)-$BY$21)*Tabella34[[#This Row],[sel. region velocity]]</f>
        <v>1.0123340628393316</v>
      </c>
      <c r="AX67" s="77">
        <f>Tabella34[[#This Row],[sel. region acc. fit]]/y_l_peak</f>
        <v>7.3464395767434904E-3</v>
      </c>
      <c r="AY67" s="143">
        <f>Tabella34[[#This Row],[sel. region acc. fit]]*NOT(ISBLANK(Tabella34[[#This Row],[selected region rate data]]))</f>
        <v>1.0123340628393316</v>
      </c>
      <c r="AZ67" s="77">
        <f>Tabella34[[#This Row],[sel. region acc. fit]]+CIl</f>
        <v>54.777174472387784</v>
      </c>
      <c r="BA67" s="77">
        <f>MAX(Tabella34[[#This Row],[sel. region acc. fit]]-CIl,0)</f>
        <v>0</v>
      </c>
      <c r="BB67" s="10">
        <f>Tabella8[[#This Row],[rest of Italy ]]</f>
        <v>75</v>
      </c>
      <c r="BC67" s="10">
        <f>(Tabella34[[#This Row],[rest of Italy cum. Data]]-BB66)</f>
        <v>8</v>
      </c>
      <c r="BD67" s="10">
        <f>Tabella34[[#This Row],[rest of Italy rate data]]-BC66</f>
        <v>3</v>
      </c>
      <c r="BE67" s="77">
        <f>Tabella34[[#This Row],[rest of Italy rate data]]*NOT(ISBLANK(Tabella34[[#This Row],[rest of Italy rate data]]))</f>
        <v>8</v>
      </c>
      <c r="BF67" s="77">
        <f>Tabella8[[#This Row],[rest of Italy fit]]</f>
        <v>0</v>
      </c>
      <c r="BG67" s="78">
        <f>(ATANH(alpha*Tabella34[[#This Row],[rest of Italy cumul. fit]]/Ka-(1-alpha*Tabella34[[#This Row],[rest of Italy cumul. fit]]/Ka)*TANH(phi_a))+phi_a)/psi_a-(Tabella34[[#This Row],[Day]]-pa)</f>
        <v>9.6954444560843314</v>
      </c>
      <c r="BH67" s="77">
        <f>Tabella34[[#This Row],[rest of Italy cumul. fit]]/Ka</f>
        <v>0</v>
      </c>
      <c r="BI67" s="143">
        <f>Tabella3[[#This Row],[rest of Italy fit]]</f>
        <v>521.35314072895551</v>
      </c>
      <c r="BJ67" s="183" t="e">
        <f>Tabella34[[#This Row],[rest of Italy velocity]]/Tabella34[[#This Row],[rest of Italy cumul. fit]]</f>
        <v>#DIV/0!</v>
      </c>
      <c r="BK67" s="236" t="e">
        <f>(LN(Tabella34[[#This Row],[Day]]-po)-phi_o)/psi_o</f>
        <v>#NUM!</v>
      </c>
      <c r="BL67" s="244">
        <f>EXP(phi_o+psi_o*Tabella34[[#This Row],[x_o_alpha©+plus]])-(Tabella34[[#This Row],[Day]]-po)</f>
        <v>13.579331212866505</v>
      </c>
      <c r="BM67" s="244">
        <f>EXP(phi_o+psi_o*Tabella34[[#This Row],[x_o_alpha©-minus]])-(Tabella34[[#This Row],[Day]]-po)</f>
        <v>12.877935089597047</v>
      </c>
      <c r="BN67" s="244">
        <f>-psi_o+SQRT(psi_o^2-2*Tabella34[[#This Row],[c_o]])</f>
        <v>4.0379813624094654</v>
      </c>
      <c r="BO67" s="244">
        <f>-psi_o-SQRT(psi_o^2-2*Tabella34[[#This Row],[c_o]])</f>
        <v>-4.0870084479790938</v>
      </c>
      <c r="BP67" s="244">
        <f>phi_o-LN(alpha*Ko/(Tabella34[[#This Row],[rest of Italy velocity]]*psi_o*SQRTPI(2)))</f>
        <v>-8.2516319704748096</v>
      </c>
      <c r="BQ67" s="244">
        <f>(ACOSH(SQRT(alpha*Ka*psi_a/(Tabella34[[#This Row],[rest of Italy velocity]]*(1+TANH(phi_a)))))+phi_a)/psi_a-(Tabella34[[#This Row],[Day]]-pa)</f>
        <v>137.19099963421326</v>
      </c>
      <c r="BR67" s="72">
        <f>-2*$BY$35*TANH($BY$35*(Tabella34[[#This Row],[Day]]-$BY$44)-$BY$34)*Tabella34[[#This Row],[rest of Italy velocity]]</f>
        <v>23.115201124166838</v>
      </c>
      <c r="BS67" s="77">
        <f>Tabella34[[#This Row],[rest of Italy acc. fit]]/y_a_peak</f>
        <v>8.0771792681210378E-3</v>
      </c>
      <c r="BT67" s="77">
        <f>Tabella34[[#This Row],[rest of Italy acc. fit]]*NOT(ISBLANK(Tabella34[[#This Row],[rest of Italy rate data]]))</f>
        <v>23.115201124166838</v>
      </c>
      <c r="BU67" s="77">
        <f>Tabella34[[#This Row],[rest of Italy acc. fit]]+CIa</f>
        <v>1717.6893960337495</v>
      </c>
      <c r="BV67" s="77">
        <f>MAX(Tabella34[[#This Row],[rest of Italy acc. fit]]-CIa,0)</f>
        <v>0</v>
      </c>
    </row>
    <row r="68" spans="2:74" x14ac:dyDescent="0.3">
      <c r="B68" s="262">
        <v>43891</v>
      </c>
      <c r="C68" s="29">
        <v>61</v>
      </c>
      <c r="D68" s="10">
        <f>Tabella8[[#This Row],[Italy cumulative]]</f>
        <v>117</v>
      </c>
      <c r="E68" s="72">
        <f>(Tabella34[[#This Row],[Italy cumul. data]]-D67)</f>
        <v>38</v>
      </c>
      <c r="F68" s="72">
        <f>Tabella34[[#This Row],[Italy rate data]]-E67</f>
        <v>26</v>
      </c>
      <c r="G68" s="77">
        <f>Tabella34[[#This Row],[Italy rate data]]*NOT(ISBLANK(Tabella34[[#This Row],[Italy rate data]]))</f>
        <v>38</v>
      </c>
      <c r="H68" s="143">
        <f>Tabella8[[#This Row],[Italy fit]]</f>
        <v>0</v>
      </c>
      <c r="I68" s="143">
        <f>(ATANH(alpha*Tabella34[[#This Row],[Italy cumul. Fit]]/Kf-(1-alpha*Tabella34[[#This Row],[Italy cumul. Fit]]/Kf)*TANH(phi_f))+phi_f)/psi_f-(Tabella34[[#This Row],[Day]]-pf)</f>
        <v>8.844294912230211</v>
      </c>
      <c r="J68" s="143">
        <f>Tabella34[[#This Row],[Italy d.t.]]/Italy_dt_at_lockdown</f>
        <v>8.0212177170253938</v>
      </c>
      <c r="K68" s="77">
        <f>Tabella34[[#This Row],[Italy cumul. Fit]]/Kf</f>
        <v>0</v>
      </c>
      <c r="L68" s="146">
        <f>Tabella34[[#This Row],[sel. region acc. fit]]+Tabella34[[#This Row],[rest of Italy acc. fit]]</f>
        <v>25.100327168528263</v>
      </c>
      <c r="M68" s="77">
        <f>Tabella34[[#This Row],[Italy (fit of selected region + fitted sum of the other regions)]]/(y_l_peak+y_a_peak)</f>
        <v>8.3679178093711958E-3</v>
      </c>
      <c r="N68" s="143">
        <f>Tabella3[[#This Row],[Italy remov. rate fit]]</f>
        <v>562.84129311232232</v>
      </c>
      <c r="O68" s="143" t="e">
        <f>Kt*EXP(-0.5*Tabella34[[#This Row],[x_t]]^2)/(psi_t*SQRTPI(2)*(Tabella34[[#This Row],[Day]]-D_bk))</f>
        <v>#NUM!</v>
      </c>
      <c r="P68" s="183" t="e">
        <f>Tabella34[[#This Row],[Italy velocity]]/Tabella34[[#This Row],[Italy cumul. Fit]]</f>
        <v>#DIV/0!</v>
      </c>
      <c r="Q68" s="244" t="e">
        <f>(LN(Tabella34[[#This Row],[Day]]-D_bk)-phi_t)/psi_t</f>
        <v>#NUM!</v>
      </c>
      <c r="R68" s="244">
        <f>EXP(phi_t+psi_t*Tabella34[[#This Row],[x_t_alpha©+plus]])-(Tabella34[[#This Row],[Day]]-D_bk)</f>
        <v>12.742473535542956</v>
      </c>
      <c r="S68" s="244">
        <f>EXP(phi_t+psi_t*Tabella34[[#This Row],[x_t_alpha©-minus]])-(Tabella34[[#This Row],[Day]]-D_bk)</f>
        <v>12.035562756775647</v>
      </c>
      <c r="T68" s="244">
        <f>-psi_t+SQRT(psi_t^2-2*Tabella34[[#This Row],[c_t]])</f>
        <v>4.0263274415897659</v>
      </c>
      <c r="U68" s="244">
        <f>-psi_t-SQRT(psi_t^2-2*Tabella34[[#This Row],[c_t]])</f>
        <v>-4.07572017600957</v>
      </c>
      <c r="V68" s="244">
        <f>phi_t-LN(alpha*Kt/(Tabella34[[#This Row],[Italy velocity]]*psi_t*SQRTPI(2)))</f>
        <v>-8.205091994454202</v>
      </c>
      <c r="W68" s="244" t="e">
        <f>Tabella34[[#This Row],[Italy g.r.]]/Italy_gr_at_lockdown</f>
        <v>#DIV/0!</v>
      </c>
      <c r="X68" s="244">
        <f>(ACOSH(SQRT(alpha*Kf*psi_f/(Tabella34[[#This Row],[Italy velocity]]*(1+TANH(phi_f)))))+phi_f)/psi_f-(Tabella34[[#This Row],[Day]]-pf)</f>
        <v>134.91154282089207</v>
      </c>
      <c r="Y68" s="244">
        <f>Tabella34[[#This Row],[Italy h.t.]]/Italy_ht_at_lockdown</f>
        <v>1.1670184579629381</v>
      </c>
      <c r="Z68" s="72">
        <f>-2*$BY$48*TANH($BY$48*(Tabella34[[#This Row],[Day]]-$BY$57)-$BY$47)*Tabella34[[#This Row],[Italy velocity]]</f>
        <v>25.058426156577717</v>
      </c>
      <c r="AA68" s="72">
        <f>Tabella34[[#This Row],[Italy acc. fit]]/Itali_acc_at_lockdown</f>
        <v>0.69397451525690257</v>
      </c>
      <c r="AB68" s="77">
        <f>Tabella34[[#This Row],[Italy acc. fit]]/y_f_peak</f>
        <v>8.348895846644085E-3</v>
      </c>
      <c r="AC68" s="143">
        <f>Tabella34[[#This Row],[Italy (fit of selected region + fitted sum of the other regions)]]*NOT(ISBLANK(Tabella34[[#This Row],[Italy rate data]]))</f>
        <v>25.100327168528263</v>
      </c>
      <c r="AD68" s="143">
        <f>Tabella34[[#This Row],[Italy acc. fit]]*NOT(ISBLANK(Tabella34[[#This Row],[Italy rate data]]))</f>
        <v>25.058426156577717</v>
      </c>
      <c r="AE68" s="77">
        <f>Tabella34[[#This Row],[Italy acc. fit]]+CIf</f>
        <v>1740.673285491129</v>
      </c>
      <c r="AF68" s="77">
        <f>MAX(Tabella34[[#This Row],[Italy acc. fit]]-CIf,0)</f>
        <v>0</v>
      </c>
      <c r="AG68" s="4">
        <f>Tabella8[[#This Row],[region data]]</f>
        <v>4</v>
      </c>
      <c r="AH68" s="72">
        <f>(Tabella34[[#This Row],[selected region cumul. data]]-AG67)</f>
        <v>0</v>
      </c>
      <c r="AI68" s="72">
        <f>Tabella34[[#This Row],[selected region rate data]]-AH67</f>
        <v>-4</v>
      </c>
      <c r="AJ68" s="77">
        <f>Tabella34[[#This Row],[selected region rate data]]*NOT(ISBLANK(Tabella34[[#This Row],[selected region rate data]]))</f>
        <v>0</v>
      </c>
      <c r="AK68" s="77">
        <f>Tabella8[[#This Row],[region fit]]</f>
        <v>0</v>
      </c>
      <c r="AL68" s="143">
        <f>(ATANH(alpha*Tabella34[[#This Row],[sel. region cumul. fit]]/Kl-(1-alpha*Tabella34[[#This Row],[sel. region cumul. fit]]/Kl)*TANH(phi_l))+phi_l)/psi_l-(Tabella34[[#This Row],[Day]]-pl)</f>
        <v>14.240334693239108</v>
      </c>
      <c r="AM68" s="77">
        <f>Tabella34[[#This Row],[sel. region cumul. fit]]/Kl</f>
        <v>0</v>
      </c>
      <c r="AN68" s="143">
        <f>Tabella3[[#This Row],[region fit]]</f>
        <v>20.394601319470279</v>
      </c>
      <c r="AO68" s="186" t="e">
        <f>Tabella34[[#This Row],[sel. region velocity]]/Tabella34[[#This Row],[sel. region cumul. fit]]</f>
        <v>#DIV/0!</v>
      </c>
      <c r="AP68" s="241" t="e">
        <f>(LN(Tabella34[[#This Row],[Day]]-pr)-phi_r)/psi_r</f>
        <v>#NUM!</v>
      </c>
      <c r="AQ68" s="244">
        <f>EXP(phi_r+psi_r*Tabella34[[#This Row],[x_r_alpha©+plus]])-(Tabella34[[#This Row],[Day]]-pr)</f>
        <v>17.987903950372399</v>
      </c>
      <c r="AR68" s="244">
        <f>EXP(phi_r+psi_r*Tabella34[[#This Row],[x_r_alpha©-minus]])-(Tabella34[[#This Row],[Day]]-pr)</f>
        <v>17.221663143951911</v>
      </c>
      <c r="AS68" s="244">
        <f>-psi_r+SQRT(psi_r^2-2*Tabella34[[#This Row],[c_r]])</f>
        <v>4.0268496834431993</v>
      </c>
      <c r="AT68" s="244">
        <f>-psi_r-SQRT(psi_r^2-2*Tabella34[[#This Row],[c_r]])</f>
        <v>-4.0832579218618612</v>
      </c>
      <c r="AU68" s="244">
        <f>phi_r-LN(alpha*Kr/(Tabella34[[#This Row],[sel. region velocity]]*psi_r*SQRTPI(2)))</f>
        <v>-8.2213329350331854</v>
      </c>
      <c r="AV68" s="244">
        <f>(ACOSH(SQRT(alpha*Kl*psi_l/(Tabella34[[#This Row],[sel. region velocity]]*(1+TANH(phi_l)))))+phi_l)/psi_l-(Tabella34[[#This Row],[Day]]-pl)</f>
        <v>127.11329891803067</v>
      </c>
      <c r="AW68" s="72">
        <f>-2*$BY$22*TANH($BY$22*(Tabella34[[#This Row],[Day]]-$BY$31)-$BY$21)*Tabella34[[#This Row],[sel. region velocity]]</f>
        <v>1.0618837734466655</v>
      </c>
      <c r="AX68" s="77">
        <f>Tabella34[[#This Row],[sel. region acc. fit]]/y_l_peak</f>
        <v>7.7060184631843366E-3</v>
      </c>
      <c r="AY68" s="143">
        <f>Tabella34[[#This Row],[sel. region acc. fit]]*NOT(ISBLANK(Tabella34[[#This Row],[selected region rate data]]))</f>
        <v>1.0618837734466655</v>
      </c>
      <c r="AZ68" s="77">
        <f>Tabella34[[#This Row],[sel. region acc. fit]]+CIl</f>
        <v>54.826724182995122</v>
      </c>
      <c r="BA68" s="77">
        <f>MAX(Tabella34[[#This Row],[sel. region acc. fit]]-CIl,0)</f>
        <v>0</v>
      </c>
      <c r="BB68" s="10">
        <f>Tabella8[[#This Row],[rest of Italy ]]</f>
        <v>113</v>
      </c>
      <c r="BC68" s="10">
        <f>(Tabella34[[#This Row],[rest of Italy cum. Data]]-BB67)</f>
        <v>38</v>
      </c>
      <c r="BD68" s="10">
        <f>Tabella34[[#This Row],[rest of Italy rate data]]-BC67</f>
        <v>30</v>
      </c>
      <c r="BE68" s="77">
        <f>Tabella34[[#This Row],[rest of Italy rate data]]*NOT(ISBLANK(Tabella34[[#This Row],[rest of Italy rate data]]))</f>
        <v>38</v>
      </c>
      <c r="BF68" s="77">
        <f>Tabella8[[#This Row],[rest of Italy fit]]</f>
        <v>0</v>
      </c>
      <c r="BG68" s="78">
        <f>(ATANH(alpha*Tabella34[[#This Row],[rest of Italy cumul. fit]]/Ka-(1-alpha*Tabella34[[#This Row],[rest of Italy cumul. fit]]/Ka)*TANH(phi_a))+phi_a)/psi_a-(Tabella34[[#This Row],[Day]]-pa)</f>
        <v>8.6954444560843314</v>
      </c>
      <c r="BH68" s="77">
        <f>Tabella34[[#This Row],[rest of Italy cumul. fit]]/Ka</f>
        <v>0</v>
      </c>
      <c r="BI68" s="143">
        <f>Tabella3[[#This Row],[rest of Italy fit]]</f>
        <v>544.92787981053641</v>
      </c>
      <c r="BJ68" s="183" t="e">
        <f>Tabella34[[#This Row],[rest of Italy velocity]]/Tabella34[[#This Row],[rest of Italy cumul. fit]]</f>
        <v>#DIV/0!</v>
      </c>
      <c r="BK68" s="236" t="e">
        <f>(LN(Tabella34[[#This Row],[Day]]-po)-phi_o)/psi_o</f>
        <v>#NUM!</v>
      </c>
      <c r="BL68" s="244">
        <f>EXP(phi_o+psi_o*Tabella34[[#This Row],[x_o_alpha©+plus]])-(Tabella34[[#This Row],[Day]]-po)</f>
        <v>12.578293491295915</v>
      </c>
      <c r="BM68" s="244">
        <f>EXP(phi_o+psi_o*Tabella34[[#This Row],[x_o_alpha©-minus]])-(Tabella34[[#This Row],[Day]]-po)</f>
        <v>11.878785634943684</v>
      </c>
      <c r="BN68" s="244">
        <f>-psi_o+SQRT(psi_o^2-2*Tabella34[[#This Row],[c_o]])</f>
        <v>4.0270803651782874</v>
      </c>
      <c r="BO68" s="244">
        <f>-psi_o-SQRT(psi_o^2-2*Tabella34[[#This Row],[c_o]])</f>
        <v>-4.0761074507479158</v>
      </c>
      <c r="BP68" s="244">
        <f>phi_o-LN(alpha*Ko/(Tabella34[[#This Row],[rest of Italy velocity]]*psi_o*SQRTPI(2)))</f>
        <v>-8.2074061406319263</v>
      </c>
      <c r="BQ68" s="244">
        <f>(ACOSH(SQRT(alpha*Ka*psi_a/(Tabella34[[#This Row],[rest of Italy velocity]]*(1+TANH(phi_a)))))+phi_a)/psi_a-(Tabella34[[#This Row],[Day]]-pa)</f>
        <v>135.24374146084216</v>
      </c>
      <c r="BR68" s="72">
        <f>-2*$BY$35*TANH($BY$35*(Tabella34[[#This Row],[Day]]-$BY$44)-$BY$34)*Tabella34[[#This Row],[rest of Italy velocity]]</f>
        <v>24.038443395081597</v>
      </c>
      <c r="BS68" s="77">
        <f>Tabella34[[#This Row],[rest of Italy acc. fit]]/y_a_peak</f>
        <v>8.399789194378145E-3</v>
      </c>
      <c r="BT68" s="77">
        <f>Tabella34[[#This Row],[rest of Italy acc. fit]]*NOT(ISBLANK(Tabella34[[#This Row],[rest of Italy rate data]]))</f>
        <v>24.038443395081597</v>
      </c>
      <c r="BU68" s="77">
        <f>Tabella34[[#This Row],[rest of Italy acc. fit]]+CIa</f>
        <v>1718.6126383046644</v>
      </c>
      <c r="BV68" s="77">
        <f>MAX(Tabella34[[#This Row],[rest of Italy acc. fit]]-CIa,0)</f>
        <v>0</v>
      </c>
    </row>
    <row r="69" spans="2:74" x14ac:dyDescent="0.3">
      <c r="B69" s="262">
        <v>43892</v>
      </c>
      <c r="C69" s="29">
        <v>62</v>
      </c>
      <c r="D69" s="10">
        <f>Tabella8[[#This Row],[Italy cumulative]]</f>
        <v>201</v>
      </c>
      <c r="E69" s="72">
        <f>(Tabella34[[#This Row],[Italy cumul. data]]-D68)</f>
        <v>84</v>
      </c>
      <c r="F69" s="72">
        <f>Tabella34[[#This Row],[Italy rate data]]-E68</f>
        <v>46</v>
      </c>
      <c r="G69" s="77">
        <f>Tabella34[[#This Row],[Italy rate data]]*NOT(ISBLANK(Tabella34[[#This Row],[Italy rate data]]))</f>
        <v>84</v>
      </c>
      <c r="H69" s="143">
        <f>Tabella8[[#This Row],[Italy fit]]</f>
        <v>0</v>
      </c>
      <c r="I69" s="143">
        <f>(ATANH(alpha*Tabella34[[#This Row],[Italy cumul. Fit]]/Kf-(1-alpha*Tabella34[[#This Row],[Italy cumul. Fit]]/Kf)*TANH(phi_f))+phi_f)/psi_f-(Tabella34[[#This Row],[Day]]-pf)</f>
        <v>7.844294912230211</v>
      </c>
      <c r="J69" s="143">
        <f>Tabella34[[#This Row],[Italy d.t.]]/Italy_dt_at_lockdown</f>
        <v>7.11428078235428</v>
      </c>
      <c r="K69" s="77">
        <f>Tabella34[[#This Row],[Italy cumul. Fit]]/Kf</f>
        <v>0</v>
      </c>
      <c r="L69" s="146">
        <f>Tabella34[[#This Row],[sel. region acc. fit]]+Tabella34[[#This Row],[rest of Italy acc. fit]]</f>
        <v>26.099758568465067</v>
      </c>
      <c r="M69" s="77">
        <f>Tabella34[[#This Row],[Italy (fit of selected region + fitted sum of the other regions)]]/(y_l_peak+y_a_peak)</f>
        <v>8.7011070843405671E-3</v>
      </c>
      <c r="N69" s="143">
        <f>Tabella3[[#This Row],[Italy remov. rate fit]]</f>
        <v>588.39759736801182</v>
      </c>
      <c r="O69" s="143" t="e">
        <f>Kt*EXP(-0.5*Tabella34[[#This Row],[x_t]]^2)/(psi_t*SQRTPI(2)*(Tabella34[[#This Row],[Day]]-D_bk))</f>
        <v>#NUM!</v>
      </c>
      <c r="P69" s="183" t="e">
        <f>Tabella34[[#This Row],[Italy velocity]]/Tabella34[[#This Row],[Italy cumul. Fit]]</f>
        <v>#DIV/0!</v>
      </c>
      <c r="Q69" s="244" t="e">
        <f>(LN(Tabella34[[#This Row],[Day]]-D_bk)-phi_t)/psi_t</f>
        <v>#NUM!</v>
      </c>
      <c r="R69" s="244">
        <f>EXP(phi_t+psi_t*Tabella34[[#This Row],[x_t_alpha©+plus]])-(Tabella34[[#This Row],[Day]]-D_bk)</f>
        <v>11.741416976273854</v>
      </c>
      <c r="S69" s="244">
        <f>EXP(phi_t+psi_t*Tabella34[[#This Row],[x_t_alpha©-minus]])-(Tabella34[[#This Row],[Day]]-D_bk)</f>
        <v>11.036427950004377</v>
      </c>
      <c r="T69" s="244">
        <f>-psi_t+SQRT(psi_t^2-2*Tabella34[[#This Row],[c_t]])</f>
        <v>4.0153510923474869</v>
      </c>
      <c r="U69" s="244">
        <f>-psi_t-SQRT(psi_t^2-2*Tabella34[[#This Row],[c_t]])</f>
        <v>-4.0647438267672911</v>
      </c>
      <c r="V69" s="244">
        <f>phi_t-LN(alpha*Kt/(Tabella34[[#This Row],[Italy velocity]]*psi_t*SQRTPI(2)))</f>
        <v>-8.1606867824613722</v>
      </c>
      <c r="W69" s="244" t="e">
        <f>Tabella34[[#This Row],[Italy g.r.]]/Italy_gr_at_lockdown</f>
        <v>#DIV/0!</v>
      </c>
      <c r="X69" s="244">
        <f>(ACOSH(SQRT(alpha*Kf*psi_f/(Tabella34[[#This Row],[Italy velocity]]*(1+TANH(phi_f)))))+phi_f)/psi_f-(Tabella34[[#This Row],[Day]]-pf)</f>
        <v>132.96605236117006</v>
      </c>
      <c r="Y69" s="244">
        <f>Tabella34[[#This Row],[Italy h.t.]]/Italy_ht_at_lockdown</f>
        <v>1.150189480776749</v>
      </c>
      <c r="Z69" s="72">
        <f>-2*$BY$48*TANH($BY$48*(Tabella34[[#This Row],[Day]]-$BY$57)-$BY$47)*Tabella34[[#This Row],[Italy velocity]]</f>
        <v>26.058595496710343</v>
      </c>
      <c r="AA69" s="72">
        <f>Tabella34[[#This Row],[Italy acc. fit]]/Itali_acc_at_lockdown</f>
        <v>0.72167346285466139</v>
      </c>
      <c r="AB69" s="77">
        <f>Tabella34[[#This Row],[Italy acc. fit]]/y_f_peak</f>
        <v>8.6821294502869104E-3</v>
      </c>
      <c r="AC69" s="143">
        <f>Tabella34[[#This Row],[Italy (fit of selected region + fitted sum of the other regions)]]*NOT(ISBLANK(Tabella34[[#This Row],[Italy rate data]]))</f>
        <v>26.099758568465067</v>
      </c>
      <c r="AD69" s="143">
        <f>Tabella34[[#This Row],[Italy acc. fit]]*NOT(ISBLANK(Tabella34[[#This Row],[Italy rate data]]))</f>
        <v>26.058595496710343</v>
      </c>
      <c r="AE69" s="77">
        <f>Tabella34[[#This Row],[Italy acc. fit]]+CIf</f>
        <v>1741.6734548312616</v>
      </c>
      <c r="AF69" s="77">
        <f>MAX(Tabella34[[#This Row],[Italy acc. fit]]-CIf,0)</f>
        <v>0</v>
      </c>
      <c r="AG69" s="4">
        <f>Tabella8[[#This Row],[region data]]</f>
        <v>4</v>
      </c>
      <c r="AH69" s="72">
        <f>(Tabella34[[#This Row],[selected region cumul. data]]-AG68)</f>
        <v>0</v>
      </c>
      <c r="AI69" s="72">
        <f>Tabella34[[#This Row],[selected region rate data]]-AH68</f>
        <v>0</v>
      </c>
      <c r="AJ69" s="77">
        <f>Tabella34[[#This Row],[selected region rate data]]*NOT(ISBLANK(Tabella34[[#This Row],[selected region rate data]]))</f>
        <v>0</v>
      </c>
      <c r="AK69" s="77">
        <f>Tabella8[[#This Row],[region fit]]</f>
        <v>0</v>
      </c>
      <c r="AL69" s="143">
        <f>(ATANH(alpha*Tabella34[[#This Row],[sel. region cumul. fit]]/Kl-(1-alpha*Tabella34[[#This Row],[sel. region cumul. fit]]/Kl)*TANH(phi_l))+phi_l)/psi_l-(Tabella34[[#This Row],[Day]]-pl)</f>
        <v>13.240334693239108</v>
      </c>
      <c r="AM69" s="77">
        <f>Tabella34[[#This Row],[sel. region cumul. fit]]/Kl</f>
        <v>0</v>
      </c>
      <c r="AN69" s="143">
        <f>Tabella3[[#This Row],[region fit]]</f>
        <v>21.482042001296499</v>
      </c>
      <c r="AO69" s="186" t="e">
        <f>Tabella34[[#This Row],[sel. region velocity]]/Tabella34[[#This Row],[sel. region cumul. fit]]</f>
        <v>#DIV/0!</v>
      </c>
      <c r="AP69" s="241" t="e">
        <f>(LN(Tabella34[[#This Row],[Day]]-pr)-phi_r)/psi_r</f>
        <v>#NUM!</v>
      </c>
      <c r="AQ69" s="244">
        <f>EXP(phi_r+psi_r*Tabella34[[#This Row],[x_r_alpha©+plus]])-(Tabella34[[#This Row],[Day]]-pr)</f>
        <v>16.986548024356683</v>
      </c>
      <c r="AR69" s="244">
        <f>EXP(phi_r+psi_r*Tabella34[[#This Row],[x_r_alpha©-minus]])-(Tabella34[[#This Row],[Day]]-pr)</f>
        <v>16.222742223131451</v>
      </c>
      <c r="AS69" s="244">
        <f>-psi_r+SQRT(psi_r^2-2*Tabella34[[#This Row],[c_r]])</f>
        <v>4.0140189239855708</v>
      </c>
      <c r="AT69" s="244">
        <f>-psi_r-SQRT(psi_r^2-2*Tabella34[[#This Row],[c_r]])</f>
        <v>-4.0704271624042327</v>
      </c>
      <c r="AU69" s="244">
        <f>phi_r-LN(alpha*Kr/(Tabella34[[#This Row],[sel. region velocity]]*psi_r*SQRTPI(2)))</f>
        <v>-8.1693858292977382</v>
      </c>
      <c r="AV69" s="244">
        <f>(ACOSH(SQRT(alpha*Kl*psi_l/(Tabella34[[#This Row],[sel. region velocity]]*(1+TANH(phi_l)))))+phi_l)/psi_l-(Tabella34[[#This Row],[Day]]-pl)</f>
        <v>125.15528249584274</v>
      </c>
      <c r="AW69" s="72">
        <f>-2*$BY$22*TANH($BY$22*(Tabella34[[#This Row],[Day]]-$BY$31)-$BY$21)*Tabella34[[#This Row],[sel. region velocity]]</f>
        <v>1.113311420608865</v>
      </c>
      <c r="AX69" s="77">
        <f>Tabella34[[#This Row],[sel. region acc. fit]]/y_l_peak</f>
        <v>8.0792254077294255E-3</v>
      </c>
      <c r="AY69" s="143">
        <f>Tabella34[[#This Row],[sel. region acc. fit]]*NOT(ISBLANK(Tabella34[[#This Row],[selected region rate data]]))</f>
        <v>1.113311420608865</v>
      </c>
      <c r="AZ69" s="77">
        <f>Tabella34[[#This Row],[sel. region acc. fit]]+CIl</f>
        <v>54.878151830157321</v>
      </c>
      <c r="BA69" s="77">
        <f>MAX(Tabella34[[#This Row],[sel. region acc. fit]]-CIl,0)</f>
        <v>0</v>
      </c>
      <c r="BB69" s="10">
        <f>Tabella8[[#This Row],[rest of Italy ]]</f>
        <v>197</v>
      </c>
      <c r="BC69" s="10">
        <f>(Tabella34[[#This Row],[rest of Italy cum. Data]]-BB68)</f>
        <v>84</v>
      </c>
      <c r="BD69" s="10">
        <f>Tabella34[[#This Row],[rest of Italy rate data]]-BC68</f>
        <v>46</v>
      </c>
      <c r="BE69" s="77">
        <f>Tabella34[[#This Row],[rest of Italy rate data]]*NOT(ISBLANK(Tabella34[[#This Row],[rest of Italy rate data]]))</f>
        <v>84</v>
      </c>
      <c r="BF69" s="77">
        <f>Tabella8[[#This Row],[rest of Italy fit]]</f>
        <v>0</v>
      </c>
      <c r="BG69" s="78">
        <f>(ATANH(alpha*Tabella34[[#This Row],[rest of Italy cumul. fit]]/Ka-(1-alpha*Tabella34[[#This Row],[rest of Italy cumul. fit]]/Ka)*TANH(phi_a))+phi_a)/psi_a-(Tabella34[[#This Row],[Day]]-pa)</f>
        <v>7.6954444560843314</v>
      </c>
      <c r="BH69" s="77">
        <f>Tabella34[[#This Row],[rest of Italy cumul. fit]]/Ka</f>
        <v>0</v>
      </c>
      <c r="BI69" s="143">
        <f>Tabella3[[#This Row],[rest of Italy fit]]</f>
        <v>569.43828295224262</v>
      </c>
      <c r="BJ69" s="183" t="e">
        <f>Tabella34[[#This Row],[rest of Italy velocity]]/Tabella34[[#This Row],[rest of Italy cumul. fit]]</f>
        <v>#DIV/0!</v>
      </c>
      <c r="BK69" s="236" t="e">
        <f>(LN(Tabella34[[#This Row],[Day]]-po)-phi_o)/psi_o</f>
        <v>#NUM!</v>
      </c>
      <c r="BL69" s="244">
        <f>EXP(phi_o+psi_o*Tabella34[[#This Row],[x_o_alpha©+plus]])-(Tabella34[[#This Row],[Day]]-po)</f>
        <v>11.577258638551179</v>
      </c>
      <c r="BM69" s="244">
        <f>EXP(phi_o+psi_o*Tabella34[[#This Row],[x_o_alpha©-minus]])-(Tabella34[[#This Row],[Day]]-po)</f>
        <v>10.879634281788052</v>
      </c>
      <c r="BN69" s="244">
        <f>-psi_o+SQRT(psi_o^2-2*Tabella34[[#This Row],[c_o]])</f>
        <v>4.0162066025297163</v>
      </c>
      <c r="BO69" s="244">
        <f>-psi_o-SQRT(psi_o^2-2*Tabella34[[#This Row],[c_o]])</f>
        <v>-4.0652336880993447</v>
      </c>
      <c r="BP69" s="244">
        <f>phi_o-LN(alpha*Ko/(Tabella34[[#This Row],[rest of Italy velocity]]*psi_o*SQRTPI(2)))</f>
        <v>-8.1634091894854084</v>
      </c>
      <c r="BQ69" s="244">
        <f>(ACOSH(SQRT(alpha*Ka*psi_a/(Tabella34[[#This Row],[rest of Italy velocity]]*(1+TANH(phi_a)))))+phi_a)/psi_a-(Tabella34[[#This Row],[Day]]-pa)</f>
        <v>133.29919566892772</v>
      </c>
      <c r="BR69" s="72">
        <f>-2*$BY$35*TANH($BY$35*(Tabella34[[#This Row],[Day]]-$BY$44)-$BY$34)*Tabella34[[#This Row],[rest of Italy velocity]]</f>
        <v>24.9864471478562</v>
      </c>
      <c r="BS69" s="77">
        <f>Tabella34[[#This Row],[rest of Italy acc. fit]]/y_a_peak</f>
        <v>8.731051562240754E-3</v>
      </c>
      <c r="BT69" s="77">
        <f>Tabella34[[#This Row],[rest of Italy acc. fit]]*NOT(ISBLANK(Tabella34[[#This Row],[rest of Italy rate data]]))</f>
        <v>24.9864471478562</v>
      </c>
      <c r="BU69" s="77">
        <f>Tabella34[[#This Row],[rest of Italy acc. fit]]+CIa</f>
        <v>1719.5606420574388</v>
      </c>
      <c r="BV69" s="77">
        <f>MAX(Tabella34[[#This Row],[rest of Italy acc. fit]]-CIa,0)</f>
        <v>0</v>
      </c>
    </row>
    <row r="70" spans="2:74" x14ac:dyDescent="0.3">
      <c r="B70" s="262">
        <v>43893</v>
      </c>
      <c r="C70" s="29">
        <v>63</v>
      </c>
      <c r="D70" s="10">
        <f>Tabella8[[#This Row],[Italy cumulative]]</f>
        <v>239</v>
      </c>
      <c r="E70" s="72">
        <f>(Tabella34[[#This Row],[Italy cumul. data]]-D69)</f>
        <v>38</v>
      </c>
      <c r="F70" s="72">
        <f>Tabella34[[#This Row],[Italy rate data]]-E69</f>
        <v>-46</v>
      </c>
      <c r="G70" s="77">
        <f>Tabella34[[#This Row],[Italy rate data]]*NOT(ISBLANK(Tabella34[[#This Row],[Italy rate data]]))</f>
        <v>38</v>
      </c>
      <c r="H70" s="143">
        <f>Tabella8[[#This Row],[Italy fit]]</f>
        <v>0</v>
      </c>
      <c r="I70" s="143">
        <f>(ATANH(alpha*Tabella34[[#This Row],[Italy cumul. Fit]]/Kf-(1-alpha*Tabella34[[#This Row],[Italy cumul. Fit]]/Kf)*TANH(phi_f))+phi_f)/psi_f-(Tabella34[[#This Row],[Day]]-pf)</f>
        <v>6.844294912230211</v>
      </c>
      <c r="J70" s="143">
        <f>Tabella34[[#This Row],[Italy d.t.]]/Italy_dt_at_lockdown</f>
        <v>6.2073438476831662</v>
      </c>
      <c r="K70" s="77">
        <f>Tabella34[[#This Row],[Italy cumul. Fit]]/Kf</f>
        <v>0</v>
      </c>
      <c r="L70" s="146">
        <f>Tabella34[[#This Row],[sel. region acc. fit]]+Tabella34[[#This Row],[rest of Italy acc. fit]]</f>
        <v>27.125269128248476</v>
      </c>
      <c r="M70" s="77">
        <f>Tabella34[[#This Row],[Italy (fit of selected region + fitted sum of the other regions)]]/(y_l_peak+y_a_peak)</f>
        <v>9.0429905992164012E-3</v>
      </c>
      <c r="N70" s="143">
        <f>Tabella3[[#This Row],[Italy remov. rate fit]]</f>
        <v>614.9672095210517</v>
      </c>
      <c r="O70" s="143" t="e">
        <f>Kt*EXP(-0.5*Tabella34[[#This Row],[x_t]]^2)/(psi_t*SQRTPI(2)*(Tabella34[[#This Row],[Day]]-D_bk))</f>
        <v>#NUM!</v>
      </c>
      <c r="P70" s="183" t="e">
        <f>Tabella34[[#This Row],[Italy velocity]]/Tabella34[[#This Row],[Italy cumul. Fit]]</f>
        <v>#DIV/0!</v>
      </c>
      <c r="Q70" s="244" t="e">
        <f>(LN(Tabella34[[#This Row],[Day]]-D_bk)-phi_t)/psi_t</f>
        <v>#NUM!</v>
      </c>
      <c r="R70" s="244">
        <f>EXP(phi_t+psi_t*Tabella34[[#This Row],[x_t_alpha©+plus]])-(Tabella34[[#This Row],[Day]]-D_bk)</f>
        <v>10.740363537779487</v>
      </c>
      <c r="S70" s="244">
        <f>EXP(phi_t+psi_t*Tabella34[[#This Row],[x_t_alpha©-minus]])-(Tabella34[[#This Row],[Day]]-D_bk)</f>
        <v>10.037291054878629</v>
      </c>
      <c r="T70" s="244">
        <f>-psi_t+SQRT(psi_t^2-2*Tabella34[[#This Row],[c_t]])</f>
        <v>4.0044042010541441</v>
      </c>
      <c r="U70" s="244">
        <f>-psi_t-SQRT(psi_t^2-2*Tabella34[[#This Row],[c_t]])</f>
        <v>-4.0537969354739483</v>
      </c>
      <c r="V70" s="244">
        <f>phi_t-LN(alpha*Kt/(Tabella34[[#This Row],[Italy velocity]]*psi_t*SQRTPI(2)))</f>
        <v>-8.1165207393161491</v>
      </c>
      <c r="W70" s="244" t="e">
        <f>Tabella34[[#This Row],[Italy g.r.]]/Italy_gr_at_lockdown</f>
        <v>#DIV/0!</v>
      </c>
      <c r="X70" s="244">
        <f>(ACOSH(SQRT(alpha*Kf*psi_f/(Tabella34[[#This Row],[Italy velocity]]*(1+TANH(phi_f)))))+phi_f)/psi_f-(Tabella34[[#This Row],[Day]]-pf)</f>
        <v>131.02338842670622</v>
      </c>
      <c r="Y70" s="244">
        <f>Tabella34[[#This Row],[Italy h.t.]]/Italy_ht_at_lockdown</f>
        <v>1.1333849537382581</v>
      </c>
      <c r="Z70" s="72">
        <f>-2*$BY$48*TANH($BY$48*(Tabella34[[#This Row],[Day]]-$BY$57)-$BY$47)*Tabella34[[#This Row],[Italy velocity]]</f>
        <v>27.084935519549578</v>
      </c>
      <c r="AA70" s="72">
        <f>Tabella34[[#This Row],[Italy acc. fit]]/Itali_acc_at_lockdown</f>
        <v>0.75009718808736736</v>
      </c>
      <c r="AB70" s="77">
        <f>Tabella34[[#This Row],[Italy acc. fit]]/y_f_peak</f>
        <v>9.0240825282809096E-3</v>
      </c>
      <c r="AC70" s="143">
        <f>Tabella34[[#This Row],[Italy (fit of selected region + fitted sum of the other regions)]]*NOT(ISBLANK(Tabella34[[#This Row],[Italy rate data]]))</f>
        <v>27.125269128248476</v>
      </c>
      <c r="AD70" s="143">
        <f>Tabella34[[#This Row],[Italy acc. fit]]*NOT(ISBLANK(Tabella34[[#This Row],[Italy rate data]]))</f>
        <v>27.084935519549578</v>
      </c>
      <c r="AE70" s="77">
        <f>Tabella34[[#This Row],[Italy acc. fit]]+CIf</f>
        <v>1742.6997948541009</v>
      </c>
      <c r="AF70" s="77">
        <f>MAX(Tabella34[[#This Row],[Italy acc. fit]]-CIf,0)</f>
        <v>0</v>
      </c>
      <c r="AG70" s="4">
        <f>Tabella8[[#This Row],[region data]]</f>
        <v>5</v>
      </c>
      <c r="AH70" s="72">
        <f>(Tabella34[[#This Row],[selected region cumul. data]]-AG69)</f>
        <v>1</v>
      </c>
      <c r="AI70" s="72">
        <f>Tabella34[[#This Row],[selected region rate data]]-AH69</f>
        <v>1</v>
      </c>
      <c r="AJ70" s="77">
        <f>Tabella34[[#This Row],[selected region rate data]]*NOT(ISBLANK(Tabella34[[#This Row],[selected region rate data]]))</f>
        <v>1</v>
      </c>
      <c r="AK70" s="77">
        <f>Tabella8[[#This Row],[region fit]]</f>
        <v>0</v>
      </c>
      <c r="AL70" s="143">
        <f>(ATANH(alpha*Tabella34[[#This Row],[sel. region cumul. fit]]/Kl-(1-alpha*Tabella34[[#This Row],[sel. region cumul. fit]]/Kl)*TANH(phi_l))+phi_l)/psi_l-(Tabella34[[#This Row],[Day]]-pl)</f>
        <v>12.240334693239108</v>
      </c>
      <c r="AM70" s="77">
        <f>Tabella34[[#This Row],[sel. region cumul. fit]]/Kl</f>
        <v>0</v>
      </c>
      <c r="AN70" s="143">
        <f>Tabella3[[#This Row],[region fit]]</f>
        <v>22.621852580021038</v>
      </c>
      <c r="AO70" s="186" t="e">
        <f>Tabella34[[#This Row],[sel. region velocity]]/Tabella34[[#This Row],[sel. region cumul. fit]]</f>
        <v>#DIV/0!</v>
      </c>
      <c r="AP70" s="241" t="e">
        <f>(LN(Tabella34[[#This Row],[Day]]-pr)-phi_r)/psi_r</f>
        <v>#NUM!</v>
      </c>
      <c r="AQ70" s="244">
        <f>EXP(phi_r+psi_r*Tabella34[[#This Row],[x_r_alpha©+plus]])-(Tabella34[[#This Row],[Day]]-pr)</f>
        <v>15.985194776107944</v>
      </c>
      <c r="AR70" s="244">
        <f>EXP(phi_r+psi_r*Tabella34[[#This Row],[x_r_alpha©-minus]])-(Tabella34[[#This Row],[Day]]-pr)</f>
        <v>15.223819950383614</v>
      </c>
      <c r="AS70" s="244">
        <f>-psi_r+SQRT(psi_r^2-2*Tabella34[[#This Row],[c_r]])</f>
        <v>4.0012088723823105</v>
      </c>
      <c r="AT70" s="244">
        <f>-psi_r-SQRT(psi_r^2-2*Tabella34[[#This Row],[c_r]])</f>
        <v>-4.0576171108009724</v>
      </c>
      <c r="AU70" s="244">
        <f>phi_r-LN(alpha*Kr/(Tabella34[[#This Row],[sel. region velocity]]*psi_r*SQRTPI(2)))</f>
        <v>-8.1176867922335649</v>
      </c>
      <c r="AV70" s="244">
        <f>(ACOSH(SQRT(alpha*Kl*psi_l/(Tabella34[[#This Row],[sel. region velocity]]*(1+TANH(phi_l)))))+phi_l)/psi_l-(Tabella34[[#This Row],[Day]]-pl)</f>
        <v>123.19974980096494</v>
      </c>
      <c r="AW70" s="72">
        <f>-2*$BY$22*TANH($BY$22*(Tabella34[[#This Row],[Day]]-$BY$31)-$BY$21)*Tabella34[[#This Row],[sel. region velocity]]</f>
        <v>1.1666240282182287</v>
      </c>
      <c r="AX70" s="77">
        <f>Tabella34[[#This Row],[sel. region acc. fit]]/y_l_peak</f>
        <v>8.4661113822883851E-3</v>
      </c>
      <c r="AY70" s="143">
        <f>Tabella34[[#This Row],[sel. region acc. fit]]*NOT(ISBLANK(Tabella34[[#This Row],[selected region rate data]]))</f>
        <v>1.1666240282182287</v>
      </c>
      <c r="AZ70" s="77">
        <f>Tabella34[[#This Row],[sel. region acc. fit]]+CIl</f>
        <v>54.931464437766685</v>
      </c>
      <c r="BA70" s="77">
        <f>MAX(Tabella34[[#This Row],[sel. region acc. fit]]-CIl,0)</f>
        <v>0</v>
      </c>
      <c r="BB70" s="10">
        <f>Tabella8[[#This Row],[rest of Italy ]]</f>
        <v>234</v>
      </c>
      <c r="BC70" s="10">
        <f>(Tabella34[[#This Row],[rest of Italy cum. Data]]-BB69)</f>
        <v>37</v>
      </c>
      <c r="BD70" s="10">
        <f>Tabella34[[#This Row],[rest of Italy rate data]]-BC69</f>
        <v>-47</v>
      </c>
      <c r="BE70" s="77">
        <f>Tabella34[[#This Row],[rest of Italy rate data]]*NOT(ISBLANK(Tabella34[[#This Row],[rest of Italy rate data]]))</f>
        <v>37</v>
      </c>
      <c r="BF70" s="77">
        <f>Tabella8[[#This Row],[rest of Italy fit]]</f>
        <v>0</v>
      </c>
      <c r="BG70" s="78">
        <f>(ATANH(alpha*Tabella34[[#This Row],[rest of Italy cumul. fit]]/Ka-(1-alpha*Tabella34[[#This Row],[rest of Italy cumul. fit]]/Ka)*TANH(phi_a))+phi_a)/psi_a-(Tabella34[[#This Row],[Day]]-pa)</f>
        <v>6.6954444560843314</v>
      </c>
      <c r="BH70" s="77">
        <f>Tabella34[[#This Row],[rest of Italy cumul. fit]]/Ka</f>
        <v>0</v>
      </c>
      <c r="BI70" s="143">
        <f>Tabella3[[#This Row],[rest of Italy fit]]</f>
        <v>594.90884059421614</v>
      </c>
      <c r="BJ70" s="183" t="e">
        <f>Tabella34[[#This Row],[rest of Italy velocity]]/Tabella34[[#This Row],[rest of Italy cumul. fit]]</f>
        <v>#DIV/0!</v>
      </c>
      <c r="BK70" s="236" t="e">
        <f>(LN(Tabella34[[#This Row],[Day]]-po)-phi_o)/psi_o</f>
        <v>#NUM!</v>
      </c>
      <c r="BL70" s="244">
        <f>EXP(phi_o+psi_o*Tabella34[[#This Row],[x_o_alpha©+plus]])-(Tabella34[[#This Row],[Day]]-po)</f>
        <v>10.576226916469142</v>
      </c>
      <c r="BM70" s="244">
        <f>EXP(phi_o+psi_o*Tabella34[[#This Row],[x_o_alpha©-minus]])-(Tabella34[[#This Row],[Day]]-po)</f>
        <v>9.8804808118345342</v>
      </c>
      <c r="BN70" s="244">
        <f>-psi_o+SQRT(psi_o^2-2*Tabella34[[#This Row],[c_o]])</f>
        <v>4.0053628493848503</v>
      </c>
      <c r="BO70" s="244">
        <f>-psi_o-SQRT(psi_o^2-2*Tabella34[[#This Row],[c_o]])</f>
        <v>-4.0543899349544787</v>
      </c>
      <c r="BP70" s="244">
        <f>phi_o-LN(alpha*Ko/(Tabella34[[#This Row],[rest of Italy velocity]]*psi_o*SQRTPI(2)))</f>
        <v>-8.1196514111932636</v>
      </c>
      <c r="BQ70" s="244">
        <f>(ACOSH(SQRT(alpha*Ka*psi_a/(Tabella34[[#This Row],[rest of Italy velocity]]*(1+TANH(phi_a)))))+phi_a)/psi_a-(Tabella34[[#This Row],[Day]]-pa)</f>
        <v>131.35750450347695</v>
      </c>
      <c r="BR70" s="72">
        <f>-2*$BY$35*TANH($BY$35*(Tabella34[[#This Row],[Day]]-$BY$44)-$BY$34)*Tabella34[[#This Row],[rest of Italy velocity]]</f>
        <v>25.958645100030246</v>
      </c>
      <c r="BS70" s="77">
        <f>Tabella34[[#This Row],[rest of Italy acc. fit]]/y_a_peak</f>
        <v>9.0707681453510818E-3</v>
      </c>
      <c r="BT70" s="77">
        <f>Tabella34[[#This Row],[rest of Italy acc. fit]]*NOT(ISBLANK(Tabella34[[#This Row],[rest of Italy rate data]]))</f>
        <v>25.958645100030246</v>
      </c>
      <c r="BU70" s="77">
        <f>Tabella34[[#This Row],[rest of Italy acc. fit]]+CIa</f>
        <v>1720.532840009613</v>
      </c>
      <c r="BV70" s="77">
        <f>MAX(Tabella34[[#This Row],[rest of Italy acc. fit]]-CIa,0)</f>
        <v>0</v>
      </c>
    </row>
    <row r="71" spans="2:74" x14ac:dyDescent="0.3">
      <c r="B71" s="262">
        <v>43894</v>
      </c>
      <c r="C71" s="29">
        <v>64</v>
      </c>
      <c r="D71" s="10">
        <f>Tabella8[[#This Row],[Italy cumulative]]</f>
        <v>383</v>
      </c>
      <c r="E71" s="72">
        <f>(Tabella34[[#This Row],[Italy cumul. data]]-D70)</f>
        <v>144</v>
      </c>
      <c r="F71" s="72">
        <f>Tabella34[[#This Row],[Italy rate data]]-E70</f>
        <v>106</v>
      </c>
      <c r="G71" s="77">
        <f>Tabella34[[#This Row],[Italy rate data]]*NOT(ISBLANK(Tabella34[[#This Row],[Italy rate data]]))</f>
        <v>144</v>
      </c>
      <c r="H71" s="143">
        <f>Tabella8[[#This Row],[Italy fit]]</f>
        <v>0</v>
      </c>
      <c r="I71" s="143">
        <f>(ATANH(alpha*Tabella34[[#This Row],[Italy cumul. Fit]]/Kf-(1-alpha*Tabella34[[#This Row],[Italy cumul. Fit]]/Kf)*TANH(phi_f))+phi_f)/psi_f-(Tabella34[[#This Row],[Day]]-pf)</f>
        <v>5.844294912230211</v>
      </c>
      <c r="J71" s="143">
        <f>Tabella34[[#This Row],[Italy d.t.]]/Italy_dt_at_lockdown</f>
        <v>5.3004069130120532</v>
      </c>
      <c r="K71" s="77">
        <f>Tabella34[[#This Row],[Italy cumul. Fit]]/Kf</f>
        <v>0</v>
      </c>
      <c r="L71" s="146">
        <f>Tabella34[[#This Row],[sel. region acc. fit]]+Tabella34[[#This Row],[rest of Italy acc. fit]]</f>
        <v>28.176131653937826</v>
      </c>
      <c r="M71" s="77">
        <f>Tabella34[[#This Row],[Italy (fit of selected region + fitted sum of the other regions)]]/(y_l_peak+y_a_peak)</f>
        <v>9.3933259229305229E-3</v>
      </c>
      <c r="N71" s="143">
        <f>Tabella3[[#This Row],[Italy remov. rate fit]]</f>
        <v>642.5759523940128</v>
      </c>
      <c r="O71" s="143" t="e">
        <f>Kt*EXP(-0.5*Tabella34[[#This Row],[x_t]]^2)/(psi_t*SQRTPI(2)*(Tabella34[[#This Row],[Day]]-D_bk))</f>
        <v>#NUM!</v>
      </c>
      <c r="P71" s="183" t="e">
        <f>Tabella34[[#This Row],[Italy velocity]]/Tabella34[[#This Row],[Italy cumul. Fit]]</f>
        <v>#DIV/0!</v>
      </c>
      <c r="Q71" s="244" t="e">
        <f>(LN(Tabella34[[#This Row],[Day]]-D_bk)-phi_t)/psi_t</f>
        <v>#NUM!</v>
      </c>
      <c r="R71" s="244">
        <f>EXP(phi_t+psi_t*Tabella34[[#This Row],[x_t_alpha©+plus]])-(Tabella34[[#This Row],[Day]]-D_bk)</f>
        <v>9.7393134993692794</v>
      </c>
      <c r="S71" s="244">
        <f>EXP(phi_t+psi_t*Tabella34[[#This Row],[x_t_alpha©-minus]])-(Tabella34[[#This Row],[Day]]-D_bk)</f>
        <v>9.0381518385997879</v>
      </c>
      <c r="T71" s="244">
        <f>-psi_t+SQRT(psi_t^2-2*Tabella34[[#This Row],[c_t]])</f>
        <v>3.993489696053087</v>
      </c>
      <c r="U71" s="244">
        <f>-psi_t-SQRT(psi_t^2-2*Tabella34[[#This Row],[c_t]])</f>
        <v>-4.0428824304728916</v>
      </c>
      <c r="V71" s="244">
        <f>phi_t-LN(alpha*Kt/(Tabella34[[#This Row],[Italy velocity]]*psi_t*SQRTPI(2)))</f>
        <v>-8.0726046642237801</v>
      </c>
      <c r="W71" s="244" t="e">
        <f>Tabella34[[#This Row],[Italy g.r.]]/Italy_gr_at_lockdown</f>
        <v>#DIV/0!</v>
      </c>
      <c r="X71" s="244">
        <f>(ACOSH(SQRT(alpha*Kf*psi_f/(Tabella34[[#This Row],[Italy velocity]]*(1+TANH(phi_f)))))+phi_f)/psi_f-(Tabella34[[#This Row],[Day]]-pf)</f>
        <v>129.08370053306419</v>
      </c>
      <c r="Y71" s="244">
        <f>Tabella34[[#This Row],[Italy h.t.]]/Italy_ht_at_lockdown</f>
        <v>1.1166061701943419</v>
      </c>
      <c r="Z71" s="72">
        <f>-2*$BY$48*TANH($BY$48*(Tabella34[[#This Row],[Day]]-$BY$57)-$BY$47)*Tabella34[[#This Row],[Italy velocity]]</f>
        <v>28.136721436491182</v>
      </c>
      <c r="AA71" s="72">
        <f>Tabella34[[#This Row],[Italy acc. fit]]/Itali_acc_at_lockdown</f>
        <v>0.77922561847252902</v>
      </c>
      <c r="AB71" s="77">
        <f>Tabella34[[#This Row],[Italy acc. fit]]/y_f_peak</f>
        <v>9.3745135976003799E-3</v>
      </c>
      <c r="AC71" s="143">
        <f>Tabella34[[#This Row],[Italy (fit of selected region + fitted sum of the other regions)]]*NOT(ISBLANK(Tabella34[[#This Row],[Italy rate data]]))</f>
        <v>28.176131653937826</v>
      </c>
      <c r="AD71" s="143">
        <f>Tabella34[[#This Row],[Italy acc. fit]]*NOT(ISBLANK(Tabella34[[#This Row],[Italy rate data]]))</f>
        <v>28.136721436491182</v>
      </c>
      <c r="AE71" s="77">
        <f>Tabella34[[#This Row],[Italy acc. fit]]+CIf</f>
        <v>1743.7515807710424</v>
      </c>
      <c r="AF71" s="77">
        <f>MAX(Tabella34[[#This Row],[Italy acc. fit]]-CIf,0)</f>
        <v>0</v>
      </c>
      <c r="AG71" s="4">
        <f>Tabella8[[#This Row],[region data]]</f>
        <v>5</v>
      </c>
      <c r="AH71" s="72">
        <f>(Tabella34[[#This Row],[selected region cumul. data]]-AG70)</f>
        <v>0</v>
      </c>
      <c r="AI71" s="72">
        <f>Tabella34[[#This Row],[selected region rate data]]-AH70</f>
        <v>-1</v>
      </c>
      <c r="AJ71" s="77">
        <f>Tabella34[[#This Row],[selected region rate data]]*NOT(ISBLANK(Tabella34[[#This Row],[selected region rate data]]))</f>
        <v>0</v>
      </c>
      <c r="AK71" s="77">
        <f>Tabella8[[#This Row],[region fit]]</f>
        <v>0</v>
      </c>
      <c r="AL71" s="143">
        <f>(ATANH(alpha*Tabella34[[#This Row],[sel. region cumul. fit]]/Kl-(1-alpha*Tabella34[[#This Row],[sel. region cumul. fit]]/Kl)*TANH(phi_l))+phi_l)/psi_l-(Tabella34[[#This Row],[Day]]-pl)</f>
        <v>11.240334693239108</v>
      </c>
      <c r="AM71" s="77">
        <f>Tabella34[[#This Row],[sel. region cumul. fit]]/Kl</f>
        <v>0</v>
      </c>
      <c r="AN71" s="143">
        <f>Tabella3[[#This Row],[region fit]]</f>
        <v>23.815917852703663</v>
      </c>
      <c r="AO71" s="186" t="e">
        <f>Tabella34[[#This Row],[sel. region velocity]]/Tabella34[[#This Row],[sel. region cumul. fit]]</f>
        <v>#DIV/0!</v>
      </c>
      <c r="AP71" s="241" t="e">
        <f>(LN(Tabella34[[#This Row],[Day]]-pr)-phi_r)/psi_r</f>
        <v>#NUM!</v>
      </c>
      <c r="AQ71" s="244">
        <f>EXP(phi_r+psi_r*Tabella34[[#This Row],[x_r_alpha©+plus]])-(Tabella34[[#This Row],[Day]]-pr)</f>
        <v>14.983844569961249</v>
      </c>
      <c r="AR71" s="244">
        <f>EXP(phi_r+psi_r*Tabella34[[#This Row],[x_r_alpha©-minus]])-(Tabella34[[#This Row],[Day]]-pr)</f>
        <v>14.224896031458709</v>
      </c>
      <c r="AS71" s="244">
        <f>-psi_r+SQRT(psi_r^2-2*Tabella34[[#This Row],[c_r]])</f>
        <v>3.9884230034815897</v>
      </c>
      <c r="AT71" s="244">
        <f>-psi_r-SQRT(psi_r^2-2*Tabella34[[#This Row],[c_r]])</f>
        <v>-4.0448312419002512</v>
      </c>
      <c r="AU71" s="244">
        <f>phi_r-LN(alpha*Kr/(Tabella34[[#This Row],[sel. region velocity]]*psi_r*SQRTPI(2)))</f>
        <v>-8.0662489851979817</v>
      </c>
      <c r="AV71" s="244">
        <f>(ACOSH(SQRT(alpha*Kl*psi_l/(Tabella34[[#This Row],[sel. region velocity]]*(1+TANH(phi_l)))))+phi_l)/psi_l-(Tabella34[[#This Row],[Day]]-pl)</f>
        <v>121.24685031633291</v>
      </c>
      <c r="AW71" s="72">
        <f>-2*$BY$22*TANH($BY$22*(Tabella34[[#This Row],[Day]]-$BY$31)-$BY$21)*Tabella34[[#This Row],[sel. region velocity]]</f>
        <v>1.2218196835485331</v>
      </c>
      <c r="AX71" s="77">
        <f>Tabella34[[#This Row],[sel. region acc. fit]]/y_l_peak</f>
        <v>8.8666625063368466E-3</v>
      </c>
      <c r="AY71" s="143">
        <f>Tabella34[[#This Row],[sel. region acc. fit]]*NOT(ISBLANK(Tabella34[[#This Row],[selected region rate data]]))</f>
        <v>1.2218196835485331</v>
      </c>
      <c r="AZ71" s="77">
        <f>Tabella34[[#This Row],[sel. region acc. fit]]+CIl</f>
        <v>54.986660093096987</v>
      </c>
      <c r="BA71" s="77">
        <f>MAX(Tabella34[[#This Row],[sel. region acc. fit]]-CIl,0)</f>
        <v>0</v>
      </c>
      <c r="BB71" s="10">
        <f>Tabella8[[#This Row],[rest of Italy ]]</f>
        <v>378</v>
      </c>
      <c r="BC71" s="10">
        <f>(Tabella34[[#This Row],[rest of Italy cum. Data]]-BB70)</f>
        <v>144</v>
      </c>
      <c r="BD71" s="10">
        <f>Tabella34[[#This Row],[rest of Italy rate data]]-BC70</f>
        <v>107</v>
      </c>
      <c r="BE71" s="77">
        <f>Tabella34[[#This Row],[rest of Italy rate data]]*NOT(ISBLANK(Tabella34[[#This Row],[rest of Italy rate data]]))</f>
        <v>144</v>
      </c>
      <c r="BF71" s="77">
        <f>Tabella8[[#This Row],[rest of Italy fit]]</f>
        <v>0</v>
      </c>
      <c r="BG71" s="78">
        <f>(ATANH(alpha*Tabella34[[#This Row],[rest of Italy cumul. fit]]/Ka-(1-alpha*Tabella34[[#This Row],[rest of Italy cumul. fit]]/Ka)*TANH(phi_a))+phi_a)/psi_a-(Tabella34[[#This Row],[Day]]-pa)</f>
        <v>5.6954444560843314</v>
      </c>
      <c r="BH71" s="77">
        <f>Tabella34[[#This Row],[rest of Italy cumul. fit]]/Ka</f>
        <v>0</v>
      </c>
      <c r="BI71" s="143">
        <f>Tabella3[[#This Row],[rest of Italy fit]]</f>
        <v>621.36339803480007</v>
      </c>
      <c r="BJ71" s="183" t="e">
        <f>Tabella34[[#This Row],[rest of Italy velocity]]/Tabella34[[#This Row],[rest of Italy cumul. fit]]</f>
        <v>#DIV/0!</v>
      </c>
      <c r="BK71" s="236" t="e">
        <f>(LN(Tabella34[[#This Row],[Day]]-po)-phi_o)/psi_o</f>
        <v>#NUM!</v>
      </c>
      <c r="BL71" s="244">
        <f>EXP(phi_o+psi_o*Tabella34[[#This Row],[x_o_alpha©+plus]])-(Tabella34[[#This Row],[Day]]-po)</f>
        <v>9.5751985989423858</v>
      </c>
      <c r="BM71" s="244">
        <f>EXP(phi_o+psi_o*Tabella34[[#This Row],[x_o_alpha©-minus]])-(Tabella34[[#This Row],[Day]]-po)</f>
        <v>8.8813249964367991</v>
      </c>
      <c r="BN71" s="244">
        <f>-psi_o+SQRT(psi_o^2-2*Tabella34[[#This Row],[c_o]])</f>
        <v>3.9945520103018484</v>
      </c>
      <c r="BO71" s="244">
        <f>-psi_o-SQRT(psi_o^2-2*Tabella34[[#This Row],[c_o]])</f>
        <v>-4.0435790958714772</v>
      </c>
      <c r="BP71" s="244">
        <f>phi_o-LN(alpha*Ko/(Tabella34[[#This Row],[rest of Italy velocity]]*psi_o*SQRTPI(2)))</f>
        <v>-8.0761435031139719</v>
      </c>
      <c r="BQ71" s="244">
        <f>(ACOSH(SQRT(alpha*Ka*psi_a/(Tabella34[[#This Row],[rest of Italy velocity]]*(1+TANH(phi_a)))))+phi_a)/psi_a-(Tabella34[[#This Row],[Day]]-pa)</f>
        <v>129.41881789616713</v>
      </c>
      <c r="BR71" s="72">
        <f>-2*$BY$35*TANH($BY$35*(Tabella34[[#This Row],[Day]]-$BY$44)-$BY$34)*Tabella34[[#This Row],[rest of Italy velocity]]</f>
        <v>26.954311970389295</v>
      </c>
      <c r="BS71" s="77">
        <f>Tabella34[[#This Row],[rest of Italy acc. fit]]/y_a_peak</f>
        <v>9.4186855076106284E-3</v>
      </c>
      <c r="BT71" s="77">
        <f>Tabella34[[#This Row],[rest of Italy acc. fit]]*NOT(ISBLANK(Tabella34[[#This Row],[rest of Italy rate data]]))</f>
        <v>26.954311970389295</v>
      </c>
      <c r="BU71" s="77">
        <f>Tabella34[[#This Row],[rest of Italy acc. fit]]+CIa</f>
        <v>1721.5285068799719</v>
      </c>
      <c r="BV71" s="77">
        <f>MAX(Tabella34[[#This Row],[rest of Italy acc. fit]]-CIa,0)</f>
        <v>0</v>
      </c>
    </row>
    <row r="72" spans="2:74" x14ac:dyDescent="0.3">
      <c r="B72" s="262">
        <v>43895</v>
      </c>
      <c r="C72" s="29">
        <v>65</v>
      </c>
      <c r="D72" s="10">
        <f>Tabella8[[#This Row],[Italy cumulative]]</f>
        <v>562</v>
      </c>
      <c r="E72" s="72">
        <f>(Tabella34[[#This Row],[Italy cumul. data]]-D71)</f>
        <v>179</v>
      </c>
      <c r="F72" s="72">
        <f>Tabella34[[#This Row],[Italy rate data]]-E71</f>
        <v>35</v>
      </c>
      <c r="G72" s="77">
        <f>Tabella34[[#This Row],[Italy rate data]]*NOT(ISBLANK(Tabella34[[#This Row],[Italy rate data]]))</f>
        <v>179</v>
      </c>
      <c r="H72" s="143">
        <f>Tabella8[[#This Row],[Italy fit]]</f>
        <v>0</v>
      </c>
      <c r="I72" s="143">
        <f>(ATANH(alpha*Tabella34[[#This Row],[Italy cumul. Fit]]/Kf-(1-alpha*Tabella34[[#This Row],[Italy cumul. Fit]]/Kf)*TANH(phi_f))+phi_f)/psi_f-(Tabella34[[#This Row],[Day]]-pf)</f>
        <v>4.844294912230211</v>
      </c>
      <c r="J72" s="143">
        <f>Tabella34[[#This Row],[Italy d.t.]]/Italy_dt_at_lockdown</f>
        <v>4.3934699783409394</v>
      </c>
      <c r="K72" s="77">
        <f>Tabella34[[#This Row],[Italy cumul. Fit]]/Kf</f>
        <v>0</v>
      </c>
      <c r="L72" s="146">
        <f>Tabella34[[#This Row],[sel. region acc. fit]]+Tabella34[[#This Row],[rest of Italy acc. fit]]</f>
        <v>29.251436890457487</v>
      </c>
      <c r="M72" s="77">
        <f>Tabella34[[#This Row],[Italy (fit of selected region + fitted sum of the other regions)]]/(y_l_peak+y_a_peak)</f>
        <v>9.751809929085831E-3</v>
      </c>
      <c r="N72" s="143">
        <f>Tabella3[[#This Row],[Italy remov. rate fit]]</f>
        <v>671.24883427087741</v>
      </c>
      <c r="O72" s="143" t="e">
        <f>Kt*EXP(-0.5*Tabella34[[#This Row],[x_t]]^2)/(psi_t*SQRTPI(2)*(Tabella34[[#This Row],[Day]]-D_bk))</f>
        <v>#NUM!</v>
      </c>
      <c r="P72" s="183" t="e">
        <f>Tabella34[[#This Row],[Italy velocity]]/Tabella34[[#This Row],[Italy cumul. Fit]]</f>
        <v>#DIV/0!</v>
      </c>
      <c r="Q72" s="244" t="e">
        <f>(LN(Tabella34[[#This Row],[Day]]-D_bk)-phi_t)/psi_t</f>
        <v>#NUM!</v>
      </c>
      <c r="R72" s="244">
        <f>EXP(phi_t+psi_t*Tabella34[[#This Row],[x_t_alpha©+plus]])-(Tabella34[[#This Row],[Day]]-D_bk)</f>
        <v>8.7382671531882892</v>
      </c>
      <c r="S72" s="244">
        <f>EXP(phi_t+psi_t*Tabella34[[#This Row],[x_t_alpha©-minus]])-(Tabella34[[#This Row],[Day]]-D_bk)</f>
        <v>8.0390100573519376</v>
      </c>
      <c r="T72" s="244">
        <f>-psi_t+SQRT(psi_t^2-2*Tabella34[[#This Row],[c_t]])</f>
        <v>3.9826106422313692</v>
      </c>
      <c r="U72" s="244">
        <f>-psi_t-SQRT(psi_t^2-2*Tabella34[[#This Row],[c_t]])</f>
        <v>-4.0320033766511738</v>
      </c>
      <c r="V72" s="244">
        <f>phi_t-LN(alpha*Kt/(Tabella34[[#This Row],[Italy velocity]]*psi_t*SQRTPI(2)))</f>
        <v>-8.0289497786818913</v>
      </c>
      <c r="W72" s="244" t="e">
        <f>Tabella34[[#This Row],[Italy g.r.]]/Italy_gr_at_lockdown</f>
        <v>#DIV/0!</v>
      </c>
      <c r="X72" s="244">
        <f>(ACOSH(SQRT(alpha*Kf*psi_f/(Tabella34[[#This Row],[Italy velocity]]*(1+TANH(phi_f)))))+phi_f)/psi_f-(Tabella34[[#This Row],[Day]]-pf)</f>
        <v>127.147146346874</v>
      </c>
      <c r="Y72" s="244">
        <f>Tabella34[[#This Row],[Italy h.t.]]/Italy_ht_at_lockdown</f>
        <v>1.0998544940006325</v>
      </c>
      <c r="Z72" s="72">
        <f>-2*$BY$48*TANH($BY$48*(Tabella34[[#This Row],[Day]]-$BY$57)-$BY$47)*Tabella34[[#This Row],[Italy velocity]]</f>
        <v>29.213046395783582</v>
      </c>
      <c r="AA72" s="72">
        <f>Tabella34[[#This Row],[Italy acc. fit]]/Itali_acc_at_lockdown</f>
        <v>0.80903363942390782</v>
      </c>
      <c r="AB72" s="77">
        <f>Tabella34[[#This Row],[Italy acc. fit]]/y_f_peak</f>
        <v>9.7331205159329921E-3</v>
      </c>
      <c r="AC72" s="143">
        <f>Tabella34[[#This Row],[Italy (fit of selected region + fitted sum of the other regions)]]*NOT(ISBLANK(Tabella34[[#This Row],[Italy rate data]]))</f>
        <v>29.251436890457487</v>
      </c>
      <c r="AD72" s="143">
        <f>Tabella34[[#This Row],[Italy acc. fit]]*NOT(ISBLANK(Tabella34[[#This Row],[Italy rate data]]))</f>
        <v>29.213046395783582</v>
      </c>
      <c r="AE72" s="77">
        <f>Tabella34[[#This Row],[Italy acc. fit]]+CIf</f>
        <v>1744.8279057303348</v>
      </c>
      <c r="AF72" s="77">
        <f>MAX(Tabella34[[#This Row],[Italy acc. fit]]-CIf,0)</f>
        <v>0</v>
      </c>
      <c r="AG72" s="4">
        <f>Tabella8[[#This Row],[region data]]</f>
        <v>7</v>
      </c>
      <c r="AH72" s="72">
        <f>(Tabella34[[#This Row],[selected region cumul. data]]-AG71)</f>
        <v>2</v>
      </c>
      <c r="AI72" s="72">
        <f>Tabella34[[#This Row],[selected region rate data]]-AH71</f>
        <v>2</v>
      </c>
      <c r="AJ72" s="77">
        <f>Tabella34[[#This Row],[selected region rate data]]*NOT(ISBLANK(Tabella34[[#This Row],[selected region rate data]]))</f>
        <v>2</v>
      </c>
      <c r="AK72" s="77">
        <f>Tabella8[[#This Row],[region fit]]</f>
        <v>0</v>
      </c>
      <c r="AL72" s="143">
        <f>(ATANH(alpha*Tabella34[[#This Row],[sel. region cumul. fit]]/Kl-(1-alpha*Tabella34[[#This Row],[sel. region cumul. fit]]/Kl)*TANH(phi_l))+phi_l)/psi_l-(Tabella34[[#This Row],[Day]]-pl)</f>
        <v>10.240334693239108</v>
      </c>
      <c r="AM72" s="77">
        <f>Tabella34[[#This Row],[sel. region cumul. fit]]/Kl</f>
        <v>0</v>
      </c>
      <c r="AN72" s="143">
        <f>Tabella3[[#This Row],[region fit]]</f>
        <v>25.066115743405614</v>
      </c>
      <c r="AO72" s="186" t="e">
        <f>Tabella34[[#This Row],[sel. region velocity]]/Tabella34[[#This Row],[sel. region cumul. fit]]</f>
        <v>#DIV/0!</v>
      </c>
      <c r="AP72" s="241" t="e">
        <f>(LN(Tabella34[[#This Row],[Day]]-pr)-phi_r)/psi_r</f>
        <v>#NUM!</v>
      </c>
      <c r="AQ72" s="244">
        <f>EXP(phi_r+psi_r*Tabella34[[#This Row],[x_r_alpha©+plus]])-(Tabella34[[#This Row],[Day]]-pr)</f>
        <v>13.982497790883507</v>
      </c>
      <c r="AR72" s="244">
        <f>EXP(phi_r+psi_r*Tabella34[[#This Row],[x_r_alpha©-minus]])-(Tabella34[[#This Row],[Day]]-pr)</f>
        <v>13.225970154809742</v>
      </c>
      <c r="AS72" s="244">
        <f>-psi_r+SQRT(psi_r^2-2*Tabella34[[#This Row],[c_r]])</f>
        <v>3.9756649925631486</v>
      </c>
      <c r="AT72" s="244">
        <f>-psi_r-SQRT(psi_r^2-2*Tabella34[[#This Row],[c_r]])</f>
        <v>-4.0320732309818101</v>
      </c>
      <c r="AU72" s="244">
        <f>phi_r-LN(alpha*Kr/(Tabella34[[#This Row],[sel. region velocity]]*psi_r*SQRTPI(2)))</f>
        <v>-8.0150861959326836</v>
      </c>
      <c r="AV72" s="244">
        <f>(ACOSH(SQRT(alpha*Kl*psi_l/(Tabella34[[#This Row],[sel. region velocity]]*(1+TANH(phi_l)))))+phi_l)/psi_l-(Tabella34[[#This Row],[Day]]-pl)</f>
        <v>119.29674277952309</v>
      </c>
      <c r="AW72" s="72">
        <f>-2*$BY$22*TANH($BY$22*(Tabella34[[#This Row],[Day]]-$BY$31)-$BY$21)*Tabella34[[#This Row],[sel. region velocity]]</f>
        <v>1.2788863481023707</v>
      </c>
      <c r="AX72" s="77">
        <f>Tabella34[[#This Row],[sel. region acc. fit]]/y_l_peak</f>
        <v>9.2807914173162996E-3</v>
      </c>
      <c r="AY72" s="143">
        <f>Tabella34[[#This Row],[sel. region acc. fit]]*NOT(ISBLANK(Tabella34[[#This Row],[selected region rate data]]))</f>
        <v>1.2788863481023707</v>
      </c>
      <c r="AZ72" s="77">
        <f>Tabella34[[#This Row],[sel. region acc. fit]]+CIl</f>
        <v>55.043726757650823</v>
      </c>
      <c r="BA72" s="77">
        <f>MAX(Tabella34[[#This Row],[sel. region acc. fit]]-CIl,0)</f>
        <v>0</v>
      </c>
      <c r="BB72" s="10">
        <f>Tabella8[[#This Row],[rest of Italy ]]</f>
        <v>555</v>
      </c>
      <c r="BC72" s="10">
        <f>(Tabella34[[#This Row],[rest of Italy cum. Data]]-BB71)</f>
        <v>177</v>
      </c>
      <c r="BD72" s="10">
        <f>Tabella34[[#This Row],[rest of Italy rate data]]-BC71</f>
        <v>33</v>
      </c>
      <c r="BE72" s="77">
        <f>Tabella34[[#This Row],[rest of Italy rate data]]*NOT(ISBLANK(Tabella34[[#This Row],[rest of Italy rate data]]))</f>
        <v>177</v>
      </c>
      <c r="BF72" s="77">
        <f>Tabella8[[#This Row],[rest of Italy fit]]</f>
        <v>0</v>
      </c>
      <c r="BG72" s="78">
        <f>(ATANH(alpha*Tabella34[[#This Row],[rest of Italy cumul. fit]]/Ka-(1-alpha*Tabella34[[#This Row],[rest of Italy cumul. fit]]/Ka)*TANH(phi_a))+phi_a)/psi_a-(Tabella34[[#This Row],[Day]]-pa)</f>
        <v>4.6954444560843314</v>
      </c>
      <c r="BH72" s="77">
        <f>Tabella34[[#This Row],[rest of Italy cumul. fit]]/Ka</f>
        <v>0</v>
      </c>
      <c r="BI72" s="143">
        <f>Tabella3[[#This Row],[rest of Italy fit]]</f>
        <v>648.82499050547119</v>
      </c>
      <c r="BJ72" s="183" t="e">
        <f>Tabella34[[#This Row],[rest of Italy velocity]]/Tabella34[[#This Row],[rest of Italy cumul. fit]]</f>
        <v>#DIV/0!</v>
      </c>
      <c r="BK72" s="236" t="e">
        <f>(LN(Tabella34[[#This Row],[Day]]-po)-phi_o)/psi_o</f>
        <v>#NUM!</v>
      </c>
      <c r="BL72" s="244">
        <f>EXP(phi_o+psi_o*Tabella34[[#This Row],[x_o_alpha©+plus]])-(Tabella34[[#This Row],[Day]]-po)</f>
        <v>8.5741739722875625</v>
      </c>
      <c r="BM72" s="244">
        <f>EXP(phi_o+psi_o*Tabella34[[#This Row],[x_o_alpha©-minus]])-(Tabella34[[#This Row],[Day]]-po)</f>
        <v>7.8821665962717677</v>
      </c>
      <c r="BN72" s="244">
        <f>-psi_o+SQRT(psi_o^2-2*Tabella34[[#This Row],[c_o]])</f>
        <v>3.983777123497918</v>
      </c>
      <c r="BO72" s="244">
        <f>-psi_o-SQRT(psi_o^2-2*Tabella34[[#This Row],[c_o]])</f>
        <v>-4.0328042090675469</v>
      </c>
      <c r="BP72" s="244">
        <f>phi_o-LN(alpha*Ko/(Tabella34[[#This Row],[rest of Italy velocity]]*psi_o*SQRTPI(2)))</f>
        <v>-8.0328965758147035</v>
      </c>
      <c r="BQ72" s="244">
        <f>(ACOSH(SQRT(alpha*Ka*psi_a/(Tabella34[[#This Row],[rest of Italy velocity]]*(1+TANH(phi_a)))))+phi_a)/psi_a-(Tabella34[[#This Row],[Day]]-pa)</f>
        <v>127.48329389496006</v>
      </c>
      <c r="BR72" s="72">
        <f>-2*$BY$35*TANH($BY$35*(Tabella34[[#This Row],[Day]]-$BY$44)-$BY$34)*Tabella34[[#This Row],[rest of Italy velocity]]</f>
        <v>27.972550542355116</v>
      </c>
      <c r="BS72" s="77">
        <f>Tabella34[[#This Row],[rest of Italy acc. fit]]/y_a_peak</f>
        <v>9.7744901332898239E-3</v>
      </c>
      <c r="BT72" s="77">
        <f>Tabella34[[#This Row],[rest of Italy acc. fit]]*NOT(ISBLANK(Tabella34[[#This Row],[rest of Italy rate data]]))</f>
        <v>27.972550542355116</v>
      </c>
      <c r="BU72" s="77">
        <f>Tabella34[[#This Row],[rest of Italy acc. fit]]+CIa</f>
        <v>1722.5467454519378</v>
      </c>
      <c r="BV72" s="77">
        <f>MAX(Tabella34[[#This Row],[rest of Italy acc. fit]]-CIa,0)</f>
        <v>0</v>
      </c>
    </row>
    <row r="73" spans="2:74" x14ac:dyDescent="0.3">
      <c r="B73" s="262">
        <v>43896</v>
      </c>
      <c r="C73" s="29">
        <v>66</v>
      </c>
      <c r="D73" s="10">
        <f>Tabella8[[#This Row],[Italy cumulative]]</f>
        <v>720</v>
      </c>
      <c r="E73" s="72">
        <f>(Tabella34[[#This Row],[Italy cumul. data]]-D72)</f>
        <v>158</v>
      </c>
      <c r="F73" s="72">
        <f>Tabella34[[#This Row],[Italy rate data]]-E72</f>
        <v>-21</v>
      </c>
      <c r="G73" s="77">
        <f>Tabella34[[#This Row],[Italy rate data]]*NOT(ISBLANK(Tabella34[[#This Row],[Italy rate data]]))</f>
        <v>158</v>
      </c>
      <c r="H73" s="143">
        <f>Tabella8[[#This Row],[Italy fit]]</f>
        <v>0</v>
      </c>
      <c r="I73" s="143">
        <f>(ATANH(alpha*Tabella34[[#This Row],[Italy cumul. Fit]]/Kf-(1-alpha*Tabella34[[#This Row],[Italy cumul. Fit]]/Kf)*TANH(phi_f))+phi_f)/psi_f-(Tabella34[[#This Row],[Day]]-pf)</f>
        <v>3.844294912230211</v>
      </c>
      <c r="J73" s="143">
        <f>Tabella34[[#This Row],[Italy d.t.]]/Italy_dt_at_lockdown</f>
        <v>3.4865330436698256</v>
      </c>
      <c r="K73" s="77">
        <f>Tabella34[[#This Row],[Italy cumul. Fit]]/Kf</f>
        <v>0</v>
      </c>
      <c r="L73" s="146">
        <f>Tabella34[[#This Row],[sel. region acc. fit]]+Tabella34[[#This Row],[rest of Italy acc. fit]]</f>
        <v>30.35007784231647</v>
      </c>
      <c r="M73" s="77">
        <f>Tabella34[[#This Row],[Italy (fit of selected region + fitted sum of the other regions)]]/(y_l_peak+y_a_peak)</f>
        <v>1.0118073568816085E-2</v>
      </c>
      <c r="N73" s="143">
        <f>Tabella3[[#This Row],[Italy remov. rate fit]]</f>
        <v>701.00985905730374</v>
      </c>
      <c r="O73" s="143" t="e">
        <f>Kt*EXP(-0.5*Tabella34[[#This Row],[x_t]]^2)/(psi_t*SQRTPI(2)*(Tabella34[[#This Row],[Day]]-D_bk))</f>
        <v>#NUM!</v>
      </c>
      <c r="P73" s="183" t="e">
        <f>Tabella34[[#This Row],[Italy velocity]]/Tabella34[[#This Row],[Italy cumul. Fit]]</f>
        <v>#DIV/0!</v>
      </c>
      <c r="Q73" s="244" t="e">
        <f>(LN(Tabella34[[#This Row],[Day]]-D_bk)-phi_t)/psi_t</f>
        <v>#NUM!</v>
      </c>
      <c r="R73" s="244">
        <f>EXP(phi_t+psi_t*Tabella34[[#This Row],[x_t_alpha©+plus]])-(Tabella34[[#This Row],[Day]]-D_bk)</f>
        <v>7.7372248046007197</v>
      </c>
      <c r="S73" s="244">
        <f>EXP(phi_t+psi_t*Tabella34[[#This Row],[x_t_alpha©-minus]])-(Tabella34[[#This Row],[Day]]-D_bk)</f>
        <v>7.039865455962051</v>
      </c>
      <c r="T73" s="244">
        <f>-psi_t+SQRT(psi_t^2-2*Tabella34[[#This Row],[c_t]])</f>
        <v>3.9717702451652115</v>
      </c>
      <c r="U73" s="244">
        <f>-psi_t-SQRT(psi_t^2-2*Tabella34[[#This Row],[c_t]])</f>
        <v>-4.0211629795850161</v>
      </c>
      <c r="V73" s="244">
        <f>phi_t-LN(alpha*Kt/(Tabella34[[#This Row],[Italy velocity]]*psi_t*SQRTPI(2)))</f>
        <v>-7.9855677366378268</v>
      </c>
      <c r="W73" s="244" t="e">
        <f>Tabella34[[#This Row],[Italy g.r.]]/Italy_gr_at_lockdown</f>
        <v>#DIV/0!</v>
      </c>
      <c r="X73" s="244">
        <f>(ACOSH(SQRT(alpha*Kf*psi_f/(Tabella34[[#This Row],[Italy velocity]]*(1+TANH(phi_f)))))+phi_f)/psi_f-(Tabella34[[#This Row],[Day]]-pf)</f>
        <v>125.21389214493965</v>
      </c>
      <c r="Y73" s="244">
        <f>Tabella34[[#This Row],[Italy h.t.]]/Italy_ht_at_lockdown</f>
        <v>1.0831313634929114</v>
      </c>
      <c r="Z73" s="72">
        <f>-2*$BY$48*TANH($BY$48*(Tabella34[[#This Row],[Day]]-$BY$57)-$BY$47)*Tabella34[[#This Row],[Italy velocity]]</f>
        <v>30.312805845045052</v>
      </c>
      <c r="AA73" s="72">
        <f>Tabella34[[#This Row],[Italy acc. fit]]/Itali_acc_at_lockdown</f>
        <v>0.83949066118303728</v>
      </c>
      <c r="AB73" s="77">
        <f>Tabella34[[#This Row],[Italy acc. fit]]/y_f_peak</f>
        <v>1.0099535271627316E-2</v>
      </c>
      <c r="AC73" s="143">
        <f>Tabella34[[#This Row],[Italy (fit of selected region + fitted sum of the other regions)]]*NOT(ISBLANK(Tabella34[[#This Row],[Italy rate data]]))</f>
        <v>30.35007784231647</v>
      </c>
      <c r="AD73" s="143">
        <f>Tabella34[[#This Row],[Italy acc. fit]]*NOT(ISBLANK(Tabella34[[#This Row],[Italy rate data]]))</f>
        <v>30.312805845045052</v>
      </c>
      <c r="AE73" s="77">
        <f>Tabella34[[#This Row],[Italy acc. fit]]+CIf</f>
        <v>1745.9276651795963</v>
      </c>
      <c r="AF73" s="77">
        <f>MAX(Tabella34[[#This Row],[Italy acc. fit]]-CIf,0)</f>
        <v>0</v>
      </c>
      <c r="AG73" s="4">
        <f>Tabella8[[#This Row],[region data]]</f>
        <v>8</v>
      </c>
      <c r="AH73" s="72">
        <f>(Tabella34[[#This Row],[selected region cumul. data]]-AG72)</f>
        <v>1</v>
      </c>
      <c r="AI73" s="72">
        <f>Tabella34[[#This Row],[selected region rate data]]-AH72</f>
        <v>-1</v>
      </c>
      <c r="AJ73" s="77">
        <f>Tabella34[[#This Row],[selected region rate data]]*NOT(ISBLANK(Tabella34[[#This Row],[selected region rate data]]))</f>
        <v>1</v>
      </c>
      <c r="AK73" s="77">
        <f>Tabella8[[#This Row],[region fit]]</f>
        <v>0</v>
      </c>
      <c r="AL73" s="143">
        <f>(ATANH(alpha*Tabella34[[#This Row],[sel. region cumul. fit]]/Kl-(1-alpha*Tabella34[[#This Row],[sel. region cumul. fit]]/Kl)*TANH(phi_l))+phi_l)/psi_l-(Tabella34[[#This Row],[Day]]-pl)</f>
        <v>9.2403346932391077</v>
      </c>
      <c r="AM73" s="77">
        <f>Tabella34[[#This Row],[sel. region cumul. fit]]/Kl</f>
        <v>0</v>
      </c>
      <c r="AN73" s="143">
        <f>Tabella3[[#This Row],[region fit]]</f>
        <v>26.374306547759637</v>
      </c>
      <c r="AO73" s="186" t="e">
        <f>Tabella34[[#This Row],[sel. region velocity]]/Tabella34[[#This Row],[sel. region cumul. fit]]</f>
        <v>#DIV/0!</v>
      </c>
      <c r="AP73" s="241" t="e">
        <f>(LN(Tabella34[[#This Row],[Day]]-pr)-phi_r)/psi_r</f>
        <v>#NUM!</v>
      </c>
      <c r="AQ73" s="244">
        <f>EXP(phi_r+psi_r*Tabella34[[#This Row],[x_r_alpha©+plus]])-(Tabella34[[#This Row],[Day]]-pr)</f>
        <v>12.981154845324888</v>
      </c>
      <c r="AR73" s="244">
        <f>EXP(phi_r+psi_r*Tabella34[[#This Row],[x_r_alpha©-minus]])-(Tabella34[[#This Row],[Day]]-pr)</f>
        <v>12.227041990856321</v>
      </c>
      <c r="AS73" s="244">
        <f>-psi_r+SQRT(psi_r^2-2*Tabella34[[#This Row],[c_r]])</f>
        <v>3.9629387237380187</v>
      </c>
      <c r="AT73" s="244">
        <f>-psi_r-SQRT(psi_r^2-2*Tabella34[[#This Row],[c_r]])</f>
        <v>-4.0193469621566802</v>
      </c>
      <c r="AU73" s="244">
        <f>phi_r-LN(alpha*Kr/(Tabella34[[#This Row],[sel. region velocity]]*psi_r*SQRTPI(2)))</f>
        <v>-7.9642128602347375</v>
      </c>
      <c r="AV73" s="244">
        <f>(ACOSH(SQRT(alpha*Kl*psi_l/(Tabella34[[#This Row],[sel. region velocity]]*(1+TANH(phi_l)))))+phi_l)/psi_l-(Tabella34[[#This Row],[Day]]-pl)</f>
        <v>117.34959577782197</v>
      </c>
      <c r="AW73" s="72">
        <f>-2*$BY$22*TANH($BY$22*(Tabella34[[#This Row],[Day]]-$BY$31)-$BY$21)*Tabella34[[#This Row],[sel. region velocity]]</f>
        <v>1.337800584368251</v>
      </c>
      <c r="AX73" s="77">
        <f>Tabella34[[#This Row],[sel. region acc. fit]]/y_l_peak</f>
        <v>9.7083280307967961E-3</v>
      </c>
      <c r="AY73" s="143">
        <f>Tabella34[[#This Row],[sel. region acc. fit]]*NOT(ISBLANK(Tabella34[[#This Row],[selected region rate data]]))</f>
        <v>1.337800584368251</v>
      </c>
      <c r="AZ73" s="77">
        <f>Tabella34[[#This Row],[sel. region acc. fit]]+CIl</f>
        <v>55.102640993916708</v>
      </c>
      <c r="BA73" s="77">
        <f>MAX(Tabella34[[#This Row],[sel. region acc. fit]]-CIl,0)</f>
        <v>0</v>
      </c>
      <c r="BB73" s="10">
        <f>Tabella8[[#This Row],[rest of Italy ]]</f>
        <v>712</v>
      </c>
      <c r="BC73" s="10">
        <f>(Tabella34[[#This Row],[rest of Italy cum. Data]]-BB72)</f>
        <v>157</v>
      </c>
      <c r="BD73" s="10">
        <f>Tabella34[[#This Row],[rest of Italy rate data]]-BC72</f>
        <v>-20</v>
      </c>
      <c r="BE73" s="77">
        <f>Tabella34[[#This Row],[rest of Italy rate data]]*NOT(ISBLANK(Tabella34[[#This Row],[rest of Italy rate data]]))</f>
        <v>157</v>
      </c>
      <c r="BF73" s="77">
        <f>Tabella8[[#This Row],[rest of Italy fit]]</f>
        <v>0</v>
      </c>
      <c r="BG73" s="78">
        <f>(ATANH(alpha*Tabella34[[#This Row],[rest of Italy cumul. fit]]/Ka-(1-alpha*Tabella34[[#This Row],[rest of Italy cumul. fit]]/Ka)*TANH(phi_a))+phi_a)/psi_a-(Tabella34[[#This Row],[Day]]-pa)</f>
        <v>3.6954444560843314</v>
      </c>
      <c r="BH73" s="77">
        <f>Tabella34[[#This Row],[rest of Italy cumul. fit]]/Ka</f>
        <v>0</v>
      </c>
      <c r="BI73" s="143">
        <f>Tabella3[[#This Row],[rest of Italy fit]]</f>
        <v>677.31566406851903</v>
      </c>
      <c r="BJ73" s="183" t="e">
        <f>Tabella34[[#This Row],[rest of Italy velocity]]/Tabella34[[#This Row],[rest of Italy cumul. fit]]</f>
        <v>#DIV/0!</v>
      </c>
      <c r="BK73" s="236" t="e">
        <f>(LN(Tabella34[[#This Row],[Day]]-po)-phi_o)/psi_o</f>
        <v>#NUM!</v>
      </c>
      <c r="BL73" s="244">
        <f>EXP(phi_o+psi_o*Tabella34[[#This Row],[x_o_alpha©+plus]])-(Tabella34[[#This Row],[Day]]-po)</f>
        <v>7.5731533356079463</v>
      </c>
      <c r="BM73" s="244">
        <f>EXP(phi_o+psi_o*Tabella34[[#This Row],[x_o_alpha©-minus]])-(Tabella34[[#This Row],[Day]]-po)</f>
        <v>6.8830053610179291</v>
      </c>
      <c r="BN73" s="244">
        <f>-psi_o+SQRT(psi_o^2-2*Tabella34[[#This Row],[c_o]])</f>
        <v>3.9730413648127714</v>
      </c>
      <c r="BO73" s="244">
        <f>-psi_o-SQRT(psi_o^2-2*Tabella34[[#This Row],[c_o]])</f>
        <v>-4.0220684503824007</v>
      </c>
      <c r="BP73" s="244">
        <f>phi_o-LN(alpha*Ko/(Tabella34[[#This Row],[rest of Italy velocity]]*psi_o*SQRTPI(2)))</f>
        <v>-7.9899221627388402</v>
      </c>
      <c r="BQ73" s="244">
        <f>(ACOSH(SQRT(alpha*Ka*psi_a/(Tabella34[[#This Row],[rest of Italy velocity]]*(1+TANH(phi_a)))))+phi_a)/psi_a-(Tabella34[[#This Row],[Day]]-pa)</f>
        <v>125.55109911776485</v>
      </c>
      <c r="BR73" s="72">
        <f>-2*$BY$35*TANH($BY$35*(Tabella34[[#This Row],[Day]]-$BY$44)-$BY$34)*Tabella34[[#This Row],[rest of Italy velocity]]</f>
        <v>29.01227725794822</v>
      </c>
      <c r="BS73" s="77">
        <f>Tabella34[[#This Row],[rest of Italy acc. fit]]/y_a_peak</f>
        <v>1.0137803393104815E-2</v>
      </c>
      <c r="BT73" s="77">
        <f>Tabella34[[#This Row],[rest of Italy acc. fit]]*NOT(ISBLANK(Tabella34[[#This Row],[rest of Italy rate data]]))</f>
        <v>29.01227725794822</v>
      </c>
      <c r="BU73" s="77">
        <f>Tabella34[[#This Row],[rest of Italy acc. fit]]+CIa</f>
        <v>1723.5864721675309</v>
      </c>
      <c r="BV73" s="77">
        <f>MAX(Tabella34[[#This Row],[rest of Italy acc. fit]]-CIa,0)</f>
        <v>0</v>
      </c>
    </row>
    <row r="74" spans="2:74" x14ac:dyDescent="0.3">
      <c r="B74" s="262">
        <v>43897</v>
      </c>
      <c r="C74" s="29">
        <v>67</v>
      </c>
      <c r="D74" s="10">
        <f>Tabella8[[#This Row],[Italy cumulative]]</f>
        <v>822</v>
      </c>
      <c r="E74" s="72">
        <f>(Tabella34[[#This Row],[Italy cumul. data]]-D73)</f>
        <v>102</v>
      </c>
      <c r="F74" s="72">
        <f>Tabella34[[#This Row],[Italy rate data]]-E73</f>
        <v>-56</v>
      </c>
      <c r="G74" s="77">
        <f>Tabella34[[#This Row],[Italy rate data]]*NOT(ISBLANK(Tabella34[[#This Row],[Italy rate data]]))</f>
        <v>102</v>
      </c>
      <c r="H74" s="143">
        <f>Tabella8[[#This Row],[Italy fit]]</f>
        <v>0</v>
      </c>
      <c r="I74" s="143">
        <f>(ATANH(alpha*Tabella34[[#This Row],[Italy cumul. Fit]]/Kf-(1-alpha*Tabella34[[#This Row],[Italy cumul. Fit]]/Kf)*TANH(phi_f))+phi_f)/psi_f-(Tabella34[[#This Row],[Day]]-pf)</f>
        <v>2.844294912230211</v>
      </c>
      <c r="J74" s="143">
        <f>Tabella34[[#This Row],[Italy d.t.]]/Italy_dt_at_lockdown</f>
        <v>2.5795961089987118</v>
      </c>
      <c r="K74" s="77">
        <f>Tabella34[[#This Row],[Italy cumul. Fit]]/Kf</f>
        <v>0</v>
      </c>
      <c r="L74" s="146">
        <f>Tabella34[[#This Row],[sel. region acc. fit]]+Tabella34[[#This Row],[rest of Italy acc. fit]]</f>
        <v>31.470733622303754</v>
      </c>
      <c r="M74" s="77">
        <f>Tabella34[[#This Row],[Italy (fit of selected region + fitted sum of the other regions)]]/(y_l_peak+y_a_peak)</f>
        <v>1.0491676486282766E-2</v>
      </c>
      <c r="N74" s="143">
        <f>Tabella3[[#This Row],[Italy remov. rate fit]]</f>
        <v>731.88182056520054</v>
      </c>
      <c r="O74" s="143" t="e">
        <f>Kt*EXP(-0.5*Tabella34[[#This Row],[x_t]]^2)/(psi_t*SQRTPI(2)*(Tabella34[[#This Row],[Day]]-D_bk))</f>
        <v>#NUM!</v>
      </c>
      <c r="P74" s="183" t="e">
        <f>Tabella34[[#This Row],[Italy velocity]]/Tabella34[[#This Row],[Italy cumul. Fit]]</f>
        <v>#DIV/0!</v>
      </c>
      <c r="Q74" s="244" t="e">
        <f>(LN(Tabella34[[#This Row],[Day]]-D_bk)-phi_t)/psi_t</f>
        <v>#NUM!</v>
      </c>
      <c r="R74" s="244">
        <f>EXP(phi_t+psi_t*Tabella34[[#This Row],[x_t_alpha©+plus]])-(Tabella34[[#This Row],[Day]]-D_bk)</f>
        <v>6.7361867725657349</v>
      </c>
      <c r="S74" s="244">
        <f>EXP(phi_t+psi_t*Tabella34[[#This Row],[x_t_alpha©-minus]])-(Tabella34[[#This Row],[Day]]-D_bk)</f>
        <v>6.0407177675661465</v>
      </c>
      <c r="T74" s="244">
        <f>-psi_t+SQRT(psi_t^2-2*Tabella34[[#This Row],[c_t]])</f>
        <v>3.9609718551874313</v>
      </c>
      <c r="U74" s="244">
        <f>-psi_t-SQRT(psi_t^2-2*Tabella34[[#This Row],[c_t]])</f>
        <v>-4.010364589607236</v>
      </c>
      <c r="V74" s="244">
        <f>phi_t-LN(alpha*Kt/(Tabella34[[#This Row],[Italy velocity]]*psi_t*SQRTPI(2)))</f>
        <v>-7.9424706342372788</v>
      </c>
      <c r="W74" s="244" t="e">
        <f>Tabella34[[#This Row],[Italy g.r.]]/Italy_gr_at_lockdown</f>
        <v>#DIV/0!</v>
      </c>
      <c r="X74" s="244">
        <f>(ACOSH(SQRT(alpha*Kf*psi_f/(Tabella34[[#This Row],[Italy velocity]]*(1+TANH(phi_f)))))+phi_f)/psi_f-(Tabella34[[#This Row],[Day]]-pf)</f>
        <v>123.28411329909926</v>
      </c>
      <c r="Y74" s="244">
        <f>Tabella34[[#This Row],[Italy h.t.]]/Italy_ht_at_lockdown</f>
        <v>1.0664382956812712</v>
      </c>
      <c r="Z74" s="72">
        <f>-2*$BY$48*TANH($BY$48*(Tabella34[[#This Row],[Day]]-$BY$57)-$BY$47)*Tabella34[[#This Row],[Italy velocity]]</f>
        <v>31.434681432744888</v>
      </c>
      <c r="AA74" s="72">
        <f>Tabella34[[#This Row],[Italy acc. fit]]/Itali_acc_at_lockdown</f>
        <v>0.87056017298269117</v>
      </c>
      <c r="AB74" s="77">
        <f>Tabella34[[#This Row],[Italy acc. fit]]/y_f_peak</f>
        <v>1.0473318620033653E-2</v>
      </c>
      <c r="AC74" s="143">
        <f>Tabella34[[#This Row],[Italy (fit of selected region + fitted sum of the other regions)]]*NOT(ISBLANK(Tabella34[[#This Row],[Italy rate data]]))</f>
        <v>31.470733622303754</v>
      </c>
      <c r="AD74" s="143">
        <f>Tabella34[[#This Row],[Italy acc. fit]]*NOT(ISBLANK(Tabella34[[#This Row],[Italy rate data]]))</f>
        <v>31.434681432744888</v>
      </c>
      <c r="AE74" s="77">
        <f>Tabella34[[#This Row],[Italy acc. fit]]+CIf</f>
        <v>1747.0495407672961</v>
      </c>
      <c r="AF74" s="77">
        <f>MAX(Tabella34[[#This Row],[Italy acc. fit]]-CIf,0)</f>
        <v>0</v>
      </c>
      <c r="AG74" s="4">
        <f>Tabella8[[#This Row],[region data]]</f>
        <v>9</v>
      </c>
      <c r="AH74" s="72">
        <f>(Tabella34[[#This Row],[selected region cumul. data]]-AG73)</f>
        <v>1</v>
      </c>
      <c r="AI74" s="72">
        <f>Tabella34[[#This Row],[selected region rate data]]-AH73</f>
        <v>0</v>
      </c>
      <c r="AJ74" s="77">
        <f>Tabella34[[#This Row],[selected region rate data]]*NOT(ISBLANK(Tabella34[[#This Row],[selected region rate data]]))</f>
        <v>1</v>
      </c>
      <c r="AK74" s="77">
        <f>Tabella8[[#This Row],[region fit]]</f>
        <v>0</v>
      </c>
      <c r="AL74" s="143">
        <f>(ATANH(alpha*Tabella34[[#This Row],[sel. region cumul. fit]]/Kl-(1-alpha*Tabella34[[#This Row],[sel. region cumul. fit]]/Kl)*TANH(phi_l))+phi_l)/psi_l-(Tabella34[[#This Row],[Day]]-pl)</f>
        <v>8.2403346932391077</v>
      </c>
      <c r="AM74" s="77">
        <f>Tabella34[[#This Row],[sel. region cumul. fit]]/Kl</f>
        <v>0</v>
      </c>
      <c r="AN74" s="143">
        <f>Tabella3[[#This Row],[region fit]]</f>
        <v>27.742320862869523</v>
      </c>
      <c r="AO74" s="186" t="e">
        <f>Tabella34[[#This Row],[sel. region velocity]]/Tabella34[[#This Row],[sel. region cumul. fit]]</f>
        <v>#DIV/0!</v>
      </c>
      <c r="AP74" s="241" t="e">
        <f>(LN(Tabella34[[#This Row],[Day]]-pr)-phi_r)/psi_r</f>
        <v>#NUM!</v>
      </c>
      <c r="AQ74" s="244">
        <f>EXP(phi_r+psi_r*Tabella34[[#This Row],[x_r_alpha©+plus]])-(Tabella34[[#This Row],[Day]]-pr)</f>
        <v>11.979816162074565</v>
      </c>
      <c r="AR74" s="244">
        <f>EXP(phi_r+psi_r*Tabella34[[#This Row],[x_r_alpha©-minus]])-(Tabella34[[#This Row],[Day]]-pr)</f>
        <v>11.228111191243126</v>
      </c>
      <c r="AS74" s="244">
        <f>-psi_r+SQRT(psi_r^2-2*Tabella34[[#This Row],[c_r]])</f>
        <v>3.9502482984005551</v>
      </c>
      <c r="AT74" s="244">
        <f>-psi_r-SQRT(psi_r^2-2*Tabella34[[#This Row],[c_r]])</f>
        <v>-4.0066565368192162</v>
      </c>
      <c r="AU74" s="244">
        <f>phi_r-LN(alpha*Kr/(Tabella34[[#This Row],[sel. region velocity]]*psi_r*SQRTPI(2)))</f>
        <v>-7.9136440834227839</v>
      </c>
      <c r="AV74" s="244">
        <f>(ACOSH(SQRT(alpha*Kl*psi_l/(Tabella34[[#This Row],[sel. region velocity]]*(1+TANH(phi_l)))))+phi_l)/psi_l-(Tabella34[[#This Row],[Day]]-pl)</f>
        <v>115.40558838259743</v>
      </c>
      <c r="AW74" s="72">
        <f>-2*$BY$22*TANH($BY$22*(Tabella34[[#This Row],[Day]]-$BY$31)-$BY$21)*Tabella34[[#This Row],[sel. region velocity]]</f>
        <v>1.3985262001260073</v>
      </c>
      <c r="AX74" s="77">
        <f>Tabella34[[#This Row],[sel. region acc. fit]]/y_l_peak</f>
        <v>1.0149009702293314E-2</v>
      </c>
      <c r="AY74" s="143">
        <f>Tabella34[[#This Row],[sel. region acc. fit]]*NOT(ISBLANK(Tabella34[[#This Row],[selected region rate data]]))</f>
        <v>1.3985262001260073</v>
      </c>
      <c r="AZ74" s="77">
        <f>Tabella34[[#This Row],[sel. region acc. fit]]+CIl</f>
        <v>55.163366609674462</v>
      </c>
      <c r="BA74" s="77">
        <f>MAX(Tabella34[[#This Row],[sel. region acc. fit]]-CIl,0)</f>
        <v>0</v>
      </c>
      <c r="BB74" s="10">
        <f>Tabella8[[#This Row],[rest of Italy ]]</f>
        <v>813</v>
      </c>
      <c r="BC74" s="10">
        <f>(Tabella34[[#This Row],[rest of Italy cum. Data]]-BB73)</f>
        <v>101</v>
      </c>
      <c r="BD74" s="10">
        <f>Tabella34[[#This Row],[rest of Italy rate data]]-BC73</f>
        <v>-56</v>
      </c>
      <c r="BE74" s="77">
        <f>Tabella34[[#This Row],[rest of Italy rate data]]*NOT(ISBLANK(Tabella34[[#This Row],[rest of Italy rate data]]))</f>
        <v>101</v>
      </c>
      <c r="BF74" s="77">
        <f>Tabella8[[#This Row],[rest of Italy fit]]</f>
        <v>0</v>
      </c>
      <c r="BG74" s="78">
        <f>(ATANH(alpha*Tabella34[[#This Row],[rest of Italy cumul. fit]]/Ka-(1-alpha*Tabella34[[#This Row],[rest of Italy cumul. fit]]/Ka)*TANH(phi_a))+phi_a)/psi_a-(Tabella34[[#This Row],[Day]]-pa)</f>
        <v>2.6954444560843314</v>
      </c>
      <c r="BH74" s="77">
        <f>Tabella34[[#This Row],[rest of Italy cumul. fit]]/Ka</f>
        <v>0</v>
      </c>
      <c r="BI74" s="143">
        <f>Tabella3[[#This Row],[rest of Italy fit]]</f>
        <v>706.85628190650073</v>
      </c>
      <c r="BJ74" s="183" t="e">
        <f>Tabella34[[#This Row],[rest of Italy velocity]]/Tabella34[[#This Row],[rest of Italy cumul. fit]]</f>
        <v>#DIV/0!</v>
      </c>
      <c r="BK74" s="236" t="e">
        <f>(LN(Tabella34[[#This Row],[Day]]-po)-phi_o)/psi_o</f>
        <v>#NUM!</v>
      </c>
      <c r="BL74" s="244">
        <f>EXP(phi_o+psi_o*Tabella34[[#This Row],[x_o_alpha©+plus]])-(Tabella34[[#This Row],[Day]]-po)</f>
        <v>6.5721370011479099</v>
      </c>
      <c r="BM74" s="244">
        <f>EXP(phi_o+psi_o*Tabella34[[#This Row],[x_o_alpha©-minus]])-(Tabella34[[#This Row],[Day]]-po)</f>
        <v>5.8838410290399583</v>
      </c>
      <c r="BN74" s="244">
        <f>-psi_o+SQRT(psi_o^2-2*Tabella34[[#This Row],[c_o]])</f>
        <v>3.9623480515892657</v>
      </c>
      <c r="BO74" s="244">
        <f>-psi_o-SQRT(psi_o^2-2*Tabella34[[#This Row],[c_o]])</f>
        <v>-4.011375137158895</v>
      </c>
      <c r="BP74" s="244">
        <f>phi_o-LN(alpha*Ko/(Tabella34[[#This Row],[rest of Italy velocity]]*psi_o*SQRTPI(2)))</f>
        <v>-7.9472322294575859</v>
      </c>
      <c r="BQ74" s="244">
        <f>(ACOSH(SQRT(alpha*Ka*psi_a/(Tabella34[[#This Row],[rest of Italy velocity]]*(1+TANH(phi_a)))))+phi_a)/psi_a-(Tabella34[[#This Row],[Day]]-pa)</f>
        <v>123.62240923128049</v>
      </c>
      <c r="BR74" s="72">
        <f>-2*$BY$35*TANH($BY$35*(Tabella34[[#This Row],[Day]]-$BY$44)-$BY$34)*Tabella34[[#This Row],[rest of Italy velocity]]</f>
        <v>30.072207422177748</v>
      </c>
      <c r="BS74" s="77">
        <f>Tabella34[[#This Row],[rest of Italy acc. fit]]/y_a_peak</f>
        <v>1.0508176374165323E-2</v>
      </c>
      <c r="BT74" s="77">
        <f>Tabella34[[#This Row],[rest of Italy acc. fit]]*NOT(ISBLANK(Tabella34[[#This Row],[rest of Italy rate data]]))</f>
        <v>30.072207422177748</v>
      </c>
      <c r="BU74" s="77">
        <f>Tabella34[[#This Row],[rest of Italy acc. fit]]+CIa</f>
        <v>1724.6464023317606</v>
      </c>
      <c r="BV74" s="77">
        <f>MAX(Tabella34[[#This Row],[rest of Italy acc. fit]]-CIa,0)</f>
        <v>0</v>
      </c>
    </row>
    <row r="75" spans="2:74" x14ac:dyDescent="0.3">
      <c r="B75" s="262">
        <v>43898</v>
      </c>
      <c r="C75" s="190">
        <v>68</v>
      </c>
      <c r="D75" s="168">
        <f>Tabella8[[#This Row],[Italy cumulative]]</f>
        <v>988</v>
      </c>
      <c r="E75" s="166">
        <f>(Tabella34[[#This Row],[Italy cumul. data]]-D74)</f>
        <v>166</v>
      </c>
      <c r="F75" s="166">
        <f>Tabella34[[#This Row],[Italy rate data]]-E74</f>
        <v>64</v>
      </c>
      <c r="G75" s="167">
        <f>Tabella34[[#This Row],[Italy rate data]]*NOT(ISBLANK(Tabella34[[#This Row],[Italy rate data]]))</f>
        <v>166</v>
      </c>
      <c r="H75" s="191">
        <f>Tabella8[[#This Row],[Italy fit]]</f>
        <v>0</v>
      </c>
      <c r="I75" s="143">
        <f>(ATANH(alpha*Tabella34[[#This Row],[Italy cumul. Fit]]/Kf-(1-alpha*Tabella34[[#This Row],[Italy cumul. Fit]]/Kf)*TANH(phi_f))+phi_f)/psi_f-(Tabella34[[#This Row],[Day]]-pf)</f>
        <v>1.844294912230211</v>
      </c>
      <c r="J75" s="191">
        <f>Tabella34[[#This Row],[Italy d.t.]]/Italy_dt_at_lockdown</f>
        <v>1.6726591743275983</v>
      </c>
      <c r="K75" s="167">
        <f>Tabella34[[#This Row],[Italy cumul. Fit]]/Kf</f>
        <v>0</v>
      </c>
      <c r="L75" s="166">
        <f>Tabella34[[#This Row],[sel. region acc. fit]]+Tabella34[[#This Row],[rest of Italy acc. fit]]</f>
        <v>32.611852929842748</v>
      </c>
      <c r="M75" s="167">
        <f>Tabella34[[#This Row],[Italy (fit of selected region + fitted sum of the other regions)]]/(y_l_peak+y_a_peak)</f>
        <v>1.0872101510708165E-2</v>
      </c>
      <c r="N75" s="143">
        <f>Tabella3[[#This Row],[Italy remov. rate fit]]</f>
        <v>763.8860805101541</v>
      </c>
      <c r="O75" s="191" t="e">
        <f>Kt*EXP(-0.5*Tabella34[[#This Row],[x_t]]^2)/(psi_t*SQRTPI(2)*(Tabella34[[#This Row],[Day]]-D_bk))</f>
        <v>#NUM!</v>
      </c>
      <c r="P75" s="192" t="e">
        <f>Tabella34[[#This Row],[Italy velocity]]/Tabella34[[#This Row],[Italy cumul. Fit]]</f>
        <v>#DIV/0!</v>
      </c>
      <c r="Q75" s="244" t="e">
        <f>(LN(Tabella34[[#This Row],[Day]]-D_bk)-phi_t)/psi_t</f>
        <v>#NUM!</v>
      </c>
      <c r="R75" s="244">
        <f>EXP(phi_t+psi_t*Tabella34[[#This Row],[x_t_alpha©+plus]])-(Tabella34[[#This Row],[Day]]-D_bk)</f>
        <v>5.7351533900029574</v>
      </c>
      <c r="S75" s="244">
        <f>EXP(phi_t+psi_t*Tabella34[[#This Row],[x_t_alpha©-minus]])-(Tabella34[[#This Row],[Day]]-D_bk)</f>
        <v>5.0415667132836113</v>
      </c>
      <c r="T75" s="244">
        <f>-psi_t+SQRT(psi_t^2-2*Tabella34[[#This Row],[c_t]])</f>
        <v>3.9502189713494564</v>
      </c>
      <c r="U75" s="244">
        <f>-psi_t-SQRT(psi_t^2-2*Tabella34[[#This Row],[c_t]])</f>
        <v>-3.9996117057692615</v>
      </c>
      <c r="V75" s="244">
        <f>phi_t-LN(alpha*Kt/(Tabella34[[#This Row],[Italy velocity]]*psi_t*SQRTPI(2)))</f>
        <v>-7.8996710190805475</v>
      </c>
      <c r="W75" s="244" t="e">
        <f>Tabella34[[#This Row],[Italy g.r.]]/Italy_gr_at_lockdown</f>
        <v>#DIV/0!</v>
      </c>
      <c r="X75" s="244">
        <f>(ACOSH(SQRT(alpha*Kf*psi_f/(Tabella34[[#This Row],[Italy velocity]]*(1+TANH(phi_f)))))+phi_f)/psi_f-(Tabella34[[#This Row],[Day]]-pf)</f>
        <v>121.35799478801704</v>
      </c>
      <c r="Y75" s="244">
        <f>Tabella34[[#This Row],[Italy h.t.]]/Italy_ht_at_lockdown</f>
        <v>1.049776890677244</v>
      </c>
      <c r="Z75" s="72">
        <f>-2*$BY$48*TANH($BY$48*(Tabella34[[#This Row],[Day]]-$BY$57)-$BY$47)*Tabella34[[#This Row],[Italy velocity]]</f>
        <v>32.577124551330428</v>
      </c>
      <c r="AA75" s="166">
        <f>Tabella34[[#This Row],[Italy acc. fit]]/Itali_acc_at_lockdown</f>
        <v>0.90219928728599996</v>
      </c>
      <c r="AB75" s="167">
        <f>Tabella34[[#This Row],[Italy acc. fit]]/y_f_peak</f>
        <v>1.0853954600449455E-2</v>
      </c>
      <c r="AC75" s="191">
        <f>Tabella34[[#This Row],[Italy (fit of selected region + fitted sum of the other regions)]]*NOT(ISBLANK(Tabella34[[#This Row],[Italy rate data]]))</f>
        <v>32.611852929842748</v>
      </c>
      <c r="AD75" s="191">
        <f>Tabella34[[#This Row],[Italy acc. fit]]*NOT(ISBLANK(Tabella34[[#This Row],[Italy rate data]]))</f>
        <v>32.577124551330428</v>
      </c>
      <c r="AE75" s="167">
        <f>Tabella34[[#This Row],[Italy acc. fit]]+CIf</f>
        <v>1748.1919838858817</v>
      </c>
      <c r="AF75" s="167">
        <f>MAX(Tabella34[[#This Row],[Italy acc. fit]]-CIf,0)</f>
        <v>0</v>
      </c>
      <c r="AG75" s="165">
        <f>Tabella8[[#This Row],[region data]]</f>
        <v>11</v>
      </c>
      <c r="AH75" s="166">
        <f>(Tabella34[[#This Row],[selected region cumul. data]]-AG74)</f>
        <v>2</v>
      </c>
      <c r="AI75" s="166">
        <f>Tabella34[[#This Row],[selected region rate data]]-AH74</f>
        <v>1</v>
      </c>
      <c r="AJ75" s="167">
        <f>Tabella34[[#This Row],[selected region rate data]]*NOT(ISBLANK(Tabella34[[#This Row],[selected region rate data]]))</f>
        <v>2</v>
      </c>
      <c r="AK75" s="167">
        <f>Tabella8[[#This Row],[region fit]]</f>
        <v>0</v>
      </c>
      <c r="AL75" s="143">
        <f>(ATANH(alpha*Tabella34[[#This Row],[sel. region cumul. fit]]/Kl-(1-alpha*Tabella34[[#This Row],[sel. region cumul. fit]]/Kl)*TANH(phi_l))+phi_l)/psi_l-(Tabella34[[#This Row],[Day]]-pl)</f>
        <v>7.2403346932391077</v>
      </c>
      <c r="AM75" s="167">
        <f>Tabella34[[#This Row],[sel. region cumul. fit]]/Kl</f>
        <v>0</v>
      </c>
      <c r="AN75" s="143">
        <f>Tabella3[[#This Row],[region fit]]</f>
        <v>29.171946121590004</v>
      </c>
      <c r="AO75" s="193" t="e">
        <f>Tabella34[[#This Row],[sel. region velocity]]/Tabella34[[#This Row],[sel. region cumul. fit]]</f>
        <v>#DIV/0!</v>
      </c>
      <c r="AP75" s="242" t="e">
        <f>(LN(Tabella34[[#This Row],[Day]]-pr)-phi_r)/psi_r</f>
        <v>#NUM!</v>
      </c>
      <c r="AQ75" s="244">
        <f>EXP(phi_r+psi_r*Tabella34[[#This Row],[x_r_alpha©+plus]])-(Tabella34[[#This Row],[Day]]-pr)</f>
        <v>10.978482193116372</v>
      </c>
      <c r="AR75" s="244">
        <f>EXP(phi_r+psi_r*Tabella34[[#This Row],[x_r_alpha©-minus]])-(Tabella34[[#This Row],[Day]]-pr)</f>
        <v>10.229177388096645</v>
      </c>
      <c r="AS75" s="244">
        <f>-psi_r+SQRT(psi_r^2-2*Tabella34[[#This Row],[c_r]])</f>
        <v>3.9375980436901781</v>
      </c>
      <c r="AT75" s="244">
        <f>-psi_r-SQRT(psi_r^2-2*Tabella34[[#This Row],[c_r]])</f>
        <v>-3.9940062821088391</v>
      </c>
      <c r="AU75" s="244">
        <f>phi_r-LN(alpha*Kr/(Tabella34[[#This Row],[sel. region velocity]]*psi_r*SQRTPI(2)))</f>
        <v>-7.8633956614590224</v>
      </c>
      <c r="AV75" s="244">
        <f>(ACOSH(SQRT(alpha*Kl*psi_l/(Tabella34[[#This Row],[sel. region velocity]]*(1+TANH(phi_l)))))+phi_l)/psi_l-(Tabella34[[#This Row],[Day]]-pl)</f>
        <v>113.46491082540604</v>
      </c>
      <c r="AW75" s="72">
        <f>-2*$BY$22*TANH($BY$22*(Tabella34[[#This Row],[Day]]-$BY$31)-$BY$21)*Tabella34[[#This Row],[sel. region velocity]]</f>
        <v>1.4610128136082969</v>
      </c>
      <c r="AX75" s="167">
        <f>Tabella34[[#This Row],[sel. region acc. fit]]/y_l_peak</f>
        <v>1.0602470814740169E-2</v>
      </c>
      <c r="AY75" s="191">
        <f>Tabella34[[#This Row],[sel. region acc. fit]]*NOT(ISBLANK(Tabella34[[#This Row],[selected region rate data]]))</f>
        <v>1.4610128136082969</v>
      </c>
      <c r="AZ75" s="167">
        <f>Tabella34[[#This Row],[sel. region acc. fit]]+CIl</f>
        <v>55.225853223156754</v>
      </c>
      <c r="BA75" s="167">
        <f>MAX(Tabella34[[#This Row],[sel. region acc. fit]]-CIl,0)</f>
        <v>0</v>
      </c>
      <c r="BB75" s="168">
        <f>Tabella8[[#This Row],[rest of Italy ]]</f>
        <v>977</v>
      </c>
      <c r="BC75" s="168">
        <f>(Tabella34[[#This Row],[rest of Italy cum. Data]]-BB74)</f>
        <v>164</v>
      </c>
      <c r="BD75" s="168">
        <f>Tabella34[[#This Row],[rest of Italy rate data]]-BC74</f>
        <v>63</v>
      </c>
      <c r="BE75" s="167">
        <f>Tabella34[[#This Row],[rest of Italy rate data]]*NOT(ISBLANK(Tabella34[[#This Row],[rest of Italy rate data]]))</f>
        <v>164</v>
      </c>
      <c r="BF75" s="167">
        <f>Tabella8[[#This Row],[rest of Italy fit]]</f>
        <v>0</v>
      </c>
      <c r="BG75" s="78">
        <f>(ATANH(alpha*Tabella34[[#This Row],[rest of Italy cumul. fit]]/Ka-(1-alpha*Tabella34[[#This Row],[rest of Italy cumul. fit]]/Ka)*TANH(phi_a))+phi_a)/psi_a-(Tabella34[[#This Row],[Day]]-pa)</f>
        <v>1.6954444560843314</v>
      </c>
      <c r="BH75" s="167">
        <f>Tabella34[[#This Row],[rest of Italy cumul. fit]]/Ka</f>
        <v>0</v>
      </c>
      <c r="BI75" s="143">
        <f>Tabella3[[#This Row],[rest of Italy fit]]</f>
        <v>737.46631566147164</v>
      </c>
      <c r="BJ75" s="192" t="e">
        <f>Tabella34[[#This Row],[rest of Italy velocity]]/Tabella34[[#This Row],[rest of Italy cumul. fit]]</f>
        <v>#DIV/0!</v>
      </c>
      <c r="BK75" s="238" t="e">
        <f>(LN(Tabella34[[#This Row],[Day]]-po)-phi_o)/psi_o</f>
        <v>#NUM!</v>
      </c>
      <c r="BL75" s="244">
        <f>EXP(phi_o+psi_o*Tabella34[[#This Row],[x_o_alpha©+plus]])-(Tabella34[[#This Row],[Day]]-po)</f>
        <v>5.571125294636861</v>
      </c>
      <c r="BM75" s="244">
        <f>EXP(phi_o+psi_o*Tabella34[[#This Row],[x_o_alpha©-minus]])-(Tabella34[[#This Row],[Day]]-po)</f>
        <v>4.8846733270817833</v>
      </c>
      <c r="BN75" s="244">
        <f>-psi_o+SQRT(psi_o^2-2*Tabella34[[#This Row],[c_o]])</f>
        <v>3.9517006464444884</v>
      </c>
      <c r="BO75" s="244">
        <f>-psi_o-SQRT(psi_o^2-2*Tabella34[[#This Row],[c_o]])</f>
        <v>-4.0007277320141172</v>
      </c>
      <c r="BP75" s="244">
        <f>phi_o-LN(alpha*Ko/(Tabella34[[#This Row],[rest of Italy velocity]]*psi_o*SQRTPI(2)))</f>
        <v>-7.9048391824242907</v>
      </c>
      <c r="BQ75" s="244">
        <f>(ACOSH(SQRT(alpha*Ka*psi_a/(Tabella34[[#This Row],[rest of Italy velocity]]*(1+TANH(phi_a)))))+phi_a)/psi_a-(Tabella34[[#This Row],[Day]]-pa)</f>
        <v>121.69740945614272</v>
      </c>
      <c r="BR75" s="72">
        <f>-2*$BY$35*TANH($BY$35*(Tabella34[[#This Row],[Day]]-$BY$44)-$BY$34)*Tabella34[[#This Row],[rest of Italy velocity]]</f>
        <v>31.150840116234452</v>
      </c>
      <c r="BS75" s="167">
        <f>Tabella34[[#This Row],[rest of Italy acc. fit]]/y_a_peak</f>
        <v>1.0885084608169122E-2</v>
      </c>
      <c r="BT75" s="167">
        <f>Tabella34[[#This Row],[rest of Italy acc. fit]]*NOT(ISBLANK(Tabella34[[#This Row],[rest of Italy rate data]]))</f>
        <v>31.150840116234452</v>
      </c>
      <c r="BU75" s="167">
        <f>Tabella34[[#This Row],[rest of Italy acc. fit]]+CIa</f>
        <v>1725.7250350258171</v>
      </c>
      <c r="BV75" s="167">
        <f>MAX(Tabella34[[#This Row],[rest of Italy acc. fit]]-CIa,0)</f>
        <v>0</v>
      </c>
    </row>
    <row r="76" spans="2:74" x14ac:dyDescent="0.3">
      <c r="B76" s="262">
        <v>43899</v>
      </c>
      <c r="C76" s="29">
        <v>69</v>
      </c>
      <c r="D76" s="10">
        <f>Tabella8[[#This Row],[Italy cumulative]]</f>
        <v>1187</v>
      </c>
      <c r="E76" s="72">
        <f>(Tabella34[[#This Row],[Italy cumul. data]]-D75)</f>
        <v>199</v>
      </c>
      <c r="F76" s="72">
        <f>Tabella34[[#This Row],[Italy rate data]]-E75</f>
        <v>33</v>
      </c>
      <c r="G76" s="77">
        <f>Tabella34[[#This Row],[Italy rate data]]*NOT(ISBLANK(Tabella34[[#This Row],[Italy rate data]]))</f>
        <v>199</v>
      </c>
      <c r="H76" s="143">
        <f>Tabella8[[#This Row],[Italy fit]]</f>
        <v>0</v>
      </c>
      <c r="I76" s="143">
        <f>(ATANH(alpha*Tabella34[[#This Row],[Italy cumul. Fit]]/Kf-(1-alpha*Tabella34[[#This Row],[Italy cumul. Fit]]/Kf)*TANH(phi_f))+phi_f)/psi_f-(Tabella34[[#This Row],[Day]]-pf)</f>
        <v>0.84429491223021103</v>
      </c>
      <c r="J76" s="143">
        <f>Tabella34[[#This Row],[Italy d.t.]]/Italy_dt_at_lockdown</f>
        <v>0.76572223965648456</v>
      </c>
      <c r="K76" s="77">
        <f>Tabella34[[#This Row],[Italy cumul. Fit]]/Kf</f>
        <v>0</v>
      </c>
      <c r="L76" s="146">
        <f>Tabella34[[#This Row],[sel. region acc. fit]]+Tabella34[[#This Row],[rest of Italy acc. fit]]</f>
        <v>33.771637282993872</v>
      </c>
      <c r="M76" s="77">
        <f>Tabella34[[#This Row],[Italy (fit of selected region + fitted sum of the other regions)]]/(y_l_peak+y_a_peak)</f>
        <v>1.1258749066279944E-2</v>
      </c>
      <c r="N76" s="143">
        <f>Tabella3[[#This Row],[Italy remov. rate fit]]</f>
        <v>797.04232992385505</v>
      </c>
      <c r="O76" s="143" t="e">
        <f>Kt*EXP(-0.5*Tabella34[[#This Row],[x_t]]^2)/(psi_t*SQRTPI(2)*(Tabella34[[#This Row],[Day]]-D_bk))</f>
        <v>#NUM!</v>
      </c>
      <c r="P76" s="183" t="e">
        <f>Tabella34[[#This Row],[Italy velocity]]/Tabella34[[#This Row],[Italy cumul. Fit]]</f>
        <v>#DIV/0!</v>
      </c>
      <c r="Q76" s="244" t="e">
        <f>(LN(Tabella34[[#This Row],[Day]]-D_bk)-phi_t)/psi_t</f>
        <v>#NUM!</v>
      </c>
      <c r="R76" s="244">
        <f>EXP(phi_t+psi_t*Tabella34[[#This Row],[x_t_alpha©+plus]])-(Tabella34[[#This Row],[Day]]-D_bk)</f>
        <v>4.7341250041448735</v>
      </c>
      <c r="S76" s="244">
        <f>EXP(phi_t+psi_t*Tabella34[[#This Row],[x_t_alpha©-minus]])-(Tabella34[[#This Row],[Day]]-D_bk)</f>
        <v>4.042412001902127</v>
      </c>
      <c r="T76" s="244">
        <f>-psi_t+SQRT(psi_t^2-2*Tabella34[[#This Row],[c_t]])</f>
        <v>3.9395152452479616</v>
      </c>
      <c r="U76" s="244">
        <f>-psi_t-SQRT(psi_t^2-2*Tabella34[[#This Row],[c_t]])</f>
        <v>-3.9889079796677667</v>
      </c>
      <c r="V76" s="244">
        <f>phi_t-LN(alpha*Kt/(Tabella34[[#This Row],[Italy velocity]]*psi_t*SQRTPI(2)))</f>
        <v>-7.857181898896207</v>
      </c>
      <c r="W76" s="244" t="e">
        <f>Tabella34[[#This Row],[Italy g.r.]]/Italy_gr_at_lockdown</f>
        <v>#DIV/0!</v>
      </c>
      <c r="X76" s="244">
        <f>(ACOSH(SQRT(alpha*Kf*psi_f/(Tabella34[[#This Row],[Italy velocity]]*(1+TANH(phi_f)))))+phi_f)/psi_f-(Tabella34[[#This Row],[Day]]-pf)</f>
        <v>119.43573173707124</v>
      </c>
      <c r="Y76" s="244">
        <f>Tabella34[[#This Row],[Italy h.t.]]/Italy_ht_at_lockdown</f>
        <v>1.033148836363966</v>
      </c>
      <c r="Z76" s="72">
        <f>-2*$BY$48*TANH($BY$48*(Tabella34[[#This Row],[Day]]-$BY$57)-$BY$47)*Tabella34[[#This Row],[Italy velocity]]</f>
        <v>33.738339646846256</v>
      </c>
      <c r="AA76" s="72">
        <f>Tabella34[[#This Row],[Italy acc. fit]]/Itali_acc_at_lockdown</f>
        <v>0.93435827755874146</v>
      </c>
      <c r="AB76" s="77">
        <f>Tabella34[[#This Row],[Italy acc. fit]]/y_f_peak</f>
        <v>1.1240844975265259E-2</v>
      </c>
      <c r="AC76" s="143">
        <f>Tabella34[[#This Row],[Italy (fit of selected region + fitted sum of the other regions)]]*NOT(ISBLANK(Tabella34[[#This Row],[Italy rate data]]))</f>
        <v>33.771637282993872</v>
      </c>
      <c r="AD76" s="143">
        <f>Tabella34[[#This Row],[Italy acc. fit]]*NOT(ISBLANK(Tabella34[[#This Row],[Italy rate data]]))</f>
        <v>33.738339646846256</v>
      </c>
      <c r="AE76" s="77">
        <f>Tabella34[[#This Row],[Italy acc. fit]]+CIf</f>
        <v>1749.3531989813976</v>
      </c>
      <c r="AF76" s="77">
        <f>MAX(Tabella34[[#This Row],[Italy acc. fit]]-CIf,0)</f>
        <v>0</v>
      </c>
      <c r="AG76" s="4">
        <f>Tabella8[[#This Row],[region data]]</f>
        <v>12</v>
      </c>
      <c r="AH76" s="72">
        <f>(Tabella34[[#This Row],[selected region cumul. data]]-AG75)</f>
        <v>1</v>
      </c>
      <c r="AI76" s="72">
        <f>Tabella34[[#This Row],[selected region rate data]]-AH75</f>
        <v>-1</v>
      </c>
      <c r="AJ76" s="77">
        <f>Tabella34[[#This Row],[selected region rate data]]*NOT(ISBLANK(Tabella34[[#This Row],[selected region rate data]]))</f>
        <v>1</v>
      </c>
      <c r="AK76" s="77">
        <f>Tabella8[[#This Row],[region fit]]</f>
        <v>0</v>
      </c>
      <c r="AL76" s="143">
        <f>(ATANH(alpha*Tabella34[[#This Row],[sel. region cumul. fit]]/Kl-(1-alpha*Tabella34[[#This Row],[sel. region cumul. fit]]/Kl)*TANH(phi_l))+phi_l)/psi_l-(Tabella34[[#This Row],[Day]]-pl)</f>
        <v>6.2403346932391077</v>
      </c>
      <c r="AM76" s="77">
        <f>Tabella34[[#This Row],[sel. region cumul. fit]]/Kl</f>
        <v>0</v>
      </c>
      <c r="AN76" s="143">
        <f>Tabella3[[#This Row],[region fit]]</f>
        <v>30.664911654503587</v>
      </c>
      <c r="AO76" s="186" t="e">
        <f>Tabella34[[#This Row],[sel. region velocity]]/Tabella34[[#This Row],[sel. region cumul. fit]]</f>
        <v>#DIV/0!</v>
      </c>
      <c r="AP76" s="241" t="e">
        <f>(LN(Tabella34[[#This Row],[Day]]-pr)-phi_r)/psi_r</f>
        <v>#NUM!</v>
      </c>
      <c r="AQ76" s="244">
        <f>EXP(phi_r+psi_r*Tabella34[[#This Row],[x_r_alpha©+plus]])-(Tabella34[[#This Row],[Day]]-pr)</f>
        <v>9.9771534144793499</v>
      </c>
      <c r="AR76" s="244">
        <f>EXP(phi_r+psi_r*Tabella34[[#This Row],[x_r_alpha©-minus]])-(Tabella34[[#This Row],[Day]]-pr)</f>
        <v>9.2302401932843221</v>
      </c>
      <c r="AS76" s="244">
        <f>-psi_r+SQRT(psi_r^2-2*Tabella34[[#This Row],[c_r]])</f>
        <v>3.9249925209141092</v>
      </c>
      <c r="AT76" s="244">
        <f>-psi_r-SQRT(psi_r^2-2*Tabella34[[#This Row],[c_r]])</f>
        <v>-3.9814007593327703</v>
      </c>
      <c r="AU76" s="244">
        <f>phi_r-LN(alpha*Kr/(Tabella34[[#This Row],[sel. region velocity]]*psi_r*SQRTPI(2)))</f>
        <v>-7.8134841015714391</v>
      </c>
      <c r="AV76" s="244">
        <f>(ACOSH(SQRT(alpha*Kl*psi_l/(Tabella34[[#This Row],[sel. region velocity]]*(1+TANH(phi_l)))))+phi_l)/psi_l-(Tabella34[[#This Row],[Day]]-pl)</f>
        <v>111.52776521835105</v>
      </c>
      <c r="AW76" s="72">
        <f>-2*$BY$22*TANH($BY$22*(Tabella34[[#This Row],[Day]]-$BY$31)-$BY$21)*Tabella34[[#This Row],[sel. region velocity]]</f>
        <v>1.5251943447916014</v>
      </c>
      <c r="AX76" s="77">
        <f>Tabella34[[#This Row],[sel. region acc. fit]]/y_l_peak</f>
        <v>1.1068231829892198E-2</v>
      </c>
      <c r="AY76" s="143">
        <f>Tabella34[[#This Row],[sel. region acc. fit]]*NOT(ISBLANK(Tabella34[[#This Row],[selected region rate data]]))</f>
        <v>1.5251943447916014</v>
      </c>
      <c r="AZ76" s="77">
        <f>Tabella34[[#This Row],[sel. region acc. fit]]+CIl</f>
        <v>55.290034754340056</v>
      </c>
      <c r="BA76" s="77">
        <f>MAX(Tabella34[[#This Row],[sel. region acc. fit]]-CIl,0)</f>
        <v>0</v>
      </c>
      <c r="BB76" s="10">
        <f>Tabella8[[#This Row],[rest of Italy ]]</f>
        <v>1175</v>
      </c>
      <c r="BC76" s="10">
        <f>(Tabella34[[#This Row],[rest of Italy cum. Data]]-BB75)</f>
        <v>198</v>
      </c>
      <c r="BD76" s="10">
        <f>Tabella34[[#This Row],[rest of Italy rate data]]-BC75</f>
        <v>34</v>
      </c>
      <c r="BE76" s="77">
        <f>Tabella34[[#This Row],[rest of Italy rate data]]*NOT(ISBLANK(Tabella34[[#This Row],[rest of Italy rate data]]))</f>
        <v>198</v>
      </c>
      <c r="BF76" s="77">
        <f>Tabella8[[#This Row],[rest of Italy fit]]</f>
        <v>0</v>
      </c>
      <c r="BG76" s="78">
        <f>(ATANH(alpha*Tabella34[[#This Row],[rest of Italy cumul. fit]]/Ka-(1-alpha*Tabella34[[#This Row],[rest of Italy cumul. fit]]/Ka)*TANH(phi_a))+phi_a)/psi_a-(Tabella34[[#This Row],[Day]]-pa)</f>
        <v>0.69544445608433136</v>
      </c>
      <c r="BH76" s="77">
        <f>Tabella34[[#This Row],[rest of Italy cumul. fit]]/Ka</f>
        <v>0</v>
      </c>
      <c r="BI76" s="143">
        <f>Tabella3[[#This Row],[rest of Italy fit]]</f>
        <v>769.16362159037783</v>
      </c>
      <c r="BJ76" s="183" t="e">
        <f>Tabella34[[#This Row],[rest of Italy velocity]]/Tabella34[[#This Row],[rest of Italy cumul. fit]]</f>
        <v>#DIV/0!</v>
      </c>
      <c r="BK76" s="236" t="e">
        <f>(LN(Tabella34[[#This Row],[Day]]-po)-phi_o)/psi_o</f>
        <v>#NUM!</v>
      </c>
      <c r="BL76" s="244">
        <f>EXP(phi_o+psi_o*Tabella34[[#This Row],[x_o_alpha©+plus]])-(Tabella34[[#This Row],[Day]]-po)</f>
        <v>4.5701185556199313</v>
      </c>
      <c r="BM76" s="244">
        <f>EXP(phi_o+psi_o*Tabella34[[#This Row],[x_o_alpha©-minus]])-(Tabella34[[#This Row],[Day]]-po)</f>
        <v>3.8855019699704161</v>
      </c>
      <c r="BN76" s="244">
        <f>-psi_o+SQRT(psi_o^2-2*Tabella34[[#This Row],[c_o]])</f>
        <v>3.9411027609021132</v>
      </c>
      <c r="BO76" s="244">
        <f>-psi_o-SQRT(psi_o^2-2*Tabella34[[#This Row],[c_o]])</f>
        <v>-3.9901298464717425</v>
      </c>
      <c r="BP76" s="244">
        <f>phi_o-LN(alpha*Ko/(Tabella34[[#This Row],[rest of Italy velocity]]*psi_o*SQRTPI(2)))</f>
        <v>-7.8627558771438553</v>
      </c>
      <c r="BQ76" s="244">
        <f>(ACOSH(SQRT(alpha*Ka*psi_a/(Tabella34[[#This Row],[rest of Italy velocity]]*(1+TANH(phi_a)))))+phi_a)/psi_a-(Tabella34[[#This Row],[Day]]-pa)</f>
        <v>119.77629509948017</v>
      </c>
      <c r="BR76" s="72">
        <f>-2*$BY$35*TANH($BY$35*(Tabella34[[#This Row],[Day]]-$BY$44)-$BY$34)*Tabella34[[#This Row],[rest of Italy velocity]]</f>
        <v>32.246442938202271</v>
      </c>
      <c r="BS76" s="77">
        <f>Tabella34[[#This Row],[rest of Italy acc. fit]]/y_a_peak</f>
        <v>1.1267922739326086E-2</v>
      </c>
      <c r="BT76" s="77">
        <f>Tabella34[[#This Row],[rest of Italy acc. fit]]*NOT(ISBLANK(Tabella34[[#This Row],[rest of Italy rate data]]))</f>
        <v>32.246442938202271</v>
      </c>
      <c r="BU76" s="77">
        <f>Tabella34[[#This Row],[rest of Italy acc. fit]]+CIa</f>
        <v>1726.8206378477851</v>
      </c>
      <c r="BV76" s="77">
        <f>MAX(Tabella34[[#This Row],[rest of Italy acc. fit]]-CIa,0)</f>
        <v>0</v>
      </c>
    </row>
    <row r="77" spans="2:74" x14ac:dyDescent="0.3">
      <c r="B77" s="262">
        <v>43900</v>
      </c>
      <c r="C77" s="29">
        <v>70</v>
      </c>
      <c r="D77" s="10">
        <f>Tabella8[[#This Row],[Italy cumulative]]</f>
        <v>1635</v>
      </c>
      <c r="E77" s="72">
        <f>(Tabella34[[#This Row],[Italy cumul. data]]-D76)</f>
        <v>448</v>
      </c>
      <c r="F77" s="72">
        <f>Tabella34[[#This Row],[Italy rate data]]-E76</f>
        <v>249</v>
      </c>
      <c r="G77" s="77">
        <f>Tabella34[[#This Row],[Italy rate data]]*NOT(ISBLANK(Tabella34[[#This Row],[Italy rate data]]))</f>
        <v>448</v>
      </c>
      <c r="H77" s="143">
        <f>Tabella8[[#This Row],[Italy fit]]</f>
        <v>129.02576862024938</v>
      </c>
      <c r="I77" s="143">
        <f>(ATANH(alpha*Tabella34[[#This Row],[Italy cumul. Fit]]/Kf-(1-alpha*Tabella34[[#This Row],[Italy cumul. Fit]]/Kf)*TANH(phi_f))+phi_f)/psi_f-(Tabella34[[#This Row],[Day]]-pf)</f>
        <v>0.15469348204500116</v>
      </c>
      <c r="J77" s="143">
        <f>Tabella34[[#This Row],[Italy d.t.]]/Italy_dt_at_lockdown</f>
        <v>0.14029723241949432</v>
      </c>
      <c r="K77" s="77">
        <f>Tabella34[[#This Row],[Italy cumul. Fit]]/Kf</f>
        <v>5.7344786053444171E-4</v>
      </c>
      <c r="L77" s="146">
        <f>Tabella34[[#This Row],[sel. region acc. fit]]+Tabella34[[#This Row],[rest of Italy acc. fit]]</f>
        <v>34.94802415250242</v>
      </c>
      <c r="M77" s="77">
        <f>Tabella34[[#This Row],[Italy (fit of selected region + fitted sum of the other regions)]]/(y_l_peak+y_a_peak)</f>
        <v>1.1650931549399671E-2</v>
      </c>
      <c r="N77" s="143">
        <f>Tabella3[[#This Row],[Italy remov. rate fit]]</f>
        <v>831.36833382041937</v>
      </c>
      <c r="O77" s="143">
        <f>Kt*EXP(-0.5*Tabella34[[#This Row],[x_t]]^2)/(psi_t*SQRTPI(2)*(Tabella34[[#This Row],[Day]]-D_bk))</f>
        <v>0</v>
      </c>
      <c r="P77" s="183">
        <f>Tabella34[[#This Row],[Italy velocity]]/Tabella34[[#This Row],[Italy cumul. Fit]]</f>
        <v>6.4434286477092444</v>
      </c>
      <c r="Q77" s="244">
        <f>(LN(Tabella34[[#This Row],[Day]]-D_bk)-phi_t)/psi_t</f>
        <v>-126.3694073213988</v>
      </c>
      <c r="R77" s="244">
        <f>EXP(phi_t+psi_t*Tabella34[[#This Row],[x_t_alpha©+plus]])-(Tabella34[[#This Row],[Day]]-D_bk)</f>
        <v>3.7331019768730731</v>
      </c>
      <c r="S77" s="244">
        <f>EXP(phi_t+psi_t*Tabella34[[#This Row],[x_t_alpha©-minus]])-(Tabella34[[#This Row],[Day]]-D_bk)</f>
        <v>3.0432533295758217</v>
      </c>
      <c r="T77" s="244">
        <f>-psi_t+SQRT(psi_t^2-2*Tabella34[[#This Row],[c_t]])</f>
        <v>3.9288644846834684</v>
      </c>
      <c r="U77" s="244">
        <f>-psi_t-SQRT(psi_t^2-2*Tabella34[[#This Row],[c_t]])</f>
        <v>-3.9782572191032735</v>
      </c>
      <c r="V77" s="244">
        <f>phi_t-LN(alpha*Kt/(Tabella34[[#This Row],[Italy velocity]]*psi_t*SQRTPI(2)))</f>
        <v>-7.8150167495352347</v>
      </c>
      <c r="W77" s="244">
        <f>Tabella34[[#This Row],[Italy g.r.]]/Italy_gr_at_lockdown</f>
        <v>7.2697495200100439</v>
      </c>
      <c r="X77" s="244">
        <f>(ACOSH(SQRT(alpha*Kf*psi_f/(Tabella34[[#This Row],[Italy velocity]]*(1+TANH(phi_f)))))+phi_f)/psi_f-(Tabella34[[#This Row],[Day]]-pf)</f>
        <v>117.51752998746564</v>
      </c>
      <c r="Y77" s="244">
        <f>Tabella34[[#This Row],[Italy h.t.]]/Italy_ht_at_lockdown</f>
        <v>1.0165559133191346</v>
      </c>
      <c r="Z77" s="72">
        <f>-2*$BY$48*TANH($BY$48*(Tabella34[[#This Row],[Day]]-$BY$57)-$BY$47)*Tabella34[[#This Row],[Italy velocity]]</f>
        <v>34.916267444087786</v>
      </c>
      <c r="AA77" s="72">
        <f>Tabella34[[#This Row],[Italy acc. fit]]/Itali_acc_at_lockdown</f>
        <v>0.96698011370241899</v>
      </c>
      <c r="AB77" s="77">
        <f>Tabella34[[#This Row],[Italy acc. fit]]/y_f_peak</f>
        <v>1.1633303640968611E-2</v>
      </c>
      <c r="AC77" s="143">
        <f>Tabella34[[#This Row],[Italy (fit of selected region + fitted sum of the other regions)]]*NOT(ISBLANK(Tabella34[[#This Row],[Italy rate data]]))</f>
        <v>34.94802415250242</v>
      </c>
      <c r="AD77" s="143">
        <f>Tabella34[[#This Row],[Italy acc. fit]]*NOT(ISBLANK(Tabella34[[#This Row],[Italy rate data]]))</f>
        <v>34.916267444087786</v>
      </c>
      <c r="AE77" s="77">
        <f>Tabella34[[#This Row],[Italy acc. fit]]+CIf</f>
        <v>1750.531126778639</v>
      </c>
      <c r="AF77" s="77">
        <f>MAX(Tabella34[[#This Row],[Italy acc. fit]]-CIf,0)</f>
        <v>0</v>
      </c>
      <c r="AG77" s="4">
        <f>Tabella8[[#This Row],[region data]]</f>
        <v>13</v>
      </c>
      <c r="AH77" s="72">
        <f>(Tabella34[[#This Row],[selected region cumul. data]]-AG76)</f>
        <v>1</v>
      </c>
      <c r="AI77" s="72">
        <f>Tabella34[[#This Row],[selected region rate data]]-AH76</f>
        <v>0</v>
      </c>
      <c r="AJ77" s="77">
        <f>Tabella34[[#This Row],[selected region rate data]]*NOT(ISBLANK(Tabella34[[#This Row],[selected region rate data]]))</f>
        <v>1</v>
      </c>
      <c r="AK77" s="77">
        <f>Tabella8[[#This Row],[region fit]]</f>
        <v>0</v>
      </c>
      <c r="AL77" s="143">
        <f>(ATANH(alpha*Tabella34[[#This Row],[sel. region cumul. fit]]/Kl-(1-alpha*Tabella34[[#This Row],[sel. region cumul. fit]]/Kl)*TANH(phi_l))+phi_l)/psi_l-(Tabella34[[#This Row],[Day]]-pl)</f>
        <v>5.2403346932391077</v>
      </c>
      <c r="AM77" s="77">
        <f>Tabella34[[#This Row],[sel. region cumul. fit]]/Kl</f>
        <v>0</v>
      </c>
      <c r="AN77" s="143">
        <f>Tabella3[[#This Row],[region fit]]</f>
        <v>32.222872209298011</v>
      </c>
      <c r="AO77" s="186" t="e">
        <f>Tabella34[[#This Row],[sel. region velocity]]/Tabella34[[#This Row],[sel. region cumul. fit]]</f>
        <v>#DIV/0!</v>
      </c>
      <c r="AP77" s="241" t="e">
        <f>(LN(Tabella34[[#This Row],[Day]]-pr)-phi_r)/psi_r</f>
        <v>#NUM!</v>
      </c>
      <c r="AQ77" s="244">
        <f>EXP(phi_r+psi_r*Tabella34[[#This Row],[x_r_alpha©+plus]])-(Tabella34[[#This Row],[Day]]-pr)</f>
        <v>8.9758303270775173</v>
      </c>
      <c r="AR77" s="244">
        <f>EXP(phi_r+psi_r*Tabella34[[#This Row],[x_r_alpha©-minus]])-(Tabella34[[#This Row],[Day]]-pr)</f>
        <v>8.23129919768094</v>
      </c>
      <c r="AS77" s="244">
        <f>-psi_r+SQRT(psi_r^2-2*Tabella34[[#This Row],[c_r]])</f>
        <v>3.9124365338758751</v>
      </c>
      <c r="AT77" s="244">
        <f>-psi_r-SQRT(psi_r^2-2*Tabella34[[#This Row],[c_r]])</f>
        <v>-3.9688447722945361</v>
      </c>
      <c r="AU77" s="244">
        <f>phi_r-LN(alpha*Kr/(Tabella34[[#This Row],[sel. region velocity]]*psi_r*SQRTPI(2)))</f>
        <v>-7.7639266422037112</v>
      </c>
      <c r="AV77" s="244">
        <f>(ACOSH(SQRT(alpha*Kl*psi_l/(Tabella34[[#This Row],[sel. region velocity]]*(1+TANH(phi_l)))))+phi_l)/psi_l-(Tabella34[[#This Row],[Day]]-pl)</f>
        <v>109.59436632126638</v>
      </c>
      <c r="AW77" s="72">
        <f>-2*$BY$22*TANH($BY$22*(Tabella34[[#This Row],[Day]]-$BY$31)-$BY$21)*Tabella34[[#This Row],[sel. region velocity]]</f>
        <v>1.5909874403741184</v>
      </c>
      <c r="AX77" s="77">
        <f>Tabella34[[#This Row],[sel. region acc. fit]]/y_l_peak</f>
        <v>1.1545687858496247E-2</v>
      </c>
      <c r="AY77" s="143">
        <f>Tabella34[[#This Row],[sel. region acc. fit]]*NOT(ISBLANK(Tabella34[[#This Row],[selected region rate data]]))</f>
        <v>1.5909874403741184</v>
      </c>
      <c r="AZ77" s="77">
        <f>Tabella34[[#This Row],[sel. region acc. fit]]+CIl</f>
        <v>55.355827849922576</v>
      </c>
      <c r="BA77" s="77">
        <f>MAX(Tabella34[[#This Row],[sel. region acc. fit]]-CIl,0)</f>
        <v>0</v>
      </c>
      <c r="BB77" s="10">
        <f>Tabella8[[#This Row],[rest of Italy ]]</f>
        <v>1622</v>
      </c>
      <c r="BC77" s="10">
        <f>(Tabella34[[#This Row],[rest of Italy cum. Data]]-BB76)</f>
        <v>447</v>
      </c>
      <c r="BD77" s="10">
        <f>Tabella34[[#This Row],[rest of Italy rate data]]-BC76</f>
        <v>249</v>
      </c>
      <c r="BE77" s="77">
        <f>Tabella34[[#This Row],[rest of Italy rate data]]*NOT(ISBLANK(Tabella34[[#This Row],[rest of Italy rate data]]))</f>
        <v>447</v>
      </c>
      <c r="BF77" s="77">
        <f>Tabella8[[#This Row],[rest of Italy fit]]</f>
        <v>242.70089901987399</v>
      </c>
      <c r="BG77" s="78">
        <f>(ATANH(alpha*Tabella34[[#This Row],[rest of Italy cumul. fit]]/Ka-(1-alpha*Tabella34[[#This Row],[rest of Italy cumul. fit]]/Ka)*TANH(phi_a))+phi_a)/psi_a-(Tabella34[[#This Row],[Day]]-pa)</f>
        <v>0.30074570692249991</v>
      </c>
      <c r="BH77" s="77">
        <f>Tabella34[[#This Row],[rest of Italy cumul. fit]]/Ka</f>
        <v>1.1234592372349858E-3</v>
      </c>
      <c r="BI77" s="143">
        <f>Tabella3[[#This Row],[rest of Italy fit]]</f>
        <v>801.96420143263879</v>
      </c>
      <c r="BJ77" s="183">
        <f>Tabella34[[#This Row],[rest of Italy velocity]]/Tabella34[[#This Row],[rest of Italy cumul. fit]]</f>
        <v>3.3043313999713226</v>
      </c>
      <c r="BK77" s="236">
        <f>(LN(Tabella34[[#This Row],[Day]]-po)-phi_o)/psi_o</f>
        <v>-99.812294962300598</v>
      </c>
      <c r="BL77" s="244">
        <f>EXP(phi_o+psi_o*Tabella34[[#This Row],[x_o_alpha©+plus]])-(Tabella34[[#This Row],[Day]]-po)</f>
        <v>3.5691171377724795</v>
      </c>
      <c r="BM77" s="244">
        <f>EXP(phi_o+psi_o*Tabella34[[#This Row],[x_o_alpha©-minus]])-(Tabella34[[#This Row],[Day]]-po)</f>
        <v>2.8863266603331068</v>
      </c>
      <c r="BN77" s="244">
        <f>-psi_o+SQRT(psi_o^2-2*Tabella34[[#This Row],[c_o]])</f>
        <v>3.9305581588542715</v>
      </c>
      <c r="BO77" s="244">
        <f>-psi_o-SQRT(psi_o^2-2*Tabella34[[#This Row],[c_o]])</f>
        <v>-3.9795852444239008</v>
      </c>
      <c r="BP77" s="244">
        <f>phi_o-LN(alpha*Ko/(Tabella34[[#This Row],[rest of Italy velocity]]*psi_o*SQRTPI(2)))</f>
        <v>-7.8209956256632163</v>
      </c>
      <c r="BQ77" s="244">
        <f>(ACOSH(SQRT(alpha*Ka*psi_a/(Tabella34[[#This Row],[rest of Italy velocity]]*(1+TANH(phi_a)))))+phi_a)/psi_a-(Tabella34[[#This Row],[Day]]-pa)</f>
        <v>117.85927211594365</v>
      </c>
      <c r="BR77" s="72">
        <f>-2*$BY$35*TANH($BY$35*(Tabella34[[#This Row],[Day]]-$BY$44)-$BY$34)*Tabella34[[#This Row],[rest of Italy velocity]]</f>
        <v>33.357036712128298</v>
      </c>
      <c r="BS77" s="77">
        <f>Tabella34[[#This Row],[rest of Italy acc. fit]]/y_a_peak</f>
        <v>1.1655999181225656E-2</v>
      </c>
      <c r="BT77" s="77">
        <f>Tabella34[[#This Row],[rest of Italy acc. fit]]*NOT(ISBLANK(Tabella34[[#This Row],[rest of Italy rate data]]))</f>
        <v>33.357036712128298</v>
      </c>
      <c r="BU77" s="77">
        <f>Tabella34[[#This Row],[rest of Italy acc. fit]]+CIa</f>
        <v>1727.931231621711</v>
      </c>
      <c r="BV77" s="77">
        <f>MAX(Tabella34[[#This Row],[rest of Italy acc. fit]]-CIa,0)</f>
        <v>0</v>
      </c>
    </row>
    <row r="78" spans="2:74" x14ac:dyDescent="0.3">
      <c r="B78" s="262">
        <v>43901</v>
      </c>
      <c r="C78" s="246">
        <v>71</v>
      </c>
      <c r="D78" s="247">
        <f>Tabella8[[#This Row],[Italy cumulative]]</f>
        <v>1872</v>
      </c>
      <c r="E78" s="248">
        <f>(Tabella34[[#This Row],[Italy cumul. data]]-D77)</f>
        <v>237</v>
      </c>
      <c r="F78" s="248">
        <f>Tabella34[[#This Row],[Italy rate data]]-E77</f>
        <v>-211</v>
      </c>
      <c r="G78" s="249">
        <f>Tabella34[[#This Row],[Italy rate data]]*NOT(ISBLANK(Tabella34[[#This Row],[Italy rate data]]))</f>
        <v>237</v>
      </c>
      <c r="H78" s="250">
        <f>Tabella8[[#This Row],[Italy fit]]</f>
        <v>978.05040302826933</v>
      </c>
      <c r="I78" s="143">
        <f>(ATANH(alpha*Tabella34[[#This Row],[Italy cumul. Fit]]/Kf-(1-alpha*Tabella34[[#This Row],[Italy cumul. Fit]]/Kf)*TANH(phi_f))+phi_f)/psi_f-(Tabella34[[#This Row],[Day]]-pf)</f>
        <v>1.1026124990296422</v>
      </c>
      <c r="J78" s="250">
        <f>Tabella34[[#This Row],[Italy d.t.]]/Italy_dt_at_lockdown</f>
        <v>1</v>
      </c>
      <c r="K78" s="249">
        <f>Tabella34[[#This Row],[Italy cumul. Fit]]/Kf</f>
        <v>4.3468906801256415E-3</v>
      </c>
      <c r="L78" s="248">
        <f>Tabella34[[#This Row],[sel. region acc. fit]]+Tabella34[[#This Row],[rest of Italy acc. fit]]</f>
        <v>36.138670172730031</v>
      </c>
      <c r="M78" s="249">
        <f>Tabella34[[#This Row],[Italy (fit of selected region + fitted sum of the other regions)]]/(y_l_peak+y_a_peak)</f>
        <v>1.204786773156274E-2</v>
      </c>
      <c r="N78" s="143">
        <f>Tabella3[[#This Row],[Italy remov. rate fit]]</f>
        <v>866.87965911750098</v>
      </c>
      <c r="O78" s="250">
        <f>Kt*EXP(-0.5*Tabella34[[#This Row],[x_t]]^2)/(psi_t*SQRTPI(2)*(Tabella34[[#This Row],[Day]]-D_bk))</f>
        <v>0</v>
      </c>
      <c r="P78" s="251">
        <f>Tabella34[[#This Row],[Italy velocity]]/Tabella34[[#This Row],[Italy cumul. Fit]]</f>
        <v>0.88633434067757844</v>
      </c>
      <c r="Q78" s="252">
        <f>(LN(Tabella34[[#This Row],[Day]]-D_bk)-phi_t)/psi_t</f>
        <v>-45.203536640609265</v>
      </c>
      <c r="R78" s="252">
        <f>EXP(phi_t+psi_t*Tabella34[[#This Row],[x_t_alpha©+plus]])-(Tabella34[[#This Row],[Day]]-D_bk)</f>
        <v>2.7320846850349989</v>
      </c>
      <c r="S78" s="252">
        <f>EXP(phi_t+psi_t*Tabella34[[#This Row],[x_t_alpha©-minus]])-(Tabella34[[#This Row],[Day]]-D_bk)</f>
        <v>2.0440903795395489</v>
      </c>
      <c r="T78" s="252">
        <f>-psi_t+SQRT(psi_t^2-2*Tabella34[[#This Row],[c_t]])</f>
        <v>3.9182706571154258</v>
      </c>
      <c r="U78" s="252">
        <f>-psi_t-SQRT(psi_t^2-2*Tabella34[[#This Row],[c_t]])</f>
        <v>-3.9676633915352308</v>
      </c>
      <c r="V78" s="252">
        <f>phi_t-LN(alpha*Kt/(Tabella34[[#This Row],[Italy velocity]]*psi_t*SQRTPI(2)))</f>
        <v>-7.7731895221817835</v>
      </c>
      <c r="W78" s="252">
        <f>Tabella34[[#This Row],[Italy g.r.]]/Italy_gr_at_lockdown</f>
        <v>1</v>
      </c>
      <c r="X78" s="244">
        <f>(ACOSH(SQRT(alpha*Kf*psi_f/(Tabella34[[#This Row],[Italy velocity]]*(1+TANH(phi_f)))))+phi_f)/psi_f-(Tabella34[[#This Row],[Day]]-pf)</f>
        <v>115.60360669563339</v>
      </c>
      <c r="Y78" s="252">
        <f>Tabella34[[#This Row],[Italy h.t.]]/Italy_ht_at_lockdown</f>
        <v>1</v>
      </c>
      <c r="Z78" s="72">
        <f>-2*$BY$48*TANH($BY$48*(Tabella34[[#This Row],[Day]]-$BY$57)-$BY$47)*Tabella34[[#This Row],[Italy velocity]]</f>
        <v>36.108568262483431</v>
      </c>
      <c r="AA78" s="253">
        <f>Tabella34[[#This Row],[Italy acc. fit]]/Itali_acc_at_lockdown</f>
        <v>1</v>
      </c>
      <c r="AB78" s="249">
        <f>Tabella34[[#This Row],[Italy acc. fit]]/y_f_peak</f>
        <v>1.203055106937667E-2</v>
      </c>
      <c r="AC78" s="250">
        <f>Tabella34[[#This Row],[Italy (fit of selected region + fitted sum of the other regions)]]*NOT(ISBLANK(Tabella34[[#This Row],[Italy rate data]]))</f>
        <v>36.138670172730031</v>
      </c>
      <c r="AD78" s="250">
        <f>Tabella34[[#This Row],[Italy acc. fit]]*NOT(ISBLANK(Tabella34[[#This Row],[Italy rate data]]))</f>
        <v>36.108568262483431</v>
      </c>
      <c r="AE78" s="249">
        <f>Tabella34[[#This Row],[Italy acc. fit]]+CIf</f>
        <v>1751.7234275970347</v>
      </c>
      <c r="AF78" s="249">
        <f>MAX(Tabella34[[#This Row],[Italy acc. fit]]-CIf,0)</f>
        <v>0</v>
      </c>
      <c r="AG78" s="254">
        <f>Tabella8[[#This Row],[region data]]</f>
        <v>13</v>
      </c>
      <c r="AH78" s="248">
        <f>(Tabella34[[#This Row],[selected region cumul. data]]-AG77)</f>
        <v>0</v>
      </c>
      <c r="AI78" s="248">
        <f>Tabella34[[#This Row],[selected region rate data]]-AH77</f>
        <v>-1</v>
      </c>
      <c r="AJ78" s="249">
        <f>Tabella34[[#This Row],[selected region rate data]]*NOT(ISBLANK(Tabella34[[#This Row],[selected region rate data]]))</f>
        <v>0</v>
      </c>
      <c r="AK78" s="249">
        <f>Tabella8[[#This Row],[region fit]]</f>
        <v>0</v>
      </c>
      <c r="AL78" s="143">
        <f>(ATANH(alpha*Tabella34[[#This Row],[sel. region cumul. fit]]/Kl-(1-alpha*Tabella34[[#This Row],[sel. region cumul. fit]]/Kl)*TANH(phi_l))+phi_l)/psi_l-(Tabella34[[#This Row],[Day]]-pl)</f>
        <v>4.2403346932391077</v>
      </c>
      <c r="AM78" s="249">
        <f>Tabella34[[#This Row],[sel. region cumul. fit]]/Kl</f>
        <v>0</v>
      </c>
      <c r="AN78" s="143">
        <f>Tabella3[[#This Row],[region fit]]</f>
        <v>33.847389866087639</v>
      </c>
      <c r="AO78" s="255" t="e">
        <f>Tabella34[[#This Row],[sel. region velocity]]/Tabella34[[#This Row],[sel. region cumul. fit]]</f>
        <v>#DIV/0!</v>
      </c>
      <c r="AP78" s="256" t="e">
        <f>(LN(Tabella34[[#This Row],[Day]]-pr)-phi_r)/psi_r</f>
        <v>#NUM!</v>
      </c>
      <c r="AQ78" s="252">
        <f>EXP(phi_r+psi_r*Tabella34[[#This Row],[x_r_alpha©+plus]])-(Tabella34[[#This Row],[Day]]-pr)</f>
        <v>7.974513457532459</v>
      </c>
      <c r="AR78" s="252">
        <f>EXP(phi_r+psi_r*Tabella34[[#This Row],[x_r_alpha©-minus]])-(Tabella34[[#This Row],[Day]]-pr)</f>
        <v>7.232353970447555</v>
      </c>
      <c r="AS78" s="252">
        <f>-psi_r+SQRT(psi_r^2-2*Tabella34[[#This Row],[c_r]])</f>
        <v>3.8999351370474269</v>
      </c>
      <c r="AT78" s="252">
        <f>-psi_r-SQRT(psi_r^2-2*Tabella34[[#This Row],[c_r]])</f>
        <v>-3.9563433754660879</v>
      </c>
      <c r="AU78" s="252">
        <f>phi_r-LN(alpha*Kr/(Tabella34[[#This Row],[sel. region velocity]]*psi_r*SQRTPI(2)))</f>
        <v>-7.7147412721025086</v>
      </c>
      <c r="AV78" s="244">
        <f>(ACOSH(SQRT(alpha*Kl*psi_l/(Tabella34[[#This Row],[sel. region velocity]]*(1+TANH(phi_l)))))+phi_l)/psi_l-(Tabella34[[#This Row],[Day]]-pl)</f>
        <v>107.66494235833994</v>
      </c>
      <c r="AW78" s="72">
        <f>-2*$BY$22*TANH($BY$22*(Tabella34[[#This Row],[Day]]-$BY$31)-$BY$21)*Tabella34[[#This Row],[sel. region velocity]]</f>
        <v>1.6582898426189518</v>
      </c>
      <c r="AX78" s="249">
        <f>Tabella34[[#This Row],[sel. region acc. fit]]/y_l_peak</f>
        <v>1.2034096823096923E-2</v>
      </c>
      <c r="AY78" s="250">
        <f>Tabella34[[#This Row],[sel. region acc. fit]]*NOT(ISBLANK(Tabella34[[#This Row],[selected region rate data]]))</f>
        <v>1.6582898426189518</v>
      </c>
      <c r="AZ78" s="249">
        <f>Tabella34[[#This Row],[sel. region acc. fit]]+CIl</f>
        <v>55.423130252167404</v>
      </c>
      <c r="BA78" s="249">
        <f>MAX(Tabella34[[#This Row],[sel. region acc. fit]]-CIl,0)</f>
        <v>0</v>
      </c>
      <c r="BB78" s="247">
        <f>Tabella8[[#This Row],[rest of Italy ]]</f>
        <v>1859</v>
      </c>
      <c r="BC78" s="247">
        <f>(Tabella34[[#This Row],[rest of Italy cum. Data]]-BB77)</f>
        <v>237</v>
      </c>
      <c r="BD78" s="247">
        <f>Tabella34[[#This Row],[rest of Italy rate data]]-BC77</f>
        <v>-210</v>
      </c>
      <c r="BE78" s="249">
        <f>Tabella34[[#This Row],[rest of Italy rate data]]*NOT(ISBLANK(Tabella34[[#This Row],[rest of Italy rate data]]))</f>
        <v>237</v>
      </c>
      <c r="BF78" s="249">
        <f>Tabella8[[#This Row],[rest of Italy fit]]</f>
        <v>1061.5303582923698</v>
      </c>
      <c r="BG78" s="78">
        <f>(ATANH(alpha*Tabella34[[#This Row],[rest of Italy cumul. fit]]/Ka-(1-alpha*Tabella34[[#This Row],[rest of Italy cumul. fit]]/Ka)*TANH(phi_a))+phi_a)/psi_a-(Tabella34[[#This Row],[Day]]-pa)</f>
        <v>1.2379175555431319</v>
      </c>
      <c r="BH78" s="249">
        <f>Tabella34[[#This Row],[rest of Italy cumul. fit]]/Ka</f>
        <v>4.9138099259008923E-3</v>
      </c>
      <c r="BI78" s="143">
        <f>Tabella3[[#This Row],[rest of Italy fit]]</f>
        <v>835.88194803854844</v>
      </c>
      <c r="BJ78" s="251">
        <f>Tabella34[[#This Row],[rest of Italy velocity]]/Tabella34[[#This Row],[rest of Italy cumul. fit]]</f>
        <v>0.78743103436362338</v>
      </c>
      <c r="BK78" s="257">
        <f>(LN(Tabella34[[#This Row],[Day]]-po)-phi_o)/psi_o</f>
        <v>-40.466968405692825</v>
      </c>
      <c r="BL78" s="252">
        <f>EXP(phi_o+psi_o*Tabella34[[#This Row],[x_o_alpha©+plus]])-(Tabella34[[#This Row],[Day]]-po)</f>
        <v>2.568121409195204</v>
      </c>
      <c r="BM78" s="252">
        <f>EXP(phi_o+psi_o*Tabella34[[#This Row],[x_o_alpha©-minus]])-(Tabella34[[#This Row],[Day]]-po)</f>
        <v>1.8871470883305772</v>
      </c>
      <c r="BN78" s="252">
        <f>-psi_o+SQRT(psi_o^2-2*Tabella34[[#This Row],[c_o]])</f>
        <v>3.9200707598185418</v>
      </c>
      <c r="BO78" s="252">
        <f>-psi_o-SQRT(psi_o^2-2*Tabella34[[#This Row],[c_o]])</f>
        <v>-3.9690978453881711</v>
      </c>
      <c r="BP78" s="252">
        <f>phi_o-LN(alpha*Ko/(Tabella34[[#This Row],[rest of Italy velocity]]*psi_o*SQRTPI(2)))</f>
        <v>-7.7795722032824726</v>
      </c>
      <c r="BQ78" s="252">
        <f>(ACOSH(SQRT(alpha*Ka*psi_a/(Tabella34[[#This Row],[rest of Italy velocity]]*(1+TANH(phi_a)))))+phi_a)/psi_a-(Tabella34[[#This Row],[Day]]-pa)</f>
        <v>115.94655769821038</v>
      </c>
      <c r="BR78" s="72">
        <f>-2*$BY$35*TANH($BY$35*(Tabella34[[#This Row],[Day]]-$BY$44)-$BY$34)*Tabella34[[#This Row],[rest of Italy velocity]]</f>
        <v>34.480380330111082</v>
      </c>
      <c r="BS78" s="249">
        <f>Tabella34[[#This Row],[rest of Italy acc. fit]]/y_a_peak</f>
        <v>1.2048530820185109E-2</v>
      </c>
      <c r="BT78" s="249">
        <f>Tabella34[[#This Row],[rest of Italy acc. fit]]*NOT(ISBLANK(Tabella34[[#This Row],[rest of Italy rate data]]))</f>
        <v>34.480380330111082</v>
      </c>
      <c r="BU78" s="249">
        <f>Tabella34[[#This Row],[rest of Italy acc. fit]]+CIa</f>
        <v>1729.0545752396938</v>
      </c>
      <c r="BV78" s="258">
        <f>MAX(Tabella34[[#This Row],[rest of Italy acc. fit]]-CIa,0)</f>
        <v>0</v>
      </c>
    </row>
    <row r="79" spans="2:74" x14ac:dyDescent="0.3">
      <c r="B79" s="262">
        <v>43902</v>
      </c>
      <c r="C79" s="29">
        <v>72</v>
      </c>
      <c r="D79" s="10">
        <f>Tabella8[[#This Row],[Italy cumulative]]</f>
        <v>2274</v>
      </c>
      <c r="E79" s="72">
        <f>(Tabella34[[#This Row],[Italy cumul. data]]-D78)</f>
        <v>402</v>
      </c>
      <c r="F79" s="72">
        <f>Tabella34[[#This Row],[Italy rate data]]-E78</f>
        <v>165</v>
      </c>
      <c r="G79" s="77">
        <f>Tabella34[[#This Row],[Italy rate data]]*NOT(ISBLANK(Tabella34[[#This Row],[Italy rate data]]))</f>
        <v>402</v>
      </c>
      <c r="H79" s="143">
        <f>Tabella8[[#This Row],[Italy fit]]</f>
        <v>1863.1845850473394</v>
      </c>
      <c r="I79" s="143">
        <f>(ATANH(alpha*Tabella34[[#This Row],[Italy cumul. Fit]]/Kf-(1-alpha*Tabella34[[#This Row],[Italy cumul. Fit]]/Kf)*TANH(phi_f))+phi_f)/psi_f-(Tabella34[[#This Row],[Day]]-pf)</f>
        <v>1.9793555504994327</v>
      </c>
      <c r="J79" s="143">
        <f>Tabella34[[#This Row],[Italy d.t.]]/Italy_dt_at_lockdown</f>
        <v>1.7951506555942103</v>
      </c>
      <c r="K79" s="77">
        <f>Tabella34[[#This Row],[Italy cumul. Fit]]/Kf</f>
        <v>8.280820377988175E-3</v>
      </c>
      <c r="L79" s="146">
        <f>Tabella34[[#This Row],[sel. region acc. fit]]+Tabella34[[#This Row],[rest of Italy acc. fit]]</f>
        <v>37.340934632650615</v>
      </c>
      <c r="M79" s="77">
        <f>Tabella34[[#This Row],[Italy (fit of selected region + fitted sum of the other regions)]]/(y_l_peak+y_a_peak)</f>
        <v>1.2448677255605825E-2</v>
      </c>
      <c r="N79" s="143">
        <f>Tabella3[[#This Row],[Italy remov. rate fit]]</f>
        <v>903.58938600207614</v>
      </c>
      <c r="O79" s="143">
        <f>Kt*EXP(-0.5*Tabella34[[#This Row],[x_t]]^2)/(psi_t*SQRTPI(2)*(Tabella34[[#This Row],[Day]]-D_bk))</f>
        <v>5.1203474632477862E-81</v>
      </c>
      <c r="P79" s="183">
        <f>Tabella34[[#This Row],[Italy velocity]]/Tabella34[[#This Row],[Italy cumul. Fit]]</f>
        <v>0.48497040671851521</v>
      </c>
      <c r="Q79" s="244">
        <f>(LN(Tabella34[[#This Row],[Day]]-D_bk)-phi_t)/psi_t</f>
        <v>-19.960664750733155</v>
      </c>
      <c r="R79" s="244">
        <f>EXP(phi_t+psi_t*Tabella34[[#This Row],[x_t_alpha©+plus]])-(Tabella34[[#This Row],[Day]]-D_bk)</f>
        <v>1.7310735207376364</v>
      </c>
      <c r="S79" s="244">
        <f>EXP(phi_t+psi_t*Tabella34[[#This Row],[x_t_alpha©-minus]])-(Tabella34[[#This Row],[Day]]-D_bk)</f>
        <v>1.0449228218423658</v>
      </c>
      <c r="T79" s="244">
        <f>-psi_t+SQRT(psi_t^2-2*Tabella34[[#This Row],[c_t]])</f>
        <v>3.9077378928755064</v>
      </c>
      <c r="U79" s="244">
        <f>-psi_t-SQRT(psi_t^2-2*Tabella34[[#This Row],[c_t]])</f>
        <v>-3.9571306272953115</v>
      </c>
      <c r="V79" s="244">
        <f>phi_t-LN(alpha*Kt/(Tabella34[[#This Row],[Italy velocity]]*psi_t*SQRTPI(2)))</f>
        <v>-7.7317146496700557</v>
      </c>
      <c r="W79" s="244">
        <f>Tabella34[[#This Row],[Italy g.r.]]/Italy_gr_at_lockdown</f>
        <v>0.54716418450826187</v>
      </c>
      <c r="X79" s="244">
        <f>(ACOSH(SQRT(alpha*Kf*psi_f/(Tabella34[[#This Row],[Italy velocity]]*(1+TANH(phi_f)))))+phi_f)/psi_f-(Tabella34[[#This Row],[Day]]-pf)</f>
        <v>113.69419096391672</v>
      </c>
      <c r="Y79" s="244">
        <f>Tabella34[[#This Row],[Italy h.t.]]/Italy_ht_at_lockdown</f>
        <v>0.98348307819890202</v>
      </c>
      <c r="Z79" s="72">
        <f>-2*$BY$48*TANH($BY$48*(Tabella34[[#This Row],[Day]]-$BY$57)-$BY$47)*Tabella34[[#This Row],[Italy velocity]]</f>
        <v>37.31260562585571</v>
      </c>
      <c r="AA79" s="72">
        <f>Tabella34[[#This Row],[Italy acc. fit]]/Itali_acc_at_lockdown</f>
        <v>1.033344921200414</v>
      </c>
      <c r="AB79" s="77">
        <f>Tabella34[[#This Row],[Italy acc. fit]]/y_f_peak</f>
        <v>1.243170884678259E-2</v>
      </c>
      <c r="AC79" s="143">
        <f>Tabella34[[#This Row],[Italy (fit of selected region + fitted sum of the other regions)]]*NOT(ISBLANK(Tabella34[[#This Row],[Italy rate data]]))</f>
        <v>37.340934632650615</v>
      </c>
      <c r="AD79" s="143">
        <f>Tabella34[[#This Row],[Italy acc. fit]]*NOT(ISBLANK(Tabella34[[#This Row],[Italy rate data]]))</f>
        <v>37.31260562585571</v>
      </c>
      <c r="AE79" s="77">
        <f>Tabella34[[#This Row],[Italy acc. fit]]+CIf</f>
        <v>1752.927464960407</v>
      </c>
      <c r="AF79" s="77">
        <f>MAX(Tabella34[[#This Row],[Italy acc. fit]]-CIf,0)</f>
        <v>0</v>
      </c>
      <c r="AG79" s="4">
        <f>Tabella8[[#This Row],[region data]]</f>
        <v>31</v>
      </c>
      <c r="AH79" s="72">
        <f>(Tabella34[[#This Row],[selected region cumul. data]]-AG78)</f>
        <v>18</v>
      </c>
      <c r="AI79" s="72">
        <f>Tabella34[[#This Row],[selected region rate data]]-AH78</f>
        <v>18</v>
      </c>
      <c r="AJ79" s="77">
        <f>Tabella34[[#This Row],[selected region rate data]]*NOT(ISBLANK(Tabella34[[#This Row],[selected region rate data]]))</f>
        <v>18</v>
      </c>
      <c r="AK79" s="77">
        <f>Tabella8[[#This Row],[region fit]]</f>
        <v>0</v>
      </c>
      <c r="AL79" s="143">
        <f>(ATANH(alpha*Tabella34[[#This Row],[sel. region cumul. fit]]/Kl-(1-alpha*Tabella34[[#This Row],[sel. region cumul. fit]]/Kl)*TANH(phi_l))+phi_l)/psi_l-(Tabella34[[#This Row],[Day]]-pl)</f>
        <v>3.2403346932391073</v>
      </c>
      <c r="AM79" s="77">
        <f>Tabella34[[#This Row],[sel. region cumul. fit]]/Kl</f>
        <v>0</v>
      </c>
      <c r="AN79" s="143">
        <f>Tabella3[[#This Row],[region fit]]</f>
        <v>35.539914298856431</v>
      </c>
      <c r="AO79" s="186" t="e">
        <f>Tabella34[[#This Row],[sel. region velocity]]/Tabella34[[#This Row],[sel. region cumul. fit]]</f>
        <v>#DIV/0!</v>
      </c>
      <c r="AP79" s="241" t="e">
        <f>(LN(Tabella34[[#This Row],[Day]]-pr)-phi_r)/psi_r</f>
        <v>#NUM!</v>
      </c>
      <c r="AQ79" s="244">
        <f>EXP(phi_r+psi_r*Tabella34[[#This Row],[x_r_alpha©+plus]])-(Tabella34[[#This Row],[Day]]-pr)</f>
        <v>6.9732033589716185</v>
      </c>
      <c r="AR79" s="244">
        <f>EXP(phi_r+psi_r*Tabella34[[#This Row],[x_r_alpha©-minus]])-(Tabella34[[#This Row],[Day]]-pr)</f>
        <v>6.2334040583290449</v>
      </c>
      <c r="AS79" s="244">
        <f>-psi_r+SQRT(psi_r^2-2*Tabella34[[#This Row],[c_r]])</f>
        <v>3.8874936435153402</v>
      </c>
      <c r="AT79" s="244">
        <f>-psi_r-SQRT(psi_r^2-2*Tabella34[[#This Row],[c_r]])</f>
        <v>-3.9439018819340013</v>
      </c>
      <c r="AU79" s="244">
        <f>phi_r-LN(alpha*Kr/(Tabella34[[#This Row],[sel. region velocity]]*psi_r*SQRTPI(2)))</f>
        <v>-7.665946748333309</v>
      </c>
      <c r="AV79" s="244">
        <f>(ACOSH(SQRT(alpha*Kl*psi_l/(Tabella34[[#This Row],[sel. region velocity]]*(1+TANH(phi_l)))))+phi_l)/psi_l-(Tabella34[[#This Row],[Day]]-pl)</f>
        <v>105.73973588679384</v>
      </c>
      <c r="AW79" s="72">
        <f>-2*$BY$22*TANH($BY$22*(Tabella34[[#This Row],[Day]]-$BY$31)-$BY$21)*Tabella34[[#This Row],[sel. region velocity]]</f>
        <v>1.7269787152120317</v>
      </c>
      <c r="AX79" s="77">
        <f>Tabella34[[#This Row],[sel. region acc. fit]]/y_l_peak</f>
        <v>1.2532567308901156E-2</v>
      </c>
      <c r="AY79" s="143">
        <f>Tabella34[[#This Row],[sel. region acc. fit]]*NOT(ISBLANK(Tabella34[[#This Row],[selected region rate data]]))</f>
        <v>1.7269787152120317</v>
      </c>
      <c r="AZ79" s="77">
        <f>Tabella34[[#This Row],[sel. region acc. fit]]+CIl</f>
        <v>55.49181912476049</v>
      </c>
      <c r="BA79" s="77">
        <f>MAX(Tabella34[[#This Row],[sel. region acc. fit]]-CIl,0)</f>
        <v>0</v>
      </c>
      <c r="BB79" s="10">
        <f>Tabella8[[#This Row],[rest of Italy ]]</f>
        <v>2243</v>
      </c>
      <c r="BC79" s="10">
        <f>(Tabella34[[#This Row],[rest of Italy cum. Data]]-BB78)</f>
        <v>384</v>
      </c>
      <c r="BD79" s="10">
        <f>Tabella34[[#This Row],[rest of Italy rate data]]-BC78</f>
        <v>147</v>
      </c>
      <c r="BE79" s="77">
        <f>Tabella34[[#This Row],[rest of Italy rate data]]*NOT(ISBLANK(Tabella34[[#This Row],[rest of Italy rate data]]))</f>
        <v>384</v>
      </c>
      <c r="BF79" s="77">
        <f>Tabella8[[#This Row],[rest of Italy fit]]</f>
        <v>1914.841051772273</v>
      </c>
      <c r="BG79" s="78">
        <f>(ATANH(alpha*Tabella34[[#This Row],[rest of Italy cumul. fit]]/Ka-(1-alpha*Tabella34[[#This Row],[rest of Italy cumul. fit]]/Ka)*TANH(phi_a))+phi_a)/psi_a-(Tabella34[[#This Row],[Day]]-pa)</f>
        <v>2.1059066237451542</v>
      </c>
      <c r="BH79" s="77">
        <f>Tabella34[[#This Row],[rest of Italy cumul. fit]]/Ka</f>
        <v>8.8637737896230754E-3</v>
      </c>
      <c r="BI79" s="143">
        <f>Tabella3[[#This Row],[rest of Italy fit]]</f>
        <v>870.92837598436176</v>
      </c>
      <c r="BJ79" s="183">
        <f>Tabella34[[#This Row],[rest of Italy velocity]]/Tabella34[[#This Row],[rest of Italy cumul. fit]]</f>
        <v>0.45483063734103557</v>
      </c>
      <c r="BK79" s="236">
        <f>(LN(Tabella34[[#This Row],[Day]]-po)-phi_o)/psi_o</f>
        <v>-17.254271780591388</v>
      </c>
      <c r="BL79" s="244">
        <f>EXP(phi_o+psi_o*Tabella34[[#This Row],[x_o_alpha©+plus]])-(Tabella34[[#This Row],[Day]]-po)</f>
        <v>1.567131752686473</v>
      </c>
      <c r="BM79" s="244">
        <f>EXP(phi_o+psi_o*Tabella34[[#This Row],[x_o_alpha©-minus]])-(Tabella34[[#This Row],[Day]]-po)</f>
        <v>0.8879629314093056</v>
      </c>
      <c r="BN79" s="244">
        <f>-psi_o+SQRT(psi_o^2-2*Tabella34[[#This Row],[c_o]])</f>
        <v>3.9096446419530029</v>
      </c>
      <c r="BO79" s="244">
        <f>-psi_o-SQRT(psi_o^2-2*Tabella34[[#This Row],[c_o]])</f>
        <v>-3.9586717275226322</v>
      </c>
      <c r="BP79" s="244">
        <f>phi_o-LN(alpha*Ko/(Tabella34[[#This Row],[rest of Italy velocity]]*psi_o*SQRTPI(2)))</f>
        <v>-7.7384998543798487</v>
      </c>
      <c r="BQ79" s="244">
        <f>(ACOSH(SQRT(alpha*Ka*psi_a/(Tabella34[[#This Row],[rest of Italy velocity]]*(1+TANH(phi_a)))))+phi_a)/psi_a-(Tabella34[[#This Row],[Day]]-pa)</f>
        <v>114.03838089787237</v>
      </c>
      <c r="BR79" s="72">
        <f>-2*$BY$35*TANH($BY$35*(Tabella34[[#This Row],[Day]]-$BY$44)-$BY$34)*Tabella34[[#This Row],[rest of Italy velocity]]</f>
        <v>35.613955917438581</v>
      </c>
      <c r="BS79" s="77">
        <f>Tabella34[[#This Row],[rest of Italy acc. fit]]/y_a_peak</f>
        <v>1.2444637831481548E-2</v>
      </c>
      <c r="BT79" s="77">
        <f>Tabella34[[#This Row],[rest of Italy acc. fit]]*NOT(ISBLANK(Tabella34[[#This Row],[rest of Italy rate data]]))</f>
        <v>35.613955917438581</v>
      </c>
      <c r="BU79" s="77">
        <f>Tabella34[[#This Row],[rest of Italy acc. fit]]+CIa</f>
        <v>1730.1881508270212</v>
      </c>
      <c r="BV79" s="77">
        <f>MAX(Tabella34[[#This Row],[rest of Italy acc. fit]]-CIa,0)</f>
        <v>0</v>
      </c>
    </row>
    <row r="80" spans="2:74" x14ac:dyDescent="0.3">
      <c r="B80" s="262">
        <v>43903</v>
      </c>
      <c r="C80" s="173">
        <v>73</v>
      </c>
      <c r="D80" s="129">
        <f>Tabella8[[#This Row],[Italy cumulative]]</f>
        <v>2705</v>
      </c>
      <c r="E80" s="127">
        <f>(Tabella34[[#This Row],[Italy cumul. data]]-D79)</f>
        <v>431</v>
      </c>
      <c r="F80" s="127">
        <f>Tabella34[[#This Row],[Italy rate data]]-E79</f>
        <v>29</v>
      </c>
      <c r="G80" s="128">
        <f>Tabella34[[#This Row],[Italy rate data]]*NOT(ISBLANK(Tabella34[[#This Row],[Italy rate data]]))</f>
        <v>431</v>
      </c>
      <c r="H80" s="194">
        <f>Tabella8[[#This Row],[Italy fit]]</f>
        <v>2785.6321063424789</v>
      </c>
      <c r="I80" s="143">
        <f>(ATANH(alpha*Tabella34[[#This Row],[Italy cumul. Fit]]/Kf-(1-alpha*Tabella34[[#This Row],[Italy cumul. Fit]]/Kf)*TANH(phi_f))+phi_f)/psi_f-(Tabella34[[#This Row],[Day]]-pf)</f>
        <v>2.7942431350825041</v>
      </c>
      <c r="J80" s="194">
        <f>Tabella34[[#This Row],[Italy d.t.]]/Italy_dt_at_lockdown</f>
        <v>2.534202303657529</v>
      </c>
      <c r="K80" s="128">
        <f>Tabella34[[#This Row],[Italy cumul. Fit]]/Kf</f>
        <v>1.2380587139299907E-2</v>
      </c>
      <c r="L80" s="127">
        <f>Tabella34[[#This Row],[sel. region acc. fit]]+Tabella34[[#This Row],[rest of Italy acc. fit]]</f>
        <v>38.551863480119458</v>
      </c>
      <c r="M80" s="128">
        <f>Tabella34[[#This Row],[Italy (fit of selected region + fitted sum of the other regions)]]/(y_l_peak+y_a_peak)</f>
        <v>1.2852375303068765E-2</v>
      </c>
      <c r="N80" s="143">
        <f>Tabella3[[#This Row],[Italy remov. rate fit]]</f>
        <v>941.50780314862709</v>
      </c>
      <c r="O80" s="194">
        <f>Kt*EXP(-0.5*Tabella34[[#This Row],[x_t]]^2)/(psi_t*SQRTPI(2)*(Tabella34[[#This Row],[Day]]-D_bk))</f>
        <v>40.39434941567982</v>
      </c>
      <c r="P80" s="195">
        <f>Tabella34[[#This Row],[Italy velocity]]/Tabella34[[#This Row],[Italy cumul. Fit]]</f>
        <v>0.33798713082210347</v>
      </c>
      <c r="Q80" s="244">
        <f>(LN(Tabella34[[#This Row],[Day]]-D_bk)-phi_t)/psi_t</f>
        <v>-4.5294843873790152</v>
      </c>
      <c r="R80" s="244">
        <f>EXP(phi_t+psi_t*Tabella34[[#This Row],[x_t_alpha©+plus]])-(Tabella34[[#This Row],[Day]]-D_bk)</f>
        <v>0.7300688916142839</v>
      </c>
      <c r="S80" s="244">
        <f>EXP(phi_t+psi_t*Tabella34[[#This Row],[x_t_alpha©-minus]])-(Tabella34[[#This Row],[Day]]-D_bk)</f>
        <v>4.575031310358435E-2</v>
      </c>
      <c r="T80" s="244">
        <f>-psi_t+SQRT(psi_t^2-2*Tabella34[[#This Row],[c_t]])</f>
        <v>3.8972704880979481</v>
      </c>
      <c r="U80" s="244">
        <f>-psi_t-SQRT(psi_t^2-2*Tabella34[[#This Row],[c_t]])</f>
        <v>-3.9466632225177531</v>
      </c>
      <c r="V80" s="244">
        <f>phi_t-LN(alpha*Kt/(Tabella34[[#This Row],[Italy velocity]]*psi_t*SQRTPI(2)))</f>
        <v>-7.6906070517899918</v>
      </c>
      <c r="W80" s="244">
        <f>Tabella34[[#This Row],[Italy g.r.]]/Italy_gr_at_lockdown</f>
        <v>0.38133141785268243</v>
      </c>
      <c r="X80" s="244">
        <f>(ACOSH(SQRT(alpha*Kf*psi_f/(Tabella34[[#This Row],[Italy velocity]]*(1+TANH(phi_f)))))+phi_f)/psi_f-(Tabella34[[#This Row],[Day]]-pf)</f>
        <v>111.78952450338198</v>
      </c>
      <c r="Y80" s="244">
        <f>Tabella34[[#This Row],[Italy h.t.]]/Italy_ht_at_lockdown</f>
        <v>0.96700723877678574</v>
      </c>
      <c r="Z80" s="72">
        <f>-2*$BY$48*TANH($BY$48*(Tabella34[[#This Row],[Day]]-$BY$57)-$BY$47)*Tabella34[[#This Row],[Italy velocity]]</f>
        <v>38.52543039875593</v>
      </c>
      <c r="AA80" s="127">
        <f>Tabella34[[#This Row],[Italy acc. fit]]/Itali_acc_at_lockdown</f>
        <v>1.0669332031861147</v>
      </c>
      <c r="AB80" s="128">
        <f>Tabella34[[#This Row],[Italy acc. fit]]/y_f_peak</f>
        <v>1.2835794388544187E-2</v>
      </c>
      <c r="AC80" s="194">
        <f>Tabella34[[#This Row],[Italy (fit of selected region + fitted sum of the other regions)]]*NOT(ISBLANK(Tabella34[[#This Row],[Italy rate data]]))</f>
        <v>38.551863480119458</v>
      </c>
      <c r="AD80" s="194">
        <f>Tabella34[[#This Row],[Italy acc. fit]]*NOT(ISBLANK(Tabella34[[#This Row],[Italy rate data]]))</f>
        <v>38.52543039875593</v>
      </c>
      <c r="AE80" s="128">
        <f>Tabella34[[#This Row],[Italy acc. fit]]+CIf</f>
        <v>1754.1402897333073</v>
      </c>
      <c r="AF80" s="128">
        <f>MAX(Tabella34[[#This Row],[Italy acc. fit]]-CIf,0)</f>
        <v>0</v>
      </c>
      <c r="AG80" s="126">
        <f>Tabella8[[#This Row],[region data]]</f>
        <v>41</v>
      </c>
      <c r="AH80" s="127">
        <f>(Tabella34[[#This Row],[selected region cumul. data]]-AG79)</f>
        <v>10</v>
      </c>
      <c r="AI80" s="127">
        <f>Tabella34[[#This Row],[selected region rate data]]-AH79</f>
        <v>-8</v>
      </c>
      <c r="AJ80" s="128">
        <f>Tabella34[[#This Row],[selected region rate data]]*NOT(ISBLANK(Tabella34[[#This Row],[selected region rate data]]))</f>
        <v>10</v>
      </c>
      <c r="AK80" s="128">
        <f>Tabella8[[#This Row],[region fit]]</f>
        <v>0</v>
      </c>
      <c r="AL80" s="143">
        <f>(ATANH(alpha*Tabella34[[#This Row],[sel. region cumul. fit]]/Kl-(1-alpha*Tabella34[[#This Row],[sel. region cumul. fit]]/Kl)*TANH(phi_l))+phi_l)/psi_l-(Tabella34[[#This Row],[Day]]-pl)</f>
        <v>2.2403346932391073</v>
      </c>
      <c r="AM80" s="128">
        <f>Tabella34[[#This Row],[sel. region cumul. fit]]/Kl</f>
        <v>0</v>
      </c>
      <c r="AN80" s="143">
        <f>Tabella3[[#This Row],[region fit]]</f>
        <v>37.301761347983359</v>
      </c>
      <c r="AO80" s="187" t="e">
        <f>Tabella34[[#This Row],[sel. region velocity]]/Tabella34[[#This Row],[sel. region cumul. fit]]</f>
        <v>#DIV/0!</v>
      </c>
      <c r="AP80" s="243" t="e">
        <f>(LN(Tabella34[[#This Row],[Day]]-pr)-phi_r)/psi_r</f>
        <v>#NUM!</v>
      </c>
      <c r="AQ80" s="244">
        <f>EXP(phi_r+psi_r*Tabella34[[#This Row],[x_r_alpha©+plus]])-(Tabella34[[#This Row],[Day]]-pr)</f>
        <v>5.9719006117943563</v>
      </c>
      <c r="AR80" s="244">
        <f>EXP(phi_r+psi_r*Tabella34[[#This Row],[x_r_alpha©-minus]])-(Tabella34[[#This Row],[Day]]-pr)</f>
        <v>5.234448984976952</v>
      </c>
      <c r="AS80" s="244">
        <f>-psi_r+SQRT(psi_r^2-2*Tabella34[[#This Row],[c_r]])</f>
        <v>3.875117632623843</v>
      </c>
      <c r="AT80" s="244">
        <f>-psi_r-SQRT(psi_r^2-2*Tabella34[[#This Row],[c_r]])</f>
        <v>-3.9315258710425041</v>
      </c>
      <c r="AU80" s="244">
        <f>phi_r-LN(alpha*Kr/(Tabella34[[#This Row],[sel. region velocity]]*psi_r*SQRTPI(2)))</f>
        <v>-7.6175626129968093</v>
      </c>
      <c r="AV80" s="244">
        <f>(ACOSH(SQRT(alpha*Kl*psi_l/(Tabella34[[#This Row],[sel. region velocity]]*(1+TANH(phi_l)))))+phi_l)/psi_l-(Tabella34[[#This Row],[Day]]-pl)</f>
        <v>103.81900472020094</v>
      </c>
      <c r="AW80" s="72">
        <f>-2*$BY$22*TANH($BY$22*(Tabella34[[#This Row],[Day]]-$BY$31)-$BY$21)*Tabella34[[#This Row],[sel. region velocity]]</f>
        <v>1.7969089426108789</v>
      </c>
      <c r="AX80" s="128">
        <f>Tabella34[[#This Row],[sel. region acc. fit]]/y_l_peak</f>
        <v>1.3040046222267621E-2</v>
      </c>
      <c r="AY80" s="194">
        <f>Tabella34[[#This Row],[sel. region acc. fit]]*NOT(ISBLANK(Tabella34[[#This Row],[selected region rate data]]))</f>
        <v>1.7969089426108789</v>
      </c>
      <c r="AZ80" s="128">
        <f>Tabella34[[#This Row],[sel. region acc. fit]]+CIl</f>
        <v>55.561749352159332</v>
      </c>
      <c r="BA80" s="128">
        <f>MAX(Tabella34[[#This Row],[sel. region acc. fit]]-CIl,0)</f>
        <v>0</v>
      </c>
      <c r="BB80" s="129">
        <f>Tabella8[[#This Row],[rest of Italy ]]</f>
        <v>2664</v>
      </c>
      <c r="BC80" s="129">
        <f>(Tabella34[[#This Row],[rest of Italy cum. Data]]-BB79)</f>
        <v>421</v>
      </c>
      <c r="BD80" s="129">
        <f>Tabella34[[#This Row],[rest of Italy rate data]]-BC79</f>
        <v>37</v>
      </c>
      <c r="BE80" s="128">
        <f>Tabella34[[#This Row],[rest of Italy rate data]]*NOT(ISBLANK(Tabella34[[#This Row],[rest of Italy rate data]]))</f>
        <v>421</v>
      </c>
      <c r="BF80" s="128">
        <f>Tabella8[[#This Row],[rest of Italy fit]]</f>
        <v>2803.7663210252686</v>
      </c>
      <c r="BG80" s="78">
        <f>(ATANH(alpha*Tabella34[[#This Row],[rest of Italy cumul. fit]]/Ka-(1-alpha*Tabella34[[#This Row],[rest of Italy cumul. fit]]/Ka)*TANH(phi_a))+phi_a)/psi_a-(Tabella34[[#This Row],[Day]]-pa)</f>
        <v>2.9136731393806263</v>
      </c>
      <c r="BH80" s="128">
        <f>Tabella34[[#This Row],[rest of Italy cumul. fit]]/Ka</f>
        <v>1.2978597051452431E-2</v>
      </c>
      <c r="BI80" s="143">
        <f>Tabella3[[#This Row],[rest of Italy fit]]</f>
        <v>907.11233760320704</v>
      </c>
      <c r="BJ80" s="195">
        <f>Tabella34[[#This Row],[rest of Italy velocity]]/Tabella34[[#This Row],[rest of Italy cumul. fit]]</f>
        <v>0.32353350234676415</v>
      </c>
      <c r="BK80" s="239">
        <f>(LN(Tabella34[[#This Row],[Day]]-po)-phi_o)/psi_o</f>
        <v>-2.5516173230116905</v>
      </c>
      <c r="BL80" s="244">
        <f>EXP(phi_o+psi_o*Tabella34[[#This Row],[x_o_alpha©+plus]])-(Tabella34[[#This Row],[Day]]-po)</f>
        <v>0.56614856598816576</v>
      </c>
      <c r="BM80" s="244">
        <f>EXP(phi_o+psi_o*Tabella34[[#This Row],[x_o_alpha©-minus]])-(Tabella34[[#This Row],[Day]]-po)</f>
        <v>-0.11122614592393454</v>
      </c>
      <c r="BN80" s="244">
        <f>-psi_o+SQRT(psi_o^2-2*Tabella34[[#This Row],[c_o]])</f>
        <v>3.8992840447895776</v>
      </c>
      <c r="BO80" s="244">
        <f>-psi_o-SQRT(psi_o^2-2*Tabella34[[#This Row],[c_o]])</f>
        <v>-3.9483111303592069</v>
      </c>
      <c r="BP80" s="244">
        <f>phi_o-LN(alpha*Ko/(Tabella34[[#This Row],[rest of Italy velocity]]*psi_o*SQRTPI(2)))</f>
        <v>-7.6977932972373795</v>
      </c>
      <c r="BQ80" s="244">
        <f>(ACOSH(SQRT(alpha*Ka*psi_a/(Tabella34[[#This Row],[rest of Italy velocity]]*(1+TANH(phi_a)))))+phi_a)/psi_a-(Tabella34[[#This Row],[Day]]-pa)</f>
        <v>112.13498327749375</v>
      </c>
      <c r="BR80" s="72">
        <f>-2*$BY$35*TANH($BY$35*(Tabella34[[#This Row],[Day]]-$BY$44)-$BY$34)*Tabella34[[#This Row],[rest of Italy velocity]]</f>
        <v>36.754954537508581</v>
      </c>
      <c r="BS80" s="128">
        <f>Tabella34[[#This Row],[rest of Italy acc. fit]]/y_a_peak</f>
        <v>1.2843338684200878E-2</v>
      </c>
      <c r="BT80" s="128">
        <f>Tabella34[[#This Row],[rest of Italy acc. fit]]*NOT(ISBLANK(Tabella34[[#This Row],[rest of Italy rate data]]))</f>
        <v>36.754954537508581</v>
      </c>
      <c r="BU80" s="128">
        <f>Tabella34[[#This Row],[rest of Italy acc. fit]]+CIa</f>
        <v>1731.3291494470914</v>
      </c>
      <c r="BV80" s="128">
        <f>MAX(Tabella34[[#This Row],[rest of Italy acc. fit]]-CIa,0)</f>
        <v>0</v>
      </c>
    </row>
    <row r="81" spans="2:74" x14ac:dyDescent="0.3">
      <c r="B81" s="262">
        <v>43904</v>
      </c>
      <c r="C81" s="29">
        <v>74</v>
      </c>
      <c r="D81" s="10">
        <f>Tabella8[[#This Row],[Italy cumulative]]</f>
        <v>3407</v>
      </c>
      <c r="E81" s="72">
        <f>(Tabella34[[#This Row],[Italy cumul. data]]-D80)</f>
        <v>702</v>
      </c>
      <c r="F81" s="72">
        <f>Tabella34[[#This Row],[Italy rate data]]-E80</f>
        <v>271</v>
      </c>
      <c r="G81" s="77">
        <f>Tabella34[[#This Row],[Italy rate data]]*NOT(ISBLANK(Tabella34[[#This Row],[Italy rate data]]))</f>
        <v>702</v>
      </c>
      <c r="H81" s="143">
        <f>Tabella8[[#This Row],[Italy fit]]</f>
        <v>3746.6055186727481</v>
      </c>
      <c r="I81" s="143">
        <f>(ATANH(alpha*Tabella34[[#This Row],[Italy cumul. Fit]]/Kf-(1-alpha*Tabella34[[#This Row],[Italy cumul. Fit]]/Kf)*TANH(phi_f))+phi_f)/psi_f-(Tabella34[[#This Row],[Day]]-pf)</f>
        <v>3.5551354117312481</v>
      </c>
      <c r="J81" s="143">
        <f>Tabella34[[#This Row],[Italy d.t.]]/Italy_dt_at_lockdown</f>
        <v>3.224283612656266</v>
      </c>
      <c r="K81" s="77">
        <f>Tabella34[[#This Row],[Italy cumul. Fit]]/Kf</f>
        <v>1.6651580082989993E-2</v>
      </c>
      <c r="L81" s="146">
        <f>Tabella34[[#This Row],[sel. region acc. fit]]+Tabella34[[#This Row],[rest of Italy acc. fit]]</f>
        <v>39.768174104037563</v>
      </c>
      <c r="M81" s="77">
        <f>Tabella34[[#This Row],[Italy (fit of selected region + fitted sum of the other regions)]]/(y_l_peak+y_a_peak)</f>
        <v>1.3257867520890263E-2</v>
      </c>
      <c r="N81" s="143">
        <f>Tabella3[[#This Row],[Italy remov. rate fit]]</f>
        <v>980.64208744542577</v>
      </c>
      <c r="O81" s="143">
        <f>Kt*EXP(-0.5*Tabella34[[#This Row],[x_t]]^2)/(psi_t*SQRTPI(2)*(Tabella34[[#This Row],[Day]]-D_bk))</f>
        <v>2.72248082738783E-4</v>
      </c>
      <c r="P81" s="183">
        <f>Tabella34[[#This Row],[Italy velocity]]/Tabella34[[#This Row],[Italy cumul. Fit]]</f>
        <v>0.26174148373987949</v>
      </c>
      <c r="Q81" s="244">
        <f>(LN(Tabella34[[#This Row],[Day]]-D_bk)-phi_t)/psi_t</f>
        <v>6.6166957008769982</v>
      </c>
      <c r="R81" s="244">
        <f>EXP(phi_t+psi_t*Tabella34[[#This Row],[x_t_alpha©+plus]])-(Tabella34[[#This Row],[Day]]-D_bk)</f>
        <v>-0.2709287789396928</v>
      </c>
      <c r="S81" s="244">
        <f>EXP(phi_t+psi_t*Tabella34[[#This Row],[x_t_alpha©-minus]])-(Tabella34[[#This Row],[Day]]-D_bk)</f>
        <v>-0.95342750370505369</v>
      </c>
      <c r="T81" s="244">
        <f>-psi_t+SQRT(psi_t^2-2*Tabella34[[#This Row],[c_t]])</f>
        <v>3.8868729073229127</v>
      </c>
      <c r="U81" s="244">
        <f>-psi_t-SQRT(psi_t^2-2*Tabella34[[#This Row],[c_t]])</f>
        <v>-3.9362656417427178</v>
      </c>
      <c r="V81" s="244">
        <f>phi_t-LN(alpha*Kt/(Tabella34[[#This Row],[Italy velocity]]*psi_t*SQRTPI(2)))</f>
        <v>-7.6498821394579037</v>
      </c>
      <c r="W81" s="244">
        <f>Tabella34[[#This Row],[Italy g.r.]]/Italy_gr_at_lockdown</f>
        <v>0.29530784459934756</v>
      </c>
      <c r="X81" s="244">
        <f>(ACOSH(SQRT(alpha*Kf*psi_f/(Tabella34[[#This Row],[Italy velocity]]*(1+TANH(phi_f)))))+phi_f)/psi_f-(Tabella34[[#This Row],[Day]]-pf)</f>
        <v>109.88986232946941</v>
      </c>
      <c r="Y81" s="244">
        <f>Tabella34[[#This Row],[Italy h.t.]]/Italy_ht_at_lockdown</f>
        <v>0.95057468768074516</v>
      </c>
      <c r="Z81" s="72">
        <f>-2*$BY$48*TANH($BY$48*(Tabella34[[#This Row],[Day]]-$BY$57)-$BY$47)*Tabella34[[#This Row],[Italy velocity]]</f>
        <v>39.743765712878542</v>
      </c>
      <c r="AA81" s="72">
        <f>Tabella34[[#This Row],[Italy acc. fit]]/Itali_acc_at_lockdown</f>
        <v>1.100674095521313</v>
      </c>
      <c r="AB81" s="77">
        <f>Tabella34[[#This Row],[Italy acc. fit]]/y_f_peak</f>
        <v>1.3241715916909131E-2</v>
      </c>
      <c r="AC81" s="143">
        <f>Tabella34[[#This Row],[Italy (fit of selected region + fitted sum of the other regions)]]*NOT(ISBLANK(Tabella34[[#This Row],[Italy rate data]]))</f>
        <v>39.768174104037563</v>
      </c>
      <c r="AD81" s="143">
        <f>Tabella34[[#This Row],[Italy acc. fit]]*NOT(ISBLANK(Tabella34[[#This Row],[Italy rate data]]))</f>
        <v>39.743765712878542</v>
      </c>
      <c r="AE81" s="77">
        <f>Tabella34[[#This Row],[Italy acc. fit]]+CIf</f>
        <v>1755.3586250474298</v>
      </c>
      <c r="AF81" s="77">
        <f>MAX(Tabella34[[#This Row],[Italy acc. fit]]-CIf,0)</f>
        <v>0</v>
      </c>
      <c r="AG81" s="4">
        <f>Tabella8[[#This Row],[region data]]</f>
        <v>79</v>
      </c>
      <c r="AH81" s="72">
        <f>(Tabella34[[#This Row],[selected region cumul. data]]-AG80)</f>
        <v>38</v>
      </c>
      <c r="AI81" s="72">
        <f>Tabella34[[#This Row],[selected region rate data]]-AH80</f>
        <v>28</v>
      </c>
      <c r="AJ81" s="77">
        <f>Tabella34[[#This Row],[selected region rate data]]*NOT(ISBLANK(Tabella34[[#This Row],[selected region rate data]]))</f>
        <v>38</v>
      </c>
      <c r="AK81" s="77">
        <f>Tabella8[[#This Row],[region fit]]</f>
        <v>0</v>
      </c>
      <c r="AL81" s="143">
        <f>(ATANH(alpha*Tabella34[[#This Row],[sel. region cumul. fit]]/Kl-(1-alpha*Tabella34[[#This Row],[sel. region cumul. fit]]/Kl)*TANH(phi_l))+phi_l)/psi_l-(Tabella34[[#This Row],[Day]]-pl)</f>
        <v>1.2403346932391075</v>
      </c>
      <c r="AM81" s="77">
        <f>Tabella34[[#This Row],[sel. region cumul. fit]]/Kl</f>
        <v>0</v>
      </c>
      <c r="AN81" s="143">
        <f>Tabella3[[#This Row],[region fit]]</f>
        <v>39.134089887097304</v>
      </c>
      <c r="AO81" s="186" t="e">
        <f>Tabella34[[#This Row],[sel. region velocity]]/Tabella34[[#This Row],[sel. region cumul. fit]]</f>
        <v>#DIV/0!</v>
      </c>
      <c r="AP81" s="241" t="e">
        <f>(LN(Tabella34[[#This Row],[Day]]-pr)-phi_r)/psi_r</f>
        <v>#NUM!</v>
      </c>
      <c r="AQ81" s="244">
        <f>EXP(phi_r+psi_r*Tabella34[[#This Row],[x_r_alpha©+plus]])-(Tabella34[[#This Row],[Day]]-pr)</f>
        <v>4.9706058243970741</v>
      </c>
      <c r="AR81" s="244">
        <f>EXP(phi_r+psi_r*Tabella34[[#This Row],[x_r_alpha©-minus]])-(Tabella34[[#This Row],[Day]]-pr)</f>
        <v>4.2354882503050355</v>
      </c>
      <c r="AS81" s="244">
        <f>-psi_r+SQRT(psi_r^2-2*Tabella34[[#This Row],[c_r]])</f>
        <v>3.8628129572293579</v>
      </c>
      <c r="AT81" s="244">
        <f>-psi_r-SQRT(psi_r^2-2*Tabella34[[#This Row],[c_r]])</f>
        <v>-3.919221195648019</v>
      </c>
      <c r="AU81" s="244">
        <f>phi_r-LN(alpha*Kr/(Tabella34[[#This Row],[sel. region velocity]]*psi_r*SQRTPI(2)))</f>
        <v>-7.5696092083985524</v>
      </c>
      <c r="AV81" s="244">
        <f>(ACOSH(SQRT(alpha*Kl*psi_l/(Tabella34[[#This Row],[sel. region velocity]]*(1+TANH(phi_l)))))+phi_l)/psi_l-(Tabella34[[#This Row],[Day]]-pl)</f>
        <v>101.90302290892542</v>
      </c>
      <c r="AW81" s="72">
        <f>-2*$BY$22*TANH($BY$22*(Tabella34[[#This Row],[Day]]-$BY$31)-$BY$21)*Tabella34[[#This Row],[sel. region velocity]]</f>
        <v>1.867911423038596</v>
      </c>
      <c r="AX81" s="77">
        <f>Tabella34[[#This Row],[sel. region acc. fit]]/y_l_peak</f>
        <v>1.3555306403080012E-2</v>
      </c>
      <c r="AY81" s="143">
        <f>Tabella34[[#This Row],[sel. region acc. fit]]*NOT(ISBLANK(Tabella34[[#This Row],[selected region rate data]]))</f>
        <v>1.867911423038596</v>
      </c>
      <c r="AZ81" s="77">
        <f>Tabella34[[#This Row],[sel. region acc. fit]]+CIl</f>
        <v>55.632751832587054</v>
      </c>
      <c r="BA81" s="77">
        <f>MAX(Tabella34[[#This Row],[sel. region acc. fit]]-CIl,0)</f>
        <v>0</v>
      </c>
      <c r="BB81" s="10">
        <f>Tabella8[[#This Row],[rest of Italy ]]</f>
        <v>3328</v>
      </c>
      <c r="BC81" s="10">
        <f>(Tabella34[[#This Row],[rest of Italy cum. Data]]-BB80)</f>
        <v>664</v>
      </c>
      <c r="BD81" s="10">
        <f>Tabella34[[#This Row],[rest of Italy rate data]]-BC80</f>
        <v>243</v>
      </c>
      <c r="BE81" s="77">
        <f>Tabella34[[#This Row],[rest of Italy rate data]]*NOT(ISBLANK(Tabella34[[#This Row],[rest of Italy rate data]]))</f>
        <v>664</v>
      </c>
      <c r="BF81" s="77">
        <f>Tabella8[[#This Row],[rest of Italy fit]]</f>
        <v>3729.4469052643476</v>
      </c>
      <c r="BG81" s="78">
        <f>(ATANH(alpha*Tabella34[[#This Row],[rest of Italy cumul. fit]]/Ka-(1-alpha*Tabella34[[#This Row],[rest of Italy cumul. fit]]/Ka)*TANH(phi_a))+phi_a)/psi_a-(Tabella34[[#This Row],[Day]]-pa)</f>
        <v>3.6687956006070266</v>
      </c>
      <c r="BH81" s="77">
        <f>Tabella34[[#This Row],[rest of Italy cumul. fit]]/Ka</f>
        <v>1.7263560178050953E-2</v>
      </c>
      <c r="BI81" s="143">
        <f>Tabella3[[#This Row],[rest of Italy fit]]</f>
        <v>944.43972509149307</v>
      </c>
      <c r="BJ81" s="183">
        <f>Tabella34[[#This Row],[rest of Italy velocity]]/Tabella34[[#This Row],[rest of Italy cumul. fit]]</f>
        <v>0.25323854959789271</v>
      </c>
      <c r="BK81" s="236">
        <f>(LN(Tabella34[[#This Row],[Day]]-po)-phi_o)/psi_o</f>
        <v>8.2331112934613326</v>
      </c>
      <c r="BL81" s="244">
        <f>EXP(phi_o+psi_o*Tabella34[[#This Row],[x_o_alpha©+plus]])-(Tabella34[[#This Row],[Day]]-po)</f>
        <v>-0.43482773799887608</v>
      </c>
      <c r="BM81" s="244">
        <f>EXP(phi_o+psi_o*Tabella34[[#This Row],[x_o_alpha©-minus]])-(Tabella34[[#This Row],[Day]]-po)</f>
        <v>-1.110420492301881</v>
      </c>
      <c r="BN81" s="244">
        <f>-psi_o+SQRT(psi_o^2-2*Tabella34[[#This Row],[c_o]])</f>
        <v>3.8889933716432168</v>
      </c>
      <c r="BO81" s="244">
        <f>-psi_o-SQRT(psi_o^2-2*Tabella34[[#This Row],[c_o]])</f>
        <v>-3.9380204572128461</v>
      </c>
      <c r="BP81" s="244">
        <f>phi_o-LN(alpha*Ko/(Tabella34[[#This Row],[rest of Italy velocity]]*psi_o*SQRTPI(2)))</f>
        <v>-7.6574677277480747</v>
      </c>
      <c r="BQ81" s="244">
        <f>(ACOSH(SQRT(alpha*Ka*psi_a/(Tabella34[[#This Row],[rest of Italy velocity]]*(1+TANH(phi_a)))))+phi_a)/psi_a-(Tabella34[[#This Row],[Day]]-pa)</f>
        <v>110.23661959445407</v>
      </c>
      <c r="BR81" s="72">
        <f>-2*$BY$35*TANH($BY$35*(Tabella34[[#This Row],[Day]]-$BY$44)-$BY$34)*Tabella34[[#This Row],[rest of Italy velocity]]</f>
        <v>37.900262680998964</v>
      </c>
      <c r="BS81" s="77">
        <f>Tabella34[[#This Row],[rest of Italy acc. fit]]/y_a_peak</f>
        <v>1.3243545420128388E-2</v>
      </c>
      <c r="BT81" s="77">
        <f>Tabella34[[#This Row],[rest of Italy acc. fit]]*NOT(ISBLANK(Tabella34[[#This Row],[rest of Italy rate data]]))</f>
        <v>37.900262680998964</v>
      </c>
      <c r="BU81" s="77">
        <f>Tabella34[[#This Row],[rest of Italy acc. fit]]+CIa</f>
        <v>1732.4744575905818</v>
      </c>
      <c r="BV81" s="77">
        <f>MAX(Tabella34[[#This Row],[rest of Italy acc. fit]]-CIa,0)</f>
        <v>0</v>
      </c>
    </row>
    <row r="82" spans="2:74" x14ac:dyDescent="0.3">
      <c r="B82" s="262">
        <v>43905</v>
      </c>
      <c r="C82" s="29">
        <v>75</v>
      </c>
      <c r="D82" s="10">
        <f>Tabella8[[#This Row],[Italy cumulative]]</f>
        <v>4144</v>
      </c>
      <c r="E82" s="72">
        <f>(Tabella34[[#This Row],[Italy cumul. data]]-D81)</f>
        <v>737</v>
      </c>
      <c r="F82" s="72">
        <f>Tabella34[[#This Row],[Italy rate data]]-E81</f>
        <v>35</v>
      </c>
      <c r="G82" s="77">
        <f>Tabella34[[#This Row],[Italy rate data]]*NOT(ISBLANK(Tabella34[[#This Row],[Italy rate data]]))</f>
        <v>737</v>
      </c>
      <c r="H82" s="143">
        <f>Tabella8[[#This Row],[Italy fit]]</f>
        <v>4747.3228558556657</v>
      </c>
      <c r="I82" s="143">
        <f>(ATANH(alpha*Tabella34[[#This Row],[Italy cumul. Fit]]/Kf-(1-alpha*Tabella34[[#This Row],[Italy cumul. Fit]]/Kf)*TANH(phi_f))+phi_f)/psi_f-(Tabella34[[#This Row],[Day]]-pf)</f>
        <v>4.2687370133772067</v>
      </c>
      <c r="J82" s="143">
        <f>Tabella34[[#This Row],[Italy d.t.]]/Italy_dt_at_lockdown</f>
        <v>3.8714752618294486</v>
      </c>
      <c r="K82" s="77">
        <f>Tabella34[[#This Row],[Italy cumul. Fit]]/Kf</f>
        <v>2.1099212692691847E-2</v>
      </c>
      <c r="L82" s="146">
        <f>Tabella34[[#This Row],[sel. region acc. fit]]+Tabella34[[#This Row],[rest of Italy acc. fit]]</f>
        <v>40.986241191422337</v>
      </c>
      <c r="M82" s="77">
        <f>Tabella34[[#This Row],[Italy (fit of selected region + fitted sum of the other regions)]]/(y_l_peak+y_a_peak)</f>
        <v>1.3663945306454584E-2</v>
      </c>
      <c r="N82" s="143">
        <f>Tabella3[[#This Row],[Italy remov. rate fit]]</f>
        <v>1020.9959691639324</v>
      </c>
      <c r="O82" s="143">
        <f>Kt*EXP(-0.5*Tabella34[[#This Row],[x_t]]^2)/(psi_t*SQRTPI(2)*(Tabella34[[#This Row],[Day]]-D_bk))</f>
        <v>5.0043940689140957E-46</v>
      </c>
      <c r="P82" s="183">
        <f>Tabella34[[#This Row],[Italy velocity]]/Tabella34[[#This Row],[Italy cumul. Fit]]</f>
        <v>0.21506773399760828</v>
      </c>
      <c r="Q82" s="244">
        <f>(LN(Tabella34[[#This Row],[Day]]-D_bk)-phi_t)/psi_t</f>
        <v>15.347606349039602</v>
      </c>
      <c r="R82" s="244">
        <f>EXP(phi_t+psi_t*Tabella34[[#This Row],[x_t_alpha©+plus]])-(Tabella34[[#This Row],[Day]]-D_bk)</f>
        <v>-1.2719190515665035</v>
      </c>
      <c r="S82" s="244">
        <f>EXP(phi_t+psi_t*Tabella34[[#This Row],[x_t_alpha©-minus]])-(Tabella34[[#This Row],[Day]]-D_bk)</f>
        <v>-1.9526109994472529</v>
      </c>
      <c r="T82" s="244">
        <f>-psi_t+SQRT(psi_t^2-2*Tabella34[[#This Row],[c_t]])</f>
        <v>3.8765497857260098</v>
      </c>
      <c r="U82" s="244">
        <f>-psi_t-SQRT(psi_t^2-2*Tabella34[[#This Row],[c_t]])</f>
        <v>-3.9259425201458149</v>
      </c>
      <c r="V82" s="244">
        <f>phi_t-LN(alpha*Kt/(Tabella34[[#This Row],[Italy velocity]]*psi_t*SQRTPI(2)))</f>
        <v>-7.6095558176219447</v>
      </c>
      <c r="W82" s="244">
        <f>Tabella34[[#This Row],[Italy g.r.]]/Italy_gr_at_lockdown</f>
        <v>0.24264854031628164</v>
      </c>
      <c r="X82" s="244">
        <f>(ACOSH(SQRT(alpha*Kf*psi_f/(Tabella34[[#This Row],[Italy velocity]]*(1+TANH(phi_f)))))+phi_f)/psi_f-(Tabella34[[#This Row],[Day]]-pf)</f>
        <v>107.99547349096299</v>
      </c>
      <c r="Y82" s="244">
        <f>Tabella34[[#This Row],[Italy h.t.]]/Italy_ht_at_lockdown</f>
        <v>0.934187752249794</v>
      </c>
      <c r="Z82" s="72">
        <f>-2*$BY$48*TANH($BY$48*(Tabella34[[#This Row],[Day]]-$BY$57)-$BY$47)*Tabella34[[#This Row],[Italy velocity]]</f>
        <v>40.963992978733238</v>
      </c>
      <c r="AA82" s="72">
        <f>Tabella34[[#This Row],[Italy acc. fit]]/Itali_acc_at_lockdown</f>
        <v>1.1344673840556165</v>
      </c>
      <c r="AB82" s="77">
        <f>Tabella34[[#This Row],[Italy acc. fit]]/y_f_peak</f>
        <v>1.3648267800423251E-2</v>
      </c>
      <c r="AC82" s="143">
        <f>Tabella34[[#This Row],[Italy (fit of selected region + fitted sum of the other regions)]]*NOT(ISBLANK(Tabella34[[#This Row],[Italy rate data]]))</f>
        <v>40.986241191422337</v>
      </c>
      <c r="AD82" s="143">
        <f>Tabella34[[#This Row],[Italy acc. fit]]*NOT(ISBLANK(Tabella34[[#This Row],[Italy rate data]]))</f>
        <v>40.963992978733238</v>
      </c>
      <c r="AE82" s="77">
        <f>Tabella34[[#This Row],[Italy acc. fit]]+CIf</f>
        <v>1756.5788523132844</v>
      </c>
      <c r="AF82" s="77">
        <f>MAX(Tabella34[[#This Row],[Italy acc. fit]]-CIf,0)</f>
        <v>0</v>
      </c>
      <c r="AG82" s="4">
        <f>Tabella8[[#This Row],[region data]]</f>
        <v>66</v>
      </c>
      <c r="AH82" s="72">
        <f>(Tabella34[[#This Row],[selected region cumul. data]]-AG81)</f>
        <v>-13</v>
      </c>
      <c r="AI82" s="72">
        <f>Tabella34[[#This Row],[selected region rate data]]-AH81</f>
        <v>-51</v>
      </c>
      <c r="AJ82" s="77">
        <f>Tabella34[[#This Row],[selected region rate data]]*NOT(ISBLANK(Tabella34[[#This Row],[selected region rate data]]))</f>
        <v>-13</v>
      </c>
      <c r="AK82" s="77">
        <f>Tabella8[[#This Row],[region fit]]</f>
        <v>0</v>
      </c>
      <c r="AL82" s="143">
        <f>(ATANH(alpha*Tabella34[[#This Row],[sel. region cumul. fit]]/Kl-(1-alpha*Tabella34[[#This Row],[sel. region cumul. fit]]/Kl)*TANH(phi_l))+phi_l)/psi_l-(Tabella34[[#This Row],[Day]]-pl)</f>
        <v>0.24033469323910747</v>
      </c>
      <c r="AM82" s="77">
        <f>Tabella34[[#This Row],[sel. region cumul. fit]]/Kl</f>
        <v>0</v>
      </c>
      <c r="AN82" s="143">
        <f>Tabella3[[#This Row],[region fit]]</f>
        <v>41.037876989642982</v>
      </c>
      <c r="AO82" s="186" t="e">
        <f>Tabella34[[#This Row],[sel. region velocity]]/Tabella34[[#This Row],[sel. region cumul. fit]]</f>
        <v>#DIV/0!</v>
      </c>
      <c r="AP82" s="241" t="e">
        <f>(LN(Tabella34[[#This Row],[Day]]-pr)-phi_r)/psi_r</f>
        <v>#NUM!</v>
      </c>
      <c r="AQ82" s="244">
        <f>EXP(phi_r+psi_r*Tabella34[[#This Row],[x_r_alpha©+plus]])-(Tabella34[[#This Row],[Day]]-pr)</f>
        <v>3.9693196338478285</v>
      </c>
      <c r="AR82" s="244">
        <f>EXP(phi_r+psi_r*Tabella34[[#This Row],[x_r_alpha©-minus]])-(Tabella34[[#This Row],[Day]]-pr)</f>
        <v>3.236521329885671</v>
      </c>
      <c r="AS82" s="244">
        <f>-psi_r+SQRT(psi_r^2-2*Tabella34[[#This Row],[c_r]])</f>
        <v>3.8505857504729244</v>
      </c>
      <c r="AT82" s="244">
        <f>-psi_r-SQRT(psi_r^2-2*Tabella34[[#This Row],[c_r]])</f>
        <v>-3.9069939888915854</v>
      </c>
      <c r="AU82" s="244">
        <f>phi_r-LN(alpha*Kr/(Tabella34[[#This Row],[sel. region velocity]]*psi_r*SQRTPI(2)))</f>
        <v>-7.5221076904046553</v>
      </c>
      <c r="AV82" s="244">
        <f>(ACOSH(SQRT(alpha*Kl*psi_l/(Tabella34[[#This Row],[sel. region velocity]]*(1+TANH(phi_l)))))+phi_l)/psi_l-(Tabella34[[#This Row],[Day]]-pl)</f>
        <v>99.992081780013521</v>
      </c>
      <c r="AW82" s="72">
        <f>-2*$BY$22*TANH($BY$22*(Tabella34[[#This Row],[Day]]-$BY$31)-$BY$21)*Tabella34[[#This Row],[sel. region velocity]]</f>
        <v>1.9397913792908947</v>
      </c>
      <c r="AX82" s="77">
        <f>Tabella34[[#This Row],[sel. region acc. fit]]/y_l_peak</f>
        <v>1.4076934366388292E-2</v>
      </c>
      <c r="AY82" s="143">
        <f>Tabella34[[#This Row],[sel. region acc. fit]]*NOT(ISBLANK(Tabella34[[#This Row],[selected region rate data]]))</f>
        <v>1.9397913792908947</v>
      </c>
      <c r="AZ82" s="77">
        <f>Tabella34[[#This Row],[sel. region acc. fit]]+CIl</f>
        <v>55.70463178883935</v>
      </c>
      <c r="BA82" s="77">
        <f>MAX(Tabella34[[#This Row],[sel. region acc. fit]]-CIl,0)</f>
        <v>0</v>
      </c>
      <c r="BB82" s="10">
        <f>Tabella8[[#This Row],[rest of Italy ]]</f>
        <v>4078</v>
      </c>
      <c r="BC82" s="10">
        <f>(Tabella34[[#This Row],[rest of Italy cum. Data]]-BB81)</f>
        <v>750</v>
      </c>
      <c r="BD82" s="10">
        <f>Tabella34[[#This Row],[rest of Italy rate data]]-BC81</f>
        <v>86</v>
      </c>
      <c r="BE82" s="77">
        <f>Tabella34[[#This Row],[rest of Italy rate data]]*NOT(ISBLANK(Tabella34[[#This Row],[rest of Italy rate data]]))</f>
        <v>750</v>
      </c>
      <c r="BF82" s="77">
        <f>Tabella8[[#This Row],[rest of Italy fit]]</f>
        <v>4693.0278268014363</v>
      </c>
      <c r="BG82" s="78">
        <f>(ATANH(alpha*Tabella34[[#This Row],[rest of Italy cumul. fit]]/Ka-(1-alpha*Tabella34[[#This Row],[rest of Italy cumul. fit]]/Ka)*TANH(phi_a))+phi_a)/psi_a-(Tabella34[[#This Row],[Day]]-pa)</f>
        <v>4.3777555591490653</v>
      </c>
      <c r="BH82" s="77">
        <f>Tabella34[[#This Row],[rest of Italy cumul. fit]]/Ka</f>
        <v>2.1723963462488713E-2</v>
      </c>
      <c r="BI82" s="143">
        <f>Tabella3[[#This Row],[rest of Italy fit]]</f>
        <v>982.91315960910981</v>
      </c>
      <c r="BJ82" s="183">
        <f>Tabella34[[#This Row],[rest of Italy velocity]]/Tabella34[[#This Row],[rest of Italy cumul. fit]]</f>
        <v>0.2094411531071233</v>
      </c>
      <c r="BK82" s="236">
        <f>(LN(Tabella34[[#This Row],[Day]]-po)-phi_o)/psi_o</f>
        <v>16.754608943603316</v>
      </c>
      <c r="BL82" s="244">
        <f>EXP(phi_o+psi_o*Tabella34[[#This Row],[x_o_alpha©+plus]])-(Tabella34[[#This Row],[Day]]-po)</f>
        <v>-1.4357967310339537</v>
      </c>
      <c r="BM82" s="244">
        <f>EXP(phi_o+psi_o*Tabella34[[#This Row],[x_o_alpha©-minus]])-(Tabella34[[#This Row],[Day]]-po)</f>
        <v>-2.109620469667282</v>
      </c>
      <c r="BN82" s="244">
        <f>-psi_o+SQRT(psi_o^2-2*Tabella34[[#This Row],[c_o]])</f>
        <v>3.8787771916518174</v>
      </c>
      <c r="BO82" s="244">
        <f>-psi_o-SQRT(psi_o^2-2*Tabella34[[#This Row],[c_o]])</f>
        <v>-3.9278042772214468</v>
      </c>
      <c r="BP82" s="244">
        <f>phi_o-LN(alpha*Ko/(Tabella34[[#This Row],[rest of Italy velocity]]*psi_o*SQRTPI(2)))</f>
        <v>-7.6175388218795002</v>
      </c>
      <c r="BQ82" s="244">
        <f>(ACOSH(SQRT(alpha*Ka*psi_a/(Tabella34[[#This Row],[rest of Italy velocity]]*(1+TANH(phi_a)))))+phi_a)/psi_a-(Tabella34[[#This Row],[Day]]-pa)</f>
        <v>108.34355851697987</v>
      </c>
      <c r="BR82" s="72">
        <f>-2*$BY$35*TANH($BY$35*(Tabella34[[#This Row],[Day]]-$BY$44)-$BY$34)*Tabella34[[#This Row],[rest of Italy velocity]]</f>
        <v>39.046449812131442</v>
      </c>
      <c r="BS82" s="77">
        <f>Tabella34[[#This Row],[rest of Italy acc. fit]]/y_a_peak</f>
        <v>1.364405930202108E-2</v>
      </c>
      <c r="BT82" s="77">
        <f>Tabella34[[#This Row],[rest of Italy acc. fit]]*NOT(ISBLANK(Tabella34[[#This Row],[rest of Italy rate data]]))</f>
        <v>39.046449812131442</v>
      </c>
      <c r="BU82" s="77">
        <f>Tabella34[[#This Row],[rest of Italy acc. fit]]+CIa</f>
        <v>1733.6206447217141</v>
      </c>
      <c r="BV82" s="77">
        <f>MAX(Tabella34[[#This Row],[rest of Italy acc. fit]]-CIa,0)</f>
        <v>0</v>
      </c>
    </row>
    <row r="83" spans="2:74" x14ac:dyDescent="0.3">
      <c r="B83" s="262">
        <v>43906</v>
      </c>
      <c r="C83" s="29">
        <v>76</v>
      </c>
      <c r="D83" s="10">
        <f>Tabella8[[#This Row],[Italy cumulative]]</f>
        <v>4907</v>
      </c>
      <c r="E83" s="72">
        <f>(Tabella34[[#This Row],[Italy cumul. data]]-D82)</f>
        <v>763</v>
      </c>
      <c r="F83" s="72">
        <f>Tabella34[[#This Row],[Italy rate data]]-E82</f>
        <v>26</v>
      </c>
      <c r="G83" s="77">
        <f>Tabella34[[#This Row],[Italy rate data]]*NOT(ISBLANK(Tabella34[[#This Row],[Italy rate data]]))</f>
        <v>763</v>
      </c>
      <c r="H83" s="143">
        <f>Tabella8[[#This Row],[Italy fit]]</f>
        <v>5789.0040141284207</v>
      </c>
      <c r="I83" s="143">
        <f>(ATANH(alpha*Tabella34[[#This Row],[Italy cumul. Fit]]/Kf-(1-alpha*Tabella34[[#This Row],[Italy cumul. Fit]]/Kf)*TANH(phi_f))+phi_f)/psi_f-(Tabella34[[#This Row],[Day]]-pf)</f>
        <v>4.94082784420136</v>
      </c>
      <c r="J83" s="143">
        <f>Tabella34[[#This Row],[Italy d.t.]]/Italy_dt_at_lockdown</f>
        <v>4.4810192597576686</v>
      </c>
      <c r="K83" s="77">
        <f>Tabella34[[#This Row],[Italy cumul. Fit]]/Kf</f>
        <v>2.5728906729459648E-2</v>
      </c>
      <c r="L83" s="146">
        <f>Tabella34[[#This Row],[sel. region acc. fit]]+Tabella34[[#This Row],[rest of Italy acc. fit]]</f>
        <v>42.202083989237757</v>
      </c>
      <c r="M83" s="77">
        <f>Tabella34[[#This Row],[Italy (fit of selected region + fitted sum of the other regions)]]/(y_l_peak+y_a_peak)</f>
        <v>1.4069281560955361E-2</v>
      </c>
      <c r="N83" s="143">
        <f>Tabella3[[#This Row],[Italy remov. rate fit]]</f>
        <v>1062.5693838174845</v>
      </c>
      <c r="O83" s="143">
        <f>Kt*EXP(-0.5*Tabella34[[#This Row],[x_t]]^2)/(psi_t*SQRTPI(2)*(Tabella34[[#This Row],[Day]]-D_bk))</f>
        <v>3.8733999521392315E-105</v>
      </c>
      <c r="P83" s="183">
        <f>Tabella34[[#This Row],[Italy velocity]]/Tabella34[[#This Row],[Italy cumul. Fit]]</f>
        <v>0.18354960218100014</v>
      </c>
      <c r="Q83" s="244">
        <f>(LN(Tabella34[[#This Row],[Day]]-D_bk)-phi_t)/psi_t</f>
        <v>22.525804716579149</v>
      </c>
      <c r="R83" s="244">
        <f>EXP(phi_t+psi_t*Tabella34[[#This Row],[x_t_alpha©+plus]])-(Tabella34[[#This Row],[Day]]-D_bk)</f>
        <v>-2.272901470785591</v>
      </c>
      <c r="S83" s="244">
        <f>EXP(phi_t+psi_t*Tabella34[[#This Row],[x_t_alpha©-minus]])-(Tabella34[[#This Row],[Day]]-D_bk)</f>
        <v>-2.9518005589760556</v>
      </c>
      <c r="T83" s="244">
        <f>-psi_t+SQRT(psi_t^2-2*Tabella34[[#This Row],[c_t]])</f>
        <v>3.866305930924355</v>
      </c>
      <c r="U83" s="244">
        <f>-psi_t-SQRT(psi_t^2-2*Tabella34[[#This Row],[c_t]])</f>
        <v>-3.9156986653441601</v>
      </c>
      <c r="V83" s="244">
        <f>phi_t-LN(alpha*Kt/(Tabella34[[#This Row],[Italy velocity]]*psi_t*SQRTPI(2)))</f>
        <v>-7.5696444867663528</v>
      </c>
      <c r="W83" s="244">
        <f>Tabella34[[#This Row],[Italy g.r.]]/Italy_gr_at_lockdown</f>
        <v>0.20708844705337884</v>
      </c>
      <c r="X83" s="244">
        <f>(ACOSH(SQRT(alpha*Kf*psi_f/(Tabella34[[#This Row],[Italy velocity]]*(1+TANH(phi_f)))))+phi_f)/psi_f-(Tabella34[[#This Row],[Day]]-pf)</f>
        <v>106.10664183249617</v>
      </c>
      <c r="Y83" s="244">
        <f>Tabella34[[#This Row],[Italy h.t.]]/Italy_ht_at_lockdown</f>
        <v>0.91784888781073004</v>
      </c>
      <c r="Z83" s="72">
        <f>-2*$BY$48*TANH($BY$48*(Tabella34[[#This Row],[Day]]-$BY$57)-$BY$47)*Tabella34[[#This Row],[Italy velocity]]</f>
        <v>42.182139309749935</v>
      </c>
      <c r="AA83" s="72">
        <f>Tabella34[[#This Row],[Italy acc. fit]]/Itali_acc_at_lockdown</f>
        <v>1.1682030426439507</v>
      </c>
      <c r="AB83" s="77">
        <f>Tabella34[[#This Row],[Italy acc. fit]]/y_f_peak</f>
        <v>1.405412636392926E-2</v>
      </c>
      <c r="AC83" s="143">
        <f>Tabella34[[#This Row],[Italy (fit of selected region + fitted sum of the other regions)]]*NOT(ISBLANK(Tabella34[[#This Row],[Italy rate data]]))</f>
        <v>42.202083989237757</v>
      </c>
      <c r="AD83" s="143">
        <f>Tabella34[[#This Row],[Italy acc. fit]]*NOT(ISBLANK(Tabella34[[#This Row],[Italy rate data]]))</f>
        <v>42.182139309749935</v>
      </c>
      <c r="AE83" s="77">
        <f>Tabella34[[#This Row],[Italy acc. fit]]+CIf</f>
        <v>1757.7969986443013</v>
      </c>
      <c r="AF83" s="77">
        <f>MAX(Tabella34[[#This Row],[Italy acc. fit]]-CIf,0)</f>
        <v>0</v>
      </c>
      <c r="AG83" s="4">
        <f>Tabella8[[#This Row],[region data]]</f>
        <v>92</v>
      </c>
      <c r="AH83" s="72">
        <f>(Tabella34[[#This Row],[selected region cumul. data]]-AG82)</f>
        <v>26</v>
      </c>
      <c r="AI83" s="72">
        <f>Tabella34[[#This Row],[selected region rate data]]-AH82</f>
        <v>39</v>
      </c>
      <c r="AJ83" s="77">
        <f>Tabella34[[#This Row],[selected region rate data]]*NOT(ISBLANK(Tabella34[[#This Row],[selected region rate data]]))</f>
        <v>26</v>
      </c>
      <c r="AK83" s="77">
        <f>Tabella8[[#This Row],[region fit]]</f>
        <v>32.100824509866122</v>
      </c>
      <c r="AL83" s="143">
        <f>(ATANH(alpha*Tabella34[[#This Row],[sel. region cumul. fit]]/Kl-(1-alpha*Tabella34[[#This Row],[sel. region cumul. fit]]/Kl)*TANH(phi_l))+phi_l)/psi_l-(Tabella34[[#This Row],[Day]]-pl)</f>
        <v>0.73358998832265443</v>
      </c>
      <c r="AM83" s="77">
        <f>Tabella34[[#This Row],[sel. region cumul. fit]]/Kl</f>
        <v>3.5786872363284417E-3</v>
      </c>
      <c r="AN83" s="143">
        <f>Tabella3[[#This Row],[region fit]]</f>
        <v>43.013891426841987</v>
      </c>
      <c r="AO83" s="186">
        <f>Tabella34[[#This Row],[sel. region velocity]]/Tabella34[[#This Row],[sel. region cumul. fit]]</f>
        <v>1.3399621998376321</v>
      </c>
      <c r="AP83" s="241">
        <f>(LN(Tabella34[[#This Row],[Day]]-pr)-phi_r)/psi_r</f>
        <v>-52.560088855886235</v>
      </c>
      <c r="AQ83" s="244">
        <f>EXP(phi_r+psi_r*Tabella34[[#This Row],[x_r_alpha©+plus]])-(Tabella34[[#This Row],[Day]]-pr)</f>
        <v>2.9680427065000066</v>
      </c>
      <c r="AR83" s="244">
        <f>EXP(phi_r+psi_r*Tabella34[[#This Row],[x_r_alpha©-minus]])-(Tabella34[[#This Row],[Day]]-pr)</f>
        <v>2.2375476743959979</v>
      </c>
      <c r="AS83" s="244">
        <f>-psi_r+SQRT(psi_r^2-2*Tabella34[[#This Row],[c_r]])</f>
        <v>3.8384424319683665</v>
      </c>
      <c r="AT83" s="244">
        <f>-psi_r-SQRT(psi_r^2-2*Tabella34[[#This Row],[c_r]])</f>
        <v>-3.8948506703870276</v>
      </c>
      <c r="AU83" s="244">
        <f>phi_r-LN(alpha*Kr/(Tabella34[[#This Row],[sel. region velocity]]*psi_r*SQRTPI(2)))</f>
        <v>-7.4750800396970023</v>
      </c>
      <c r="AV83" s="244">
        <f>(ACOSH(SQRT(alpha*Kl*psi_l/(Tabella34[[#This Row],[sel. region velocity]]*(1+TANH(phi_l)))))+phi_l)/psi_l-(Tabella34[[#This Row],[Day]]-pl)</f>
        <v>98.086491038613346</v>
      </c>
      <c r="AW83" s="72">
        <f>-2*$BY$22*TANH($BY$22*(Tabella34[[#This Row],[Day]]-$BY$31)-$BY$21)*Tabella34[[#This Row],[sel. region velocity]]</f>
        <v>2.0123267158410321</v>
      </c>
      <c r="AX83" s="77">
        <f>Tabella34[[#This Row],[sel. region acc. fit]]/y_l_peak</f>
        <v>1.4603318380030745E-2</v>
      </c>
      <c r="AY83" s="143">
        <f>Tabella34[[#This Row],[sel. region acc. fit]]*NOT(ISBLANK(Tabella34[[#This Row],[selected region rate data]]))</f>
        <v>2.0123267158410321</v>
      </c>
      <c r="AZ83" s="77">
        <f>Tabella34[[#This Row],[sel. region acc. fit]]+CIl</f>
        <v>55.777167125389489</v>
      </c>
      <c r="BA83" s="77">
        <f>MAX(Tabella34[[#This Row],[sel. region acc. fit]]-CIl,0)</f>
        <v>0</v>
      </c>
      <c r="BB83" s="10">
        <f>Tabella8[[#This Row],[rest of Italy ]]</f>
        <v>4815</v>
      </c>
      <c r="BC83" s="10">
        <f>(Tabella34[[#This Row],[rest of Italy cum. Data]]-BB82)</f>
        <v>737</v>
      </c>
      <c r="BD83" s="10">
        <f>Tabella34[[#This Row],[rest of Italy rate data]]-BC82</f>
        <v>-13</v>
      </c>
      <c r="BE83" s="77">
        <f>Tabella34[[#This Row],[rest of Italy rate data]]*NOT(ISBLANK(Tabella34[[#This Row],[rest of Italy rate data]]))</f>
        <v>737</v>
      </c>
      <c r="BF83" s="77">
        <f>Tabella8[[#This Row],[rest of Italy fit]]</f>
        <v>5695.6549595855777</v>
      </c>
      <c r="BG83" s="78">
        <f>(ATANH(alpha*Tabella34[[#This Row],[rest of Italy cumul. fit]]/Ka-(1-alpha*Tabella34[[#This Row],[rest of Italy cumul. fit]]/Ka)*TANH(phi_a))+phi_a)/psi_a-(Tabella34[[#This Row],[Day]]-pa)</f>
        <v>5.0461541646526218</v>
      </c>
      <c r="BH83" s="77">
        <f>Tabella34[[#This Row],[rest of Italy cumul. fit]]/Ka</f>
        <v>2.6365111140052667E-2</v>
      </c>
      <c r="BI83" s="143">
        <f>Tabella3[[#This Row],[rest of Italy fit]]</f>
        <v>1022.5316685788226</v>
      </c>
      <c r="BJ83" s="183">
        <f>Tabella34[[#This Row],[rest of Italy velocity]]/Tabella34[[#This Row],[rest of Italy cumul. fit]]</f>
        <v>0.17952837309042738</v>
      </c>
      <c r="BK83" s="236">
        <f>(LN(Tabella34[[#This Row],[Day]]-po)-phi_o)/psi_o</f>
        <v>23.799958848920401</v>
      </c>
      <c r="BL83" s="244">
        <f>EXP(phi_o+psi_o*Tabella34[[#This Row],[x_o_alpha©+plus]])-(Tabella34[[#This Row],[Day]]-po)</f>
        <v>-2.4367579693945616</v>
      </c>
      <c r="BM83" s="244">
        <f>EXP(phi_o+psi_o*Tabella34[[#This Row],[x_o_alpha©-minus]])-(Tabella34[[#This Row],[Day]]-po)</f>
        <v>-3.1088264534102654</v>
      </c>
      <c r="BN83" s="244">
        <f>-psi_o+SQRT(psi_o^2-2*Tabella34[[#This Row],[c_o]])</f>
        <v>3.8686402413992078</v>
      </c>
      <c r="BO83" s="244">
        <f>-psi_o-SQRT(psi_o^2-2*Tabella34[[#This Row],[c_o]])</f>
        <v>-3.9176673269688371</v>
      </c>
      <c r="BP83" s="244">
        <f>phi_o-LN(alpha*Ko/(Tabella34[[#This Row],[rest of Italy velocity]]*psi_o*SQRTPI(2)))</f>
        <v>-7.5780227367632564</v>
      </c>
      <c r="BQ83" s="244">
        <f>(ACOSH(SQRT(alpha*Ka*psi_a/(Tabella34[[#This Row],[rest of Italy velocity]]*(1+TANH(phi_a)))))+phi_a)/psi_a-(Tabella34[[#This Row],[Day]]-pa)</f>
        <v>106.45608337249404</v>
      </c>
      <c r="BR83" s="72">
        <f>-2*$BY$35*TANH($BY$35*(Tabella34[[#This Row],[Day]]-$BY$44)-$BY$34)*Tabella34[[#This Row],[rest of Italy velocity]]</f>
        <v>40.189757273396722</v>
      </c>
      <c r="BS83" s="77">
        <f>Tabella34[[#This Row],[rest of Italy acc. fit]]/y_a_peak</f>
        <v>1.4043566936569203E-2</v>
      </c>
      <c r="BT83" s="77">
        <f>Tabella34[[#This Row],[rest of Italy acc. fit]]*NOT(ISBLANK(Tabella34[[#This Row],[rest of Italy rate data]]))</f>
        <v>40.189757273396722</v>
      </c>
      <c r="BU83" s="77">
        <f>Tabella34[[#This Row],[rest of Italy acc. fit]]+CIa</f>
        <v>1734.7639521829794</v>
      </c>
      <c r="BV83" s="77">
        <f>MAX(Tabella34[[#This Row],[rest of Italy acc. fit]]-CIa,0)</f>
        <v>0</v>
      </c>
    </row>
    <row r="84" spans="2:74" x14ac:dyDescent="0.3">
      <c r="B84" s="262">
        <v>43907</v>
      </c>
      <c r="C84" s="29">
        <v>77</v>
      </c>
      <c r="D84" s="10">
        <f>Tabella8[[#This Row],[Italy cumulative]]</f>
        <v>5444</v>
      </c>
      <c r="E84" s="72">
        <f>(Tabella34[[#This Row],[Italy cumul. data]]-D83)</f>
        <v>537</v>
      </c>
      <c r="F84" s="72">
        <f>Tabella34[[#This Row],[Italy rate data]]-E83</f>
        <v>-226</v>
      </c>
      <c r="G84" s="77">
        <f>Tabella34[[#This Row],[Italy rate data]]*NOT(ISBLANK(Tabella34[[#This Row],[Italy rate data]]))</f>
        <v>537</v>
      </c>
      <c r="H84" s="143">
        <f>Tabella8[[#This Row],[Italy fit]]</f>
        <v>6872.8667783592682</v>
      </c>
      <c r="I84" s="143">
        <f>(ATANH(alpha*Tabella34[[#This Row],[Italy cumul. Fit]]/Kf-(1-alpha*Tabella34[[#This Row],[Italy cumul. Fit]]/Kf)*TANH(phi_f))+phi_f)/psi_f-(Tabella34[[#This Row],[Day]]-pf)</f>
        <v>5.5764406175975658</v>
      </c>
      <c r="J84" s="143">
        <f>Tabella34[[#This Row],[Italy d.t.]]/Italy_dt_at_lockdown</f>
        <v>5.0574799600994282</v>
      </c>
      <c r="K84" s="77">
        <f>Tabella34[[#This Row],[Italy cumul. Fit]]/Kf</f>
        <v>3.0546074570485637E-2</v>
      </c>
      <c r="L84" s="146">
        <f>Tabella34[[#This Row],[sel. region acc. fit]]+Tabella34[[#This Row],[rest of Italy acc. fit]]</f>
        <v>43.411355333478674</v>
      </c>
      <c r="M84" s="77">
        <f>Tabella34[[#This Row],[Italy (fit of selected region + fitted sum of the other regions)]]/(y_l_peak+y_a_peak)</f>
        <v>1.4472427031924501E-2</v>
      </c>
      <c r="N84" s="143">
        <f>Tabella3[[#This Row],[Italy remov. rate fit]]</f>
        <v>1105.358112298534</v>
      </c>
      <c r="O84" s="143">
        <f>Kt*EXP(-0.5*Tabella34[[#This Row],[x_t]]^2)/(psi_t*SQRTPI(2)*(Tabella34[[#This Row],[Day]]-D_bk))</f>
        <v>6.7047128638632411E-173</v>
      </c>
      <c r="P84" s="183">
        <f>Tabella34[[#This Row],[Italy velocity]]/Tabella34[[#This Row],[Italy cumul. Fit]]</f>
        <v>0.16082926498429986</v>
      </c>
      <c r="Q84" s="244">
        <f>(LN(Tabella34[[#This Row],[Day]]-D_bk)-phi_t)/psi_t</f>
        <v>28.621059264607553</v>
      </c>
      <c r="R84" s="244">
        <f>EXP(phi_t+psi_t*Tabella34[[#This Row],[x_t_alpha©+plus]])-(Tabella34[[#This Row],[Day]]-D_bk)</f>
        <v>-3.2738755648781734</v>
      </c>
      <c r="S84" s="244">
        <f>EXP(phi_t+psi_t*Tabella34[[#This Row],[x_t_alpha©-minus]])-(Tabella34[[#This Row],[Day]]-D_bk)</f>
        <v>-3.9509965812494983</v>
      </c>
      <c r="T84" s="244">
        <f>-psi_t+SQRT(psi_t^2-2*Tabella34[[#This Row],[c_t]])</f>
        <v>3.8561463243069127</v>
      </c>
      <c r="U84" s="244">
        <f>-psi_t-SQRT(psi_t^2-2*Tabella34[[#This Row],[c_t]])</f>
        <v>-3.9055390587267178</v>
      </c>
      <c r="V84" s="244">
        <f>phi_t-LN(alpha*Kt/(Tabella34[[#This Row],[Italy velocity]]*psi_t*SQRTPI(2)))</f>
        <v>-7.5301650428730555</v>
      </c>
      <c r="W84" s="244">
        <f>Tabella34[[#This Row],[Italy g.r.]]/Italy_gr_at_lockdown</f>
        <v>0.18145439886865974</v>
      </c>
      <c r="X84" s="244">
        <f>(ACOSH(SQRT(alpha*Kf*psi_f/(Tabella34[[#This Row],[Italy velocity]]*(1+TANH(phi_f)))))+phi_f)/psi_f-(Tabella34[[#This Row],[Day]]-pf)</f>
        <v>104.22366679046849</v>
      </c>
      <c r="Y84" s="244">
        <f>Tabella34[[#This Row],[Italy h.t.]]/Italy_ht_at_lockdown</f>
        <v>0.90156068456301242</v>
      </c>
      <c r="Z84" s="72">
        <f>-2*$BY$48*TANH($BY$48*(Tabella34[[#This Row],[Day]]-$BY$57)-$BY$47)*Tabella34[[#This Row],[Italy velocity]]</f>
        <v>43.393866717667969</v>
      </c>
      <c r="AA84" s="72">
        <f>Tabella34[[#This Row],[Italy acc. fit]]/Itali_acc_at_lockdown</f>
        <v>1.201760933920881</v>
      </c>
      <c r="AB84" s="77">
        <f>Tabella34[[#This Row],[Italy acc. fit]]/y_f_peak</f>
        <v>1.4457846288716958E-2</v>
      </c>
      <c r="AC84" s="143">
        <f>Tabella34[[#This Row],[Italy (fit of selected region + fitted sum of the other regions)]]*NOT(ISBLANK(Tabella34[[#This Row],[Italy rate data]]))</f>
        <v>43.411355333478674</v>
      </c>
      <c r="AD84" s="143">
        <f>Tabella34[[#This Row],[Italy acc. fit]]*NOT(ISBLANK(Tabella34[[#This Row],[Italy rate data]]))</f>
        <v>43.393866717667969</v>
      </c>
      <c r="AE84" s="77">
        <f>Tabella34[[#This Row],[Italy acc. fit]]+CIf</f>
        <v>1759.0087260522193</v>
      </c>
      <c r="AF84" s="77">
        <f>MAX(Tabella34[[#This Row],[Italy acc. fit]]-CIf,0)</f>
        <v>0</v>
      </c>
      <c r="AG84" s="4">
        <f>Tabella8[[#This Row],[region data]]</f>
        <v>117</v>
      </c>
      <c r="AH84" s="72">
        <f>(Tabella34[[#This Row],[selected region cumul. data]]-AG83)</f>
        <v>25</v>
      </c>
      <c r="AI84" s="72">
        <f>Tabella34[[#This Row],[selected region rate data]]-AH83</f>
        <v>-1</v>
      </c>
      <c r="AJ84" s="77">
        <f>Tabella34[[#This Row],[selected region rate data]]*NOT(ISBLANK(Tabella34[[#This Row],[selected region rate data]]))</f>
        <v>25</v>
      </c>
      <c r="AK84" s="77">
        <f>Tabella8[[#This Row],[region fit]]</f>
        <v>76.133024300898043</v>
      </c>
      <c r="AL84" s="143">
        <f>(ATANH(alpha*Tabella34[[#This Row],[sel. region cumul. fit]]/Kl-(1-alpha*Tabella34[[#This Row],[sel. region cumul. fit]]/Kl)*TANH(phi_l))+phi_l)/psi_l-(Tabella34[[#This Row],[Day]]-pl)</f>
        <v>1.6270749357405832</v>
      </c>
      <c r="AM84" s="77">
        <f>Tabella34[[#This Row],[sel. region cumul. fit]]/Kl</f>
        <v>8.4875166444702381E-3</v>
      </c>
      <c r="AN84" s="143">
        <f>Tabella3[[#This Row],[region fit]]</f>
        <v>45.062665559485005</v>
      </c>
      <c r="AO84" s="186">
        <f>Tabella34[[#This Row],[sel. region velocity]]/Tabella34[[#This Row],[sel. region cumul. fit]]</f>
        <v>0.59189380657446777</v>
      </c>
      <c r="AP84" s="241">
        <f>(LN(Tabella34[[#This Row],[Day]]-pr)-phi_r)/psi_r</f>
        <v>-22.7771714508259</v>
      </c>
      <c r="AQ84" s="244">
        <f>EXP(phi_r+psi_r*Tabella34[[#This Row],[x_r_alpha©+plus]])-(Tabella34[[#This Row],[Day]]-pr)</f>
        <v>1.9667757385338036</v>
      </c>
      <c r="AR84" s="244">
        <f>EXP(phi_r+psi_r*Tabella34[[#This Row],[x_r_alpha©-minus]])-(Tabella34[[#This Row],[Day]]-pr)</f>
        <v>1.2385667091234649</v>
      </c>
      <c r="AS84" s="244">
        <f>-psi_r+SQRT(psi_r^2-2*Tabella34[[#This Row],[c_r]])</f>
        <v>3.826389713295498</v>
      </c>
      <c r="AT84" s="244">
        <f>-psi_r-SQRT(psi_r^2-2*Tabella34[[#This Row],[c_r]])</f>
        <v>-3.8827979517141591</v>
      </c>
      <c r="AU84" s="244">
        <f>phi_r-LN(alpha*Kr/(Tabella34[[#This Row],[sel. region velocity]]*psi_r*SQRTPI(2)))</f>
        <v>-7.4285490706219433</v>
      </c>
      <c r="AV84" s="244">
        <f>(ACOSH(SQRT(alpha*Kl*psi_l/(Tabella34[[#This Row],[sel. region velocity]]*(1+TANH(phi_l)))))+phi_l)/psi_l-(Tabella34[[#This Row],[Day]]-pl)</f>
        <v>96.186579932647817</v>
      </c>
      <c r="AW84" s="72">
        <f>-2*$BY$22*TANH($BY$22*(Tabella34[[#This Row],[Day]]-$BY$31)-$BY$21)*Tabella34[[#This Row],[sel. region velocity]]</f>
        <v>2.0852664552983855</v>
      </c>
      <c r="AX84" s="77">
        <f>Tabella34[[#This Row],[sel. region acc. fit]]/y_l_peak</f>
        <v>1.5132637118119976E-2</v>
      </c>
      <c r="AY84" s="143">
        <f>Tabella34[[#This Row],[sel. region acc. fit]]*NOT(ISBLANK(Tabella34[[#This Row],[selected region rate data]]))</f>
        <v>2.0852664552983855</v>
      </c>
      <c r="AZ84" s="77">
        <f>Tabella34[[#This Row],[sel. region acc. fit]]+CIl</f>
        <v>55.850106864846843</v>
      </c>
      <c r="BA84" s="77">
        <f>MAX(Tabella34[[#This Row],[sel. region acc. fit]]-CIl,0)</f>
        <v>0</v>
      </c>
      <c r="BB84" s="10">
        <f>Tabella8[[#This Row],[rest of Italy ]]</f>
        <v>5327</v>
      </c>
      <c r="BC84" s="10">
        <f>(Tabella34[[#This Row],[rest of Italy cum. Data]]-BB83)</f>
        <v>512</v>
      </c>
      <c r="BD84" s="10">
        <f>Tabella34[[#This Row],[rest of Italy rate data]]-BC83</f>
        <v>-225</v>
      </c>
      <c r="BE84" s="77">
        <f>Tabella34[[#This Row],[rest of Italy rate data]]*NOT(ISBLANK(Tabella34[[#This Row],[rest of Italy rate data]]))</f>
        <v>512</v>
      </c>
      <c r="BF84" s="77">
        <f>Tabella8[[#This Row],[rest of Italy fit]]</f>
        <v>6738.4712697600517</v>
      </c>
      <c r="BG84" s="78">
        <f>(ATANH(alpha*Tabella34[[#This Row],[rest of Italy cumul. fit]]/Ka-(1-alpha*Tabella34[[#This Row],[rest of Italy cumul. fit]]/Ka)*TANH(phi_a))+phi_a)/psi_a-(Tabella34[[#This Row],[Day]]-pa)</f>
        <v>5.6788793775202304</v>
      </c>
      <c r="BH84" s="77">
        <f>Tabella34[[#This Row],[rest of Italy cumul. fit]]/Ka</f>
        <v>3.1192293985835541E-2</v>
      </c>
      <c r="BI84" s="143">
        <f>Tabella3[[#This Row],[rest of Italy fit]]</f>
        <v>1063.2903527057497</v>
      </c>
      <c r="BJ84" s="183">
        <f>Tabella34[[#This Row],[rest of Italy velocity]]/Tabella34[[#This Row],[rest of Italy cumul. fit]]</f>
        <v>0.15779400254734813</v>
      </c>
      <c r="BK84" s="236">
        <f>(LN(Tabella34[[#This Row],[Day]]-po)-phi_o)/psi_o</f>
        <v>29.805852310675405</v>
      </c>
      <c r="BL84" s="244">
        <f>EXP(phi_o+psi_o*Tabella34[[#This Row],[x_o_alpha©+plus]])-(Tabella34[[#This Row],[Day]]-po)</f>
        <v>-3.4377109937779999</v>
      </c>
      <c r="BM84" s="244">
        <f>EXP(phi_o+psi_o*Tabella34[[#This Row],[x_o_alpha©-minus]])-(Tabella34[[#This Row],[Day]]-po)</f>
        <v>-4.108038832468532</v>
      </c>
      <c r="BN84" s="244">
        <f>-psi_o+SQRT(psi_o^2-2*Tabella34[[#This Row],[c_o]])</f>
        <v>3.8585874260710864</v>
      </c>
      <c r="BO84" s="244">
        <f>-psi_o-SQRT(psi_o^2-2*Tabella34[[#This Row],[c_o]])</f>
        <v>-3.9076145116407157</v>
      </c>
      <c r="BP84" s="244">
        <f>phi_o-LN(alpha*Ko/(Tabella34[[#This Row],[rest of Italy velocity]]*psi_o*SQRTPI(2)))</f>
        <v>-7.5389361102748866</v>
      </c>
      <c r="BQ84" s="244">
        <f>(ACOSH(SQRT(alpha*Ka*psi_a/(Tabella34[[#This Row],[rest of Italy velocity]]*(1+TANH(phi_a)))))+phi_a)/psi_a-(Tabella34[[#This Row],[Day]]-pa)</f>
        <v>104.57449292806957</v>
      </c>
      <c r="BR84" s="72">
        <f>-2*$BY$35*TANH($BY$35*(Tabella34[[#This Row],[Day]]-$BY$44)-$BY$34)*Tabella34[[#This Row],[rest of Italy velocity]]</f>
        <v>41.326088878180286</v>
      </c>
      <c r="BS84" s="77">
        <f>Tabella34[[#This Row],[rest of Italy acc. fit]]/y_a_peak</f>
        <v>1.4440636987163424E-2</v>
      </c>
      <c r="BT84" s="77">
        <f>Tabella34[[#This Row],[rest of Italy acc. fit]]*NOT(ISBLANK(Tabella34[[#This Row],[rest of Italy rate data]]))</f>
        <v>41.326088878180286</v>
      </c>
      <c r="BU84" s="77">
        <f>Tabella34[[#This Row],[rest of Italy acc. fit]]+CIa</f>
        <v>1735.9002837877631</v>
      </c>
      <c r="BV84" s="77">
        <f>MAX(Tabella34[[#This Row],[rest of Italy acc. fit]]-CIa,0)</f>
        <v>0</v>
      </c>
    </row>
    <row r="85" spans="2:74" x14ac:dyDescent="0.3">
      <c r="B85" s="262">
        <v>43908</v>
      </c>
      <c r="C85" s="29">
        <v>78</v>
      </c>
      <c r="D85" s="10">
        <f>Tabella8[[#This Row],[Italy cumulative]]</f>
        <v>7003</v>
      </c>
      <c r="E85" s="72">
        <f>(Tabella34[[#This Row],[Italy cumul. data]]-D84)</f>
        <v>1559</v>
      </c>
      <c r="F85" s="72">
        <f>Tabella34[[#This Row],[Italy rate data]]-E84</f>
        <v>1022</v>
      </c>
      <c r="G85" s="77">
        <f>Tabella34[[#This Row],[Italy rate data]]*NOT(ISBLANK(Tabella34[[#This Row],[Italy rate data]]))</f>
        <v>1559</v>
      </c>
      <c r="H85" s="143">
        <f>Tabella8[[#This Row],[Italy fit]]</f>
        <v>8000.1224833371307</v>
      </c>
      <c r="I85" s="143">
        <f>(ATANH(alpha*Tabella34[[#This Row],[Italy cumul. Fit]]/Kf-(1-alpha*Tabella34[[#This Row],[Italy cumul. Fit]]/Kf)*TANH(phi_f))+phi_f)/psi_f-(Tabella34[[#This Row],[Day]]-pf)</f>
        <v>6.1799994280473864</v>
      </c>
      <c r="J85" s="143">
        <f>Tabella34[[#This Row],[Italy d.t.]]/Italy_dt_at_lockdown</f>
        <v>5.6048697375425327</v>
      </c>
      <c r="K85" s="77">
        <f>Tabella34[[#This Row],[Italy cumul. Fit]]/Kf</f>
        <v>3.5556099925942802E-2</v>
      </c>
      <c r="L85" s="146">
        <f>Tabella34[[#This Row],[sel. region acc. fit]]+Tabella34[[#This Row],[rest of Italy acc. fit]]</f>
        <v>44.609332839653838</v>
      </c>
      <c r="M85" s="77">
        <f>Tabella34[[#This Row],[Italy (fit of selected region + fitted sum of the other regions)]]/(y_l_peak+y_a_peak)</f>
        <v>1.4871807376325687E-2</v>
      </c>
      <c r="N85" s="143">
        <f>Tabella3[[#This Row],[Italy remov. rate fit]]</f>
        <v>1149.3534112579468</v>
      </c>
      <c r="O85" s="143">
        <f>Kt*EXP(-0.5*Tabella34[[#This Row],[x_t]]^2)/(psi_t*SQRTPI(2)*(Tabella34[[#This Row],[Day]]-D_bk))</f>
        <v>6.9276499847734252E-245</v>
      </c>
      <c r="P85" s="183">
        <f>Tabella34[[#This Row],[Italy velocity]]/Tabella34[[#This Row],[Italy cumul. Fit]]</f>
        <v>0.14366697680589902</v>
      </c>
      <c r="Q85" s="244">
        <f>(LN(Tabella34[[#This Row],[Day]]-D_bk)-phi_t)/psi_t</f>
        <v>33.917698203531614</v>
      </c>
      <c r="R85" s="244">
        <f>EXP(phi_t+psi_t*Tabella34[[#This Row],[x_t_alpha©+plus]])-(Tabella34[[#This Row],[Day]]-D_bk)</f>
        <v>-4.2748408458217586</v>
      </c>
      <c r="S85" s="244">
        <f>EXP(phi_t+psi_t*Tabella34[[#This Row],[x_t_alpha©-minus]])-(Tabella34[[#This Row],[Day]]-D_bk)</f>
        <v>-4.9501994794035609</v>
      </c>
      <c r="T85" s="244">
        <f>-psi_t+SQRT(psi_t^2-2*Tabella34[[#This Row],[c_t]])</f>
        <v>3.8460761218344008</v>
      </c>
      <c r="U85" s="244">
        <f>-psi_t-SQRT(psi_t^2-2*Tabella34[[#This Row],[c_t]])</f>
        <v>-3.8954688562542059</v>
      </c>
      <c r="V85" s="244">
        <f>phi_t-LN(alpha*Kt/(Tabella34[[#This Row],[Italy velocity]]*psi_t*SQRTPI(2)))</f>
        <v>-7.4911348756944323</v>
      </c>
      <c r="W85" s="244">
        <f>Tabella34[[#This Row],[Italy g.r.]]/Italy_gr_at_lockdown</f>
        <v>0.16209117734970027</v>
      </c>
      <c r="X85" s="244">
        <f>(ACOSH(SQRT(alpha*Kf*psi_f/(Tabella34[[#This Row],[Italy velocity]]*(1+TANH(phi_f)))))+phi_f)/psi_f-(Tabella34[[#This Row],[Day]]-pf)</f>
        <v>102.34686422182712</v>
      </c>
      <c r="Y85" s="244">
        <f>Tabella34[[#This Row],[Italy h.t.]]/Italy_ht_at_lockdown</f>
        <v>0.88532587474792857</v>
      </c>
      <c r="Z85" s="72">
        <f>-2*$BY$48*TANH($BY$48*(Tabella34[[#This Row],[Day]]-$BY$57)-$BY$47)*Tabella34[[#This Row],[Italy velocity]]</f>
        <v>44.594463468626373</v>
      </c>
      <c r="AA85" s="72">
        <f>Tabella34[[#This Row],[Italy acc. fit]]/Itali_acc_at_lockdown</f>
        <v>1.2350105699139484</v>
      </c>
      <c r="AB85" s="77">
        <f>Tabella34[[#This Row],[Italy acc. fit]]/y_f_peak</f>
        <v>1.4857857732569741E-2</v>
      </c>
      <c r="AC85" s="143">
        <f>Tabella34[[#This Row],[Italy (fit of selected region + fitted sum of the other regions)]]*NOT(ISBLANK(Tabella34[[#This Row],[Italy rate data]]))</f>
        <v>44.609332839653838</v>
      </c>
      <c r="AD85" s="143">
        <f>Tabella34[[#This Row],[Italy acc. fit]]*NOT(ISBLANK(Tabella34[[#This Row],[Italy rate data]]))</f>
        <v>44.594463468626373</v>
      </c>
      <c r="AE85" s="77">
        <f>Tabella34[[#This Row],[Italy acc. fit]]+CIf</f>
        <v>1760.2093228031777</v>
      </c>
      <c r="AF85" s="77">
        <f>MAX(Tabella34[[#This Row],[Italy acc. fit]]-CIf,0)</f>
        <v>0</v>
      </c>
      <c r="AG85" s="4">
        <f>Tabella8[[#This Row],[region data]]</f>
        <v>143</v>
      </c>
      <c r="AH85" s="72">
        <f>(Tabella34[[#This Row],[selected region cumul. data]]-AG84)</f>
        <v>26</v>
      </c>
      <c r="AI85" s="72">
        <f>Tabella34[[#This Row],[selected region rate data]]-AH84</f>
        <v>1</v>
      </c>
      <c r="AJ85" s="77">
        <f>Tabella34[[#This Row],[selected region rate data]]*NOT(ISBLANK(Tabella34[[#This Row],[selected region rate data]]))</f>
        <v>26</v>
      </c>
      <c r="AK85" s="77">
        <f>Tabella8[[#This Row],[region fit]]</f>
        <v>122.25050093716941</v>
      </c>
      <c r="AL85" s="143">
        <f>(ATANH(alpha*Tabella34[[#This Row],[sel. region cumul. fit]]/Kl-(1-alpha*Tabella34[[#This Row],[sel. region cumul. fit]]/Kl)*TANH(phi_l))+phi_l)/psi_l-(Tabella34[[#This Row],[Day]]-pl)</f>
        <v>2.4498562667474788</v>
      </c>
      <c r="AM85" s="77">
        <f>Tabella34[[#This Row],[sel. region cumul. fit]]/Kl</f>
        <v>1.3628818387644305E-2</v>
      </c>
      <c r="AN85" s="143">
        <f>Tabella3[[#This Row],[region fit]]</f>
        <v>47.184465721412373</v>
      </c>
      <c r="AO85" s="186">
        <f>Tabella34[[#This Row],[sel. region velocity]]/Tabella34[[#This Row],[sel. region cumul. fit]]</f>
        <v>0.38596541821667307</v>
      </c>
      <c r="AP85" s="241">
        <f>(LN(Tabella34[[#This Row],[Day]]-pr)-phi_r)/psi_r</f>
        <v>-6.8225593242539224</v>
      </c>
      <c r="AQ85" s="244">
        <f>EXP(phi_r+psi_r*Tabella34[[#This Row],[x_r_alpha©+plus]])-(Tabella34[[#This Row],[Day]]-pr)</f>
        <v>0.96551945641335246</v>
      </c>
      <c r="AR85" s="244">
        <f>EXP(phi_r+psi_r*Tabella34[[#This Row],[x_r_alpha©-minus]])-(Tabella34[[#This Row],[Day]]-pr)</f>
        <v>0.23957783354117312</v>
      </c>
      <c r="AS85" s="244">
        <f>-psi_r+SQRT(psi_r^2-2*Tabella34[[#This Row],[c_r]])</f>
        <v>3.8144346026791287</v>
      </c>
      <c r="AT85" s="244">
        <f>-psi_r-SQRT(psi_r^2-2*Tabella34[[#This Row],[c_r]])</f>
        <v>-3.8708428410977898</v>
      </c>
      <c r="AU85" s="244">
        <f>phi_r-LN(alpha*Kr/(Tabella34[[#This Row],[sel. region velocity]]*psi_r*SQRTPI(2)))</f>
        <v>-7.3825384373080984</v>
      </c>
      <c r="AV85" s="244">
        <f>(ACOSH(SQRT(alpha*Kl*psi_l/(Tabella34[[#This Row],[sel. region velocity]]*(1+TANH(phi_l)))))+phi_l)/psi_l-(Tabella34[[#This Row],[Day]]-pl)</f>
        <v>94.29269848197842</v>
      </c>
      <c r="AW85" s="72">
        <f>-2*$BY$22*TANH($BY$22*(Tabella34[[#This Row],[Day]]-$BY$31)-$BY$21)*Tabella34[[#This Row],[sel. region velocity]]</f>
        <v>2.1583292920300545</v>
      </c>
      <c r="AX85" s="77">
        <f>Tabella34[[#This Row],[sel. region acc. fit]]/y_l_peak</f>
        <v>1.5662849164773066E-2</v>
      </c>
      <c r="AY85" s="143">
        <f>Tabella34[[#This Row],[sel. region acc. fit]]*NOT(ISBLANK(Tabella34[[#This Row],[selected region rate data]]))</f>
        <v>2.1583292920300545</v>
      </c>
      <c r="AZ85" s="77">
        <f>Tabella34[[#This Row],[sel. region acc. fit]]+CIl</f>
        <v>55.923169701578509</v>
      </c>
      <c r="BA85" s="77">
        <f>MAX(Tabella34[[#This Row],[sel. region acc. fit]]-CIl,0)</f>
        <v>0</v>
      </c>
      <c r="BB85" s="10">
        <f>Tabella8[[#This Row],[rest of Italy ]]</f>
        <v>6860</v>
      </c>
      <c r="BC85" s="10">
        <f>(Tabella34[[#This Row],[rest of Italy cum. Data]]-BB84)</f>
        <v>1533</v>
      </c>
      <c r="BD85" s="10">
        <f>Tabella34[[#This Row],[rest of Italy rate data]]-BC84</f>
        <v>1021</v>
      </c>
      <c r="BE85" s="77">
        <f>Tabella34[[#This Row],[rest of Italy rate data]]*NOT(ISBLANK(Tabella34[[#This Row],[rest of Italy rate data]]))</f>
        <v>1533</v>
      </c>
      <c r="BF85" s="77">
        <f>Tabella8[[#This Row],[rest of Italy fit]]</f>
        <v>7822.6127188605087</v>
      </c>
      <c r="BG85" s="78">
        <f>(ATANH(alpha*Tabella34[[#This Row],[rest of Italy cumul. fit]]/Ka-(1-alpha*Tabella34[[#This Row],[rest of Italy cumul. fit]]/Ka)*TANH(phi_a))+phi_a)/psi_a-(Tabella34[[#This Row],[Day]]-pa)</f>
        <v>6.2802369391039683</v>
      </c>
      <c r="BH85" s="77">
        <f>Tabella34[[#This Row],[rest of Italy cumul. fit]]/Ka</f>
        <v>3.6210770350694386E-2</v>
      </c>
      <c r="BI85" s="143">
        <f>Tabella3[[#This Row],[rest of Italy fit]]</f>
        <v>1105.1800445808067</v>
      </c>
      <c r="BJ85" s="183">
        <f>Tabella34[[#This Row],[rest of Italy velocity]]/Tabella34[[#This Row],[rest of Italy cumul. fit]]</f>
        <v>0.14128016869813723</v>
      </c>
      <c r="BK85" s="236">
        <f>(LN(Tabella34[[#This Row],[Day]]-po)-phi_o)/psi_o</f>
        <v>35.039939665693048</v>
      </c>
      <c r="BL85" s="244">
        <f>EXP(phi_o+psi_o*Tabella34[[#This Row],[x_o_alpha©+plus]])-(Tabella34[[#This Row],[Day]]-po)</f>
        <v>-4.4386553292513717</v>
      </c>
      <c r="BM85" s="244">
        <f>EXP(phi_o+psi_o*Tabella34[[#This Row],[x_o_alpha©-minus]])-(Tabella34[[#This Row],[Day]]-po)</f>
        <v>-5.1072580093861362</v>
      </c>
      <c r="BN85" s="244">
        <f>-psi_o+SQRT(psi_o^2-2*Tabella34[[#This Row],[c_o]])</f>
        <v>3.8486238200915284</v>
      </c>
      <c r="BO85" s="244">
        <f>-psi_o-SQRT(psi_o^2-2*Tabella34[[#This Row],[c_o]])</f>
        <v>-3.8976509056611577</v>
      </c>
      <c r="BP85" s="244">
        <f>phi_o-LN(alpha*Ko/(Tabella34[[#This Row],[rest of Italy velocity]]*psi_o*SQRTPI(2)))</f>
        <v>-7.5002960589644259</v>
      </c>
      <c r="BQ85" s="244">
        <f>(ACOSH(SQRT(alpha*Ka*psi_a/(Tabella34[[#This Row],[rest of Italy velocity]]*(1+TANH(phi_a)))))+phi_a)/psi_a-(Tabella34[[#This Row],[Day]]-pa)</f>
        <v>102.69910220235511</v>
      </c>
      <c r="BR85" s="72">
        <f>-2*$BY$35*TANH($BY$35*(Tabella34[[#This Row],[Day]]-$BY$44)-$BY$34)*Tabella34[[#This Row],[rest of Italy velocity]]</f>
        <v>42.451003547623785</v>
      </c>
      <c r="BS85" s="77">
        <f>Tabella34[[#This Row],[rest of Italy acc. fit]]/y_a_peak</f>
        <v>1.4833717600982298E-2</v>
      </c>
      <c r="BT85" s="77">
        <f>Tabella34[[#This Row],[rest of Italy acc. fit]]*NOT(ISBLANK(Tabella34[[#This Row],[rest of Italy rate data]]))</f>
        <v>42.451003547623785</v>
      </c>
      <c r="BU85" s="77">
        <f>Tabella34[[#This Row],[rest of Italy acc. fit]]+CIa</f>
        <v>1737.0251984572064</v>
      </c>
      <c r="BV85" s="77">
        <f>MAX(Tabella34[[#This Row],[rest of Italy acc. fit]]-CIa,0)</f>
        <v>0</v>
      </c>
    </row>
    <row r="86" spans="2:74" x14ac:dyDescent="0.3">
      <c r="B86" s="262">
        <v>43909</v>
      </c>
      <c r="C86" s="29">
        <v>79</v>
      </c>
      <c r="D86" s="10">
        <f>Tabella8[[#This Row],[Italy cumulative]]</f>
        <v>7845</v>
      </c>
      <c r="E86" s="72">
        <f>(Tabella34[[#This Row],[Italy cumul. data]]-D85)</f>
        <v>842</v>
      </c>
      <c r="F86" s="72">
        <f>Tabella34[[#This Row],[Italy rate data]]-E85</f>
        <v>-717</v>
      </c>
      <c r="G86" s="77">
        <f>Tabella34[[#This Row],[Italy rate data]]*NOT(ISBLANK(Tabella34[[#This Row],[Italy rate data]]))</f>
        <v>842</v>
      </c>
      <c r="H86" s="143">
        <f>Tabella8[[#This Row],[Italy fit]]</f>
        <v>9171.971301530506</v>
      </c>
      <c r="I86" s="143">
        <f>(ATANH(alpha*Tabella34[[#This Row],[Italy cumul. Fit]]/Kf-(1-alpha*Tabella34[[#This Row],[Italy cumul. Fit]]/Kf)*TANH(phi_f))+phi_f)/psi_f-(Tabella34[[#This Row],[Day]]-pf)</f>
        <v>6.7554293930937241</v>
      </c>
      <c r="J86" s="143">
        <f>Tabella34[[#This Row],[Italy d.t.]]/Italy_dt_at_lockdown</f>
        <v>6.1267484261595637</v>
      </c>
      <c r="K86" s="77">
        <f>Tabella34[[#This Row],[Italy cumul. Fit]]/Kf</f>
        <v>4.0764316895691141E-2</v>
      </c>
      <c r="L86" s="146">
        <f>Tabella34[[#This Row],[sel. region acc. fit]]+Tabella34[[#This Row],[rest of Italy acc. fit]]</f>
        <v>45.790912678533083</v>
      </c>
      <c r="M86" s="77">
        <f>Tabella34[[#This Row],[Italy (fit of selected region + fitted sum of the other regions)]]/(y_l_peak+y_a_peak)</f>
        <v>1.5265721085520231E-2</v>
      </c>
      <c r="N86" s="143">
        <f>Tabella3[[#This Row],[Italy remov. rate fit]]</f>
        <v>1194.54163609377</v>
      </c>
      <c r="O86" s="143">
        <f>Kt*EXP(-0.5*Tabella34[[#This Row],[x_t]]^2)/(psi_t*SQRTPI(2)*(Tabella34[[#This Row],[Day]]-D_bk))</f>
        <v>0</v>
      </c>
      <c r="P86" s="183">
        <f>Tabella34[[#This Row],[Italy velocity]]/Tabella34[[#This Row],[Italy cumul. Fit]]</f>
        <v>0.13023826577983727</v>
      </c>
      <c r="Q86" s="244">
        <f>(LN(Tabella34[[#This Row],[Day]]-D_bk)-phi_t)/psi_t</f>
        <v>38.600957799408057</v>
      </c>
      <c r="R86" s="244">
        <f>EXP(phi_t+psi_t*Tabella34[[#This Row],[x_t_alpha©+plus]])-(Tabella34[[#This Row],[Day]]-D_bk)</f>
        <v>-5.2757968092799263</v>
      </c>
      <c r="S86" s="244">
        <f>EXP(phi_t+psi_t*Tabella34[[#This Row],[x_t_alpha©-minus]])-(Tabella34[[#This Row],[Day]]-D_bk)</f>
        <v>-5.9494096807777694</v>
      </c>
      <c r="T86" s="244">
        <f>-psi_t+SQRT(psi_t^2-2*Tabella34[[#This Row],[c_t]])</f>
        <v>3.8361006542518008</v>
      </c>
      <c r="U86" s="244">
        <f>-psi_t-SQRT(psi_t^2-2*Tabella34[[#This Row],[c_t]])</f>
        <v>-3.8854933886716059</v>
      </c>
      <c r="V86" s="244">
        <f>phi_t-LN(alpha*Kt/(Tabella34[[#This Row],[Italy velocity]]*psi_t*SQRTPI(2)))</f>
        <v>-7.4525718651870969</v>
      </c>
      <c r="W86" s="244">
        <f>Tabella34[[#This Row],[Italy g.r.]]/Italy_gr_at_lockdown</f>
        <v>0.1469403359462228</v>
      </c>
      <c r="X86" s="244">
        <f>(ACOSH(SQRT(alpha*Kf*psi_f/(Tabella34[[#This Row],[Italy velocity]]*(1+TANH(phi_f)))))+phi_f)/psi_f-(Tabella34[[#This Row],[Day]]-pf)</f>
        <v>100.47656726465043</v>
      </c>
      <c r="Y86" s="244">
        <f>Tabella34[[#This Row],[Italy h.t.]]/Italy_ht_at_lockdown</f>
        <v>0.86914734009285588</v>
      </c>
      <c r="Z86" s="72">
        <f>-2*$BY$48*TANH($BY$48*(Tabella34[[#This Row],[Day]]-$BY$57)-$BY$47)*Tabella34[[#This Row],[Italy velocity]]</f>
        <v>45.778838017905471</v>
      </c>
      <c r="AA86" s="72">
        <f>Tabella34[[#This Row],[Italy acc. fit]]/Itali_acc_at_lockdown</f>
        <v>1.2678109440708396</v>
      </c>
      <c r="AB86" s="77">
        <f>Tabella34[[#This Row],[Italy acc. fit]]/y_f_peak</f>
        <v>1.5252464308958883E-2</v>
      </c>
      <c r="AC86" s="143">
        <f>Tabella34[[#This Row],[Italy (fit of selected region + fitted sum of the other regions)]]*NOT(ISBLANK(Tabella34[[#This Row],[Italy rate data]]))</f>
        <v>45.790912678533083</v>
      </c>
      <c r="AD86" s="143">
        <f>Tabella34[[#This Row],[Italy acc. fit]]*NOT(ISBLANK(Tabella34[[#This Row],[Italy rate data]]))</f>
        <v>45.778838017905471</v>
      </c>
      <c r="AE86" s="77">
        <f>Tabella34[[#This Row],[Italy acc. fit]]+CIf</f>
        <v>1761.3936973524567</v>
      </c>
      <c r="AF86" s="77">
        <f>MAX(Tabella34[[#This Row],[Italy acc. fit]]-CIf,0)</f>
        <v>0</v>
      </c>
      <c r="AG86" s="4">
        <f>Tabella8[[#This Row],[region data]]</f>
        <v>176</v>
      </c>
      <c r="AH86" s="72">
        <f>(Tabella34[[#This Row],[selected region cumul. data]]-AG85)</f>
        <v>33</v>
      </c>
      <c r="AI86" s="72">
        <f>Tabella34[[#This Row],[selected region rate data]]-AH85</f>
        <v>7</v>
      </c>
      <c r="AJ86" s="77">
        <f>Tabella34[[#This Row],[selected region rate data]]*NOT(ISBLANK(Tabella34[[#This Row],[selected region rate data]]))</f>
        <v>33</v>
      </c>
      <c r="AK86" s="77">
        <f>Tabella8[[#This Row],[region fit]]</f>
        <v>170.52629118323117</v>
      </c>
      <c r="AL86" s="143">
        <f>(ATANH(alpha*Tabella34[[#This Row],[sel. region cumul. fit]]/Kl-(1-alpha*Tabella34[[#This Row],[sel. region cumul. fit]]/Kl)*TANH(phi_l))+phi_l)/psi_l-(Tabella34[[#This Row],[Day]]-pl)</f>
        <v>3.2122217721452451</v>
      </c>
      <c r="AM86" s="77">
        <f>Tabella34[[#This Row],[sel. region cumul. fit]]/Kl</f>
        <v>1.9010734803035806E-2</v>
      </c>
      <c r="AN86" s="143">
        <f>Tabella3[[#This Row],[region fit]]</f>
        <v>49.37926123276646</v>
      </c>
      <c r="AO86" s="186">
        <f>Tabella34[[#This Row],[sel. region velocity]]/Tabella34[[#This Row],[sel. region cumul. fit]]</f>
        <v>0.28956978358081015</v>
      </c>
      <c r="AP86" s="241">
        <f>(LN(Tabella34[[#This Row],[Day]]-pr)-phi_r)/psi_r</f>
        <v>4.1411063118185147</v>
      </c>
      <c r="AQ86" s="244">
        <f>EXP(phi_r+psi_r*Tabella34[[#This Row],[x_r_alpha©+plus]])-(Tabella34[[#This Row],[Day]]-pr)</f>
        <v>-3.572538275345849E-2</v>
      </c>
      <c r="AR86" s="244">
        <f>EXP(phi_r+psi_r*Tabella34[[#This Row],[x_r_alpha©-minus]])-(Tabella34[[#This Row],[Day]]-pr)</f>
        <v>-0.75941957903582136</v>
      </c>
      <c r="AS86" s="244">
        <f>-psi_r+SQRT(psi_r^2-2*Tabella34[[#This Row],[c_r]])</f>
        <v>3.8025844087263088</v>
      </c>
      <c r="AT86" s="244">
        <f>-psi_r-SQRT(psi_r^2-2*Tabella34[[#This Row],[c_r]])</f>
        <v>-3.8589926471449698</v>
      </c>
      <c r="AU86" s="244">
        <f>phi_r-LN(alpha*Kr/(Tabella34[[#This Row],[sel. region velocity]]*psi_r*SQRTPI(2)))</f>
        <v>-7.337072636711464</v>
      </c>
      <c r="AV86" s="244">
        <f>(ACOSH(SQRT(alpha*Kl*psi_l/(Tabella34[[#This Row],[sel. region velocity]]*(1+TANH(phi_l)))))+phi_l)/psi_l-(Tabella34[[#This Row],[Day]]-pl)</f>
        <v>92.405218772650855</v>
      </c>
      <c r="AW86" s="72">
        <f>-2*$BY$22*TANH($BY$22*(Tabella34[[#This Row],[Day]]-$BY$31)-$BY$21)*Tabella34[[#This Row],[sel. region velocity]]</f>
        <v>2.2312023055958168</v>
      </c>
      <c r="AX86" s="77">
        <f>Tabella34[[#This Row],[sel. region acc. fit]]/y_l_peak</f>
        <v>1.619168367759638E-2</v>
      </c>
      <c r="AY86" s="143">
        <f>Tabella34[[#This Row],[sel. region acc. fit]]*NOT(ISBLANK(Tabella34[[#This Row],[selected region rate data]]))</f>
        <v>2.2312023055958168</v>
      </c>
      <c r="AZ86" s="77">
        <f>Tabella34[[#This Row],[sel. region acc. fit]]+CIl</f>
        <v>55.99604271514427</v>
      </c>
      <c r="BA86" s="77">
        <f>MAX(Tabella34[[#This Row],[sel. region acc. fit]]-CIl,0)</f>
        <v>0</v>
      </c>
      <c r="BB86" s="10">
        <f>Tabella8[[#This Row],[rest of Italy ]]</f>
        <v>7669</v>
      </c>
      <c r="BC86" s="10">
        <f>(Tabella34[[#This Row],[rest of Italy cum. Data]]-BB85)</f>
        <v>809</v>
      </c>
      <c r="BD86" s="10">
        <f>Tabella34[[#This Row],[rest of Italy rate data]]-BC85</f>
        <v>-724</v>
      </c>
      <c r="BE86" s="77">
        <f>Tabella34[[#This Row],[rest of Italy rate data]]*NOT(ISBLANK(Tabella34[[#This Row],[rest of Italy rate data]]))</f>
        <v>809</v>
      </c>
      <c r="BF86" s="77">
        <f>Tabella8[[#This Row],[rest of Italy fit]]</f>
        <v>8949.2038223229501</v>
      </c>
      <c r="BG86" s="78">
        <f>(ATANH(alpha*Tabella34[[#This Row],[rest of Italy cumul. fit]]/Ka-(1-alpha*Tabella34[[#This Row],[rest of Italy cumul. fit]]/Ka)*TANH(phi_a))+phi_a)/psi_a-(Tabella34[[#This Row],[Day]]-pa)</f>
        <v>6.8540543340325648</v>
      </c>
      <c r="BH86" s="77">
        <f>Tabella34[[#This Row],[rest of Italy cumul. fit]]/Ka</f>
        <v>4.1425745601643062E-2</v>
      </c>
      <c r="BI86" s="143">
        <f>Tabella3[[#This Row],[rest of Italy fit]]</f>
        <v>1148.186961101017</v>
      </c>
      <c r="BJ86" s="183">
        <f>Tabella34[[#This Row],[rest of Italy velocity]]/Tabella34[[#This Row],[rest of Italy cumul. fit]]</f>
        <v>0.12830045933661408</v>
      </c>
      <c r="BK86" s="236">
        <f>(LN(Tabella34[[#This Row],[Day]]-po)-phi_o)/psi_o</f>
        <v>39.678187988614901</v>
      </c>
      <c r="BL86" s="244">
        <f>EXP(phi_o+psi_o*Tabella34[[#This Row],[x_o_alpha©+plus]])-(Tabella34[[#This Row],[Day]]-po)</f>
        <v>-5.4395904852549499</v>
      </c>
      <c r="BM86" s="244">
        <f>EXP(phi_o+psi_o*Tabella34[[#This Row],[x_o_alpha©-minus]])-(Tabella34[[#This Row],[Day]]-po)</f>
        <v>-6.1064844003264787</v>
      </c>
      <c r="BN86" s="244">
        <f>-psi_o+SQRT(psi_o^2-2*Tabella34[[#This Row],[c_o]])</f>
        <v>3.8387546671856656</v>
      </c>
      <c r="BO86" s="244">
        <f>-psi_o-SQRT(psi_o^2-2*Tabella34[[#This Row],[c_o]])</f>
        <v>-3.8877817527552949</v>
      </c>
      <c r="BP86" s="244">
        <f>phi_o-LN(alpha*Ko/(Tabella34[[#This Row],[rest of Italy velocity]]*psi_o*SQRTPI(2)))</f>
        <v>-7.4621201741943279</v>
      </c>
      <c r="BQ86" s="244">
        <f>(ACOSH(SQRT(alpha*Ka*psi_a/(Tabella34[[#This Row],[rest of Italy velocity]]*(1+TANH(phi_a)))))+phi_a)/psi_a-(Tabella34[[#This Row],[Day]]-pa)</f>
        <v>100.83024330782423</v>
      </c>
      <c r="BR86" s="72">
        <f>-2*$BY$35*TANH($BY$35*(Tabella34[[#This Row],[Day]]-$BY$44)-$BY$34)*Tabella34[[#This Row],[rest of Italy velocity]]</f>
        <v>43.559710372937268</v>
      </c>
      <c r="BS86" s="77">
        <f>Tabella34[[#This Row],[rest of Italy acc. fit]]/y_a_peak</f>
        <v>1.5221134683608662E-2</v>
      </c>
      <c r="BT86" s="77">
        <f>Tabella34[[#This Row],[rest of Italy acc. fit]]*NOT(ISBLANK(Tabella34[[#This Row],[rest of Italy rate data]]))</f>
        <v>43.559710372937268</v>
      </c>
      <c r="BU86" s="77">
        <f>Tabella34[[#This Row],[rest of Italy acc. fit]]+CIa</f>
        <v>1738.1339052825199</v>
      </c>
      <c r="BV86" s="77">
        <f>MAX(Tabella34[[#This Row],[rest of Italy acc. fit]]-CIa,0)</f>
        <v>0</v>
      </c>
    </row>
    <row r="87" spans="2:74" x14ac:dyDescent="0.3">
      <c r="B87" s="262">
        <v>43910</v>
      </c>
      <c r="C87" s="29">
        <v>80</v>
      </c>
      <c r="D87" s="10">
        <f>Tabella8[[#This Row],[Italy cumulative]]</f>
        <v>9161</v>
      </c>
      <c r="E87" s="72">
        <f>(Tabella34[[#This Row],[Italy cumul. data]]-D86)</f>
        <v>1316</v>
      </c>
      <c r="F87" s="72">
        <f>Tabella34[[#This Row],[Italy rate data]]-E86</f>
        <v>474</v>
      </c>
      <c r="G87" s="77">
        <f>Tabella34[[#This Row],[Italy rate data]]*NOT(ISBLANK(Tabella34[[#This Row],[Italy rate data]]))</f>
        <v>1316</v>
      </c>
      <c r="H87" s="143">
        <f>Tabella8[[#This Row],[Italy fit]]</f>
        <v>10389.597151287138</v>
      </c>
      <c r="I87" s="143">
        <f>(ATANH(alpha*Tabella34[[#This Row],[Italy cumul. Fit]]/Kf-(1-alpha*Tabella34[[#This Row],[Italy cumul. Fit]]/Kf)*TANH(phi_f))+phi_f)/psi_f-(Tabella34[[#This Row],[Day]]-pf)</f>
        <v>7.3062445391236537</v>
      </c>
      <c r="J87" s="143">
        <f>Tabella34[[#This Row],[Italy d.t.]]/Italy_dt_at_lockdown</f>
        <v>6.6263030262703699</v>
      </c>
      <c r="K87" s="77">
        <f>Tabella34[[#This Row],[Italy cumul. Fit]]/Kf</f>
        <v>4.6175987339053946E-2</v>
      </c>
      <c r="L87" s="146">
        <f>Tabella34[[#This Row],[sel. region acc. fit]]+Tabella34[[#This Row],[rest of Italy acc. fit]]</f>
        <v>46.950606387724086</v>
      </c>
      <c r="M87" s="77">
        <f>Tabella34[[#This Row],[Italy (fit of selected region + fitted sum of the other regions)]]/(y_l_peak+y_a_peak)</f>
        <v>1.5652338422314258E-2</v>
      </c>
      <c r="N87" s="143">
        <f>Tabella3[[#This Row],[Italy remov. rate fit]]</f>
        <v>1240.9038593478522</v>
      </c>
      <c r="O87" s="143">
        <f>Kt*EXP(-0.5*Tabella34[[#This Row],[x_t]]^2)/(psi_t*SQRTPI(2)*(Tabella34[[#This Row],[Day]]-D_bk))</f>
        <v>0</v>
      </c>
      <c r="P87" s="183">
        <f>Tabella34[[#This Row],[Italy velocity]]/Tabella34[[#This Row],[Italy cumul. Fit]]</f>
        <v>0.11943714864768554</v>
      </c>
      <c r="Q87" s="244">
        <f>(LN(Tabella34[[#This Row],[Day]]-D_bk)-phi_t)/psi_t</f>
        <v>42.798272832231667</v>
      </c>
      <c r="R87" s="244">
        <f>EXP(phi_t+psi_t*Tabella34[[#This Row],[x_t_alpha©+plus]])-(Tabella34[[#This Row],[Day]]-D_bk)</f>
        <v>-6.2767429346528427</v>
      </c>
      <c r="S87" s="244">
        <f>EXP(phi_t+psi_t*Tabella34[[#This Row],[x_t_alpha©-minus]])-(Tabella34[[#This Row],[Day]]-D_bk)</f>
        <v>-6.9486276268886424</v>
      </c>
      <c r="T87" s="244">
        <f>-psi_t+SQRT(psi_t^2-2*Tabella34[[#This Row],[c_t]])</f>
        <v>3.8262254266545903</v>
      </c>
      <c r="U87" s="244">
        <f>-psi_t-SQRT(psi_t^2-2*Tabella34[[#This Row],[c_t]])</f>
        <v>-3.8756181610743954</v>
      </c>
      <c r="V87" s="244">
        <f>phi_t-LN(alpha*Kt/(Tabella34[[#This Row],[Italy velocity]]*psi_t*SQRTPI(2)))</f>
        <v>-7.414494375953578</v>
      </c>
      <c r="W87" s="244">
        <f>Tabella34[[#This Row],[Italy g.r.]]/Italy_gr_at_lockdown</f>
        <v>0.13475405743207364</v>
      </c>
      <c r="X87" s="244">
        <f>(ACOSH(SQRT(alpha*Kf*psi_f/(Tabella34[[#This Row],[Italy velocity]]*(1+TANH(phi_f)))))+phi_f)/psi_f-(Tabella34[[#This Row],[Day]]-pf)</f>
        <v>98.613127228844291</v>
      </c>
      <c r="Y87" s="244">
        <f>Tabella34[[#This Row],[Italy h.t.]]/Italy_ht_at_lockdown</f>
        <v>0.85302811951600754</v>
      </c>
      <c r="Z87" s="72">
        <f>-2*$BY$48*TANH($BY$48*(Tabella34[[#This Row],[Day]]-$BY$57)-$BY$47)*Tabella34[[#This Row],[Italy velocity]]</f>
        <v>46.941515966705673</v>
      </c>
      <c r="AA87" s="72">
        <f>Tabella34[[#This Row],[Italy acc. fit]]/Itali_acc_at_lockdown</f>
        <v>1.300010446979633</v>
      </c>
      <c r="AB87" s="77">
        <f>Tabella34[[#This Row],[Italy acc. fit]]/y_f_peak</f>
        <v>1.5639842073111664E-2</v>
      </c>
      <c r="AC87" s="143">
        <f>Tabella34[[#This Row],[Italy (fit of selected region + fitted sum of the other regions)]]*NOT(ISBLANK(Tabella34[[#This Row],[Italy rate data]]))</f>
        <v>46.950606387724086</v>
      </c>
      <c r="AD87" s="143">
        <f>Tabella34[[#This Row],[Italy acc. fit]]*NOT(ISBLANK(Tabella34[[#This Row],[Italy rate data]]))</f>
        <v>46.941515966705673</v>
      </c>
      <c r="AE87" s="77">
        <f>Tabella34[[#This Row],[Italy acc. fit]]+CIf</f>
        <v>1762.556375301257</v>
      </c>
      <c r="AF87" s="77">
        <f>MAX(Tabella34[[#This Row],[Italy acc. fit]]-CIf,0)</f>
        <v>0</v>
      </c>
      <c r="AG87" s="4">
        <f>Tabella8[[#This Row],[region data]]</f>
        <v>220</v>
      </c>
      <c r="AH87" s="72">
        <f>(Tabella34[[#This Row],[selected region cumul. data]]-AG86)</f>
        <v>44</v>
      </c>
      <c r="AI87" s="72">
        <f>Tabella34[[#This Row],[selected region rate data]]-AH86</f>
        <v>11</v>
      </c>
      <c r="AJ87" s="77">
        <f>Tabella34[[#This Row],[selected region rate data]]*NOT(ISBLANK(Tabella34[[#This Row],[selected region rate data]]))</f>
        <v>44</v>
      </c>
      <c r="AK87" s="77">
        <f>Tabella8[[#This Row],[region fit]]</f>
        <v>221.03323925488343</v>
      </c>
      <c r="AL87" s="143">
        <f>(ATANH(alpha*Tabella34[[#This Row],[sel. region cumul. fit]]/Kl-(1-alpha*Tabella34[[#This Row],[sel. region cumul. fit]]/Kl)*TANH(phi_l))+phi_l)/psi_l-(Tabella34[[#This Row],[Day]]-pl)</f>
        <v>3.922769520556221</v>
      </c>
      <c r="AM87" s="77">
        <f>Tabella34[[#This Row],[sel. region cumul. fit]]/Kl</f>
        <v>2.4641386761971397E-2</v>
      </c>
      <c r="AN87" s="143">
        <f>Tabella3[[#This Row],[region fit]]</f>
        <v>51.646692226162791</v>
      </c>
      <c r="AO87" s="186">
        <f>Tabella34[[#This Row],[sel. region velocity]]/Tabella34[[#This Row],[sel. region cumul. fit]]</f>
        <v>0.23366029652493422</v>
      </c>
      <c r="AP87" s="241">
        <f>(LN(Tabella34[[#This Row],[Day]]-pr)-phi_r)/psi_r</f>
        <v>12.503268272437847</v>
      </c>
      <c r="AQ87" s="244">
        <f>EXP(phi_r+psi_r*Tabella34[[#This Row],[x_r_alpha©+plus]])-(Tabella34[[#This Row],[Day]]-pr)</f>
        <v>-1.0369579909662372</v>
      </c>
      <c r="AR87" s="244">
        <f>EXP(phi_r+psi_r*Tabella34[[#This Row],[x_r_alpha©-minus]])-(Tabella34[[#This Row],[Day]]-pr)</f>
        <v>-1.7584261817013984</v>
      </c>
      <c r="AS87" s="244">
        <f>-psi_r+SQRT(psi_r^2-2*Tabella34[[#This Row],[c_r]])</f>
        <v>3.7908467430862802</v>
      </c>
      <c r="AT87" s="244">
        <f>-psi_r-SQRT(psi_r^2-2*Tabella34[[#This Row],[c_r]])</f>
        <v>-3.8472549815049413</v>
      </c>
      <c r="AU87" s="244">
        <f>phi_r-LN(alpha*Kr/(Tabella34[[#This Row],[sel. region velocity]]*psi_r*SQRTPI(2)))</f>
        <v>-7.2921770082302357</v>
      </c>
      <c r="AV87" s="244">
        <f>(ACOSH(SQRT(alpha*Kl*psi_l/(Tabella34[[#This Row],[sel. region velocity]]*(1+TANH(phi_l)))))+phi_l)/psi_l-(Tabella34[[#This Row],[Day]]-pl)</f>
        <v>90.524536315970337</v>
      </c>
      <c r="AW87" s="72">
        <f>-2*$BY$22*TANH($BY$22*(Tabella34[[#This Row],[Day]]-$BY$31)-$BY$21)*Tabella34[[#This Row],[sel. region velocity]]</f>
        <v>2.3035398814524379</v>
      </c>
      <c r="AX87" s="77">
        <f>Tabella34[[#This Row],[sel. region acc. fit]]/y_l_peak</f>
        <v>1.6716632555309988E-2</v>
      </c>
      <c r="AY87" s="143">
        <f>Tabella34[[#This Row],[sel. region acc. fit]]*NOT(ISBLANK(Tabella34[[#This Row],[selected region rate data]]))</f>
        <v>2.3035398814524379</v>
      </c>
      <c r="AZ87" s="77">
        <f>Tabella34[[#This Row],[sel. region acc. fit]]+CIl</f>
        <v>56.068380291000892</v>
      </c>
      <c r="BA87" s="77">
        <f>MAX(Tabella34[[#This Row],[sel. region acc. fit]]-CIl,0)</f>
        <v>0</v>
      </c>
      <c r="BB87" s="10">
        <f>Tabella8[[#This Row],[rest of Italy ]]</f>
        <v>8941</v>
      </c>
      <c r="BC87" s="10">
        <f>(Tabella34[[#This Row],[rest of Italy cum. Data]]-BB86)</f>
        <v>1272</v>
      </c>
      <c r="BD87" s="10">
        <f>Tabella34[[#This Row],[rest of Italy rate data]]-BC86</f>
        <v>463</v>
      </c>
      <c r="BE87" s="77">
        <f>Tabella34[[#This Row],[rest of Italy rate data]]*NOT(ISBLANK(Tabella34[[#This Row],[rest of Italy rate data]]))</f>
        <v>1272</v>
      </c>
      <c r="BF87" s="77">
        <f>Tabella8[[#This Row],[rest of Italy fit]]</f>
        <v>10119.352858397595</v>
      </c>
      <c r="BG87" s="78">
        <f>(ATANH(alpha*Tabella34[[#This Row],[rest of Italy cumul. fit]]/Ka-(1-alpha*Tabella34[[#This Row],[rest of Italy cumul. fit]]/Ka)*TANH(phi_a))+phi_a)/psi_a-(Tabella34[[#This Row],[Day]]-pa)</f>
        <v>7.4037643744977011</v>
      </c>
      <c r="BH87" s="77">
        <f>Tabella34[[#This Row],[rest of Italy cumul. fit]]/Ka</f>
        <v>4.684234994397813E-2</v>
      </c>
      <c r="BI87" s="143">
        <f>Tabella3[[#This Row],[rest of Italy fit]]</f>
        <v>1192.2923523319887</v>
      </c>
      <c r="BJ87" s="183">
        <f>Tabella34[[#This Row],[rest of Italy velocity]]/Tabella34[[#This Row],[rest of Italy cumul. fit]]</f>
        <v>0.11782298423782693</v>
      </c>
      <c r="BK87" s="236">
        <f>(LN(Tabella34[[#This Row],[Day]]-po)-phi_o)/psi_o</f>
        <v>43.842496693901978</v>
      </c>
      <c r="BL87" s="244">
        <f>EXP(phi_o+psi_o*Tabella34[[#This Row],[x_o_alpha©+plus]])-(Tabella34[[#This Row],[Day]]-po)</f>
        <v>-6.4405159556640967</v>
      </c>
      <c r="BM87" s="244">
        <f>EXP(phi_o+psi_o*Tabella34[[#This Row],[x_o_alpha©-minus]])-(Tabella34[[#This Row],[Day]]-po)</f>
        <v>-7.1057184350349392</v>
      </c>
      <c r="BN87" s="244">
        <f>-psi_o+SQRT(psi_o^2-2*Tabella34[[#This Row],[c_o]])</f>
        <v>3.8289853798123619</v>
      </c>
      <c r="BO87" s="244">
        <f>-psi_o-SQRT(psi_o^2-2*Tabella34[[#This Row],[c_o]])</f>
        <v>-3.8780124653819912</v>
      </c>
      <c r="BP87" s="244">
        <f>phi_o-LN(alpha*Ko/(Tabella34[[#This Row],[rest of Italy velocity]]*psi_o*SQRTPI(2)))</f>
        <v>-7.4244265163388681</v>
      </c>
      <c r="BQ87" s="244">
        <f>(ACOSH(SQRT(alpha*Ka*psi_a/(Tabella34[[#This Row],[rest of Italy velocity]]*(1+TANH(phi_a)))))+phi_a)/psi_a-(Tabella34[[#This Row],[Day]]-pa)</f>
        <v>98.968266321580245</v>
      </c>
      <c r="BR87" s="72">
        <f>-2*$BY$35*TANH($BY$35*(Tabella34[[#This Row],[Day]]-$BY$44)-$BY$34)*Tabella34[[#This Row],[rest of Italy velocity]]</f>
        <v>44.647066506271649</v>
      </c>
      <c r="BS87" s="77">
        <f>Tabella34[[#This Row],[rest of Italy acc. fit]]/y_a_peak</f>
        <v>1.5601091162034038E-2</v>
      </c>
      <c r="BT87" s="77">
        <f>Tabella34[[#This Row],[rest of Italy acc. fit]]*NOT(ISBLANK(Tabella34[[#This Row],[rest of Italy rate data]]))</f>
        <v>44.647066506271649</v>
      </c>
      <c r="BU87" s="77">
        <f>Tabella34[[#This Row],[rest of Italy acc. fit]]+CIa</f>
        <v>1739.2212614158543</v>
      </c>
      <c r="BV87" s="77">
        <f>MAX(Tabella34[[#This Row],[rest of Italy acc. fit]]-CIa,0)</f>
        <v>0</v>
      </c>
    </row>
    <row r="88" spans="2:74" x14ac:dyDescent="0.3">
      <c r="B88" s="262">
        <v>43911</v>
      </c>
      <c r="C88" s="29">
        <v>81</v>
      </c>
      <c r="D88" s="10">
        <f>Tabella8[[#This Row],[Italy cumulative]]</f>
        <v>10897</v>
      </c>
      <c r="E88" s="72">
        <f>(Tabella34[[#This Row],[Italy cumul. data]]-D87)</f>
        <v>1736</v>
      </c>
      <c r="F88" s="72">
        <f>Tabella34[[#This Row],[Italy rate data]]-E87</f>
        <v>420</v>
      </c>
      <c r="G88" s="77">
        <f>Tabella34[[#This Row],[Italy rate data]]*NOT(ISBLANK(Tabella34[[#This Row],[Italy rate data]]))</f>
        <v>1736</v>
      </c>
      <c r="H88" s="143">
        <f>Tabella8[[#This Row],[Italy fit]]</f>
        <v>11654.162222470273</v>
      </c>
      <c r="I88" s="143">
        <f>(ATANH(alpha*Tabella34[[#This Row],[Italy cumul. Fit]]/Kf-(1-alpha*Tabella34[[#This Row],[Italy cumul. Fit]]/Kf)*TANH(phi_f))+phi_f)/psi_f-(Tabella34[[#This Row],[Day]]-pf)</f>
        <v>7.8356191438183167</v>
      </c>
      <c r="J88" s="143">
        <f>Tabella34[[#This Row],[Italy d.t.]]/Italy_dt_at_lockdown</f>
        <v>7.1064124075448802</v>
      </c>
      <c r="K88" s="77">
        <f>Tabella34[[#This Row],[Italy cumul. Fit]]/Kf</f>
        <v>5.1796276544312327E-2</v>
      </c>
      <c r="L88" s="146">
        <f>Tabella34[[#This Row],[sel. region acc. fit]]+Tabella34[[#This Row],[rest of Italy acc. fit]]</f>
        <v>48.082541192091341</v>
      </c>
      <c r="M88" s="77">
        <f>Tabella34[[#This Row],[Italy (fit of selected region + fitted sum of the other regions)]]/(y_l_peak+y_a_peak)</f>
        <v>1.6029701527779598E-2</v>
      </c>
      <c r="N88" s="143">
        <f>Tabella3[[#This Row],[Italy remov. rate fit]]</f>
        <v>1288.4154877630747</v>
      </c>
      <c r="O88" s="143">
        <f>Kt*EXP(-0.5*Tabella34[[#This Row],[x_t]]^2)/(psi_t*SQRTPI(2)*(Tabella34[[#This Row],[Day]]-D_bk))</f>
        <v>0</v>
      </c>
      <c r="P88" s="183">
        <f>Tabella34[[#This Row],[Italy velocity]]/Tabella34[[#This Row],[Italy cumul. Fit]]</f>
        <v>0.11055410617838267</v>
      </c>
      <c r="Q88" s="244">
        <f>(LN(Tabella34[[#This Row],[Day]]-D_bk)-phi_t)/psi_t</f>
        <v>46.601075411306475</v>
      </c>
      <c r="R88" s="244">
        <f>EXP(phi_t+psi_t*Tabella34[[#This Row],[x_t_alpha©+plus]])-(Tabella34[[#This Row],[Day]]-D_bk)</f>
        <v>-7.2776786851941297</v>
      </c>
      <c r="S88" s="244">
        <f>EXP(phi_t+psi_t*Tabella34[[#This Row],[x_t_alpha©-minus]])-(Tabella34[[#This Row],[Day]]-D_bk)</f>
        <v>-7.9478537733460328</v>
      </c>
      <c r="T88" s="244">
        <f>-psi_t+SQRT(psi_t^2-2*Tabella34[[#This Row],[c_t]])</f>
        <v>3.8164561173482401</v>
      </c>
      <c r="U88" s="244">
        <f>-psi_t-SQRT(psi_t^2-2*Tabella34[[#This Row],[c_t]])</f>
        <v>-3.8658488517680452</v>
      </c>
      <c r="V88" s="244">
        <f>phi_t-LN(alpha*Kt/(Tabella34[[#This Row],[Italy velocity]]*psi_t*SQRTPI(2)))</f>
        <v>-7.3769212495369123</v>
      </c>
      <c r="W88" s="244">
        <f>Tabella34[[#This Row],[Italy g.r.]]/Italy_gr_at_lockdown</f>
        <v>0.12473183211412871</v>
      </c>
      <c r="X88" s="244">
        <f>(ACOSH(SQRT(alpha*Kf*psi_f/(Tabella34[[#This Row],[Italy velocity]]*(1+TANH(phi_f)))))+phi_f)/psi_f-(Tabella34[[#This Row],[Day]]-pf)</f>
        <v>96.756914514507756</v>
      </c>
      <c r="Y88" s="244">
        <f>Tabella34[[#This Row],[Italy h.t.]]/Italy_ht_at_lockdown</f>
        <v>0.83697141707052369</v>
      </c>
      <c r="Z88" s="72">
        <f>-2*$BY$48*TANH($BY$48*(Tabella34[[#This Row],[Day]]-$BY$57)-$BY$47)*Tabella34[[#This Row],[Italy velocity]]</f>
        <v>48.076640505480675</v>
      </c>
      <c r="AA88" s="72">
        <f>Tabella34[[#This Row],[Italy acc. fit]]/Itali_acc_at_lockdown</f>
        <v>1.3314468786465841</v>
      </c>
      <c r="AB88" s="77">
        <f>Tabella34[[#This Row],[Italy acc. fit]]/y_f_peak</f>
        <v>1.6018039669719892E-2</v>
      </c>
      <c r="AC88" s="143">
        <f>Tabella34[[#This Row],[Italy (fit of selected region + fitted sum of the other regions)]]*NOT(ISBLANK(Tabella34[[#This Row],[Italy rate data]]))</f>
        <v>48.082541192091341</v>
      </c>
      <c r="AD88" s="143">
        <f>Tabella34[[#This Row],[Italy acc. fit]]*NOT(ISBLANK(Tabella34[[#This Row],[Italy rate data]]))</f>
        <v>48.076640505480675</v>
      </c>
      <c r="AE88" s="77">
        <f>Tabella34[[#This Row],[Italy acc. fit]]+CIf</f>
        <v>1763.6914998400321</v>
      </c>
      <c r="AF88" s="77">
        <f>MAX(Tabella34[[#This Row],[Italy acc. fit]]-CIf,0)</f>
        <v>0</v>
      </c>
      <c r="AG88" s="4">
        <f>Tabella8[[#This Row],[region data]]</f>
        <v>277</v>
      </c>
      <c r="AH88" s="72">
        <f>(Tabella34[[#This Row],[selected region cumul. data]]-AG87)</f>
        <v>57</v>
      </c>
      <c r="AI88" s="72">
        <f>Tabella34[[#This Row],[selected region rate data]]-AH87</f>
        <v>13</v>
      </c>
      <c r="AJ88" s="77">
        <f>Tabella34[[#This Row],[selected region rate data]]*NOT(ISBLANK(Tabella34[[#This Row],[selected region rate data]]))</f>
        <v>57</v>
      </c>
      <c r="AK88" s="77">
        <f>Tabella8[[#This Row],[region fit]]</f>
        <v>273.84365113606447</v>
      </c>
      <c r="AL88" s="143">
        <f>(ATANH(alpha*Tabella34[[#This Row],[sel. region cumul. fit]]/Kl-(1-alpha*Tabella34[[#This Row],[sel. region cumul. fit]]/Kl)*TANH(phi_l))+phi_l)/psi_l-(Tabella34[[#This Row],[Day]]-pl)</f>
        <v>4.5887870211612878</v>
      </c>
      <c r="AM88" s="77">
        <f>Tabella34[[#This Row],[sel. region cumul. fit]]/Kl</f>
        <v>3.0528835132225693E-2</v>
      </c>
      <c r="AN88" s="143">
        <f>Tabella3[[#This Row],[region fit]]</f>
        <v>53.986036518713341</v>
      </c>
      <c r="AO88" s="186">
        <f>Tabella34[[#This Row],[sel. region velocity]]/Tabella34[[#This Row],[sel. region cumul. fit]]</f>
        <v>0.19714182269608049</v>
      </c>
      <c r="AP88" s="241">
        <f>(LN(Tabella34[[#This Row],[Day]]-pr)-phi_r)/psi_r</f>
        <v>19.26476339566906</v>
      </c>
      <c r="AQ88" s="244">
        <f>EXP(phi_r+psi_r*Tabella34[[#This Row],[x_r_alpha©+plus]])-(Tabella34[[#This Row],[Day]]-pr)</f>
        <v>-2.0381775492089025</v>
      </c>
      <c r="AR88" s="244">
        <f>EXP(phi_r+psi_r*Tabella34[[#This Row],[x_r_alpha©-minus]])-(Tabella34[[#This Row],[Day]]-pr)</f>
        <v>-2.7574426541039347</v>
      </c>
      <c r="AS88" s="244">
        <f>-psi_r+SQRT(psi_r^2-2*Tabella34[[#This Row],[c_r]])</f>
        <v>3.7792295218902239</v>
      </c>
      <c r="AT88" s="244">
        <f>-psi_r-SQRT(psi_r^2-2*Tabella34[[#This Row],[c_r]])</f>
        <v>-3.8356377603088849</v>
      </c>
      <c r="AU88" s="244">
        <f>phi_r-LN(alpha*Kr/(Tabella34[[#This Row],[sel. region velocity]]*psi_r*SQRTPI(2)))</f>
        <v>-7.2478777295181169</v>
      </c>
      <c r="AV88" s="244">
        <f>(ACOSH(SQRT(alpha*Kl*psi_l/(Tabella34[[#This Row],[sel. region velocity]]*(1+TANH(phi_l)))))+phi_l)/psi_l-(Tabella34[[#This Row],[Day]]-pl)</f>
        <v>88.65107147107959</v>
      </c>
      <c r="AW88" s="72">
        <f>-2*$BY$22*TANH($BY$22*(Tabella34[[#This Row],[Day]]-$BY$31)-$BY$21)*Tabella34[[#This Row],[sel. region velocity]]</f>
        <v>2.3749628910013252</v>
      </c>
      <c r="AX88" s="77">
        <f>Tabella34[[#This Row],[sel. region acc. fit]]/y_l_peak</f>
        <v>1.7234944487409174E-2</v>
      </c>
      <c r="AY88" s="143">
        <f>Tabella34[[#This Row],[sel. region acc. fit]]*NOT(ISBLANK(Tabella34[[#This Row],[selected region rate data]]))</f>
        <v>2.3749628910013252</v>
      </c>
      <c r="AZ88" s="77">
        <f>Tabella34[[#This Row],[sel. region acc. fit]]+CIl</f>
        <v>56.139803300549779</v>
      </c>
      <c r="BA88" s="77">
        <f>MAX(Tabella34[[#This Row],[sel. region acc. fit]]-CIl,0)</f>
        <v>0</v>
      </c>
      <c r="BB88" s="10">
        <f>Tabella8[[#This Row],[rest of Italy ]]</f>
        <v>10620</v>
      </c>
      <c r="BC88" s="10">
        <f>(Tabella34[[#This Row],[rest of Italy cum. Data]]-BB87)</f>
        <v>1679</v>
      </c>
      <c r="BD88" s="10">
        <f>Tabella34[[#This Row],[rest of Italy rate data]]-BC87</f>
        <v>407</v>
      </c>
      <c r="BE88" s="77">
        <f>Tabella34[[#This Row],[rest of Italy rate data]]*NOT(ISBLANK(Tabella34[[#This Row],[rest of Italy rate data]]))</f>
        <v>1679</v>
      </c>
      <c r="BF88" s="77">
        <f>Tabella8[[#This Row],[rest of Italy fit]]</f>
        <v>11334.146725393943</v>
      </c>
      <c r="BG88" s="78">
        <f>(ATANH(alpha*Tabella34[[#This Row],[rest of Italy cumul. fit]]/Ka-(1-alpha*Tabella34[[#This Row],[rest of Italy cumul. fit]]/Ka)*TANH(phi_a))+phi_a)/psi_a-(Tabella34[[#This Row],[Day]]-pa)</f>
        <v>7.9324732435650489</v>
      </c>
      <c r="BH88" s="77">
        <f>Tabella34[[#This Row],[rest of Italy cumul. fit]]/Ka</f>
        <v>5.2465614615534617E-2</v>
      </c>
      <c r="BI88" s="143">
        <f>Tabella3[[#This Row],[rest of Italy fit]]</f>
        <v>1237.4721498503447</v>
      </c>
      <c r="BJ88" s="183">
        <f>Tabella34[[#This Row],[rest of Italy velocity]]/Tabella34[[#This Row],[rest of Italy cumul. fit]]</f>
        <v>0.1091808832047155</v>
      </c>
      <c r="BK88" s="236">
        <f>(LN(Tabella34[[#This Row],[Day]]-po)-phi_o)/psi_o</f>
        <v>47.620804362287039</v>
      </c>
      <c r="BL88" s="244">
        <f>EXP(phi_o+psi_o*Tabella34[[#This Row],[x_o_alpha©+plus]])-(Tabella34[[#This Row],[Day]]-po)</f>
        <v>-7.4414312189149836</v>
      </c>
      <c r="BM88" s="244">
        <f>EXP(phi_o+psi_o*Tabella34[[#This Row],[x_o_alpha©-minus]])-(Tabella34[[#This Row],[Day]]-po)</f>
        <v>-8.1049605567465335</v>
      </c>
      <c r="BN88" s="244">
        <f>-psi_o+SQRT(psi_o^2-2*Tabella34[[#This Row],[c_o]])</f>
        <v>3.819321537909361</v>
      </c>
      <c r="BO88" s="244">
        <f>-psi_o-SQRT(psi_o^2-2*Tabella34[[#This Row],[c_o]])</f>
        <v>-3.8683486234789903</v>
      </c>
      <c r="BP88" s="244">
        <f>phi_o-LN(alpha*Ko/(Tabella34[[#This Row],[rest of Italy velocity]]*psi_o*SQRTPI(2)))</f>
        <v>-7.3872336068976692</v>
      </c>
      <c r="BQ88" s="244">
        <f>(ACOSH(SQRT(alpha*Ka*psi_a/(Tabella34[[#This Row],[rest of Italy velocity]]*(1+TANH(phi_a)))))+phi_a)/psi_a-(Tabella34[[#This Row],[Day]]-pa)</f>
        <v>97.11354018220112</v>
      </c>
      <c r="BR88" s="72">
        <f>-2*$BY$35*TANH($BY$35*(Tabella34[[#This Row],[Day]]-$BY$44)-$BY$34)*Tabella34[[#This Row],[rest of Italy velocity]]</f>
        <v>45.707578301090017</v>
      </c>
      <c r="BS88" s="77">
        <f>Tabella34[[#This Row],[rest of Italy acc. fit]]/y_a_peak</f>
        <v>1.5971667383140292E-2</v>
      </c>
      <c r="BT88" s="77">
        <f>Tabella34[[#This Row],[rest of Italy acc. fit]]*NOT(ISBLANK(Tabella34[[#This Row],[rest of Italy rate data]]))</f>
        <v>45.707578301090017</v>
      </c>
      <c r="BU88" s="77">
        <f>Tabella34[[#This Row],[rest of Italy acc. fit]]+CIa</f>
        <v>1740.2817732106728</v>
      </c>
      <c r="BV88" s="77">
        <f>MAX(Tabella34[[#This Row],[rest of Italy acc. fit]]-CIa,0)</f>
        <v>0</v>
      </c>
    </row>
    <row r="89" spans="2:74" x14ac:dyDescent="0.3">
      <c r="B89" s="262">
        <v>43912</v>
      </c>
      <c r="C89" s="29">
        <v>82</v>
      </c>
      <c r="D89" s="10">
        <f>Tabella8[[#This Row],[Italy cumulative]]</f>
        <v>12500</v>
      </c>
      <c r="E89" s="72">
        <f>(Tabella34[[#This Row],[Italy cumul. data]]-D88)</f>
        <v>1603</v>
      </c>
      <c r="F89" s="72">
        <f>Tabella34[[#This Row],[Italy rate data]]-E88</f>
        <v>-133</v>
      </c>
      <c r="G89" s="77">
        <f>Tabella34[[#This Row],[Italy rate data]]*NOT(ISBLANK(Tabella34[[#This Row],[Italy rate data]]))</f>
        <v>1603</v>
      </c>
      <c r="H89" s="143">
        <f>Tabella8[[#This Row],[Italy fit]]</f>
        <v>12966.801120014454</v>
      </c>
      <c r="I89" s="143">
        <f>(ATANH(alpha*Tabella34[[#This Row],[Italy cumul. Fit]]/Kf-(1-alpha*Tabella34[[#This Row],[Italy cumul. Fit]]/Kf)*TANH(phi_f))+phi_f)/psi_f-(Tabella34[[#This Row],[Day]]-pf)</f>
        <v>8.3464463824530384</v>
      </c>
      <c r="J89" s="143">
        <f>Tabella34[[#This Row],[Italy d.t.]]/Italy_dt_at_lockdown</f>
        <v>7.5697004974987641</v>
      </c>
      <c r="K89" s="77">
        <f>Tabella34[[#This Row],[Italy cumul. Fit]]/Kf</f>
        <v>5.7630227200064242E-2</v>
      </c>
      <c r="L89" s="146">
        <f>Tabella34[[#This Row],[sel. region acc. fit]]+Tabella34[[#This Row],[rest of Italy acc. fit]]</f>
        <v>49.180464322830446</v>
      </c>
      <c r="M89" s="77">
        <f>Tabella34[[#This Row],[Italy (fit of selected region + fitted sum of the other regions)]]/(y_l_peak+y_a_peak)</f>
        <v>1.6395725861141745E-2</v>
      </c>
      <c r="N89" s="143">
        <f>Tabella3[[#This Row],[Italy remov. rate fit]]</f>
        <v>1337.0458817267242</v>
      </c>
      <c r="O89" s="143">
        <f>Kt*EXP(-0.5*Tabella34[[#This Row],[x_t]]^2)/(psi_t*SQRTPI(2)*(Tabella34[[#This Row],[Day]]-D_bk))</f>
        <v>0</v>
      </c>
      <c r="P89" s="183">
        <f>Tabella34[[#This Row],[Italy velocity]]/Tabella34[[#This Row],[Italy cumul. Fit]]</f>
        <v>0.10311300908772124</v>
      </c>
      <c r="Q89" s="244">
        <f>(LN(Tabella34[[#This Row],[Day]]-D_bk)-phi_t)/psi_t</f>
        <v>50.07719719415411</v>
      </c>
      <c r="R89" s="244">
        <f>EXP(phi_t+psi_t*Tabella34[[#This Row],[x_t_alpha©+plus]])-(Tabella34[[#This Row],[Day]]-D_bk)</f>
        <v>-8.2786035081997742</v>
      </c>
      <c r="S89" s="244">
        <f>EXP(phi_t+psi_t*Tabella34[[#This Row],[x_t_alpha©-minus]])-(Tabella34[[#This Row],[Day]]-D_bk)</f>
        <v>-8.9470885897073327</v>
      </c>
      <c r="T89" s="244">
        <f>-psi_t+SQRT(psi_t^2-2*Tabella34[[#This Row],[c_t]])</f>
        <v>3.806798575939395</v>
      </c>
      <c r="U89" s="244">
        <f>-psi_t-SQRT(psi_t^2-2*Tabella34[[#This Row],[c_t]])</f>
        <v>-3.8561913103592</v>
      </c>
      <c r="V89" s="244">
        <f>phi_t-LN(alpha*Kt/(Tabella34[[#This Row],[Italy velocity]]*psi_t*SQRTPI(2)))</f>
        <v>-7.3398717944126366</v>
      </c>
      <c r="W89" s="244">
        <f>Tabella34[[#This Row],[Italy g.r.]]/Italy_gr_at_lockdown</f>
        <v>0.11633647073732262</v>
      </c>
      <c r="X89" s="244">
        <f>(ACOSH(SQRT(alpha*Kf*psi_f/(Tabella34[[#This Row],[Italy velocity]]*(1+TANH(phi_f)))))+phi_f)/psi_f-(Tabella34[[#This Row],[Day]]-pf)</f>
        <v>94.908319554624825</v>
      </c>
      <c r="Y89" s="244">
        <f>Tabella34[[#This Row],[Italy h.t.]]/Italy_ht_at_lockdown</f>
        <v>0.82098061009899037</v>
      </c>
      <c r="Z89" s="72">
        <f>-2*$BY$48*TANH($BY$48*(Tabella34[[#This Row],[Day]]-$BY$57)-$BY$47)*Tabella34[[#This Row],[Italy velocity]]</f>
        <v>49.177976823833781</v>
      </c>
      <c r="AA89" s="72">
        <f>Tabella34[[#This Row],[Italy acc. fit]]/Itali_acc_at_lockdown</f>
        <v>1.3619475706249307</v>
      </c>
      <c r="AB89" s="77">
        <f>Tabella34[[#This Row],[Italy acc. fit]]/y_f_peak</f>
        <v>1.6384979802216714E-2</v>
      </c>
      <c r="AC89" s="143">
        <f>Tabella34[[#This Row],[Italy (fit of selected region + fitted sum of the other regions)]]*NOT(ISBLANK(Tabella34[[#This Row],[Italy rate data]]))</f>
        <v>49.180464322830446</v>
      </c>
      <c r="AD89" s="143">
        <f>Tabella34[[#This Row],[Italy acc. fit]]*NOT(ISBLANK(Tabella34[[#This Row],[Italy rate data]]))</f>
        <v>49.177976823833781</v>
      </c>
      <c r="AE89" s="77">
        <f>Tabella34[[#This Row],[Italy acc. fit]]+CIf</f>
        <v>1764.7928361583852</v>
      </c>
      <c r="AF89" s="77">
        <f>MAX(Tabella34[[#This Row],[Italy acc. fit]]-CIf,0)</f>
        <v>0</v>
      </c>
      <c r="AG89" s="4">
        <f>Tabella8[[#This Row],[region data]]</f>
        <v>314</v>
      </c>
      <c r="AH89" s="72">
        <f>(Tabella34[[#This Row],[selected region cumul. data]]-AG88)</f>
        <v>37</v>
      </c>
      <c r="AI89" s="72">
        <f>Tabella34[[#This Row],[selected region rate data]]-AH88</f>
        <v>-20</v>
      </c>
      <c r="AJ89" s="77">
        <f>Tabella34[[#This Row],[selected region rate data]]*NOT(ISBLANK(Tabella34[[#This Row],[selected region rate data]]))</f>
        <v>37</v>
      </c>
      <c r="AK89" s="77">
        <f>Tabella8[[#This Row],[region fit]]</f>
        <v>329.02891540797884</v>
      </c>
      <c r="AL89" s="143">
        <f>(ATANH(alpha*Tabella34[[#This Row],[sel. region cumul. fit]]/Kl-(1-alpha*Tabella34[[#This Row],[sel. region cumul. fit]]/Kl)*TANH(phi_l))+phi_l)/psi_l-(Tabella34[[#This Row],[Day]]-pl)</f>
        <v>5.2165333323016796</v>
      </c>
      <c r="AM89" s="77">
        <f>Tabella34[[#This Row],[sel. region cumul. fit]]/Kl</f>
        <v>3.6681038507021049E-2</v>
      </c>
      <c r="AN89" s="143">
        <f>Tabella3[[#This Row],[region fit]]</f>
        <v>56.396175817072752</v>
      </c>
      <c r="AO89" s="186">
        <f>Tabella34[[#This Row],[sel. region velocity]]/Tabella34[[#This Row],[sel. region cumul. fit]]</f>
        <v>0.17140188347016375</v>
      </c>
      <c r="AP89" s="241">
        <f>(LN(Tabella34[[#This Row],[Day]]-pr)-phi_r)/psi_r</f>
        <v>24.941026861028003</v>
      </c>
      <c r="AQ89" s="244">
        <f>EXP(phi_r+psi_r*Tabella34[[#This Row],[x_r_alpha©+plus]])-(Tabella34[[#This Row],[Day]]-pr)</f>
        <v>-3.0393832074672051</v>
      </c>
      <c r="AR89" s="244">
        <f>EXP(phi_r+psi_r*Tabella34[[#This Row],[x_r_alpha©-minus]])-(Tabella34[[#This Row],[Day]]-pr)</f>
        <v>-3.7564697024734319</v>
      </c>
      <c r="AS89" s="244">
        <f>-psi_r+SQRT(psi_r^2-2*Tabella34[[#This Row],[c_r]])</f>
        <v>3.7677409658213001</v>
      </c>
      <c r="AT89" s="244">
        <f>-psi_r-SQRT(psi_r^2-2*Tabella34[[#This Row],[c_r]])</f>
        <v>-3.8241492042399612</v>
      </c>
      <c r="AU89" s="244">
        <f>phi_r-LN(alpha*Kr/(Tabella34[[#This Row],[sel. region velocity]]*psi_r*SQRTPI(2)))</f>
        <v>-7.2042018081139139</v>
      </c>
      <c r="AV89" s="244">
        <f>(ACOSH(SQRT(alpha*Kl*psi_l/(Tabella34[[#This Row],[sel. region velocity]]*(1+TANH(phi_l)))))+phi_l)/psi_l-(Tabella34[[#This Row],[Day]]-pl)</f>
        <v>86.78527092835553</v>
      </c>
      <c r="AW89" s="72">
        <f>-2*$BY$22*TANH($BY$22*(Tabella34[[#This Row],[Day]]-$BY$31)-$BY$21)*Tabella34[[#This Row],[sel. region velocity]]</f>
        <v>2.4450581873004396</v>
      </c>
      <c r="AX89" s="77">
        <f>Tabella34[[#This Row],[sel. region acc. fit]]/y_l_peak</f>
        <v>1.7743621294579997E-2</v>
      </c>
      <c r="AY89" s="143">
        <f>Tabella34[[#This Row],[sel. region acc. fit]]*NOT(ISBLANK(Tabella34[[#This Row],[selected region rate data]]))</f>
        <v>2.4450581873004396</v>
      </c>
      <c r="AZ89" s="77">
        <f>Tabella34[[#This Row],[sel. region acc. fit]]+CIl</f>
        <v>56.209898596848895</v>
      </c>
      <c r="BA89" s="77">
        <f>MAX(Tabella34[[#This Row],[sel. region acc. fit]]-CIl,0)</f>
        <v>0</v>
      </c>
      <c r="BB89" s="10">
        <f>Tabella8[[#This Row],[rest of Italy ]]</f>
        <v>12186</v>
      </c>
      <c r="BC89" s="10">
        <f>(Tabella34[[#This Row],[rest of Italy cum. Data]]-BB88)</f>
        <v>1566</v>
      </c>
      <c r="BD89" s="10">
        <f>Tabella34[[#This Row],[rest of Italy rate data]]-BC88</f>
        <v>-113</v>
      </c>
      <c r="BE89" s="77">
        <f>Tabella34[[#This Row],[rest of Italy rate data]]*NOT(ISBLANK(Tabella34[[#This Row],[rest of Italy rate data]]))</f>
        <v>1566</v>
      </c>
      <c r="BF89" s="77">
        <f>Tabella8[[#This Row],[rest of Italy fit]]</f>
        <v>12594.645448434665</v>
      </c>
      <c r="BG89" s="78">
        <f>(ATANH(alpha*Tabella34[[#This Row],[rest of Italy cumul. fit]]/Ka-(1-alpha*Tabella34[[#This Row],[rest of Italy cumul. fit]]/Ka)*TANH(phi_a))+phi_a)/psi_a-(Tabella34[[#This Row],[Day]]-pa)</f>
        <v>8.4430165807332038</v>
      </c>
      <c r="BH89" s="77">
        <f>Tabella34[[#This Row],[rest of Italy cumul. fit]]/Ka</f>
        <v>5.8300446458522726E-2</v>
      </c>
      <c r="BI89" s="143">
        <f>Tabella3[[#This Row],[rest of Italy fit]]</f>
        <v>1283.6966180315158</v>
      </c>
      <c r="BJ89" s="183">
        <f>Tabella34[[#This Row],[rest of Italy velocity]]/Tabella34[[#This Row],[rest of Italy cumul. fit]]</f>
        <v>0.10192399804244279</v>
      </c>
      <c r="BK89" s="236">
        <f>(LN(Tabella34[[#This Row],[Day]]-po)-phi_o)/psi_o</f>
        <v>51.078638834456477</v>
      </c>
      <c r="BL89" s="244">
        <f>EXP(phi_o+psi_o*Tabella34[[#This Row],[x_o_alpha©+plus]])-(Tabella34[[#This Row],[Day]]-po)</f>
        <v>-8.4423357381995103</v>
      </c>
      <c r="BM89" s="244">
        <f>EXP(phi_o+psi_o*Tabella34[[#This Row],[x_o_alpha©-minus]])-(Tabella34[[#This Row],[Day]]-po)</f>
        <v>-9.1042112220338147</v>
      </c>
      <c r="BN89" s="244">
        <f>-psi_o+SQRT(psi_o^2-2*Tabella34[[#This Row],[c_o]])</f>
        <v>3.8097688868924102</v>
      </c>
      <c r="BO89" s="244">
        <f>-psi_o-SQRT(psi_o^2-2*Tabella34[[#This Row],[c_o]])</f>
        <v>-3.8587959724620395</v>
      </c>
      <c r="BP89" s="244">
        <f>phi_o-LN(alpha*Ko/(Tabella34[[#This Row],[rest of Italy velocity]]*psi_o*SQRTPI(2)))</f>
        <v>-7.3505604183758093</v>
      </c>
      <c r="BQ89" s="244">
        <f>(ACOSH(SQRT(alpha*Ka*psi_a/(Tabella34[[#This Row],[rest of Italy velocity]]*(1+TANH(phi_a)))))+phi_a)/psi_a-(Tabella34[[#This Row],[Day]]-pa)</f>
        <v>95.266453609225167</v>
      </c>
      <c r="BR89" s="72">
        <f>-2*$BY$35*TANH($BY$35*(Tabella34[[#This Row],[Day]]-$BY$44)-$BY$34)*Tabella34[[#This Row],[rest of Italy velocity]]</f>
        <v>46.735406135530006</v>
      </c>
      <c r="BS89" s="77">
        <f>Tabella34[[#This Row],[rest of Italy acc. fit]]/y_a_peak</f>
        <v>1.6330822799134347E-2</v>
      </c>
      <c r="BT89" s="77">
        <f>Tabella34[[#This Row],[rest of Italy acc. fit]]*NOT(ISBLANK(Tabella34[[#This Row],[rest of Italy rate data]]))</f>
        <v>46.735406135530006</v>
      </c>
      <c r="BU89" s="77">
        <f>Tabella34[[#This Row],[rest of Italy acc. fit]]+CIa</f>
        <v>1741.3096010451127</v>
      </c>
      <c r="BV89" s="77">
        <f>MAX(Tabella34[[#This Row],[rest of Italy acc. fit]]-CIa,0)</f>
        <v>0</v>
      </c>
    </row>
    <row r="90" spans="2:74" x14ac:dyDescent="0.3">
      <c r="B90" s="262">
        <v>43913</v>
      </c>
      <c r="C90" s="29">
        <v>83</v>
      </c>
      <c r="D90" s="10">
        <f>Tabella8[[#This Row],[Italy cumulative]]</f>
        <v>13509</v>
      </c>
      <c r="E90" s="72">
        <f>(Tabella34[[#This Row],[Italy cumul. data]]-D89)</f>
        <v>1009</v>
      </c>
      <c r="F90" s="72">
        <f>Tabella34[[#This Row],[Italy rate data]]-E89</f>
        <v>-594</v>
      </c>
      <c r="G90" s="77">
        <f>Tabella34[[#This Row],[Italy rate data]]*NOT(ISBLANK(Tabella34[[#This Row],[Italy rate data]]))</f>
        <v>1009</v>
      </c>
      <c r="H90" s="143">
        <f>Tabella8[[#This Row],[Italy fit]]</f>
        <v>14328.614629851865</v>
      </c>
      <c r="I90" s="143">
        <f>(ATANH(alpha*Tabella34[[#This Row],[Italy cumul. Fit]]/Kf-(1-alpha*Tabella34[[#This Row],[Italy cumul. Fit]]/Kf)*TANH(phi_f))+phi_f)/psi_f-(Tabella34[[#This Row],[Day]]-pf)</f>
        <v>8.8413871600457661</v>
      </c>
      <c r="J90" s="143">
        <f>Tabella34[[#This Row],[Italy d.t.]]/Italy_dt_at_lockdown</f>
        <v>8.0185805691724497</v>
      </c>
      <c r="K90" s="77">
        <f>Tabella34[[#This Row],[Italy cumul. Fit]]/Kf</f>
        <v>6.3682731688230507E-2</v>
      </c>
      <c r="L90" s="146">
        <f>Tabella34[[#This Row],[sel. region acc. fit]]+Tabella34[[#This Row],[rest of Italy acc. fit]]</f>
        <v>50.237751834666646</v>
      </c>
      <c r="M90" s="77">
        <f>Tabella34[[#This Row],[Italy (fit of selected region + fitted sum of the other regions)]]/(y_l_peak+y_a_peak)</f>
        <v>1.6748203139247225E-2</v>
      </c>
      <c r="N90" s="143">
        <f>Tabella3[[#This Row],[Italy remov. rate fit]]</f>
        <v>1386.7579813104051</v>
      </c>
      <c r="O90" s="143">
        <f>Kt*EXP(-0.5*Tabella34[[#This Row],[x_t]]^2)/(psi_t*SQRTPI(2)*(Tabella34[[#This Row],[Day]]-D_bk))</f>
        <v>0</v>
      </c>
      <c r="P90" s="183">
        <f>Tabella34[[#This Row],[Italy velocity]]/Tabella34[[#This Row],[Italy cumul. Fit]]</f>
        <v>9.6782418756749117E-2</v>
      </c>
      <c r="Q90" s="244">
        <f>(LN(Tabella34[[#This Row],[Day]]-D_bk)-phi_t)/psi_t</f>
        <v>53.278352113696485</v>
      </c>
      <c r="R90" s="244">
        <f>EXP(phi_t+psi_t*Tabella34[[#This Row],[x_t_alpha©+plus]])-(Tabella34[[#This Row],[Day]]-D_bk)</f>
        <v>-9.2795168352748547</v>
      </c>
      <c r="S90" s="244">
        <f>EXP(phi_t+psi_t*Tabella34[[#This Row],[x_t_alpha©-minus]])-(Tabella34[[#This Row],[Day]]-D_bk)</f>
        <v>-9.9463325592644498</v>
      </c>
      <c r="T90" s="244">
        <f>-psi_t+SQRT(psi_t^2-2*Tabella34[[#This Row],[c_t]])</f>
        <v>3.7972588205965567</v>
      </c>
      <c r="U90" s="244">
        <f>-psi_t-SQRT(psi_t^2-2*Tabella34[[#This Row],[c_t]])</f>
        <v>-3.8466515550163618</v>
      </c>
      <c r="V90" s="244">
        <f>phi_t-LN(alpha*Kt/(Tabella34[[#This Row],[Italy velocity]]*psi_t*SQRTPI(2)))</f>
        <v>-7.3033657735236703</v>
      </c>
      <c r="W90" s="244">
        <f>Tabella34[[#This Row],[Italy g.r.]]/Italy_gr_at_lockdown</f>
        <v>0.10919403019267153</v>
      </c>
      <c r="X90" s="244">
        <f>(ACOSH(SQRT(alpha*Kf*psi_f/(Tabella34[[#This Row],[Italy velocity]]*(1+TANH(phi_f)))))+phi_f)/psi_f-(Tabella34[[#This Row],[Day]]-pf)</f>
        <v>93.067753777675307</v>
      </c>
      <c r="Y90" s="244">
        <f>Tabella34[[#This Row],[Italy h.t.]]/Italy_ht_at_lockdown</f>
        <v>0.80505925756026342</v>
      </c>
      <c r="Z90" s="72">
        <f>-2*$BY$48*TANH($BY$48*(Tabella34[[#This Row],[Day]]-$BY$57)-$BY$47)*Tabella34[[#This Row],[Italy velocity]]</f>
        <v>50.238920975383856</v>
      </c>
      <c r="AA90" s="72">
        <f>Tabella34[[#This Row],[Italy acc. fit]]/Itali_acc_at_lockdown</f>
        <v>1.3913296315207759</v>
      </c>
      <c r="AB90" s="77">
        <f>Tabella34[[#This Row],[Italy acc. fit]]/y_f_peak</f>
        <v>1.6738462186347718E-2</v>
      </c>
      <c r="AC90" s="143">
        <f>Tabella34[[#This Row],[Italy (fit of selected region + fitted sum of the other regions)]]*NOT(ISBLANK(Tabella34[[#This Row],[Italy rate data]]))</f>
        <v>50.237751834666646</v>
      </c>
      <c r="AD90" s="143">
        <f>Tabella34[[#This Row],[Italy acc. fit]]*NOT(ISBLANK(Tabella34[[#This Row],[Italy rate data]]))</f>
        <v>50.238920975383856</v>
      </c>
      <c r="AE90" s="77">
        <f>Tabella34[[#This Row],[Italy acc. fit]]+CIf</f>
        <v>1765.8537803099352</v>
      </c>
      <c r="AF90" s="77">
        <f>MAX(Tabella34[[#This Row],[Italy acc. fit]]-CIf,0)</f>
        <v>0</v>
      </c>
      <c r="AG90" s="4">
        <f>Tabella8[[#This Row],[region data]]</f>
        <v>371</v>
      </c>
      <c r="AH90" s="72">
        <f>(Tabella34[[#This Row],[selected region cumul. data]]-AG89)</f>
        <v>57</v>
      </c>
      <c r="AI90" s="72">
        <f>Tabella34[[#This Row],[selected region rate data]]-AH89</f>
        <v>20</v>
      </c>
      <c r="AJ90" s="77">
        <f>Tabella34[[#This Row],[selected region rate data]]*NOT(ISBLANK(Tabella34[[#This Row],[selected region rate data]]))</f>
        <v>57</v>
      </c>
      <c r="AK90" s="77">
        <f>Tabella8[[#This Row],[region fit]]</f>
        <v>386.65909009117553</v>
      </c>
      <c r="AL90" s="143">
        <f>(ATANH(alpha*Tabella34[[#This Row],[sel. region cumul. fit]]/Kl-(1-alpha*Tabella34[[#This Row],[sel. region cumul. fit]]/Kl)*TANH(phi_l))+phi_l)/psi_l-(Tabella34[[#This Row],[Day]]-pl)</f>
        <v>5.8114529954793497</v>
      </c>
      <c r="AM90" s="77">
        <f>Tabella34[[#This Row],[sel. region cumul. fit]]/Kl</f>
        <v>4.3105807145058586E-2</v>
      </c>
      <c r="AN90" s="143">
        <f>Tabella3[[#This Row],[region fit]]</f>
        <v>58.875561600888808</v>
      </c>
      <c r="AO90" s="186">
        <f>Tabella34[[#This Row],[sel. region velocity]]/Tabella34[[#This Row],[sel. region cumul. fit]]</f>
        <v>0.15226736706747473</v>
      </c>
      <c r="AP90" s="241">
        <f>(LN(Tabella34[[#This Row],[Day]]-pr)-phi_r)/psi_r</f>
        <v>29.832717456786828</v>
      </c>
      <c r="AQ90" s="244">
        <f>EXP(phi_r+psi_r*Tabella34[[#This Row],[x_r_alpha©+plus]])-(Tabella34[[#This Row],[Day]]-pr)</f>
        <v>-4.0405740849026532</v>
      </c>
      <c r="AR90" s="244">
        <f>EXP(phi_r+psi_r*Tabella34[[#This Row],[x_r_alpha©-minus]])-(Tabella34[[#This Row],[Day]]-pr)</f>
        <v>-4.7555080595165808</v>
      </c>
      <c r="AS90" s="244">
        <f>-psi_r+SQRT(psi_r^2-2*Tabella34[[#This Row],[c_r]])</f>
        <v>3.7563895986599358</v>
      </c>
      <c r="AT90" s="244">
        <f>-psi_r-SQRT(psi_r^2-2*Tabella34[[#This Row],[c_r]])</f>
        <v>-3.8127978370785969</v>
      </c>
      <c r="AU90" s="244">
        <f>phi_r-LN(alpha*Kr/(Tabella34[[#This Row],[sel. region velocity]]*psi_r*SQRTPI(2)))</f>
        <v>-7.1611770684975697</v>
      </c>
      <c r="AV90" s="244">
        <f>(ACOSH(SQRT(alpha*Kl*psi_l/(Tabella34[[#This Row],[sel. region velocity]]*(1+TANH(phi_l)))))+phi_l)/psi_l-(Tabella34[[#This Row],[Day]]-pl)</f>
        <v>84.927609249255212</v>
      </c>
      <c r="AW90" s="72">
        <f>-2*$BY$22*TANH($BY$22*(Tabella34[[#This Row],[Day]]-$BY$31)-$BY$21)*Tabella34[[#This Row],[sel. region velocity]]</f>
        <v>2.5133784764218263</v>
      </c>
      <c r="AX90" s="77">
        <f>Tabella34[[#This Row],[sel. region acc. fit]]/y_l_peak</f>
        <v>1.8239416995149613E-2</v>
      </c>
      <c r="AY90" s="143">
        <f>Tabella34[[#This Row],[sel. region acc. fit]]*NOT(ISBLANK(Tabella34[[#This Row],[selected region rate data]]))</f>
        <v>2.5133784764218263</v>
      </c>
      <c r="AZ90" s="77">
        <f>Tabella34[[#This Row],[sel. region acc. fit]]+CIl</f>
        <v>56.278218885970283</v>
      </c>
      <c r="BA90" s="77">
        <f>MAX(Tabella34[[#This Row],[sel. region acc. fit]]-CIl,0)</f>
        <v>0</v>
      </c>
      <c r="BB90" s="10">
        <f>Tabella8[[#This Row],[rest of Italy ]]</f>
        <v>13138</v>
      </c>
      <c r="BC90" s="10">
        <f>(Tabella34[[#This Row],[rest of Italy cum. Data]]-BB89)</f>
        <v>952</v>
      </c>
      <c r="BD90" s="10">
        <f>Tabella34[[#This Row],[rest of Italy rate data]]-BC89</f>
        <v>-614</v>
      </c>
      <c r="BE90" s="77">
        <f>Tabella34[[#This Row],[rest of Italy rate data]]*NOT(ISBLANK(Tabella34[[#This Row],[rest of Italy rate data]]))</f>
        <v>952</v>
      </c>
      <c r="BF90" s="77">
        <f>Tabella8[[#This Row],[rest of Italy fit]]</f>
        <v>13901.876340577151</v>
      </c>
      <c r="BG90" s="78">
        <f>(ATANH(alpha*Tabella34[[#This Row],[rest of Italy cumul. fit]]/Ka-(1-alpha*Tabella34[[#This Row],[rest of Italy cumul. fit]]/Ka)*TANH(phi_a))+phi_a)/psi_a-(Tabella34[[#This Row],[Day]]-pa)</f>
        <v>8.9380063034642596</v>
      </c>
      <c r="BH90" s="77">
        <f>Tabella34[[#This Row],[rest of Italy cumul. fit]]/Ka</f>
        <v>6.4351600891437072E-2</v>
      </c>
      <c r="BI90" s="143">
        <f>Tabella3[[#This Row],[rest of Italy fit]]</f>
        <v>1330.9300121854699</v>
      </c>
      <c r="BJ90" s="183">
        <f>Tabella34[[#This Row],[rest of Italy velocity]]/Tabella34[[#This Row],[rest of Italy cumul. fit]]</f>
        <v>9.5737437132908262E-2</v>
      </c>
      <c r="BK90" s="236">
        <f>(LN(Tabella34[[#This Row],[Day]]-po)-phi_o)/psi_o</f>
        <v>54.266139561407577</v>
      </c>
      <c r="BL90" s="244">
        <f>EXP(phi_o+psi_o*Tabella34[[#This Row],[x_o_alpha©+plus]])-(Tabella34[[#This Row],[Day]]-po)</f>
        <v>-9.4432289617347749</v>
      </c>
      <c r="BM90" s="244">
        <f>EXP(phi_o+psi_o*Tabella34[[#This Row],[x_o_alpha©-minus]])-(Tabella34[[#This Row],[Day]]-po)</f>
        <v>-10.103470900590287</v>
      </c>
      <c r="BN90" s="244">
        <f>-psi_o+SQRT(psi_o^2-2*Tabella34[[#This Row],[c_o]])</f>
        <v>3.8003333348494044</v>
      </c>
      <c r="BO90" s="244">
        <f>-psi_o-SQRT(psi_o^2-2*Tabella34[[#This Row],[c_o]])</f>
        <v>-3.8493604204190337</v>
      </c>
      <c r="BP90" s="244">
        <f>phi_o-LN(alpha*Ko/(Tabella34[[#This Row],[rest of Italy velocity]]*psi_o*SQRTPI(2)))</f>
        <v>-7.3144263617841867</v>
      </c>
      <c r="BQ90" s="244">
        <f>(ACOSH(SQRT(alpha*Ka*psi_a/(Tabella34[[#This Row],[rest of Italy velocity]]*(1+TANH(phi_a)))))+phi_a)/psi_a-(Tabella34[[#This Row],[Day]]-pa)</f>
        <v>93.427416040829925</v>
      </c>
      <c r="BR90" s="72">
        <f>-2*$BY$35*TANH($BY$35*(Tabella34[[#This Row],[Day]]-$BY$44)-$BY$34)*Tabella34[[#This Row],[rest of Italy velocity]]</f>
        <v>47.724373358244819</v>
      </c>
      <c r="BS90" s="77">
        <f>Tabella34[[#This Row],[rest of Italy acc. fit]]/y_a_peak</f>
        <v>1.6676399093506791E-2</v>
      </c>
      <c r="BT90" s="77">
        <f>Tabella34[[#This Row],[rest of Italy acc. fit]]*NOT(ISBLANK(Tabella34[[#This Row],[rest of Italy rate data]]))</f>
        <v>47.724373358244819</v>
      </c>
      <c r="BU90" s="77">
        <f>Tabella34[[#This Row],[rest of Italy acc. fit]]+CIa</f>
        <v>1742.2985682678275</v>
      </c>
      <c r="BV90" s="77">
        <f>MAX(Tabella34[[#This Row],[rest of Italy acc. fit]]-CIa,0)</f>
        <v>0</v>
      </c>
    </row>
    <row r="91" spans="2:74" x14ac:dyDescent="0.3">
      <c r="B91" s="262">
        <v>43914</v>
      </c>
      <c r="C91" s="29">
        <v>84</v>
      </c>
      <c r="D91" s="10">
        <f>Tabella8[[#This Row],[Italy cumulative]]</f>
        <v>15146</v>
      </c>
      <c r="E91" s="72">
        <f>(Tabella34[[#This Row],[Italy cumul. data]]-D90)</f>
        <v>1637</v>
      </c>
      <c r="F91" s="72">
        <f>Tabella34[[#This Row],[Italy rate data]]-E90</f>
        <v>628</v>
      </c>
      <c r="G91" s="77">
        <f>Tabella34[[#This Row],[Italy rate data]]*NOT(ISBLANK(Tabella34[[#This Row],[Italy rate data]]))</f>
        <v>1637</v>
      </c>
      <c r="H91" s="143">
        <f>Tabella8[[#This Row],[Italy fit]]</f>
        <v>15740.663116114691</v>
      </c>
      <c r="I91" s="143">
        <f>(ATANH(alpha*Tabella34[[#This Row],[Italy cumul. Fit]]/Kf-(1-alpha*Tabella34[[#This Row],[Italy cumul. Fit]]/Kf)*TANH(phi_f))+phi_f)/psi_f-(Tabella34[[#This Row],[Day]]-pf)</f>
        <v>9.3229113205036214</v>
      </c>
      <c r="J91" s="143">
        <f>Tabella34[[#This Row],[Italy d.t.]]/Italy_dt_at_lockdown</f>
        <v>8.4552926152281795</v>
      </c>
      <c r="K91" s="77">
        <f>Tabella34[[#This Row],[Italy cumul. Fit]]/Kf</f>
        <v>6.995850273828752E-2</v>
      </c>
      <c r="L91" s="146">
        <f>Tabella34[[#This Row],[sel. region acc. fit]]+Tabella34[[#This Row],[rest of Italy acc. fit]]</f>
        <v>51.247422421525677</v>
      </c>
      <c r="M91" s="77">
        <f>Tabella34[[#This Row],[Italy (fit of selected region + fitted sum of the other regions)]]/(y_l_peak+y_a_peak)</f>
        <v>1.7084805942415838E-2</v>
      </c>
      <c r="N91" s="143">
        <f>Tabella3[[#This Row],[Italy remov. rate fit]]</f>
        <v>1437.5079436059846</v>
      </c>
      <c r="O91" s="143">
        <f>Kt*EXP(-0.5*Tabella34[[#This Row],[x_t]]^2)/(psi_t*SQRTPI(2)*(Tabella34[[#This Row],[Day]]-D_bk))</f>
        <v>0</v>
      </c>
      <c r="P91" s="183">
        <f>Tabella34[[#This Row],[Italy velocity]]/Tabella34[[#This Row],[Italy cumul. Fit]]</f>
        <v>9.1324484426219557E-2</v>
      </c>
      <c r="Q91" s="244">
        <f>(LN(Tabella34[[#This Row],[Day]]-D_bk)-phi_t)/psi_t</f>
        <v>56.244870108246687</v>
      </c>
      <c r="R91" s="244">
        <f>EXP(phi_t+psi_t*Tabella34[[#This Row],[x_t_alpha©+plus]])-(Tabella34[[#This Row],[Day]]-D_bk)</f>
        <v>-10.280418082683834</v>
      </c>
      <c r="S91" s="244">
        <f>EXP(phi_t+psi_t*Tabella34[[#This Row],[x_t_alpha©-minus]])-(Tabella34[[#This Row],[Day]]-D_bk)</f>
        <v>-10.945586178758445</v>
      </c>
      <c r="T91" s="244">
        <f>-psi_t+SQRT(psi_t^2-2*Tabella34[[#This Row],[c_t]])</f>
        <v>3.7878430344180845</v>
      </c>
      <c r="U91" s="244">
        <f>-psi_t-SQRT(psi_t^2-2*Tabella34[[#This Row],[c_t]])</f>
        <v>-3.8372357688378895</v>
      </c>
      <c r="V91" s="244">
        <f>phi_t-LN(alpha*Kt/(Tabella34[[#This Row],[Italy velocity]]*psi_t*SQRTPI(2)))</f>
        <v>-7.2674233892062619</v>
      </c>
      <c r="W91" s="244">
        <f>Tabella34[[#This Row],[Italy g.r.]]/Italy_gr_at_lockdown</f>
        <v>0.10303615716435457</v>
      </c>
      <c r="X91" s="244">
        <f>(ACOSH(SQRT(alpha*Kf*psi_f/(Tabella34[[#This Row],[Italy velocity]]*(1+TANH(phi_f)))))+phi_f)/psi_f-(Tabella34[[#This Row],[Day]]-pf)</f>
        <v>91.235650584504498</v>
      </c>
      <c r="Y91" s="244">
        <f>Tabella34[[#This Row],[Italy h.t.]]/Italy_ht_at_lockdown</f>
        <v>0.78921110847963427</v>
      </c>
      <c r="Z91" s="72">
        <f>-2*$BY$48*TANH($BY$48*(Tabella34[[#This Row],[Day]]-$BY$57)-$BY$47)*Tabella34[[#This Row],[Italy velocity]]</f>
        <v>51.252513685767717</v>
      </c>
      <c r="AA91" s="72">
        <f>Tabella34[[#This Row],[Italy acc. fit]]/Itali_acc_at_lockdown</f>
        <v>1.4194003293954678</v>
      </c>
      <c r="AB91" s="77">
        <f>Tabella34[[#This Row],[Italy acc. fit]]/y_f_peak</f>
        <v>1.707616815068224E-2</v>
      </c>
      <c r="AC91" s="143">
        <f>Tabella34[[#This Row],[Italy (fit of selected region + fitted sum of the other regions)]]*NOT(ISBLANK(Tabella34[[#This Row],[Italy rate data]]))</f>
        <v>51.247422421525677</v>
      </c>
      <c r="AD91" s="143">
        <f>Tabella34[[#This Row],[Italy acc. fit]]*NOT(ISBLANK(Tabella34[[#This Row],[Italy rate data]]))</f>
        <v>51.252513685767717</v>
      </c>
      <c r="AE91" s="77">
        <f>Tabella34[[#This Row],[Italy acc. fit]]+CIf</f>
        <v>1766.8673730203191</v>
      </c>
      <c r="AF91" s="77">
        <f>MAX(Tabella34[[#This Row],[Italy acc. fit]]-CIf,0)</f>
        <v>0</v>
      </c>
      <c r="AG91" s="4">
        <f>Tabella8[[#This Row],[region data]]</f>
        <v>424</v>
      </c>
      <c r="AH91" s="72">
        <f>(Tabella34[[#This Row],[selected region cumul. data]]-AG90)</f>
        <v>53</v>
      </c>
      <c r="AI91" s="72">
        <f>Tabella34[[#This Row],[selected region rate data]]-AH90</f>
        <v>-4</v>
      </c>
      <c r="AJ91" s="77">
        <f>Tabella34[[#This Row],[selected region rate data]]*NOT(ISBLANK(Tabella34[[#This Row],[selected region rate data]]))</f>
        <v>53</v>
      </c>
      <c r="AK91" s="77">
        <f>Tabella8[[#This Row],[region fit]]</f>
        <v>446.80245537716399</v>
      </c>
      <c r="AL91" s="143">
        <f>(ATANH(alpha*Tabella34[[#This Row],[sel. region cumul. fit]]/Kl-(1-alpha*Tabella34[[#This Row],[sel. region cumul. fit]]/Kl)*TANH(phi_l))+phi_l)/psi_l-(Tabella34[[#This Row],[Day]]-pl)</f>
        <v>6.3783412079877699</v>
      </c>
      <c r="AM91" s="77">
        <f>Tabella34[[#This Row],[sel. region cumul. fit]]/Kl</f>
        <v>4.981075310782207E-2</v>
      </c>
      <c r="AN91" s="143">
        <f>Tabella3[[#This Row],[region fit]]</f>
        <v>61.422181091512115</v>
      </c>
      <c r="AO91" s="186">
        <f>Tabella34[[#This Row],[sel. region velocity]]/Tabella34[[#This Row],[sel. region cumul. fit]]</f>
        <v>0.13747055404980524</v>
      </c>
      <c r="AP91" s="241">
        <f>(LN(Tabella34[[#This Row],[Day]]-pr)-phi_r)/psi_r</f>
        <v>34.130617832083736</v>
      </c>
      <c r="AQ91" s="244">
        <f>EXP(phi_r+psi_r*Tabella34[[#This Row],[x_r_alpha©+plus]])-(Tabella34[[#This Row],[Day]]-pr)</f>
        <v>-5.0417492701989168</v>
      </c>
      <c r="AR91" s="244">
        <f>EXP(phi_r+psi_r*Tabella34[[#This Row],[x_r_alpha©-minus]])-(Tabella34[[#This Row],[Day]]-pr)</f>
        <v>-5.7545584841657922</v>
      </c>
      <c r="AS91" s="244">
        <f>-psi_r+SQRT(psi_r^2-2*Tabella34[[#This Row],[c_r]])</f>
        <v>3.7451842441451069</v>
      </c>
      <c r="AT91" s="244">
        <f>-psi_r-SQRT(psi_r^2-2*Tabella34[[#This Row],[c_r]])</f>
        <v>-3.8015924825637679</v>
      </c>
      <c r="AU91" s="244">
        <f>phi_r-LN(alpha*Kr/(Tabella34[[#This Row],[sel. region velocity]]*psi_r*SQRTPI(2)))</f>
        <v>-7.1188321341791516</v>
      </c>
      <c r="AV91" s="244">
        <f>(ACOSH(SQRT(alpha*Kl*psi_l/(Tabella34[[#This Row],[sel. region velocity]]*(1+TANH(phi_l)))))+phi_l)/psi_l-(Tabella34[[#This Row],[Day]]-pl)</f>
        <v>83.078590456166836</v>
      </c>
      <c r="AW91" s="72">
        <f>-2*$BY$22*TANH($BY$22*(Tabella34[[#This Row],[Day]]-$BY$31)-$BY$21)*Tabella34[[#This Row],[sel. region velocity]]</f>
        <v>2.5794426272635764</v>
      </c>
      <c r="AX91" s="77">
        <f>Tabella34[[#This Row],[sel. region acc. fit]]/y_l_peak</f>
        <v>1.8718840053370673E-2</v>
      </c>
      <c r="AY91" s="143">
        <f>Tabella34[[#This Row],[sel. region acc. fit]]*NOT(ISBLANK(Tabella34[[#This Row],[selected region rate data]]))</f>
        <v>2.5794426272635764</v>
      </c>
      <c r="AZ91" s="77">
        <f>Tabella34[[#This Row],[sel. region acc. fit]]+CIl</f>
        <v>56.34428303681203</v>
      </c>
      <c r="BA91" s="77">
        <f>MAX(Tabella34[[#This Row],[sel. region acc. fit]]-CIl,0)</f>
        <v>0</v>
      </c>
      <c r="BB91" s="10">
        <f>Tabella8[[#This Row],[rest of Italy ]]</f>
        <v>14722</v>
      </c>
      <c r="BC91" s="10">
        <f>(Tabella34[[#This Row],[rest of Italy cum. Data]]-BB90)</f>
        <v>1584</v>
      </c>
      <c r="BD91" s="10">
        <f>Tabella34[[#This Row],[rest of Italy rate data]]-BC90</f>
        <v>632</v>
      </c>
      <c r="BE91" s="77">
        <f>Tabella34[[#This Row],[rest of Italy rate data]]*NOT(ISBLANK(Tabella34[[#This Row],[rest of Italy rate data]]))</f>
        <v>1584</v>
      </c>
      <c r="BF91" s="77">
        <f>Tabella8[[#This Row],[rest of Italy fit]]</f>
        <v>15256.827827286077</v>
      </c>
      <c r="BG91" s="78">
        <f>(ATANH(alpha*Tabella34[[#This Row],[rest of Italy cumul. fit]]/Ka-(1-alpha*Tabella34[[#This Row],[rest of Italy cumul. fit]]/Ka)*TANH(phi_a))+phi_a)/psi_a-(Tabella34[[#This Row],[Day]]-pa)</f>
        <v>9.4198702195961346</v>
      </c>
      <c r="BH91" s="77">
        <f>Tabella34[[#This Row],[rest of Italy cumul. fit]]/Ka</f>
        <v>7.0623653322622215E-2</v>
      </c>
      <c r="BI91" s="143">
        <f>Tabella3[[#This Row],[rest of Italy fit]]</f>
        <v>1379.1302478821483</v>
      </c>
      <c r="BJ91" s="183">
        <f>Tabella34[[#This Row],[rest of Italy velocity]]/Tabella34[[#This Row],[rest of Italy cumul. fit]]</f>
        <v>9.0394298440967039E-2</v>
      </c>
      <c r="BK91" s="236">
        <f>(LN(Tabella34[[#This Row],[Day]]-po)-phi_o)/psi_o</f>
        <v>57.222528117513377</v>
      </c>
      <c r="BL91" s="244">
        <f>EXP(phi_o+psi_o*Tabella34[[#This Row],[x_o_alpha©+plus]])-(Tabella34[[#This Row],[Day]]-po)</f>
        <v>-10.444110323112531</v>
      </c>
      <c r="BM91" s="244">
        <f>EXP(phi_o+psi_o*Tabella34[[#This Row],[x_o_alpha©-minus]])-(Tabella34[[#This Row],[Day]]-po)</f>
        <v>-11.10274007494449</v>
      </c>
      <c r="BN91" s="244">
        <f>-psi_o+SQRT(psi_o^2-2*Tabella34[[#This Row],[c_o]])</f>
        <v>3.7910209488707505</v>
      </c>
      <c r="BO91" s="244">
        <f>-psi_o-SQRT(psi_o^2-2*Tabella34[[#This Row],[c_o]])</f>
        <v>-3.8400480344403798</v>
      </c>
      <c r="BP91" s="244">
        <f>phi_o-LN(alpha*Ko/(Tabella34[[#This Row],[rest of Italy velocity]]*psi_o*SQRTPI(2)))</f>
        <v>-7.2788512716167153</v>
      </c>
      <c r="BQ91" s="244">
        <f>(ACOSH(SQRT(alpha*Ka*psi_a/(Tabella34[[#This Row],[rest of Italy velocity]]*(1+TANH(phi_a)))))+phi_a)/psi_a-(Tabella34[[#This Row],[Day]]-pa)</f>
        <v>91.596858584030485</v>
      </c>
      <c r="BR91" s="72">
        <f>-2*$BY$35*TANH($BY$35*(Tabella34[[#This Row],[Day]]-$BY$44)-$BY$34)*Tabella34[[#This Row],[rest of Italy velocity]]</f>
        <v>48.667979794262102</v>
      </c>
      <c r="BS91" s="77">
        <f>Tabella34[[#This Row],[rest of Italy acc. fit]]/y_a_peak</f>
        <v>1.7006124900404311E-2</v>
      </c>
      <c r="BT91" s="77">
        <f>Tabella34[[#This Row],[rest of Italy acc. fit]]*NOT(ISBLANK(Tabella34[[#This Row],[rest of Italy rate data]]))</f>
        <v>48.667979794262102</v>
      </c>
      <c r="BU91" s="77">
        <f>Tabella34[[#This Row],[rest of Italy acc. fit]]+CIa</f>
        <v>1743.2421747038447</v>
      </c>
      <c r="BV91" s="77">
        <f>MAX(Tabella34[[#This Row],[rest of Italy acc. fit]]-CIa,0)</f>
        <v>0</v>
      </c>
    </row>
    <row r="92" spans="2:74" x14ac:dyDescent="0.3">
      <c r="B92" s="262">
        <v>43915</v>
      </c>
      <c r="C92" s="29">
        <v>85</v>
      </c>
      <c r="D92" s="10">
        <f>Tabella8[[#This Row],[Italy cumulative]]</f>
        <v>16865</v>
      </c>
      <c r="E92" s="72">
        <f>(Tabella34[[#This Row],[Italy cumul. data]]-D91)</f>
        <v>1719</v>
      </c>
      <c r="F92" s="72">
        <f>Tabella34[[#This Row],[Italy rate data]]-E91</f>
        <v>82</v>
      </c>
      <c r="G92" s="77">
        <f>Tabella34[[#This Row],[Italy rate data]]*NOT(ISBLANK(Tabella34[[#This Row],[Italy rate data]]))</f>
        <v>1719</v>
      </c>
      <c r="H92" s="143">
        <f>Tabella8[[#This Row],[Italy fit]]</f>
        <v>17203.95956346106</v>
      </c>
      <c r="I92" s="143">
        <f>(ATANH(alpha*Tabella34[[#This Row],[Italy cumul. Fit]]/Kf-(1-alpha*Tabella34[[#This Row],[Italy cumul. Fit]]/Kf)*TANH(phi_f))+phi_f)/psi_f-(Tabella34[[#This Row],[Day]]-pf)</f>
        <v>9.7933329242385732</v>
      </c>
      <c r="J92" s="259">
        <f>Tabella34[[#This Row],[Italy d.t.]]/Italy_dt_at_lockdown</f>
        <v>8.8819353425226257</v>
      </c>
      <c r="K92" s="77">
        <f>Tabella34[[#This Row],[Italy cumul. Fit]]/Kf</f>
        <v>7.6462042504271382E-2</v>
      </c>
      <c r="L92" s="146">
        <f>Tabella34[[#This Row],[sel. region acc. fit]]+Tabella34[[#This Row],[rest of Italy acc. fit]]</f>
        <v>52.20215672144365</v>
      </c>
      <c r="M92" s="77">
        <f>Tabella34[[#This Row],[Italy (fit of selected region + fitted sum of the other regions)]]/(y_l_peak+y_a_peak)</f>
        <v>1.7403094150289011E-2</v>
      </c>
      <c r="N92" s="143">
        <f>Tabella3[[#This Row],[Italy remov. rate fit]]</f>
        <v>1489.2447965408717</v>
      </c>
      <c r="O92" s="143">
        <f>Kt*EXP(-0.5*Tabella34[[#This Row],[x_t]]^2)/(psi_t*SQRTPI(2)*(Tabella34[[#This Row],[Day]]-D_bk))</f>
        <v>0</v>
      </c>
      <c r="P92" s="183">
        <f>Tabella34[[#This Row],[Italy velocity]]/Tabella34[[#This Row],[Italy cumul. Fit]]</f>
        <v>8.6564072128129804E-2</v>
      </c>
      <c r="Q92" s="244">
        <f>(LN(Tabella34[[#This Row],[Day]]-D_bk)-phi_t)/psi_t</f>
        <v>59.008811245544912</v>
      </c>
      <c r="R92" s="244">
        <f>EXP(phi_t+psi_t*Tabella34[[#This Row],[x_t_alpha©+plus]])-(Tabella34[[#This Row],[Day]]-D_bk)</f>
        <v>-11.281306651790093</v>
      </c>
      <c r="S92" s="244">
        <f>EXP(phi_t+psi_t*Tabella34[[#This Row],[x_t_alpha©-minus]])-(Tabella34[[#This Row],[Day]]-D_bk)</f>
        <v>-11.9448499580168</v>
      </c>
      <c r="T92" s="244">
        <f>-psi_t+SQRT(psi_t^2-2*Tabella34[[#This Row],[c_t]])</f>
        <v>3.7785575608460307</v>
      </c>
      <c r="U92" s="244">
        <f>-psi_t-SQRT(psi_t^2-2*Tabella34[[#This Row],[c_t]])</f>
        <v>-3.8279502952658357</v>
      </c>
      <c r="V92" s="244">
        <f>phi_t-LN(alpha*Kt/(Tabella34[[#This Row],[Italy velocity]]*psi_t*SQRTPI(2)))</f>
        <v>-7.2320652653597586</v>
      </c>
      <c r="W92" s="244">
        <f>Tabella34[[#This Row],[Italy g.r.]]/Italy_gr_at_lockdown</f>
        <v>9.7665258080775627E-2</v>
      </c>
      <c r="X92" s="244">
        <f>(ACOSH(SQRT(alpha*Kf*psi_f/(Tabella34[[#This Row],[Italy velocity]]*(1+TANH(phi_f)))))+phi_f)/psi_f-(Tabella34[[#This Row],[Day]]-pf)</f>
        <v>89.412466332333381</v>
      </c>
      <c r="Y92" s="244">
        <f>Tabella34[[#This Row],[Italy h.t.]]/Italy_ht_at_lockdown</f>
        <v>0.77344011046076377</v>
      </c>
      <c r="Z92" s="72">
        <f>-2*$BY$48*TANH($BY$48*(Tabella34[[#This Row],[Day]]-$BY$57)-$BY$47)*Tabella34[[#This Row],[Italy velocity]]</f>
        <v>52.211459581457831</v>
      </c>
      <c r="AA92" s="72">
        <f>Tabella34[[#This Row],[Italy acc. fit]]/Itali_acc_at_lockdown</f>
        <v>1.445957624293434</v>
      </c>
      <c r="AB92" s="77">
        <f>Tabella34[[#This Row],[Italy acc. fit]]/y_f_peak</f>
        <v>1.7395667043216718E-2</v>
      </c>
      <c r="AC92" s="143">
        <f>Tabella34[[#This Row],[Italy (fit of selected region + fitted sum of the other regions)]]*NOT(ISBLANK(Tabella34[[#This Row],[Italy rate data]]))</f>
        <v>52.20215672144365</v>
      </c>
      <c r="AD92" s="143">
        <f>Tabella34[[#This Row],[Italy acc. fit]]*NOT(ISBLANK(Tabella34[[#This Row],[Italy rate data]]))</f>
        <v>52.211459581457831</v>
      </c>
      <c r="AE92" s="77">
        <f>Tabella34[[#This Row],[Italy acc. fit]]+CIf</f>
        <v>1767.8263189160091</v>
      </c>
      <c r="AF92" s="77">
        <f>MAX(Tabella34[[#This Row],[Italy acc. fit]]-CIf,0)</f>
        <v>0</v>
      </c>
      <c r="AG92" s="4">
        <f>Tabella8[[#This Row],[region data]]</f>
        <v>479</v>
      </c>
      <c r="AH92" s="72">
        <f>(Tabella34[[#This Row],[selected region cumul. data]]-AG91)</f>
        <v>55</v>
      </c>
      <c r="AI92" s="72">
        <f>Tabella34[[#This Row],[selected region rate data]]-AH91</f>
        <v>2</v>
      </c>
      <c r="AJ92" s="77">
        <f>Tabella34[[#This Row],[selected region rate data]]*NOT(ISBLANK(Tabella34[[#This Row],[selected region rate data]]))</f>
        <v>55</v>
      </c>
      <c r="AK92" s="77">
        <f>Tabella8[[#This Row],[region fit]]</f>
        <v>509.5250325647749</v>
      </c>
      <c r="AL92" s="143">
        <f>(ATANH(alpha*Tabella34[[#This Row],[sel. region cumul. fit]]/Kl-(1-alpha*Tabella34[[#This Row],[sel. region cumul. fit]]/Kl)*TANH(phi_l))+phi_l)/psi_l-(Tabella34[[#This Row],[Day]]-pl)</f>
        <v>6.921473586590416</v>
      </c>
      <c r="AM92" s="77">
        <f>Tabella34[[#This Row],[sel. region cumul. fit]]/Kl</f>
        <v>5.6803236629294859E-2</v>
      </c>
      <c r="AN92" s="143">
        <f>Tabella3[[#This Row],[region fit]]</f>
        <v>64.033523776595501</v>
      </c>
      <c r="AO92" s="186">
        <f>Tabella34[[#This Row],[sel. region velocity]]/Tabella34[[#This Row],[sel. region cumul. fit]]</f>
        <v>0.12567296930294597</v>
      </c>
      <c r="AP92" s="241">
        <f>(LN(Tabella34[[#This Row],[Day]]-pr)-phi_r)/psi_r</f>
        <v>37.96340585382567</v>
      </c>
      <c r="AQ92" s="244">
        <f>EXP(phi_r+psi_r*Tabella34[[#This Row],[x_r_alpha©+plus]])-(Tabella34[[#This Row],[Day]]-pr)</f>
        <v>-6.0429078220970505</v>
      </c>
      <c r="AR92" s="244">
        <f>EXP(phi_r+psi_r*Tabella34[[#This Row],[x_r_alpha©-minus]])-(Tabella34[[#This Row],[Day]]-pr)</f>
        <v>-6.7536217611679161</v>
      </c>
      <c r="AS92" s="244">
        <f>-psi_r+SQRT(psi_r^2-2*Tabella34[[#This Row],[c_r]])</f>
        <v>3.734134020989798</v>
      </c>
      <c r="AT92" s="244">
        <f>-psi_r-SQRT(psi_r^2-2*Tabella34[[#This Row],[c_r]])</f>
        <v>-3.790542259408459</v>
      </c>
      <c r="AU92" s="244">
        <f>phi_r-LN(alpha*Kr/(Tabella34[[#This Row],[sel. region velocity]]*psi_r*SQRTPI(2)))</f>
        <v>-7.0771964044283306</v>
      </c>
      <c r="AV92" s="244">
        <f>(ACOSH(SQRT(alpha*Kl*psi_l/(Tabella34[[#This Row],[sel. region velocity]]*(1+TANH(phi_l)))))+phi_l)/psi_l-(Tabella34[[#This Row],[Day]]-pl)</f>
        <v>81.238749663296389</v>
      </c>
      <c r="AW92" s="72">
        <f>-2*$BY$22*TANH($BY$22*(Tabella34[[#This Row],[Day]]-$BY$31)-$BY$21)*Tabella34[[#This Row],[sel. region velocity]]</f>
        <v>2.6427364843449408</v>
      </c>
      <c r="AX92" s="77">
        <f>Tabella34[[#This Row],[sel. region acc. fit]]/y_l_peak</f>
        <v>1.9178159277820281E-2</v>
      </c>
      <c r="AY92" s="143">
        <f>Tabella34[[#This Row],[sel. region acc. fit]]*NOT(ISBLANK(Tabella34[[#This Row],[selected region rate data]]))</f>
        <v>2.6427364843449408</v>
      </c>
      <c r="AZ92" s="77">
        <f>Tabella34[[#This Row],[sel. region acc. fit]]+CIl</f>
        <v>56.407576893893399</v>
      </c>
      <c r="BA92" s="77">
        <f>MAX(Tabella34[[#This Row],[sel. region acc. fit]]-CIl,0)</f>
        <v>0</v>
      </c>
      <c r="BB92" s="10">
        <f>Tabella8[[#This Row],[rest of Italy ]]</f>
        <v>16386</v>
      </c>
      <c r="BC92" s="10">
        <f>(Tabella34[[#This Row],[rest of Italy cum. Data]]-BB91)</f>
        <v>1664</v>
      </c>
      <c r="BD92" s="10">
        <f>Tabella34[[#This Row],[rest of Italy rate data]]-BC91</f>
        <v>80</v>
      </c>
      <c r="BE92" s="77">
        <f>Tabella34[[#This Row],[rest of Italy rate data]]*NOT(ISBLANK(Tabella34[[#This Row],[rest of Italy rate data]]))</f>
        <v>1664</v>
      </c>
      <c r="BF92" s="77">
        <f>Tabella8[[#This Row],[rest of Italy fit]]</f>
        <v>16660.442947797565</v>
      </c>
      <c r="BG92" s="78">
        <f>(ATANH(alpha*Tabella34[[#This Row],[rest of Italy cumul. fit]]/Ka-(1-alpha*Tabella34[[#This Row],[rest of Italy cumul. fit]]/Ka)*TANH(phi_a))+phi_a)/psi_a-(Tabella34[[#This Row],[Day]]-pa)</f>
        <v>9.8908860221317489</v>
      </c>
      <c r="BH92" s="77">
        <f>Tabella34[[#This Row],[rest of Italy cumul. fit]]/Ka</f>
        <v>7.71209690681737E-2</v>
      </c>
      <c r="BI92" s="143">
        <f>Tabella3[[#This Row],[rest of Italy fit]]</f>
        <v>1428.2485862411072</v>
      </c>
      <c r="BJ92" s="183">
        <f>Tabella34[[#This Row],[rest of Italy velocity]]/Tabella34[[#This Row],[rest of Italy cumul. fit]]</f>
        <v>8.5726927592277208E-2</v>
      </c>
      <c r="BK92" s="236">
        <f>(LN(Tabella34[[#This Row],[Day]]-po)-phi_o)/psi_o</f>
        <v>59.979064641173295</v>
      </c>
      <c r="BL92" s="244">
        <f>EXP(phi_o+psi_o*Tabella34[[#This Row],[x_o_alpha©+plus]])-(Tabella34[[#This Row],[Day]]-po)</f>
        <v>-11.444979241733872</v>
      </c>
      <c r="BM92" s="244">
        <f>EXP(phi_o+psi_o*Tabella34[[#This Row],[x_o_alpha©-minus]])-(Tabella34[[#This Row],[Day]]-po)</f>
        <v>-12.102019240100129</v>
      </c>
      <c r="BN92" s="244">
        <f>-psi_o+SQRT(psi_o^2-2*Tabella34[[#This Row],[c_o]])</f>
        <v>3.7818379504579265</v>
      </c>
      <c r="BO92" s="244">
        <f>-psi_o-SQRT(psi_o^2-2*Tabella34[[#This Row],[c_o]])</f>
        <v>-3.8308650360275558</v>
      </c>
      <c r="BP92" s="244">
        <f>phi_o-LN(alpha*Ko/(Tabella34[[#This Row],[rest of Italy velocity]]*psi_o*SQRTPI(2)))</f>
        <v>-7.2438553881656906</v>
      </c>
      <c r="BQ92" s="244">
        <f>(ACOSH(SQRT(alpha*Ka*psi_a/(Tabella34[[#This Row],[rest of Italy velocity]]*(1+TANH(phi_a)))))+phi_a)/psi_a-(Tabella34[[#This Row],[Day]]-pa)</f>
        <v>89.775234970298257</v>
      </c>
      <c r="BR92" s="72">
        <f>-2*$BY$35*TANH($BY$35*(Tabella34[[#This Row],[Day]]-$BY$44)-$BY$34)*Tabella34[[#This Row],[rest of Italy velocity]]</f>
        <v>49.559420237098706</v>
      </c>
      <c r="BS92" s="77">
        <f>Tabella34[[#This Row],[rest of Italy acc. fit]]/y_a_peak</f>
        <v>1.7317622266356993E-2</v>
      </c>
      <c r="BT92" s="77">
        <f>Tabella34[[#This Row],[rest of Italy acc. fit]]*NOT(ISBLANK(Tabella34[[#This Row],[rest of Italy rate data]]))</f>
        <v>49.559420237098706</v>
      </c>
      <c r="BU92" s="77">
        <f>Tabella34[[#This Row],[rest of Italy acc. fit]]+CIa</f>
        <v>1744.1336151466814</v>
      </c>
      <c r="BV92" s="77">
        <f>MAX(Tabella34[[#This Row],[rest of Italy acc. fit]]-CIa,0)</f>
        <v>0</v>
      </c>
    </row>
    <row r="93" spans="2:74" x14ac:dyDescent="0.3">
      <c r="B93" s="262">
        <v>43916</v>
      </c>
      <c r="C93" s="29">
        <v>86</v>
      </c>
      <c r="D93" s="10">
        <f>Tabella8[[#This Row],[Italy cumulative]]</f>
        <v>18526</v>
      </c>
      <c r="E93" s="72">
        <f>(Tabella34[[#This Row],[Italy cumul. data]]-D92)</f>
        <v>1661</v>
      </c>
      <c r="F93" s="72">
        <f>Tabella34[[#This Row],[Italy rate data]]-E92</f>
        <v>-58</v>
      </c>
      <c r="G93" s="77">
        <f>Tabella34[[#This Row],[Italy rate data]]*NOT(ISBLANK(Tabella34[[#This Row],[Italy rate data]]))</f>
        <v>1661</v>
      </c>
      <c r="H93" s="143">
        <f>Tabella8[[#This Row],[Italy fit]]</f>
        <v>18719.462283792105</v>
      </c>
      <c r="I93" s="143">
        <f>(ATANH(alpha*Tabella34[[#This Row],[Italy cumul. Fit]]/Kf-(1-alpha*Tabella34[[#This Row],[Italy cumul. Fit]]/Kf)*TANH(phi_f))+phi_f)/psi_f-(Tabella34[[#This Row],[Day]]-pf)</f>
        <v>10.254840921516866</v>
      </c>
      <c r="J93" s="143">
        <f>Tabella34[[#This Row],[Italy d.t.]]/Italy_dt_at_lockdown</f>
        <v>9.3004939909004047</v>
      </c>
      <c r="K93" s="77">
        <f>Tabella34[[#This Row],[Italy cumul. Fit]]/Kf</f>
        <v>8.3197610150187132E-2</v>
      </c>
      <c r="L93" s="146">
        <f>Tabella34[[#This Row],[sel. region acc. fit]]+Tabella34[[#This Row],[rest of Italy acc. fit]]</f>
        <v>53.094322579713193</v>
      </c>
      <c r="M93" s="77">
        <f>Tabella34[[#This Row],[Italy (fit of selected region + fitted sum of the other regions)]]/(y_l_peak+y_a_peak)</f>
        <v>1.7700523364027998E-2</v>
      </c>
      <c r="N93" s="143">
        <f>Tabella3[[#This Row],[Italy remov. rate fit]]</f>
        <v>1541.9101148235152</v>
      </c>
      <c r="O93" s="143">
        <f>Kt*EXP(-0.5*Tabella34[[#This Row],[x_t]]^2)/(psi_t*SQRTPI(2)*(Tabella34[[#This Row],[Day]]-D_bk))</f>
        <v>0</v>
      </c>
      <c r="P93" s="183">
        <f>Tabella34[[#This Row],[Italy velocity]]/Tabella34[[#This Row],[Italy cumul. Fit]]</f>
        <v>8.2369359303581552E-2</v>
      </c>
      <c r="Q93" s="244">
        <f>(LN(Tabella34[[#This Row],[Day]]-D_bk)-phi_t)/psi_t</f>
        <v>61.596082824171013</v>
      </c>
      <c r="R93" s="244">
        <f>EXP(phi_t+psi_t*Tabella34[[#This Row],[x_t_alpha©+plus]])-(Tabella34[[#This Row],[Day]]-D_bk)</f>
        <v>-12.282181929590239</v>
      </c>
      <c r="S93" s="244">
        <f>EXP(phi_t+psi_t*Tabella34[[#This Row],[x_t_alpha©-minus]])-(Tabella34[[#This Row],[Day]]-D_bk)</f>
        <v>-12.94412441950837</v>
      </c>
      <c r="T93" s="244">
        <f>-psi_t+SQRT(psi_t^2-2*Tabella34[[#This Row],[c_t]])</f>
        <v>3.7694088980658038</v>
      </c>
      <c r="U93" s="244">
        <f>-psi_t-SQRT(psi_t^2-2*Tabella34[[#This Row],[c_t]])</f>
        <v>-3.8188016324856089</v>
      </c>
      <c r="V93" s="244">
        <f>phi_t-LN(alpha*Kt/(Tabella34[[#This Row],[Italy velocity]]*psi_t*SQRTPI(2)))</f>
        <v>-7.1973124267197361</v>
      </c>
      <c r="W93" s="244">
        <f>Tabella34[[#This Row],[Italy g.r.]]/Italy_gr_at_lockdown</f>
        <v>9.2932605139289109E-2</v>
      </c>
      <c r="X93" s="244">
        <f>(ACOSH(SQRT(alpha*Kf*psi_f/(Tabella34[[#This Row],[Italy velocity]]*(1+TANH(phi_f)))))+phi_f)/psi_f-(Tabella34[[#This Row],[Day]]-pf)</f>
        <v>87.598681317101267</v>
      </c>
      <c r="Y93" s="244">
        <f>Tabella34[[#This Row],[Italy h.t.]]/Italy_ht_at_lockdown</f>
        <v>0.75775041818319033</v>
      </c>
      <c r="Z93" s="72">
        <f>-2*$BY$48*TANH($BY$48*(Tabella34[[#This Row],[Day]]-$BY$57)-$BY$47)*Tabella34[[#This Row],[Italy velocity]]</f>
        <v>53.108152294719169</v>
      </c>
      <c r="AA93" s="72">
        <f>Tabella34[[#This Row],[Italy acc. fit]]/Itali_acc_at_lockdown</f>
        <v>1.4707908635053304</v>
      </c>
      <c r="AB93" s="77">
        <f>Tabella34[[#This Row],[Italy acc. fit]]/y_f_peak</f>
        <v>1.7694424595773486E-2</v>
      </c>
      <c r="AC93" s="143">
        <f>Tabella34[[#This Row],[Italy (fit of selected region + fitted sum of the other regions)]]*NOT(ISBLANK(Tabella34[[#This Row],[Italy rate data]]))</f>
        <v>53.094322579713193</v>
      </c>
      <c r="AD93" s="143">
        <f>Tabella34[[#This Row],[Italy acc. fit]]*NOT(ISBLANK(Tabella34[[#This Row],[Italy rate data]]))</f>
        <v>53.108152294719169</v>
      </c>
      <c r="AE93" s="77">
        <f>Tabella34[[#This Row],[Italy acc. fit]]+CIf</f>
        <v>1768.7230116292706</v>
      </c>
      <c r="AF93" s="77">
        <f>MAX(Tabella34[[#This Row],[Italy acc. fit]]-CIf,0)</f>
        <v>0</v>
      </c>
      <c r="AG93" s="4">
        <f>Tabella8[[#This Row],[region data]]</f>
        <v>540</v>
      </c>
      <c r="AH93" s="72">
        <f>(Tabella34[[#This Row],[selected region cumul. data]]-AG92)</f>
        <v>61</v>
      </c>
      <c r="AI93" s="72">
        <f>Tabella34[[#This Row],[selected region rate data]]-AH92</f>
        <v>6</v>
      </c>
      <c r="AJ93" s="77">
        <f>Tabella34[[#This Row],[selected region rate data]]*NOT(ISBLANK(Tabella34[[#This Row],[selected region rate data]]))</f>
        <v>61</v>
      </c>
      <c r="AK93" s="77">
        <f>Tabella8[[#This Row],[region fit]]</f>
        <v>574.89007001946868</v>
      </c>
      <c r="AL93" s="143">
        <f>(ATANH(alpha*Tabella34[[#This Row],[sel. region cumul. fit]]/Kl-(1-alpha*Tabella34[[#This Row],[sel. region cumul. fit]]/Kl)*TANH(phi_l))+phi_l)/psi_l-(Tabella34[[#This Row],[Day]]-pl)</f>
        <v>7.4447099042417264</v>
      </c>
      <c r="AM93" s="77">
        <f>Tabella34[[#This Row],[sel. region cumul. fit]]/Kl</f>
        <v>6.4090308809305316E-2</v>
      </c>
      <c r="AN93" s="143">
        <f>Tabella3[[#This Row],[region fit]]</f>
        <v>66.706549026027517</v>
      </c>
      <c r="AO93" s="186">
        <f>Tabella34[[#This Row],[sel. region velocity]]/Tabella34[[#This Row],[sel. region cumul. fit]]</f>
        <v>0.11603357320777605</v>
      </c>
      <c r="AP93" s="241">
        <f>(LN(Tabella34[[#This Row],[Day]]-pr)-phi_r)/psi_r</f>
        <v>41.421990775741413</v>
      </c>
      <c r="AQ93" s="244">
        <f>EXP(phi_r+psi_r*Tabella34[[#This Row],[x_r_alpha©+plus]])-(Tabella34[[#This Row],[Day]]-pr)</f>
        <v>-7.0440487701359187</v>
      </c>
      <c r="AR93" s="244">
        <f>EXP(phi_r+psi_r*Tabella34[[#This Row],[x_r_alpha©-minus]])-(Tabella34[[#This Row],[Day]]-pr)</f>
        <v>-7.7526987004983638</v>
      </c>
      <c r="AS93" s="244">
        <f>-psi_r+SQRT(psi_r^2-2*Tabella34[[#This Row],[c_r]])</f>
        <v>3.7232483358881776</v>
      </c>
      <c r="AT93" s="244">
        <f>-psi_r-SQRT(psi_r^2-2*Tabella34[[#This Row],[c_r]])</f>
        <v>-3.7796565743068387</v>
      </c>
      <c r="AU93" s="244">
        <f>phi_r-LN(alpha*Kr/(Tabella34[[#This Row],[sel. region velocity]]*psi_r*SQRTPI(2)))</f>
        <v>-7.0363000252583729</v>
      </c>
      <c r="AV93" s="244">
        <f>(ACOSH(SQRT(alpha*Kl*psi_l/(Tabella34[[#This Row],[sel. region velocity]]*(1+TANH(phi_l)))))+phi_l)/psi_l-(Tabella34[[#This Row],[Day]]-pl)</f>
        <v>79.408654736575869</v>
      </c>
      <c r="AW93" s="72">
        <f>-2*$BY$22*TANH($BY$22*(Tabella34[[#This Row],[Day]]-$BY$31)-$BY$21)*Tabella34[[#This Row],[sel. region velocity]]</f>
        <v>2.7027142484270259</v>
      </c>
      <c r="AX93" s="77">
        <f>Tabella34[[#This Row],[sel. region acc. fit]]/y_l_peak</f>
        <v>1.9613413840470661E-2</v>
      </c>
      <c r="AY93" s="143">
        <f>Tabella34[[#This Row],[sel. region acc. fit]]*NOT(ISBLANK(Tabella34[[#This Row],[selected region rate data]]))</f>
        <v>2.7027142484270259</v>
      </c>
      <c r="AZ93" s="77">
        <f>Tabella34[[#This Row],[sel. region acc. fit]]+CIl</f>
        <v>56.467554657975484</v>
      </c>
      <c r="BA93" s="77">
        <f>MAX(Tabella34[[#This Row],[sel. region acc. fit]]-CIl,0)</f>
        <v>0</v>
      </c>
      <c r="BB93" s="10">
        <f>Tabella8[[#This Row],[rest of Italy ]]</f>
        <v>17986</v>
      </c>
      <c r="BC93" s="10">
        <f>(Tabella34[[#This Row],[rest of Italy cum. Data]]-BB92)</f>
        <v>1600</v>
      </c>
      <c r="BD93" s="10">
        <f>Tabella34[[#This Row],[rest of Italy rate data]]-BC92</f>
        <v>-64</v>
      </c>
      <c r="BE93" s="77">
        <f>Tabella34[[#This Row],[rest of Italy rate data]]*NOT(ISBLANK(Tabella34[[#This Row],[rest of Italy rate data]]))</f>
        <v>1600</v>
      </c>
      <c r="BF93" s="77">
        <f>Tabella8[[#This Row],[rest of Italy fit]]</f>
        <v>18113.612551901493</v>
      </c>
      <c r="BG93" s="78">
        <f>(ATANH(alpha*Tabella34[[#This Row],[rest of Italy cumul. fit]]/Ka-(1-alpha*Tabella34[[#This Row],[rest of Italy cumul. fit]]/Ka)*TANH(phi_a))+phi_a)/psi_a-(Tabella34[[#This Row],[Day]]-pa)</f>
        <v>10.353210919279849</v>
      </c>
      <c r="BH93" s="77">
        <f>Tabella34[[#This Row],[rest of Italy cumul. fit]]/Ka</f>
        <v>8.3847671859933776E-2</v>
      </c>
      <c r="BI93" s="143">
        <f>Tabella3[[#This Row],[rest of Italy fit]]</f>
        <v>1478.2293403760341</v>
      </c>
      <c r="BJ93" s="183">
        <f>Tabella34[[#This Row],[rest of Italy velocity]]/Tabella34[[#This Row],[rest of Italy cumul. fit]]</f>
        <v>8.160875342455394E-2</v>
      </c>
      <c r="BK93" s="236">
        <f>(LN(Tabella34[[#This Row],[Day]]-po)-phi_o)/psi_o</f>
        <v>62.561066699951184</v>
      </c>
      <c r="BL93" s="244">
        <f>EXP(phi_o+psi_o*Tabella34[[#This Row],[x_o_alpha©+plus]])-(Tabella34[[#This Row],[Day]]-po)</f>
        <v>-12.44583512333435</v>
      </c>
      <c r="BM93" s="244">
        <f>EXP(phi_o+psi_o*Tabella34[[#This Row],[x_o_alpha©-minus]])-(Tabella34[[#This Row],[Day]]-po)</f>
        <v>-13.101308903097562</v>
      </c>
      <c r="BN93" s="244">
        <f>-psi_o+SQRT(psi_o^2-2*Tabella34[[#This Row],[c_o]])</f>
        <v>3.7727907099537576</v>
      </c>
      <c r="BO93" s="244">
        <f>-psi_o-SQRT(psi_o^2-2*Tabella34[[#This Row],[c_o]])</f>
        <v>-3.821817795523387</v>
      </c>
      <c r="BP93" s="244">
        <f>phi_o-LN(alpha*Ko/(Tabella34[[#This Row],[rest of Italy velocity]]*psi_o*SQRTPI(2)))</f>
        <v>-7.2094593370432927</v>
      </c>
      <c r="BQ93" s="244">
        <f>(ACOSH(SQRT(alpha*Ka*psi_a/(Tabella34[[#This Row],[rest of Italy velocity]]*(1+TANH(phi_a)))))+phi_a)/psi_a-(Tabella34[[#This Row],[Day]]-pa)</f>
        <v>87.963022507852372</v>
      </c>
      <c r="BR93" s="72">
        <f>-2*$BY$35*TANH($BY$35*(Tabella34[[#This Row],[Day]]-$BY$44)-$BY$34)*Tabella34[[#This Row],[rest of Italy velocity]]</f>
        <v>50.391608331286164</v>
      </c>
      <c r="BS93" s="77">
        <f>Tabella34[[#This Row],[rest of Italy acc. fit]]/y_a_peak</f>
        <v>1.7608414995584885E-2</v>
      </c>
      <c r="BT93" s="77">
        <f>Tabella34[[#This Row],[rest of Italy acc. fit]]*NOT(ISBLANK(Tabella34[[#This Row],[rest of Italy rate data]]))</f>
        <v>50.391608331286164</v>
      </c>
      <c r="BU93" s="77">
        <f>Tabella34[[#This Row],[rest of Italy acc. fit]]+CIa</f>
        <v>1744.9658032408688</v>
      </c>
      <c r="BV93" s="77">
        <f>MAX(Tabella34[[#This Row],[rest of Italy acc. fit]]-CIa,0)</f>
        <v>0</v>
      </c>
    </row>
    <row r="94" spans="2:74" x14ac:dyDescent="0.3">
      <c r="B94" s="262">
        <v>43917</v>
      </c>
      <c r="C94" s="29">
        <v>87</v>
      </c>
      <c r="D94" s="10">
        <f>Tabella8[[#This Row],[Italy cumulative]]</f>
        <v>20084</v>
      </c>
      <c r="E94" s="72">
        <f>(Tabella34[[#This Row],[Italy cumul. data]]-D93)</f>
        <v>1558</v>
      </c>
      <c r="F94" s="72">
        <f>Tabella34[[#This Row],[Italy rate data]]-E93</f>
        <v>-103</v>
      </c>
      <c r="G94" s="77">
        <f>Tabella34[[#This Row],[Italy rate data]]*NOT(ISBLANK(Tabella34[[#This Row],[Italy rate data]]))</f>
        <v>1558</v>
      </c>
      <c r="H94" s="143">
        <f>Tabella8[[#This Row],[Italy fit]]</f>
        <v>20288.067312499181</v>
      </c>
      <c r="I94" s="143">
        <f>(ATANH(alpha*Tabella34[[#This Row],[Italy cumul. Fit]]/Kf-(1-alpha*Tabella34[[#This Row],[Italy cumul. Fit]]/Kf)*TANH(phi_f))+phi_f)/psi_f-(Tabella34[[#This Row],[Day]]-pf)</f>
        <v>10.709526282293787</v>
      </c>
      <c r="J94" s="143">
        <f>Tabella34[[#This Row],[Italy d.t.]]/Italy_dt_at_lockdown</f>
        <v>9.7128649382432553</v>
      </c>
      <c r="K94" s="77">
        <f>Tabella34[[#This Row],[Italy cumul. Fit]]/Kf</f>
        <v>9.0169188055551922E-2</v>
      </c>
      <c r="L94" s="146">
        <f>Tabella34[[#This Row],[sel. region acc. fit]]+Tabella34[[#This Row],[rest of Italy acc. fit]]</f>
        <v>53.916006703610222</v>
      </c>
      <c r="M94" s="77">
        <f>Tabella34[[#This Row],[Italy (fit of selected region + fitted sum of the other regions)]]/(y_l_peak+y_a_peak)</f>
        <v>1.797445545932979E-2</v>
      </c>
      <c r="N94" s="143">
        <f>Tabella3[[#This Row],[Italy remov. rate fit]]</f>
        <v>1595.4377241086045</v>
      </c>
      <c r="O94" s="143">
        <f>Kt*EXP(-0.5*Tabella34[[#This Row],[x_t]]^2)/(psi_t*SQRTPI(2)*(Tabella34[[#This Row],[Day]]-D_bk))</f>
        <v>0</v>
      </c>
      <c r="P94" s="183">
        <f>Tabella34[[#This Row],[Italy velocity]]/Tabella34[[#This Row],[Italy cumul. Fit]]</f>
        <v>7.8639216813209151E-2</v>
      </c>
      <c r="Q94" s="244">
        <f>(LN(Tabella34[[#This Row],[Day]]-D_bk)-phi_t)/psi_t</f>
        <v>64.027919558092051</v>
      </c>
      <c r="R94" s="244">
        <f>EXP(phi_t+psi_t*Tabella34[[#This Row],[x_t_alpha©+plus]])-(Tabella34[[#This Row],[Day]]-D_bk)</f>
        <v>-13.283043289348514</v>
      </c>
      <c r="S94" s="244">
        <f>EXP(phi_t+psi_t*Tabella34[[#This Row],[x_t_alpha©-minus]])-(Tabella34[[#This Row],[Day]]-D_bk)</f>
        <v>-13.943410097811283</v>
      </c>
      <c r="T94" s="244">
        <f>-psi_t+SQRT(psi_t^2-2*Tabella34[[#This Row],[c_t]])</f>
        <v>3.760403692334005</v>
      </c>
      <c r="U94" s="244">
        <f>-psi_t-SQRT(psi_t^2-2*Tabella34[[#This Row],[c_t]])</f>
        <v>-3.80979642675381</v>
      </c>
      <c r="V94" s="244">
        <f>phi_t-LN(alpha*Kt/(Tabella34[[#This Row],[Italy velocity]]*psi_t*SQRTPI(2)))</f>
        <v>-7.1631862751029631</v>
      </c>
      <c r="W94" s="244">
        <f>Tabella34[[#This Row],[Italy g.r.]]/Italy_gr_at_lockdown</f>
        <v>8.8724100155130645E-2</v>
      </c>
      <c r="X94" s="244">
        <f>(ACOSH(SQRT(alpha*Kf*psi_f/(Tabella34[[#This Row],[Italy velocity]]*(1+TANH(phi_f)))))+phi_f)/psi_f-(Tabella34[[#This Row],[Day]]-pf)</f>
        <v>85.794800743391946</v>
      </c>
      <c r="Y94" s="244">
        <f>Tabella34[[#This Row],[Italy h.t.]]/Italy_ht_at_lockdown</f>
        <v>0.74214640179243307</v>
      </c>
      <c r="Z94" s="72">
        <f>-2*$BY$48*TANH($BY$48*(Tabella34[[#This Row],[Day]]-$BY$57)-$BY$47)*Tabella34[[#This Row],[Italy velocity]]</f>
        <v>53.934705864216895</v>
      </c>
      <c r="AA94" s="72">
        <f>Tabella34[[#This Row],[Italy acc. fit]]/Itali_acc_at_lockdown</f>
        <v>1.4936816511845667</v>
      </c>
      <c r="AB94" s="77">
        <f>Tabella34[[#This Row],[Italy acc. fit]]/y_f_peak</f>
        <v>1.7969813385966798E-2</v>
      </c>
      <c r="AC94" s="143">
        <f>Tabella34[[#This Row],[Italy (fit of selected region + fitted sum of the other regions)]]*NOT(ISBLANK(Tabella34[[#This Row],[Italy rate data]]))</f>
        <v>53.916006703610222</v>
      </c>
      <c r="AD94" s="143">
        <f>Tabella34[[#This Row],[Italy acc. fit]]*NOT(ISBLANK(Tabella34[[#This Row],[Italy rate data]]))</f>
        <v>53.934705864216895</v>
      </c>
      <c r="AE94" s="77">
        <f>Tabella34[[#This Row],[Italy acc. fit]]+CIf</f>
        <v>1769.5495651987683</v>
      </c>
      <c r="AF94" s="77">
        <f>MAX(Tabella34[[#This Row],[Italy acc. fit]]-CIf,0)</f>
        <v>0</v>
      </c>
      <c r="AG94" s="4">
        <f>Tabella8[[#This Row],[region data]]</f>
        <v>636</v>
      </c>
      <c r="AH94" s="72">
        <f>(Tabella34[[#This Row],[selected region cumul. data]]-AG93)</f>
        <v>96</v>
      </c>
      <c r="AI94" s="72">
        <f>Tabella34[[#This Row],[selected region rate data]]-AH93</f>
        <v>35</v>
      </c>
      <c r="AJ94" s="77">
        <f>Tabella34[[#This Row],[selected region rate data]]*NOT(ISBLANK(Tabella34[[#This Row],[selected region rate data]]))</f>
        <v>96</v>
      </c>
      <c r="AK94" s="77">
        <f>Tabella8[[#This Row],[region fit]]</f>
        <v>642.95749754149949</v>
      </c>
      <c r="AL94" s="143">
        <f>(ATANH(alpha*Tabella34[[#This Row],[sel. region cumul. fit]]/Kl-(1-alpha*Tabella34[[#This Row],[sel. region cumul. fit]]/Kl)*TANH(phi_l))+phi_l)/psi_l-(Tabella34[[#This Row],[Day]]-pl)</f>
        <v>7.9515785289401606</v>
      </c>
      <c r="AM94" s="77">
        <f>Tabella34[[#This Row],[sel. region cumul. fit]]/Kl</f>
        <v>7.1678650785005515E-2</v>
      </c>
      <c r="AN94" s="143">
        <f>Tabella3[[#This Row],[region fit]]</f>
        <v>69.437655398940805</v>
      </c>
      <c r="AO94" s="186">
        <f>Tabella34[[#This Row],[sel. region velocity]]/Tabella34[[#This Row],[sel. region cumul. fit]]</f>
        <v>0.10799727145954771</v>
      </c>
      <c r="AP94" s="241">
        <f>(LN(Tabella34[[#This Row],[Day]]-pr)-phi_r)/psi_r</f>
        <v>44.572985570728363</v>
      </c>
      <c r="AQ94" s="244">
        <f>EXP(phi_r+psi_r*Tabella34[[#This Row],[x_r_alpha©+plus]])-(Tabella34[[#This Row],[Day]]-pr)</f>
        <v>-8.0451711156139769</v>
      </c>
      <c r="AR94" s="244">
        <f>EXP(phi_r+psi_r*Tabella34[[#This Row],[x_r_alpha©-minus]])-(Tabella34[[#This Row],[Day]]-pr)</f>
        <v>-8.7517901365864166</v>
      </c>
      <c r="AS94" s="244">
        <f>-psi_r+SQRT(psi_r^2-2*Tabella34[[#This Row],[c_r]])</f>
        <v>3.7125368743537237</v>
      </c>
      <c r="AT94" s="244">
        <f>-psi_r-SQRT(psi_r^2-2*Tabella34[[#This Row],[c_r]])</f>
        <v>-3.7689451127723848</v>
      </c>
      <c r="AU94" s="244">
        <f>phi_r-LN(alpha*Kr/(Tabella34[[#This Row],[sel. region velocity]]*psi_r*SQRTPI(2)))</f>
        <v>-6.9961738542913663</v>
      </c>
      <c r="AV94" s="244">
        <f>(ACOSH(SQRT(alpha*Kl*psi_l/(Tabella34[[#This Row],[sel. region velocity]]*(1+TANH(phi_l)))))+phi_l)/psi_l-(Tabella34[[#This Row],[Day]]-pl)</f>
        <v>77.588907966945243</v>
      </c>
      <c r="AW94" s="72">
        <f>-2*$BY$22*TANH($BY$22*(Tabella34[[#This Row],[Day]]-$BY$31)-$BY$21)*Tabella34[[#This Row],[sel. region velocity]]</f>
        <v>2.7588004883948898</v>
      </c>
      <c r="AX94" s="77">
        <f>Tabella34[[#This Row],[sel. region acc. fit]]/y_l_peak</f>
        <v>2.0020427876780968E-2</v>
      </c>
      <c r="AY94" s="143">
        <f>Tabella34[[#This Row],[sel. region acc. fit]]*NOT(ISBLANK(Tabella34[[#This Row],[selected region rate data]]))</f>
        <v>2.7588004883948898</v>
      </c>
      <c r="AZ94" s="77">
        <f>Tabella34[[#This Row],[sel. region acc. fit]]+CIl</f>
        <v>56.523640897943345</v>
      </c>
      <c r="BA94" s="77">
        <f>MAX(Tabella34[[#This Row],[sel. region acc. fit]]-CIl,0)</f>
        <v>0</v>
      </c>
      <c r="BB94" s="10">
        <f>Tabella8[[#This Row],[rest of Italy ]]</f>
        <v>19448</v>
      </c>
      <c r="BC94" s="10">
        <f>(Tabella34[[#This Row],[rest of Italy cum. Data]]-BB93)</f>
        <v>1462</v>
      </c>
      <c r="BD94" s="10">
        <f>Tabella34[[#This Row],[rest of Italy rate data]]-BC93</f>
        <v>-138</v>
      </c>
      <c r="BE94" s="77">
        <f>Tabella34[[#This Row],[rest of Italy rate data]]*NOT(ISBLANK(Tabella34[[#This Row],[rest of Italy rate data]]))</f>
        <v>1462</v>
      </c>
      <c r="BF94" s="77">
        <f>Tabella8[[#This Row],[rest of Italy fit]]</f>
        <v>19617.16821605487</v>
      </c>
      <c r="BG94" s="78">
        <f>(ATANH(alpha*Tabella34[[#This Row],[rest of Italy cumul. fit]]/Ka-(1-alpha*Tabella34[[#This Row],[rest of Italy cumul. fit]]/Ka)*TANH(phi_a))+phi_a)/psi_a-(Tabella34[[#This Row],[Day]]-pa)</f>
        <v>10.808907904340806</v>
      </c>
      <c r="BH94" s="77">
        <f>Tabella34[[#This Row],[rest of Italy cumul. fit]]/Ka</f>
        <v>9.0807611054274262E-2</v>
      </c>
      <c r="BI94" s="143">
        <f>Tabella3[[#This Row],[rest of Italy fit]]</f>
        <v>1529.0096085728962</v>
      </c>
      <c r="BJ94" s="183">
        <f>Tabella34[[#This Row],[rest of Italy velocity]]/Tabella34[[#This Row],[rest of Italy cumul. fit]]</f>
        <v>7.7942422256518179E-2</v>
      </c>
      <c r="BK94" s="236">
        <f>(LN(Tabella34[[#This Row],[Day]]-po)-phi_o)/psi_o</f>
        <v>64.989326197689053</v>
      </c>
      <c r="BL94" s="244">
        <f>EXP(phi_o+psi_o*Tabella34[[#This Row],[x_o_alpha©+plus]])-(Tabella34[[#This Row],[Day]]-po)</f>
        <v>-13.446677360604417</v>
      </c>
      <c r="BM94" s="244">
        <f>EXP(phi_o+psi_o*Tabella34[[#This Row],[x_o_alpha©-minus]])-(Tabella34[[#This Row],[Day]]-po)</f>
        <v>-14.100609582492316</v>
      </c>
      <c r="BN94" s="244">
        <f>-psi_o+SQRT(psi_o^2-2*Tabella34[[#This Row],[c_o]])</f>
        <v>3.763885739940307</v>
      </c>
      <c r="BO94" s="244">
        <f>-psi_o-SQRT(psi_o^2-2*Tabella34[[#This Row],[c_o]])</f>
        <v>-3.8129128255099363</v>
      </c>
      <c r="BP94" s="244">
        <f>phi_o-LN(alpha*Ko/(Tabella34[[#This Row],[rest of Italy velocity]]*psi_o*SQRTPI(2)))</f>
        <v>-7.1756841057861758</v>
      </c>
      <c r="BQ94" s="244">
        <f>(ACOSH(SQRT(alpha*Ka*psi_a/(Tabella34[[#This Row],[rest of Italy velocity]]*(1+TANH(phi_a)))))+phi_a)/psi_a-(Tabella34[[#This Row],[Day]]-pa)</f>
        <v>86.160723019990513</v>
      </c>
      <c r="BR94" s="72">
        <f>-2*$BY$35*TANH($BY$35*(Tabella34[[#This Row],[Day]]-$BY$44)-$BY$34)*Tabella34[[#This Row],[rest of Italy velocity]]</f>
        <v>51.157206215215332</v>
      </c>
      <c r="BS94" s="77">
        <f>Tabella34[[#This Row],[rest of Italy acc. fit]]/y_a_peak</f>
        <v>1.7875939008141488E-2</v>
      </c>
      <c r="BT94" s="77">
        <f>Tabella34[[#This Row],[rest of Italy acc. fit]]*NOT(ISBLANK(Tabella34[[#This Row],[rest of Italy rate data]]))</f>
        <v>51.157206215215332</v>
      </c>
      <c r="BU94" s="77">
        <f>Tabella34[[#This Row],[rest of Italy acc. fit]]+CIa</f>
        <v>1745.7314011247981</v>
      </c>
      <c r="BV94" s="77">
        <f>MAX(Tabella34[[#This Row],[rest of Italy acc. fit]]-CIa,0)</f>
        <v>0</v>
      </c>
    </row>
    <row r="95" spans="2:74" x14ac:dyDescent="0.3">
      <c r="B95" s="262">
        <v>43918</v>
      </c>
      <c r="C95" s="29">
        <v>88</v>
      </c>
      <c r="D95" s="10">
        <f>Tabella8[[#This Row],[Italy cumulative]]</f>
        <v>22407</v>
      </c>
      <c r="E95" s="72">
        <f>(Tabella34[[#This Row],[Italy cumul. data]]-D94)</f>
        <v>2323</v>
      </c>
      <c r="F95" s="72">
        <f>Tabella34[[#This Row],[Italy rate data]]-E94</f>
        <v>765</v>
      </c>
      <c r="G95" s="77">
        <f>Tabella34[[#This Row],[Italy rate data]]*NOT(ISBLANK(Tabella34[[#This Row],[Italy rate data]]))</f>
        <v>2323</v>
      </c>
      <c r="H95" s="143">
        <f>Tabella8[[#This Row],[Italy fit]]</f>
        <v>21910.600525673406</v>
      </c>
      <c r="I95" s="143">
        <f>(ATANH(alpha*Tabella34[[#This Row],[Italy cumul. Fit]]/Kf-(1-alpha*Tabella34[[#This Row],[Italy cumul. Fit]]/Kf)*TANH(phi_f))+phi_f)/psi_f-(Tabella34[[#This Row],[Day]]-pf)</f>
        <v>11.159406448597519</v>
      </c>
      <c r="J95" s="143">
        <f>Tabella34[[#This Row],[Italy d.t.]]/Italy_dt_at_lockdown</f>
        <v>10.120877877240092</v>
      </c>
      <c r="K95" s="77">
        <f>Tabella34[[#This Row],[Italy cumul. Fit]]/Kf</f>
        <v>9.7380446780770694E-2</v>
      </c>
      <c r="L95" s="146">
        <f>Tabella34[[#This Row],[sel. region acc. fit]]+Tabella34[[#This Row],[rest of Italy acc. fit]]</f>
        <v>54.659053090905068</v>
      </c>
      <c r="M95" s="77">
        <f>Tabella34[[#This Row],[Italy (fit of selected region + fitted sum of the other regions)]]/(y_l_peak+y_a_peak)</f>
        <v>1.8222171397679374E-2</v>
      </c>
      <c r="N95" s="143">
        <f>Tabella3[[#This Row],[Italy remov. rate fit]]</f>
        <v>1649.753439866882</v>
      </c>
      <c r="O95" s="143">
        <f>Kt*EXP(-0.5*Tabella34[[#This Row],[x_t]]^2)/(psi_t*SQRTPI(2)*(Tabella34[[#This Row],[Day]]-D_bk))</f>
        <v>0</v>
      </c>
      <c r="P95" s="183">
        <f>Tabella34[[#This Row],[Italy velocity]]/Tabella34[[#This Row],[Italy cumul. Fit]]</f>
        <v>7.5294761452741055E-2</v>
      </c>
      <c r="Q95" s="244">
        <f>(LN(Tabella34[[#This Row],[Day]]-D_bk)-phi_t)/psi_t</f>
        <v>66.321943787252323</v>
      </c>
      <c r="R95" s="244">
        <f>EXP(phi_t+psi_t*Tabella34[[#This Row],[x_t_alpha©+plus]])-(Tabella34[[#This Row],[Day]]-D_bk)</f>
        <v>-14.283890091336296</v>
      </c>
      <c r="S95" s="244">
        <f>EXP(phi_t+psi_t*Tabella34[[#This Row],[x_t_alpha©-minus]])-(Tabella34[[#This Row],[Day]]-D_bk)</f>
        <v>-14.942707538989296</v>
      </c>
      <c r="T95" s="244">
        <f>-psi_t+SQRT(psi_t^2-2*Tabella34[[#This Row],[c_t]])</f>
        <v>3.751548730180061</v>
      </c>
      <c r="U95" s="244">
        <f>-psi_t-SQRT(psi_t^2-2*Tabella34[[#This Row],[c_t]])</f>
        <v>-3.800941464599866</v>
      </c>
      <c r="V95" s="244">
        <f>phi_t-LN(alpha*Kt/(Tabella34[[#This Row],[Italy velocity]]*psi_t*SQRTPI(2)))</f>
        <v>-7.1297085625041836</v>
      </c>
      <c r="W95" s="244">
        <f>Tabella34[[#This Row],[Italy g.r.]]/Italy_gr_at_lockdown</f>
        <v>8.4950743751145044E-2</v>
      </c>
      <c r="X95" s="244">
        <f>(ACOSH(SQRT(alpha*Kf*psi_f/(Tabella34[[#This Row],[Italy velocity]]*(1+TANH(phi_f)))))+phi_f)/psi_f-(Tabella34[[#This Row],[Day]]-pf)</f>
        <v>84.00135566898733</v>
      </c>
      <c r="Y95" s="244">
        <f>Tabella34[[#This Row],[Italy h.t.]]/Italy_ht_at_lockdown</f>
        <v>0.72663265507061603</v>
      </c>
      <c r="Z95" s="72">
        <f>-2*$BY$48*TANH($BY$48*(Tabella34[[#This Row],[Day]]-$BY$57)-$BY$47)*Tabella34[[#This Row],[Italy velocity]]</f>
        <v>54.682992800031634</v>
      </c>
      <c r="AA95" s="72">
        <f>Tabella34[[#This Row],[Italy acc. fit]]/Itali_acc_at_lockdown</f>
        <v>1.5144049025296555</v>
      </c>
      <c r="AB95" s="77">
        <f>Tabella34[[#This Row],[Italy acc. fit]]/y_f_peak</f>
        <v>1.8219125519597416E-2</v>
      </c>
      <c r="AC95" s="143">
        <f>Tabella34[[#This Row],[Italy (fit of selected region + fitted sum of the other regions)]]*NOT(ISBLANK(Tabella34[[#This Row],[Italy rate data]]))</f>
        <v>54.659053090905068</v>
      </c>
      <c r="AD95" s="143">
        <f>Tabella34[[#This Row],[Italy acc. fit]]*NOT(ISBLANK(Tabella34[[#This Row],[Italy rate data]]))</f>
        <v>54.682992800031634</v>
      </c>
      <c r="AE95" s="77">
        <f>Tabella34[[#This Row],[Italy acc. fit]]+CIf</f>
        <v>1770.2978521345829</v>
      </c>
      <c r="AF95" s="77">
        <f>MAX(Tabella34[[#This Row],[Italy acc. fit]]-CIf,0)</f>
        <v>0</v>
      </c>
      <c r="AG95" s="4">
        <f>Tabella8[[#This Row],[region data]]</f>
        <v>736</v>
      </c>
      <c r="AH95" s="72">
        <f>(Tabella34[[#This Row],[selected region cumul. data]]-AG94)</f>
        <v>100</v>
      </c>
      <c r="AI95" s="72">
        <f>Tabella34[[#This Row],[selected region rate data]]-AH94</f>
        <v>4</v>
      </c>
      <c r="AJ95" s="77">
        <f>Tabella34[[#This Row],[selected region rate data]]*NOT(ISBLANK(Tabella34[[#This Row],[selected region rate data]]))</f>
        <v>100</v>
      </c>
      <c r="AK95" s="77">
        <f>Tabella8[[#This Row],[region fit]]</f>
        <v>713.7833511598343</v>
      </c>
      <c r="AL95" s="143">
        <f>(ATANH(alpha*Tabella34[[#This Row],[sel. region cumul. fit]]/Kl-(1-alpha*Tabella34[[#This Row],[sel. region cumul. fit]]/Kl)*TANH(phi_l))+phi_l)/psi_l-(Tabella34[[#This Row],[Day]]-pl)</f>
        <v>8.445346491875263</v>
      </c>
      <c r="AM95" s="77">
        <f>Tabella34[[#This Row],[sel. region cumul. fit]]/Kl</f>
        <v>7.9574509605332702E-2</v>
      </c>
      <c r="AN95" s="143">
        <f>Tabella3[[#This Row],[region fit]]</f>
        <v>72.222652303432596</v>
      </c>
      <c r="AO95" s="186">
        <f>Tabella34[[#This Row],[sel. region velocity]]/Tabella34[[#This Row],[sel. region cumul. fit]]</f>
        <v>0.10118287598901995</v>
      </c>
      <c r="AP95" s="241">
        <f>(LN(Tabella34[[#This Row],[Day]]-pr)-phi_r)/psi_r</f>
        <v>47.466660970878102</v>
      </c>
      <c r="AQ95" s="244">
        <f>EXP(phi_r+psi_r*Tabella34[[#This Row],[x_r_alpha©+plus]])-(Tabella34[[#This Row],[Day]]-pr)</f>
        <v>-9.0462738327881524</v>
      </c>
      <c r="AR95" s="244">
        <f>EXP(phi_r+psi_r*Tabella34[[#This Row],[x_r_alpha©-minus]])-(Tabella34[[#This Row],[Day]]-pr)</f>
        <v>-9.750896927337898</v>
      </c>
      <c r="AS95" s="244">
        <f>-psi_r+SQRT(psi_r^2-2*Tabella34[[#This Row],[c_r]])</f>
        <v>3.7020095892318103</v>
      </c>
      <c r="AT95" s="244">
        <f>-psi_r-SQRT(psi_r^2-2*Tabella34[[#This Row],[c_r]])</f>
        <v>-3.7584178276504714</v>
      </c>
      <c r="AU95" s="244">
        <f>phi_r-LN(alpha*Kr/(Tabella34[[#This Row],[sel. region velocity]]*psi_r*SQRTPI(2)))</f>
        <v>-6.9568494191509176</v>
      </c>
      <c r="AV95" s="244">
        <f>(ACOSH(SQRT(alpha*Kl*psi_l/(Tabella34[[#This Row],[sel. region velocity]]*(1+TANH(phi_l)))))+phi_l)/psi_l-(Tabella34[[#This Row],[Day]]-pl)</f>
        <v>75.780147737064055</v>
      </c>
      <c r="AW95" s="72">
        <f>-2*$BY$22*TANH($BY$22*(Tabella34[[#This Row],[Day]]-$BY$31)-$BY$21)*Tabella34[[#This Row],[sel. region velocity]]</f>
        <v>2.8103928443897095</v>
      </c>
      <c r="AX95" s="77">
        <f>Tabella34[[#This Row],[sel. region acc. fit]]/y_l_peak</f>
        <v>2.0394830102143938E-2</v>
      </c>
      <c r="AY95" s="143">
        <f>Tabella34[[#This Row],[sel. region acc. fit]]*NOT(ISBLANK(Tabella34[[#This Row],[selected region rate data]]))</f>
        <v>2.8103928443897095</v>
      </c>
      <c r="AZ95" s="77">
        <f>Tabella34[[#This Row],[sel. region acc. fit]]+CIl</f>
        <v>56.575233253938165</v>
      </c>
      <c r="BA95" s="77">
        <f>MAX(Tabella34[[#This Row],[sel. region acc. fit]]-CIl,0)</f>
        <v>0</v>
      </c>
      <c r="BB95" s="10">
        <f>Tabella8[[#This Row],[rest of Italy ]]</f>
        <v>21671</v>
      </c>
      <c r="BC95" s="10">
        <f>(Tabella34[[#This Row],[rest of Italy cum. Data]]-BB94)</f>
        <v>2223</v>
      </c>
      <c r="BD95" s="10">
        <f>Tabella34[[#This Row],[rest of Italy rate data]]-BC94</f>
        <v>761</v>
      </c>
      <c r="BE95" s="77">
        <f>Tabella34[[#This Row],[rest of Italy rate data]]*NOT(ISBLANK(Tabella34[[#This Row],[rest of Italy rate data]]))</f>
        <v>2223</v>
      </c>
      <c r="BF95" s="77">
        <f>Tabella8[[#This Row],[rest of Italy fit]]</f>
        <v>21171.874908496229</v>
      </c>
      <c r="BG95" s="78">
        <f>(ATANH(alpha*Tabella34[[#This Row],[rest of Italy cumul. fit]]/Ka-(1-alpha*Tabella34[[#This Row],[rest of Italy cumul. fit]]/Ka)*TANH(phi_a))+phi_a)/psi_a-(Tabella34[[#This Row],[Day]]-pa)</f>
        <v>11.259969488424041</v>
      </c>
      <c r="BH95" s="77">
        <f>Tabella34[[#This Row],[rest of Italy cumul. fit]]/Ka</f>
        <v>9.8004327679008602E-2</v>
      </c>
      <c r="BI95" s="143">
        <f>Tabella3[[#This Row],[rest of Italy fit]]</f>
        <v>1580.5190401277139</v>
      </c>
      <c r="BJ95" s="183">
        <f>Tabella34[[#This Row],[rest of Italy velocity]]/Tabella34[[#This Row],[rest of Italy cumul. fit]]</f>
        <v>7.4651822144171792E-2</v>
      </c>
      <c r="BK95" s="236">
        <f>(LN(Tabella34[[#This Row],[Day]]-po)-phi_o)/psi_o</f>
        <v>67.281127636164726</v>
      </c>
      <c r="BL95" s="244">
        <f>EXP(phi_o+psi_o*Tabella34[[#This Row],[x_o_alpha©+plus]])-(Tabella34[[#This Row],[Day]]-po)</f>
        <v>-14.447505333909845</v>
      </c>
      <c r="BM95" s="244">
        <f>EXP(phi_o+psi_o*Tabella34[[#This Row],[x_o_alpha©-minus]])-(Tabella34[[#This Row],[Day]]-po)</f>
        <v>-15.099921807746421</v>
      </c>
      <c r="BN95" s="244">
        <f>-psi_o+SQRT(psi_o^2-2*Tabella34[[#This Row],[c_o]])</f>
        <v>3.7551296875535249</v>
      </c>
      <c r="BO95" s="244">
        <f>-psi_o-SQRT(psi_o^2-2*Tabella34[[#This Row],[c_o]])</f>
        <v>-3.8041567731231543</v>
      </c>
      <c r="BP95" s="244">
        <f>phi_o-LN(alpha*Ko/(Tabella34[[#This Row],[rest of Italy velocity]]*psi_o*SQRTPI(2)))</f>
        <v>-7.1425510174312885</v>
      </c>
      <c r="BQ95" s="244">
        <f>(ACOSH(SQRT(alpha*Ka*psi_a/(Tabella34[[#This Row],[rest of Italy velocity]]*(1+TANH(phi_a)))))+phi_a)/psi_a-(Tabella34[[#This Row],[Day]]-pa)</f>
        <v>84.368863756683609</v>
      </c>
      <c r="BR95" s="72">
        <f>-2*$BY$35*TANH($BY$35*(Tabella34[[#This Row],[Day]]-$BY$44)-$BY$34)*Tabella34[[#This Row],[rest of Italy velocity]]</f>
        <v>51.848660246515358</v>
      </c>
      <c r="BS95" s="77">
        <f>Tabella34[[#This Row],[rest of Italy acc. fit]]/y_a_peak</f>
        <v>1.8117554823486318E-2</v>
      </c>
      <c r="BT95" s="77">
        <f>Tabella34[[#This Row],[rest of Italy acc. fit]]*NOT(ISBLANK(Tabella34[[#This Row],[rest of Italy rate data]]))</f>
        <v>51.848660246515358</v>
      </c>
      <c r="BU95" s="77">
        <f>Tabella34[[#This Row],[rest of Italy acc. fit]]+CIa</f>
        <v>1746.4228551560982</v>
      </c>
      <c r="BV95" s="77">
        <f>MAX(Tabella34[[#This Row],[rest of Italy acc. fit]]-CIa,0)</f>
        <v>0</v>
      </c>
    </row>
    <row r="96" spans="2:74" x14ac:dyDescent="0.3">
      <c r="B96" s="262">
        <v>43919</v>
      </c>
      <c r="C96" s="29">
        <v>89</v>
      </c>
      <c r="D96" s="10">
        <f>Tabella8[[#This Row],[Italy cumulative]]</f>
        <v>23809</v>
      </c>
      <c r="E96" s="72">
        <f>(Tabella34[[#This Row],[Italy cumul. data]]-D95)</f>
        <v>1402</v>
      </c>
      <c r="F96" s="72">
        <f>Tabella34[[#This Row],[Italy rate data]]-E95</f>
        <v>-921</v>
      </c>
      <c r="G96" s="77">
        <f>Tabella34[[#This Row],[Italy rate data]]*NOT(ISBLANK(Tabella34[[#This Row],[Italy rate data]]))</f>
        <v>1402</v>
      </c>
      <c r="H96" s="143">
        <f>Tabella8[[#This Row],[Italy fit]]</f>
        <v>23587.809516367521</v>
      </c>
      <c r="I96" s="143">
        <f>(ATANH(alpha*Tabella34[[#This Row],[Italy cumul. Fit]]/Kf-(1-alpha*Tabella34[[#This Row],[Italy cumul. Fit]]/Kf)*TANH(phi_f))+phi_f)/psi_f-(Tabella34[[#This Row],[Day]]-pf)</f>
        <v>11.606447834848598</v>
      </c>
      <c r="J96" s="143">
        <f>Tabella34[[#This Row],[Italy d.t.]]/Italy_dt_at_lockdown</f>
        <v>10.526316221757773</v>
      </c>
      <c r="K96" s="77">
        <f>Tabella34[[#This Row],[Italy cumul. Fit]]/Kf</f>
        <v>0.10483470896163342</v>
      </c>
      <c r="L96" s="146">
        <f>Tabella34[[#This Row],[sel. region acc. fit]]+Tabella34[[#This Row],[rest of Italy acc. fit]]</f>
        <v>55.315108546306838</v>
      </c>
      <c r="M96" s="77">
        <f>Tabella34[[#This Row],[Italy (fit of selected region + fitted sum of the other regions)]]/(y_l_peak+y_a_peak)</f>
        <v>1.8440886400568856E-2</v>
      </c>
      <c r="N96" s="143">
        <f>Tabella3[[#This Row],[Italy remov. rate fit]]</f>
        <v>1704.7748477811501</v>
      </c>
      <c r="O96" s="143">
        <f>Kt*EXP(-0.5*Tabella34[[#This Row],[x_t]]^2)/(psi_t*SQRTPI(2)*(Tabella34[[#This Row],[Day]]-D_bk))</f>
        <v>0</v>
      </c>
      <c r="P96" s="183">
        <f>Tabella34[[#This Row],[Italy velocity]]/Tabella34[[#This Row],[Italy cumul. Fit]]</f>
        <v>7.2273554973309895E-2</v>
      </c>
      <c r="Q96" s="244">
        <f>(LN(Tabella34[[#This Row],[Day]]-D_bk)-phi_t)/psi_t</f>
        <v>68.492941059403748</v>
      </c>
      <c r="R96" s="244">
        <f>EXP(phi_t+psi_t*Tabella34[[#This Row],[x_t_alpha©+plus]])-(Tabella34[[#This Row],[Day]]-D_bk)</f>
        <v>-15.284721683681274</v>
      </c>
      <c r="S96" s="244">
        <f>EXP(phi_t+psi_t*Tabella34[[#This Row],[x_t_alpha©-minus]])-(Tabella34[[#This Row],[Day]]-D_bk)</f>
        <v>-15.942017299872493</v>
      </c>
      <c r="T96" s="244">
        <f>-psi_t+SQRT(psi_t^2-2*Tabella34[[#This Row],[c_t]])</f>
        <v>3.7428509294316532</v>
      </c>
      <c r="U96" s="244">
        <f>-psi_t-SQRT(psi_t^2-2*Tabella34[[#This Row],[c_t]])</f>
        <v>-3.7922436638514583</v>
      </c>
      <c r="V96" s="244">
        <f>phi_t-LN(alpha*Kt/(Tabella34[[#This Row],[Italy velocity]]*psi_t*SQRTPI(2)))</f>
        <v>-7.0969013609388645</v>
      </c>
      <c r="W96" s="244">
        <f>Tabella34[[#This Row],[Italy g.r.]]/Italy_gr_at_lockdown</f>
        <v>8.1542090446432139E-2</v>
      </c>
      <c r="X96" s="244">
        <f>(ACOSH(SQRT(alpha*Kf*psi_f/(Tabella34[[#This Row],[Italy velocity]]*(1+TANH(phi_f)))))+phi_f)/psi_f-(Tabella34[[#This Row],[Day]]-pf)</f>
        <v>82.218903908598676</v>
      </c>
      <c r="Y96" s="244">
        <f>Tabella34[[#This Row],[Italy h.t.]]/Italy_ht_at_lockdown</f>
        <v>0.71121400325396833</v>
      </c>
      <c r="Z96" s="72">
        <f>-2*$BY$48*TANH($BY$48*(Tabella34[[#This Row],[Day]]-$BY$57)-$BY$47)*Tabella34[[#This Row],[Italy velocity]]</f>
        <v>55.344689114834054</v>
      </c>
      <c r="AA96" s="72">
        <f>Tabella34[[#This Row],[Italy acc. fit]]/Itali_acc_at_lockdown</f>
        <v>1.5327300908891708</v>
      </c>
      <c r="AB96" s="77">
        <f>Tabella34[[#This Row],[Italy acc. fit]]/y_f_peak</f>
        <v>1.8439587634012513E-2</v>
      </c>
      <c r="AC96" s="143">
        <f>Tabella34[[#This Row],[Italy (fit of selected region + fitted sum of the other regions)]]*NOT(ISBLANK(Tabella34[[#This Row],[Italy rate data]]))</f>
        <v>55.315108546306838</v>
      </c>
      <c r="AD96" s="143">
        <f>Tabella34[[#This Row],[Italy acc. fit]]*NOT(ISBLANK(Tabella34[[#This Row],[Italy rate data]]))</f>
        <v>55.344689114834054</v>
      </c>
      <c r="AE96" s="77">
        <f>Tabella34[[#This Row],[Italy acc. fit]]+CIf</f>
        <v>1770.9595484493852</v>
      </c>
      <c r="AF96" s="77">
        <f>MAX(Tabella34[[#This Row],[Italy acc. fit]]-CIf,0)</f>
        <v>0</v>
      </c>
      <c r="AG96" s="4">
        <f>Tabella8[[#This Row],[region data]]</f>
        <v>797</v>
      </c>
      <c r="AH96" s="72">
        <f>(Tabella34[[#This Row],[selected region cumul. data]]-AG95)</f>
        <v>61</v>
      </c>
      <c r="AI96" s="72">
        <f>Tabella34[[#This Row],[selected region rate data]]-AH95</f>
        <v>-39</v>
      </c>
      <c r="AJ96" s="77">
        <f>Tabella34[[#This Row],[selected region rate data]]*NOT(ISBLANK(Tabella34[[#This Row],[selected region rate data]]))</f>
        <v>61</v>
      </c>
      <c r="AK96" s="77">
        <f>Tabella8[[#This Row],[region fit]]</f>
        <v>787.41917105948437</v>
      </c>
      <c r="AL96" s="143">
        <f>(ATANH(alpha*Tabella34[[#This Row],[sel. region cumul. fit]]/Kl-(1-alpha*Tabella34[[#This Row],[sel. region cumul. fit]]/Kl)*TANH(phi_l))+phi_l)/psi_l-(Tabella34[[#This Row],[Day]]-pl)</f>
        <v>8.9290788728097539</v>
      </c>
      <c r="AM96" s="77">
        <f>Tabella34[[#This Row],[sel. region cumul. fit]]/Kl</f>
        <v>8.7783631110310414E-2</v>
      </c>
      <c r="AN96" s="143">
        <f>Tabella3[[#This Row],[region fit]]</f>
        <v>75.056734727929353</v>
      </c>
      <c r="AO96" s="186">
        <f>Tabella34[[#This Row],[sel. region velocity]]/Tabella34[[#This Row],[sel. region cumul. fit]]</f>
        <v>9.5319922966746393E-2</v>
      </c>
      <c r="AP96" s="241">
        <f>(LN(Tabella34[[#This Row],[Day]]-pr)-phi_r)/psi_r</f>
        <v>50.141889376978668</v>
      </c>
      <c r="AQ96" s="244">
        <f>EXP(phi_r+psi_r*Tabella34[[#This Row],[x_r_alpha©+plus]])-(Tabella34[[#This Row],[Day]]-pr)</f>
        <v>-10.047355870324758</v>
      </c>
      <c r="AR96" s="244">
        <f>EXP(phi_r+psi_r*Tabella34[[#This Row],[x_r_alpha©-minus]])-(Tabella34[[#This Row],[Day]]-pr)</f>
        <v>-10.750019952941978</v>
      </c>
      <c r="AS96" s="244">
        <f>-psi_r+SQRT(psi_r^2-2*Tabella34[[#This Row],[c_r]])</f>
        <v>3.6916766867375563</v>
      </c>
      <c r="AT96" s="244">
        <f>-psi_r-SQRT(psi_r^2-2*Tabella34[[#This Row],[c_r]])</f>
        <v>-3.7480849251562174</v>
      </c>
      <c r="AU96" s="244">
        <f>phi_r-LN(alpha*Kr/(Tabella34[[#This Row],[sel. region velocity]]*psi_r*SQRTPI(2)))</f>
        <v>-6.9183588690558429</v>
      </c>
      <c r="AV96" s="244">
        <f>(ACOSH(SQRT(alpha*Kl*psi_l/(Tabella34[[#This Row],[sel. region velocity]]*(1+TANH(phi_l)))))+phi_l)/psi_l-(Tabella34[[#This Row],[Day]]-pl)</f>
        <v>73.983050156485007</v>
      </c>
      <c r="AW96" s="72">
        <f>-2*$BY$22*TANH($BY$22*(Tabella34[[#This Row],[Day]]-$BY$31)-$BY$21)*Tabella34[[#This Row],[sel. region velocity]]</f>
        <v>2.8568654763796677</v>
      </c>
      <c r="AX96" s="77">
        <f>Tabella34[[#This Row],[sel. region acc. fit]]/y_l_peak</f>
        <v>2.0732078837930722E-2</v>
      </c>
      <c r="AY96" s="143">
        <f>Tabella34[[#This Row],[sel. region acc. fit]]*NOT(ISBLANK(Tabella34[[#This Row],[selected region rate data]]))</f>
        <v>2.8568654763796677</v>
      </c>
      <c r="AZ96" s="77">
        <f>Tabella34[[#This Row],[sel. region acc. fit]]+CIl</f>
        <v>56.621705885928122</v>
      </c>
      <c r="BA96" s="77">
        <f>MAX(Tabella34[[#This Row],[sel. region acc. fit]]-CIl,0)</f>
        <v>0</v>
      </c>
      <c r="BB96" s="10">
        <f>Tabella8[[#This Row],[rest of Italy ]]</f>
        <v>23012</v>
      </c>
      <c r="BC96" s="10">
        <f>(Tabella34[[#This Row],[rest of Italy cum. Data]]-BB95)</f>
        <v>1341</v>
      </c>
      <c r="BD96" s="10">
        <f>Tabella34[[#This Row],[rest of Italy rate data]]-BC95</f>
        <v>-882</v>
      </c>
      <c r="BE96" s="77">
        <f>Tabella34[[#This Row],[rest of Italy rate data]]*NOT(ISBLANK(Tabella34[[#This Row],[rest of Italy rate data]]))</f>
        <v>1341</v>
      </c>
      <c r="BF96" s="77">
        <f>Tabella8[[#This Row],[rest of Italy fit]]</f>
        <v>22778.423439108195</v>
      </c>
      <c r="BG96" s="78">
        <f>(ATANH(alpha*Tabella34[[#This Row],[rest of Italy cumul. fit]]/Ka-(1-alpha*Tabella34[[#This Row],[rest of Italy cumul. fit]]/Ka)*TANH(phi_a))+phi_a)/psi_a-(Tabella34[[#This Row],[Day]]-pa)</f>
        <v>11.708339587723039</v>
      </c>
      <c r="BH96" s="77">
        <f>Tabella34[[#This Row],[rest of Italy cumul. fit]]/Ka</f>
        <v>0.10544101948390591</v>
      </c>
      <c r="BI96" s="143">
        <f>Tabella3[[#This Row],[rest of Italy fit]]</f>
        <v>1632.6796400622929</v>
      </c>
      <c r="BJ96" s="183">
        <f>Tabella34[[#This Row],[rest of Italy velocity]]/Tabella34[[#This Row],[rest of Italy cumul. fit]]</f>
        <v>7.1676586591991748E-2</v>
      </c>
      <c r="BK96" s="236">
        <f>(LN(Tabella34[[#This Row],[Day]]-po)-phi_o)/psi_o</f>
        <v>69.450995181470816</v>
      </c>
      <c r="BL96" s="244">
        <f>EXP(phi_o+psi_o*Tabella34[[#This Row],[x_o_alpha©+plus]])-(Tabella34[[#This Row],[Day]]-po)</f>
        <v>-15.448318412116322</v>
      </c>
      <c r="BM96" s="244">
        <f>EXP(phi_o+psi_o*Tabella34[[#This Row],[x_o_alpha©-minus]])-(Tabella34[[#This Row],[Day]]-po)</f>
        <v>-16.099246118528782</v>
      </c>
      <c r="BN96" s="244">
        <f>-psi_o+SQRT(psi_o^2-2*Tabella34[[#This Row],[c_o]])</f>
        <v>3.7465293256680821</v>
      </c>
      <c r="BO96" s="244">
        <f>-psi_o-SQRT(psi_o^2-2*Tabella34[[#This Row],[c_o]])</f>
        <v>-3.7955564112377114</v>
      </c>
      <c r="BP96" s="244">
        <f>phi_o-LN(alpha*Ko/(Tabella34[[#This Row],[rest of Italy velocity]]*psi_o*SQRTPI(2)))</f>
        <v>-7.1100817009647939</v>
      </c>
      <c r="BQ96" s="244">
        <f>(ACOSH(SQRT(alpha*Ka*psi_a/(Tabella34[[#This Row],[rest of Italy velocity]]*(1+TANH(phi_a)))))+phi_a)/psi_a-(Tabella34[[#This Row],[Day]]-pa)</f>
        <v>82.587998264246252</v>
      </c>
      <c r="BR96" s="72">
        <f>-2*$BY$35*TANH($BY$35*(Tabella34[[#This Row],[Day]]-$BY$44)-$BY$34)*Tabella34[[#This Row],[rest of Italy velocity]]</f>
        <v>52.458243069927171</v>
      </c>
      <c r="BS96" s="77">
        <f>Tabella34[[#This Row],[rest of Italy acc. fit]]/y_a_peak</f>
        <v>1.8330562260324791E-2</v>
      </c>
      <c r="BT96" s="77">
        <f>Tabella34[[#This Row],[rest of Italy acc. fit]]*NOT(ISBLANK(Tabella34[[#This Row],[rest of Italy rate data]]))</f>
        <v>52.458243069927171</v>
      </c>
      <c r="BU96" s="77">
        <f>Tabella34[[#This Row],[rest of Italy acc. fit]]+CIa</f>
        <v>1747.03243797951</v>
      </c>
      <c r="BV96" s="77">
        <f>MAX(Tabella34[[#This Row],[rest of Italy acc. fit]]-CIa,0)</f>
        <v>0</v>
      </c>
    </row>
    <row r="97" spans="2:74" x14ac:dyDescent="0.3">
      <c r="B97" s="262">
        <v>43920</v>
      </c>
      <c r="C97" s="29">
        <v>90</v>
      </c>
      <c r="D97" s="10">
        <f>Tabella8[[#This Row],[Italy cumulative]]</f>
        <v>26211</v>
      </c>
      <c r="E97" s="72">
        <f>(Tabella34[[#This Row],[Italy cumul. data]]-D96)</f>
        <v>2402</v>
      </c>
      <c r="F97" s="72">
        <f>Tabella34[[#This Row],[Italy rate data]]-E96</f>
        <v>1000</v>
      </c>
      <c r="G97" s="77">
        <f>Tabella34[[#This Row],[Italy rate data]]*NOT(ISBLANK(Tabella34[[#This Row],[Italy rate data]]))</f>
        <v>2402</v>
      </c>
      <c r="H97" s="143">
        <f>Tabella8[[#This Row],[Italy fit]]</f>
        <v>25320.355274959162</v>
      </c>
      <c r="I97" s="143">
        <f>(ATANH(alpha*Tabella34[[#This Row],[Italy cumul. Fit]]/Kf-(1-alpha*Tabella34[[#This Row],[Italy cumul. Fit]]/Kf)*TANH(phi_f))+phi_f)/psi_f-(Tabella34[[#This Row],[Day]]-pf)</f>
        <v>12.052587002629785</v>
      </c>
      <c r="J97" s="143">
        <f>Tabella34[[#This Row],[Italy d.t.]]/Italy_dt_at_lockdown</f>
        <v>10.930936311021963</v>
      </c>
      <c r="K97" s="77">
        <f>Tabella34[[#This Row],[Italy cumul. Fit]]/Kf</f>
        <v>0.11253491233315183</v>
      </c>
      <c r="L97" s="146">
        <f>Tabella34[[#This Row],[sel. region acc. fit]]+Tabella34[[#This Row],[rest of Italy acc. fit]]</f>
        <v>55.875675513857864</v>
      </c>
      <c r="M97" s="77">
        <f>Tabella34[[#This Row],[Italy (fit of selected region + fitted sum of the other regions)]]/(y_l_peak+y_a_peak)</f>
        <v>1.8627767562699557E-2</v>
      </c>
      <c r="N97" s="143">
        <f>Tabella3[[#This Row],[Italy remov. rate fit]]</f>
        <v>1760.411132751115</v>
      </c>
      <c r="O97" s="143">
        <f>Kt*EXP(-0.5*Tabella34[[#This Row],[x_t]]^2)/(psi_t*SQRTPI(2)*(Tabella34[[#This Row],[Day]]-D_bk))</f>
        <v>0</v>
      </c>
      <c r="P97" s="183">
        <f>Tabella34[[#This Row],[Italy velocity]]/Tabella34[[#This Row],[Italy cumul. Fit]]</f>
        <v>6.952553049253983E-2</v>
      </c>
      <c r="Q97" s="244">
        <f>(LN(Tabella34[[#This Row],[Day]]-D_bk)-phi_t)/psi_t</f>
        <v>70.553438124575408</v>
      </c>
      <c r="R97" s="244">
        <f>EXP(phi_t+psi_t*Tabella34[[#This Row],[x_t_alpha©+plus]])-(Tabella34[[#This Row],[Day]]-D_bk)</f>
        <v>-16.285537403330391</v>
      </c>
      <c r="S97" s="244">
        <f>EXP(phi_t+psi_t*Tabella34[[#This Row],[x_t_alpha©-minus]])-(Tabella34[[#This Row],[Day]]-D_bk)</f>
        <v>-16.941339947238589</v>
      </c>
      <c r="T97" s="244">
        <f>-psi_t+SQRT(psi_t^2-2*Tabella34[[#This Row],[c_t]])</f>
        <v>3.7343173290193392</v>
      </c>
      <c r="U97" s="244">
        <f>-psi_t-SQRT(psi_t^2-2*Tabella34[[#This Row],[c_t]])</f>
        <v>-3.7837100634391443</v>
      </c>
      <c r="V97" s="244">
        <f>phi_t-LN(alpha*Kt/(Tabella34[[#This Row],[Italy velocity]]*psi_t*SQRTPI(2)))</f>
        <v>-7.0647870289428303</v>
      </c>
      <c r="W97" s="244">
        <f>Tabella34[[#This Row],[Italy g.r.]]/Italy_gr_at_lockdown</f>
        <v>7.8441652660540553E-2</v>
      </c>
      <c r="X97" s="244">
        <f>(ACOSH(SQRT(alpha*Kf*psi_f/(Tabella34[[#This Row],[Italy velocity]]*(1+TANH(phi_f)))))+phi_f)/psi_f-(Tabella34[[#This Row],[Day]]-pf)</f>
        <v>80.44803087854369</v>
      </c>
      <c r="Y97" s="244">
        <f>Tabella34[[#This Row],[Italy h.t.]]/Italy_ht_at_lockdown</f>
        <v>0.69589551033949182</v>
      </c>
      <c r="Z97" s="72">
        <f>-2*$BY$48*TANH($BY$48*(Tabella34[[#This Row],[Day]]-$BY$57)-$BY$47)*Tabella34[[#This Row],[Italy velocity]]</f>
        <v>55.911326538668959</v>
      </c>
      <c r="AA97" s="72">
        <f>Tabella34[[#This Row],[Italy acc. fit]]/Itali_acc_at_lockdown</f>
        <v>1.5484226938114427</v>
      </c>
      <c r="AB97" s="77">
        <f>Tabella34[[#This Row],[Italy acc. fit]]/y_f_peak</f>
        <v>1.8628378294880354E-2</v>
      </c>
      <c r="AC97" s="143">
        <f>Tabella34[[#This Row],[Italy (fit of selected region + fitted sum of the other regions)]]*NOT(ISBLANK(Tabella34[[#This Row],[Italy rate data]]))</f>
        <v>55.875675513857864</v>
      </c>
      <c r="AD97" s="143">
        <f>Tabella34[[#This Row],[Italy acc. fit]]*NOT(ISBLANK(Tabella34[[#This Row],[Italy rate data]]))</f>
        <v>55.911326538668959</v>
      </c>
      <c r="AE97" s="77">
        <f>Tabella34[[#This Row],[Italy acc. fit]]+CIf</f>
        <v>1771.5261858732201</v>
      </c>
      <c r="AF97" s="77">
        <f>MAX(Tabella34[[#This Row],[Italy acc. fit]]-CIf,0)</f>
        <v>0</v>
      </c>
      <c r="AG97" s="4">
        <f>Tabella8[[#This Row],[region data]]</f>
        <v>834</v>
      </c>
      <c r="AH97" s="72">
        <f>(Tabella34[[#This Row],[selected region cumul. data]]-AG96)</f>
        <v>37</v>
      </c>
      <c r="AI97" s="72">
        <f>Tabella34[[#This Row],[selected region rate data]]-AH96</f>
        <v>-24</v>
      </c>
      <c r="AJ97" s="77">
        <f>Tabella34[[#This Row],[selected region rate data]]*NOT(ISBLANK(Tabella34[[#This Row],[selected region rate data]]))</f>
        <v>37</v>
      </c>
      <c r="AK97" s="77">
        <f>Tabella8[[#This Row],[region fit]]</f>
        <v>863.9113760946401</v>
      </c>
      <c r="AL97" s="143">
        <f>(ATANH(alpha*Tabella34[[#This Row],[sel. region cumul. fit]]/Kl-(1-alpha*Tabella34[[#This Row],[sel. region cumul. fit]]/Kl)*TANH(phi_l))+phi_l)/psi_l-(Tabella34[[#This Row],[Day]]-pl)</f>
        <v>9.4056903324771461</v>
      </c>
      <c r="AM97" s="77">
        <f>Tabella34[[#This Row],[sel. region cumul. fit]]/Kl</f>
        <v>9.6311190200071367E-2</v>
      </c>
      <c r="AN97" s="143">
        <f>Tabella3[[#This Row],[region fit]]</f>
        <v>77.934461813330699</v>
      </c>
      <c r="AO97" s="186">
        <f>Tabella34[[#This Row],[sel. region velocity]]/Tabella34[[#This Row],[sel. region cumul. fit]]</f>
        <v>9.0211176713099681E-2</v>
      </c>
      <c r="AP97" s="241">
        <f>(LN(Tabella34[[#This Row],[Day]]-pr)-phi_r)/psi_r</f>
        <v>52.629349954208926</v>
      </c>
      <c r="AQ97" s="244">
        <f>EXP(phi_r+psi_r*Tabella34[[#This Row],[x_r_alpha©+plus]])-(Tabella34[[#This Row],[Day]]-pr)</f>
        <v>-11.048416153016325</v>
      </c>
      <c r="AR97" s="244">
        <f>EXP(phi_r+psi_r*Tabella34[[#This Row],[x_r_alpha©-minus]])-(Tabella34[[#This Row],[Day]]-pr)</f>
        <v>-11.749160114449811</v>
      </c>
      <c r="AS97" s="244">
        <f>-psi_r+SQRT(psi_r^2-2*Tabella34[[#This Row],[c_r]])</f>
        <v>3.6815486098803105</v>
      </c>
      <c r="AT97" s="244">
        <f>-psi_r-SQRT(psi_r^2-2*Tabella34[[#This Row],[c_r]])</f>
        <v>-3.7379568482989716</v>
      </c>
      <c r="AU97" s="244">
        <f>phi_r-LN(alpha*Kr/(Tabella34[[#This Row],[sel. region velocity]]*psi_r*SQRTPI(2)))</f>
        <v>-6.8807349193238325</v>
      </c>
      <c r="AV97" s="244">
        <f>(ACOSH(SQRT(alpha*Kl*psi_l/(Tabella34[[#This Row],[sel. region velocity]]*(1+TANH(phi_l)))))+phi_l)/psi_l-(Tabella34[[#This Row],[Day]]-pl)</f>
        <v>72.198330634508309</v>
      </c>
      <c r="AW97" s="72">
        <f>-2*$BY$22*TANH($BY$22*(Tabella34[[#This Row],[Day]]-$BY$31)-$BY$21)*Tabella34[[#This Row],[sel. region velocity]]</f>
        <v>2.8975733039181355</v>
      </c>
      <c r="AX97" s="77">
        <f>Tabella34[[#This Row],[sel. region acc. fit]]/y_l_peak</f>
        <v>2.1027492779128226E-2</v>
      </c>
      <c r="AY97" s="143">
        <f>Tabella34[[#This Row],[sel. region acc. fit]]*NOT(ISBLANK(Tabella34[[#This Row],[selected region rate data]]))</f>
        <v>2.8975733039181355</v>
      </c>
      <c r="AZ97" s="77">
        <f>Tabella34[[#This Row],[sel. region acc. fit]]+CIl</f>
        <v>56.662413713466592</v>
      </c>
      <c r="BA97" s="77">
        <f>MAX(Tabella34[[#This Row],[sel. region acc. fit]]-CIl,0)</f>
        <v>0</v>
      </c>
      <c r="BB97" s="10">
        <f>Tabella8[[#This Row],[rest of Italy ]]</f>
        <v>25377</v>
      </c>
      <c r="BC97" s="10">
        <f>(Tabella34[[#This Row],[rest of Italy cum. Data]]-BB96)</f>
        <v>2365</v>
      </c>
      <c r="BD97" s="10">
        <f>Tabella34[[#This Row],[rest of Italy rate data]]-BC96</f>
        <v>1024</v>
      </c>
      <c r="BE97" s="77">
        <f>Tabella34[[#This Row],[rest of Italy rate data]]*NOT(ISBLANK(Tabella34[[#This Row],[rest of Italy rate data]]))</f>
        <v>2365</v>
      </c>
      <c r="BF97" s="77">
        <f>Tabella8[[#This Row],[rest of Italy fit]]</f>
        <v>24437.422736111159</v>
      </c>
      <c r="BG97" s="78">
        <f>(ATANH(alpha*Tabella34[[#This Row],[rest of Italy cumul. fit]]/Ka-(1-alpha*Tabella34[[#This Row],[rest of Italy cumul. fit]]/Ka)*TANH(phi_a))+phi_a)/psi_a-(Tabella34[[#This Row],[Day]]-pa)</f>
        <v>12.155934164951368</v>
      </c>
      <c r="BH97" s="77">
        <f>Tabella34[[#This Row],[rest of Italy cumul. fit]]/Ka</f>
        <v>0.11312050518960866</v>
      </c>
      <c r="BI97" s="143">
        <f>Tabella3[[#This Row],[rest of Italy fit]]</f>
        <v>1685.4056191586722</v>
      </c>
      <c r="BJ97" s="183">
        <f>Tabella34[[#This Row],[rest of Italy velocity]]/Tabella34[[#This Row],[rest of Italy cumul. fit]]</f>
        <v>6.8968222932451459E-2</v>
      </c>
      <c r="BK97" s="236">
        <f>(LN(Tabella34[[#This Row],[Day]]-po)-phi_o)/psi_o</f>
        <v>71.5112508426798</v>
      </c>
      <c r="BL97" s="244">
        <f>EXP(phi_o+psi_o*Tabella34[[#This Row],[x_o_alpha©+plus]])-(Tabella34[[#This Row],[Day]]-po)</f>
        <v>-16.449115953521986</v>
      </c>
      <c r="BM97" s="244">
        <f>EXP(phi_o+psi_o*Tabella34[[#This Row],[x_o_alpha©-minus]])-(Tabella34[[#This Row],[Day]]-po)</f>
        <v>-17.098583063921186</v>
      </c>
      <c r="BN97" s="244">
        <f>-psi_o+SQRT(psi_o^2-2*Tabella34[[#This Row],[c_o]])</f>
        <v>3.738091542911067</v>
      </c>
      <c r="BO97" s="244">
        <f>-psi_o-SQRT(psi_o^2-2*Tabella34[[#This Row],[c_o]])</f>
        <v>-3.7871186284806964</v>
      </c>
      <c r="BP97" s="244">
        <f>phi_o-LN(alpha*Ko/(Tabella34[[#This Row],[rest of Italy velocity]]*psi_o*SQRTPI(2)))</f>
        <v>-7.0782980585623259</v>
      </c>
      <c r="BQ97" s="244">
        <f>(ACOSH(SQRT(alpha*Ka*psi_a/(Tabella34[[#This Row],[rest of Italy velocity]]*(1+TANH(phi_a)))))+phi_a)/psi_a-(Tabella34[[#This Row],[Day]]-pa)</f>
        <v>80.818707195210393</v>
      </c>
      <c r="BR97" s="72">
        <f>-2*$BY$35*TANH($BY$35*(Tabella34[[#This Row],[Day]]-$BY$44)-$BY$34)*Tabella34[[#This Row],[rest of Italy velocity]]</f>
        <v>52.978102209939728</v>
      </c>
      <c r="BS97" s="77">
        <f>Tabella34[[#This Row],[rest of Italy acc. fit]]/y_a_peak</f>
        <v>1.8512217416405723E-2</v>
      </c>
      <c r="BT97" s="77">
        <f>Tabella34[[#This Row],[rest of Italy acc. fit]]*NOT(ISBLANK(Tabella34[[#This Row],[rest of Italy rate data]]))</f>
        <v>52.978102209939728</v>
      </c>
      <c r="BU97" s="77">
        <f>Tabella34[[#This Row],[rest of Italy acc. fit]]+CIa</f>
        <v>1747.5522971195226</v>
      </c>
      <c r="BV97" s="77">
        <f>MAX(Tabella34[[#This Row],[rest of Italy acc. fit]]-CIa,0)</f>
        <v>0</v>
      </c>
    </row>
    <row r="98" spans="2:74" x14ac:dyDescent="0.3">
      <c r="B98" s="262">
        <v>43921</v>
      </c>
      <c r="C98" s="29">
        <v>91</v>
      </c>
      <c r="D98" s="10">
        <f>Tabella8[[#This Row],[Italy cumulative]]</f>
        <v>28157</v>
      </c>
      <c r="E98" s="72">
        <f>(Tabella34[[#This Row],[Italy cumul. data]]-D97)</f>
        <v>1946</v>
      </c>
      <c r="F98" s="72">
        <f>Tabella34[[#This Row],[Italy rate data]]-E97</f>
        <v>-456</v>
      </c>
      <c r="G98" s="77">
        <f>Tabella34[[#This Row],[Italy rate data]]*NOT(ISBLANK(Tabella34[[#This Row],[Italy rate data]]))</f>
        <v>1946</v>
      </c>
      <c r="H98" s="143">
        <f>Tabella8[[#This Row],[Italy fit]]</f>
        <v>27108.803725840477</v>
      </c>
      <c r="I98" s="143">
        <f>(ATANH(alpha*Tabella34[[#This Row],[Italy cumul. Fit]]/Kf-(1-alpha*Tabella34[[#This Row],[Italy cumul. Fit]]/Kf)*TANH(phi_f))+phi_f)/psi_f-(Tabella34[[#This Row],[Day]]-pf)</f>
        <v>12.499751071137339</v>
      </c>
      <c r="J98" s="143">
        <f>Tabella34[[#This Row],[Italy d.t.]]/Italy_dt_at_lockdown</f>
        <v>11.336485920609269</v>
      </c>
      <c r="K98" s="77">
        <f>Tabella34[[#This Row],[Italy cumul. Fit]]/Kf</f>
        <v>0.12048357211484656</v>
      </c>
      <c r="L98" s="146">
        <f>Tabella34[[#This Row],[sel. region acc. fit]]+Tabella34[[#This Row],[rest of Italy acc. fit]]</f>
        <v>56.332172348296027</v>
      </c>
      <c r="M98" s="77">
        <f>Tabella34[[#This Row],[Italy (fit of selected region + fitted sum of the other regions)]]/(y_l_peak+y_a_peak)</f>
        <v>1.8779953945178517E-2</v>
      </c>
      <c r="N98" s="143">
        <f>Tabella3[[#This Row],[Italy remov. rate fit]]</f>
        <v>1816.5629637575578</v>
      </c>
      <c r="O98" s="143">
        <f>Kt*EXP(-0.5*Tabella34[[#This Row],[x_t]]^2)/(psi_t*SQRTPI(2)*(Tabella34[[#This Row],[Day]]-D_bk))</f>
        <v>0</v>
      </c>
      <c r="P98" s="183">
        <f>Tabella34[[#This Row],[Italy velocity]]/Tabella34[[#This Row],[Italy cumul. Fit]]</f>
        <v>6.7010074739151451E-2</v>
      </c>
      <c r="Q98" s="244">
        <f>(LN(Tabella34[[#This Row],[Day]]-D_bk)-phi_t)/psi_t</f>
        <v>72.514140829695222</v>
      </c>
      <c r="R98" s="244">
        <f>EXP(phi_t+psi_t*Tabella34[[#This Row],[x_t_alpha©+plus]])-(Tabella34[[#This Row],[Day]]-D_bk)</f>
        <v>-17.286336577129997</v>
      </c>
      <c r="S98" s="244">
        <f>EXP(phi_t+psi_t*Tabella34[[#This Row],[x_t_alpha©-minus]])-(Tabella34[[#This Row],[Day]]-D_bk)</f>
        <v>-17.940676056891721</v>
      </c>
      <c r="T98" s="244">
        <f>-psi_t+SQRT(psi_t^2-2*Tabella34[[#This Row],[c_t]])</f>
        <v>3.7259550775224093</v>
      </c>
      <c r="U98" s="244">
        <f>-psi_t-SQRT(psi_t^2-2*Tabella34[[#This Row],[c_t]])</f>
        <v>-3.7753478119422144</v>
      </c>
      <c r="V98" s="244">
        <f>phi_t-LN(alpha*Kt/(Tabella34[[#This Row],[Italy velocity]]*psi_t*SQRTPI(2)))</f>
        <v>-7.0333881746596054</v>
      </c>
      <c r="W98" s="244">
        <f>Tabella34[[#This Row],[Italy g.r.]]/Italy_gr_at_lockdown</f>
        <v>7.5603608778064574E-2</v>
      </c>
      <c r="X98" s="244">
        <f>(ACOSH(SQRT(alpha*Kf*psi_f/(Tabella34[[#This Row],[Italy velocity]]*(1+TANH(phi_f)))))+phi_f)/psi_f-(Tabella34[[#This Row],[Day]]-pf)</f>
        <v>78.689350361063887</v>
      </c>
      <c r="Y98" s="244">
        <f>Tabella34[[#This Row],[Italy h.t.]]/Italy_ht_at_lockdown</f>
        <v>0.68068248569649659</v>
      </c>
      <c r="Z98" s="72">
        <f>-2*$BY$48*TANH($BY$48*(Tabella34[[#This Row],[Day]]-$BY$57)-$BY$47)*Tabella34[[#This Row],[Italy velocity]]</f>
        <v>56.374352032509556</v>
      </c>
      <c r="AA98" s="72">
        <f>Tabella34[[#This Row],[Italy acc. fit]]/Itali_acc_at_lockdown</f>
        <v>1.5612458412282755</v>
      </c>
      <c r="AB98" s="77">
        <f>Tabella34[[#This Row],[Italy acc. fit]]/y_f_peak</f>
        <v>1.8782647824748706E-2</v>
      </c>
      <c r="AC98" s="143">
        <f>Tabella34[[#This Row],[Italy (fit of selected region + fitted sum of the other regions)]]*NOT(ISBLANK(Tabella34[[#This Row],[Italy rate data]]))</f>
        <v>56.332172348296027</v>
      </c>
      <c r="AD98" s="143">
        <f>Tabella34[[#This Row],[Italy acc. fit]]*NOT(ISBLANK(Tabella34[[#This Row],[Italy rate data]]))</f>
        <v>56.374352032509556</v>
      </c>
      <c r="AE98" s="77">
        <f>Tabella34[[#This Row],[Italy acc. fit]]+CIf</f>
        <v>1771.9892113670608</v>
      </c>
      <c r="AF98" s="77">
        <f>MAX(Tabella34[[#This Row],[Italy acc. fit]]-CIf,0)</f>
        <v>0</v>
      </c>
      <c r="AG98" s="4">
        <f>Tabella8[[#This Row],[region data]]</f>
        <v>908</v>
      </c>
      <c r="AH98" s="72">
        <f>(Tabella34[[#This Row],[selected region cumul. data]]-AG97)</f>
        <v>74</v>
      </c>
      <c r="AI98" s="72">
        <f>Tabella34[[#This Row],[selected region rate data]]-AH97</f>
        <v>37</v>
      </c>
      <c r="AJ98" s="77">
        <f>Tabella34[[#This Row],[selected region rate data]]*NOT(ISBLANK(Tabella34[[#This Row],[selected region rate data]]))</f>
        <v>74</v>
      </c>
      <c r="AK98" s="77">
        <f>Tabella8[[#This Row],[region fit]]</f>
        <v>943.30061913025622</v>
      </c>
      <c r="AL98" s="143">
        <f>(ATANH(alpha*Tabella34[[#This Row],[sel. region cumul. fit]]/Kl-(1-alpha*Tabella34[[#This Row],[sel. region cumul. fit]]/Kl)*TANH(phi_l))+phi_l)/psi_l-(Tabella34[[#This Row],[Day]]-pl)</f>
        <v>9.8779910285076049</v>
      </c>
      <c r="AM98" s="77">
        <f>Tabella34[[#This Row],[sel. region cumul. fit]]/Kl</f>
        <v>0.10516171896658374</v>
      </c>
      <c r="AN98" s="143">
        <f>Tabella3[[#This Row],[region fit]]</f>
        <v>80.849740075400007</v>
      </c>
      <c r="AO98" s="186">
        <f>Tabella34[[#This Row],[sel. region velocity]]/Tabella34[[#This Row],[sel. region cumul. fit]]</f>
        <v>8.5709410590597543E-2</v>
      </c>
      <c r="AP98" s="241">
        <f>(LN(Tabella34[[#This Row],[Day]]-pr)-phi_r)/psi_r</f>
        <v>54.953680794519769</v>
      </c>
      <c r="AQ98" s="244">
        <f>EXP(phi_r+psi_r*Tabella34[[#This Row],[x_r_alpha©+plus]])-(Tabella34[[#This Row],[Day]]-pr)</f>
        <v>-12.049453583776728</v>
      </c>
      <c r="AR98" s="244">
        <f>EXP(phi_r+psi_r*Tabella34[[#This Row],[x_r_alpha©-minus]])-(Tabella34[[#This Row],[Day]]-pr)</f>
        <v>-12.748318332113911</v>
      </c>
      <c r="AS98" s="244">
        <f>-psi_r+SQRT(psi_r^2-2*Tabella34[[#This Row],[c_r]])</f>
        <v>3.6716360191503505</v>
      </c>
      <c r="AT98" s="244">
        <f>-psi_r-SQRT(psi_r^2-2*Tabella34[[#This Row],[c_r]])</f>
        <v>-3.7280442575690116</v>
      </c>
      <c r="AU98" s="244">
        <f>phi_r-LN(alpha*Kr/(Tabella34[[#This Row],[sel. region velocity]]*psi_r*SQRTPI(2)))</f>
        <v>-6.8440107885385038</v>
      </c>
      <c r="AV98" s="244">
        <f>(ACOSH(SQRT(alpha*Kl*psi_l/(Tabella34[[#This Row],[sel. region velocity]]*(1+TANH(phi_l)))))+phi_l)/psi_l-(Tabella34[[#This Row],[Day]]-pl)</f>
        <v>70.426745353297292</v>
      </c>
      <c r="AW98" s="72">
        <f>-2*$BY$22*TANH($BY$22*(Tabella34[[#This Row],[Day]]-$BY$31)-$BY$21)*Tabella34[[#This Row],[sel. region velocity]]</f>
        <v>2.9318570715141012</v>
      </c>
      <c r="AX98" s="77">
        <f>Tabella34[[#This Row],[sel. region acc. fit]]/y_l_peak</f>
        <v>2.1276287753388468E-2</v>
      </c>
      <c r="AY98" s="143">
        <f>Tabella34[[#This Row],[sel. region acc. fit]]*NOT(ISBLANK(Tabella34[[#This Row],[selected region rate data]]))</f>
        <v>2.9318570715141012</v>
      </c>
      <c r="AZ98" s="77">
        <f>Tabella34[[#This Row],[sel. region acc. fit]]+CIl</f>
        <v>56.696697481062557</v>
      </c>
      <c r="BA98" s="77">
        <f>MAX(Tabella34[[#This Row],[sel. region acc. fit]]-CIl,0)</f>
        <v>0</v>
      </c>
      <c r="BB98" s="10">
        <f>Tabella8[[#This Row],[rest of Italy ]]</f>
        <v>27249</v>
      </c>
      <c r="BC98" s="10">
        <f>(Tabella34[[#This Row],[rest of Italy cum. Data]]-BB97)</f>
        <v>1872</v>
      </c>
      <c r="BD98" s="10">
        <f>Tabella34[[#This Row],[rest of Italy rate data]]-BC97</f>
        <v>-493</v>
      </c>
      <c r="BE98" s="77">
        <f>Tabella34[[#This Row],[rest of Italy rate data]]*NOT(ISBLANK(Tabella34[[#This Row],[rest of Italy rate data]]))</f>
        <v>1872</v>
      </c>
      <c r="BF98" s="77">
        <f>Tabella8[[#This Row],[rest of Italy fit]]</f>
        <v>26149.391998188425</v>
      </c>
      <c r="BG98" s="78">
        <f>(ATANH(alpha*Tabella34[[#This Row],[rest of Italy cumul. fit]]/Ka-(1-alpha*Tabella34[[#This Row],[rest of Italy cumul. fit]]/Ka)*TANH(phi_a))+phi_a)/psi_a-(Tabella34[[#This Row],[Day]]-pa)</f>
        <v>12.604661164017529</v>
      </c>
      <c r="BH98" s="77">
        <f>Tabella34[[#This Row],[rest of Italy cumul. fit]]/Ka</f>
        <v>0.1210451881599242</v>
      </c>
      <c r="BI98" s="143">
        <f>Tabella3[[#This Row],[rest of Italy fit]]</f>
        <v>1738.6032958898488</v>
      </c>
      <c r="BJ98" s="183">
        <f>Tabella34[[#This Row],[rest of Italy velocity]]/Tabella34[[#This Row],[rest of Italy cumul. fit]]</f>
        <v>6.6487331560530952E-2</v>
      </c>
      <c r="BK98" s="236">
        <f>(LN(Tabella34[[#This Row],[Day]]-po)-phi_o)/psi_o</f>
        <v>73.472438324589717</v>
      </c>
      <c r="BL98" s="244">
        <f>EXP(phi_o+psi_o*Tabella34[[#This Row],[x_o_alpha©+plus]])-(Tabella34[[#This Row],[Day]]-po)</f>
        <v>-17.449897306901022</v>
      </c>
      <c r="BM98" s="244">
        <f>EXP(phi_o+psi_o*Tabella34[[#This Row],[x_o_alpha©-minus]])-(Tabella34[[#This Row],[Day]]-po)</f>
        <v>-18.097933201527088</v>
      </c>
      <c r="BN98" s="244">
        <f>-psi_o+SQRT(psi_o^2-2*Tabella34[[#This Row],[c_o]])</f>
        <v>3.7298233324696528</v>
      </c>
      <c r="BO98" s="244">
        <f>-psi_o-SQRT(psi_o^2-2*Tabella34[[#This Row],[c_o]])</f>
        <v>-3.7788504180392821</v>
      </c>
      <c r="BP98" s="244">
        <f>phi_o-LN(alpha*Ko/(Tabella34[[#This Row],[rest of Italy velocity]]*psi_o*SQRTPI(2)))</f>
        <v>-7.047222229557808</v>
      </c>
      <c r="BQ98" s="244">
        <f>(ACOSH(SQRT(alpha*Ka*psi_a/(Tabella34[[#This Row],[rest of Italy velocity]]*(1+TANH(phi_a)))))+phi_a)/psi_a-(Tabella34[[#This Row],[Day]]-pa)</f>
        <v>79.061599037569465</v>
      </c>
      <c r="BR98" s="72">
        <f>-2*$BY$35*TANH($BY$35*(Tabella34[[#This Row],[Day]]-$BY$44)-$BY$34)*Tabella34[[#This Row],[rest of Italy velocity]]</f>
        <v>53.400315276781924</v>
      </c>
      <c r="BS98" s="77">
        <f>Tabella34[[#This Row],[rest of Italy acc. fit]]/y_a_peak</f>
        <v>1.8659751959233566E-2</v>
      </c>
      <c r="BT98" s="77">
        <f>Tabella34[[#This Row],[rest of Italy acc. fit]]*NOT(ISBLANK(Tabella34[[#This Row],[rest of Italy rate data]]))</f>
        <v>53.400315276781924</v>
      </c>
      <c r="BU98" s="77">
        <f>Tabella34[[#This Row],[rest of Italy acc. fit]]+CIa</f>
        <v>1747.9745101863646</v>
      </c>
      <c r="BV98" s="77">
        <f>MAX(Tabella34[[#This Row],[rest of Italy acc. fit]]-CIa,0)</f>
        <v>0</v>
      </c>
    </row>
    <row r="99" spans="2:74" x14ac:dyDescent="0.3">
      <c r="B99" s="262">
        <v>43922</v>
      </c>
      <c r="C99" s="29">
        <v>92</v>
      </c>
      <c r="D99" s="10">
        <f>Tabella8[[#This Row],[Italy cumulative]]</f>
        <v>30002</v>
      </c>
      <c r="E99" s="72">
        <f>(Tabella34[[#This Row],[Italy cumul. data]]-D98)</f>
        <v>1845</v>
      </c>
      <c r="F99" s="72">
        <f>Tabella34[[#This Row],[Italy rate data]]-E98</f>
        <v>-101</v>
      </c>
      <c r="G99" s="77">
        <f>Tabella34[[#This Row],[Italy rate data]]*NOT(ISBLANK(Tabella34[[#This Row],[Italy rate data]]))</f>
        <v>1845</v>
      </c>
      <c r="H99" s="143">
        <f>Tabella8[[#This Row],[Italy fit]]</f>
        <v>28953.617179946959</v>
      </c>
      <c r="I99" s="143">
        <f>(ATANH(alpha*Tabella34[[#This Row],[Italy cumul. Fit]]/Kf-(1-alpha*Tabella34[[#This Row],[Italy cumul. Fit]]/Kf)*TANH(phi_f))+phi_f)/psi_f-(Tabella34[[#This Row],[Day]]-pf)</f>
        <v>12.94987788760519</v>
      </c>
      <c r="J99" s="143">
        <f>Tabella34[[#This Row],[Italy d.t.]]/Italy_dt_at_lockdown</f>
        <v>11.744722555749888</v>
      </c>
      <c r="K99" s="77">
        <f>Tabella34[[#This Row],[Italy cumul. Fit]]/Kf</f>
        <v>0.12868274302198648</v>
      </c>
      <c r="L99" s="146">
        <f>Tabella34[[#This Row],[sel. region acc. fit]]+Tabella34[[#This Row],[rest of Italy acc. fit]]</f>
        <v>56.676001024214692</v>
      </c>
      <c r="M99" s="77">
        <f>Tabella34[[#This Row],[Italy (fit of selected region + fitted sum of the other regions)]]/(y_l_peak+y_a_peak)</f>
        <v>1.8894579148319286E-2</v>
      </c>
      <c r="N99" s="143">
        <f>Tabella3[[#This Row],[Italy remov. rate fit]]</f>
        <v>1873.1224418926947</v>
      </c>
      <c r="O99" s="143">
        <f>Kt*EXP(-0.5*Tabella34[[#This Row],[x_t]]^2)/(psi_t*SQRTPI(2)*(Tabella34[[#This Row],[Day]]-D_bk))</f>
        <v>0</v>
      </c>
      <c r="P99" s="183">
        <f>Tabella34[[#This Row],[Italy velocity]]/Tabella34[[#This Row],[Italy cumul. Fit]]</f>
        <v>6.469390094685662E-2</v>
      </c>
      <c r="Q99" s="244">
        <f>(LN(Tabella34[[#This Row],[Day]]-D_bk)-phi_t)/psi_t</f>
        <v>74.384270786581283</v>
      </c>
      <c r="R99" s="244">
        <f>EXP(phi_t+psi_t*Tabella34[[#This Row],[x_t_alpha©+plus]])-(Tabella34[[#This Row],[Day]]-D_bk)</f>
        <v>-18.28711852302596</v>
      </c>
      <c r="S99" s="244">
        <f>EXP(phi_t+psi_t*Tabella34[[#This Row],[x_t_alpha©-minus]])-(Tabella34[[#This Row],[Day]]-D_bk)</f>
        <v>-18.940026212636198</v>
      </c>
      <c r="T99" s="244">
        <f>-psi_t+SQRT(psi_t^2-2*Tabella34[[#This Row],[c_t]])</f>
        <v>3.7177714204258292</v>
      </c>
      <c r="U99" s="244">
        <f>-psi_t-SQRT(psi_t^2-2*Tabella34[[#This Row],[c_t]])</f>
        <v>-3.7671641548456343</v>
      </c>
      <c r="V99" s="244">
        <f>phi_t-LN(alpha*Kt/(Tabella34[[#This Row],[Italy velocity]]*psi_t*SQRTPI(2)))</f>
        <v>-7.0027276154688609</v>
      </c>
      <c r="W99" s="244">
        <f>Tabella34[[#This Row],[Italy g.r.]]/Italy_gr_at_lockdown</f>
        <v>7.2990403257307948E-2</v>
      </c>
      <c r="X99" s="244">
        <f>(ACOSH(SQRT(alpha*Kf*psi_f/(Tabella34[[#This Row],[Italy velocity]]*(1+TANH(phi_f)))))+phi_f)/psi_f-(Tabella34[[#This Row],[Day]]-pf)</f>
        <v>76.943505163628245</v>
      </c>
      <c r="Y99" s="244">
        <f>Tabella34[[#This Row],[Italy h.t.]]/Italy_ht_at_lockdown</f>
        <v>0.6655804897697416</v>
      </c>
      <c r="Z99" s="72">
        <f>-2*$BY$48*TANH($BY$48*(Tabella34[[#This Row],[Day]]-$BY$57)-$BY$47)*Tabella34[[#This Row],[Italy velocity]]</f>
        <v>56.72519459522865</v>
      </c>
      <c r="AA99" s="72">
        <f>Tabella34[[#This Row],[Italy acc. fit]]/Itali_acc_at_lockdown</f>
        <v>1.5709621656244332</v>
      </c>
      <c r="AB99" s="77">
        <f>Tabella34[[#This Row],[Italy acc. fit]]/y_f_peak</f>
        <v>1.8899540561603315E-2</v>
      </c>
      <c r="AC99" s="143">
        <f>Tabella34[[#This Row],[Italy (fit of selected region + fitted sum of the other regions)]]*NOT(ISBLANK(Tabella34[[#This Row],[Italy rate data]]))</f>
        <v>56.676001024214692</v>
      </c>
      <c r="AD99" s="143">
        <f>Tabella34[[#This Row],[Italy acc. fit]]*NOT(ISBLANK(Tabella34[[#This Row],[Italy rate data]]))</f>
        <v>56.72519459522865</v>
      </c>
      <c r="AE99" s="77">
        <f>Tabella34[[#This Row],[Italy acc. fit]]+CIf</f>
        <v>1772.34005392978</v>
      </c>
      <c r="AF99" s="77">
        <f>MAX(Tabella34[[#This Row],[Italy acc. fit]]-CIf,0)</f>
        <v>0</v>
      </c>
      <c r="AG99" s="4">
        <f>Tabella8[[#This Row],[region data]]</f>
        <v>1015</v>
      </c>
      <c r="AH99" s="72">
        <f>(Tabella34[[#This Row],[selected region cumul. data]]-AG98)</f>
        <v>107</v>
      </c>
      <c r="AI99" s="72">
        <f>Tabella34[[#This Row],[selected region rate data]]-AH98</f>
        <v>33</v>
      </c>
      <c r="AJ99" s="77">
        <f>Tabella34[[#This Row],[selected region rate data]]*NOT(ISBLANK(Tabella34[[#This Row],[selected region rate data]]))</f>
        <v>107</v>
      </c>
      <c r="AK99" s="77">
        <f>Tabella8[[#This Row],[region fit]]</f>
        <v>1025.6211282791292</v>
      </c>
      <c r="AL99" s="143">
        <f>(ATANH(alpha*Tabella34[[#This Row],[sel. region cumul. fit]]/Kl-(1-alpha*Tabella34[[#This Row],[sel. region cumul. fit]]/Kl)*TANH(phi_l))+phi_l)/psi_l-(Tabella34[[#This Row],[Day]]-pl)</f>
        <v>10.348728748184627</v>
      </c>
      <c r="AM99" s="77">
        <f>Tabella34[[#This Row],[sel. region cumul. fit]]/Kl</f>
        <v>0.11433903325296869</v>
      </c>
      <c r="AN99" s="143">
        <f>Tabella3[[#This Row],[region fit]]</f>
        <v>83.795812114364338</v>
      </c>
      <c r="AO99" s="186">
        <f>Tabella34[[#This Row],[sel. region velocity]]/Tabella34[[#This Row],[sel. region cumul. fit]]</f>
        <v>8.1702501834145902E-2</v>
      </c>
      <c r="AP99" s="241">
        <f>(LN(Tabella34[[#This Row],[Day]]-pr)-phi_r)/psi_r</f>
        <v>57.134967765783969</v>
      </c>
      <c r="AQ99" s="244">
        <f>EXP(phi_r+psi_r*Tabella34[[#This Row],[x_r_alpha©+plus]])-(Tabella34[[#This Row],[Day]]-pr)</f>
        <v>-13.050467045925171</v>
      </c>
      <c r="AR99" s="244">
        <f>EXP(phi_r+psi_r*Tabella34[[#This Row],[x_r_alpha©-minus]])-(Tabella34[[#This Row],[Day]]-pr)</f>
        <v>-13.747495543478735</v>
      </c>
      <c r="AS99" s="244">
        <f>-psi_r+SQRT(psi_r^2-2*Tabella34[[#This Row],[c_r]])</f>
        <v>3.6619497703614305</v>
      </c>
      <c r="AT99" s="244">
        <f>-psi_r-SQRT(psi_r^2-2*Tabella34[[#This Row],[c_r]])</f>
        <v>-3.7183580087800916</v>
      </c>
      <c r="AU99" s="244">
        <f>phi_r-LN(alpha*Kr/(Tabella34[[#This Row],[sel. region velocity]]*psi_r*SQRTPI(2)))</f>
        <v>-6.8082201281869201</v>
      </c>
      <c r="AV99" s="244">
        <f>(ACOSH(SQRT(alpha*Kl*psi_l/(Tabella34[[#This Row],[sel. region velocity]]*(1+TANH(phi_l)))))+phi_l)/psi_l-(Tabella34[[#This Row],[Day]]-pl)</f>
        <v>68.669092596353138</v>
      </c>
      <c r="AW99" s="72">
        <f>-2*$BY$22*TANH($BY$22*(Tabella34[[#This Row],[Day]]-$BY$31)-$BY$21)*Tabella34[[#This Row],[sel. region velocity]]</f>
        <v>2.9590492596572449</v>
      </c>
      <c r="AX99" s="77">
        <f>Tabella34[[#This Row],[sel. region acc. fit]]/y_l_peak</f>
        <v>2.1473619616936314E-2</v>
      </c>
      <c r="AY99" s="143">
        <f>Tabella34[[#This Row],[sel. region acc. fit]]*NOT(ISBLANK(Tabella34[[#This Row],[selected region rate data]]))</f>
        <v>2.9590492596572449</v>
      </c>
      <c r="AZ99" s="77">
        <f>Tabella34[[#This Row],[sel. region acc. fit]]+CIl</f>
        <v>56.723889669205697</v>
      </c>
      <c r="BA99" s="77">
        <f>MAX(Tabella34[[#This Row],[sel. region acc. fit]]-CIl,0)</f>
        <v>0</v>
      </c>
      <c r="BB99" s="10">
        <f>Tabella8[[#This Row],[rest of Italy ]]</f>
        <v>28987</v>
      </c>
      <c r="BC99" s="10">
        <f>(Tabella34[[#This Row],[rest of Italy cum. Data]]-BB98)</f>
        <v>1738</v>
      </c>
      <c r="BD99" s="10">
        <f>Tabella34[[#This Row],[rest of Italy rate data]]-BC98</f>
        <v>-134</v>
      </c>
      <c r="BE99" s="77">
        <f>Tabella34[[#This Row],[rest of Italy rate data]]*NOT(ISBLANK(Tabella34[[#This Row],[rest of Italy rate data]]))</f>
        <v>1738</v>
      </c>
      <c r="BF99" s="77">
        <f>Tabella8[[#This Row],[rest of Italy fit]]</f>
        <v>27914.752777246871</v>
      </c>
      <c r="BG99" s="78">
        <f>(ATANH(alpha*Tabella34[[#This Row],[rest of Italy cumul. fit]]/Ka-(1-alpha*Tabella34[[#This Row],[rest of Italy cumul. fit]]/Ka)*TANH(phi_a))+phi_a)/psi_a-(Tabella34[[#This Row],[Day]]-pa)</f>
        <v>13.056440243295448</v>
      </c>
      <c r="BH99" s="77">
        <f>Tabella34[[#This Row],[rest of Italy cumul. fit]]/Ka</f>
        <v>0.12921701975302907</v>
      </c>
      <c r="BI99" s="143">
        <f>Tabella3[[#This Row],[rest of Italy fit]]</f>
        <v>1792.1710568593091</v>
      </c>
      <c r="BJ99" s="183">
        <f>Tabella34[[#This Row],[rest of Italy velocity]]/Tabella34[[#This Row],[rest of Italy cumul. fit]]</f>
        <v>6.4201573668246706E-2</v>
      </c>
      <c r="BK99" s="236">
        <f>(LN(Tabella34[[#This Row],[Day]]-po)-phi_o)/psi_o</f>
        <v>75.343649570450751</v>
      </c>
      <c r="BL99" s="244">
        <f>EXP(phi_o+psi_o*Tabella34[[#This Row],[x_o_alpha©+plus]])-(Tabella34[[#This Row],[Day]]-po)</f>
        <v>-18.450661812660773</v>
      </c>
      <c r="BM99" s="244">
        <f>EXP(phi_o+psi_o*Tabella34[[#This Row],[x_o_alpha©-minus]])-(Tabella34[[#This Row],[Day]]-po)</f>
        <v>-19.097297096480851</v>
      </c>
      <c r="BN99" s="244">
        <f>-psi_o+SQRT(psi_o^2-2*Tabella34[[#This Row],[c_o]])</f>
        <v>3.7217317796653413</v>
      </c>
      <c r="BO99" s="244">
        <f>-psi_o-SQRT(psi_o^2-2*Tabella34[[#This Row],[c_o]])</f>
        <v>-3.7707588652349706</v>
      </c>
      <c r="BP99" s="244">
        <f>phi_o-LN(alpha*Ko/(Tabella34[[#This Row],[rest of Italy velocity]]*psi_o*SQRTPI(2)))</f>
        <v>-7.0168765510999043</v>
      </c>
      <c r="BQ99" s="244">
        <f>(ACOSH(SQRT(alpha*Ka*psi_a/(Tabella34[[#This Row],[rest of Italy velocity]]*(1+TANH(phi_a)))))+phi_a)/psi_a-(Tabella34[[#This Row],[Day]]-pa)</f>
        <v>77.317310739347207</v>
      </c>
      <c r="BR99" s="72">
        <f>-2*$BY$35*TANH($BY$35*(Tabella34[[#This Row],[Day]]-$BY$44)-$BY$34)*Tabella34[[#This Row],[rest of Italy velocity]]</f>
        <v>53.71695176455745</v>
      </c>
      <c r="BS99" s="77">
        <f>Tabella34[[#This Row],[rest of Italy acc. fit]]/y_a_peak</f>
        <v>1.8770394720283013E-2</v>
      </c>
      <c r="BT99" s="77">
        <f>Tabella34[[#This Row],[rest of Italy acc. fit]]*NOT(ISBLANK(Tabella34[[#This Row],[rest of Italy rate data]]))</f>
        <v>53.71695176455745</v>
      </c>
      <c r="BU99" s="77">
        <f>Tabella34[[#This Row],[rest of Italy acc. fit]]+CIa</f>
        <v>1748.2911466741402</v>
      </c>
      <c r="BV99" s="77">
        <f>MAX(Tabella34[[#This Row],[rest of Italy acc. fit]]-CIa,0)</f>
        <v>0</v>
      </c>
    </row>
    <row r="100" spans="2:74" ht="15" thickBot="1" x14ac:dyDescent="0.35">
      <c r="B100" s="262">
        <v>43923</v>
      </c>
      <c r="C100" s="29">
        <v>93</v>
      </c>
      <c r="D100" s="10">
        <f>Tabella8[[#This Row],[Italy cumulative]]</f>
        <v>32193</v>
      </c>
      <c r="E100" s="72">
        <f>(Tabella34[[#This Row],[Italy cumul. data]]-D99)</f>
        <v>2191</v>
      </c>
      <c r="F100" s="72">
        <f>Tabella34[[#This Row],[Italy rate data]]-E99</f>
        <v>346</v>
      </c>
      <c r="G100" s="77">
        <f>Tabella34[[#This Row],[Italy rate data]]*NOT(ISBLANK(Tabella34[[#This Row],[Italy rate data]]))</f>
        <v>2191</v>
      </c>
      <c r="H100" s="143">
        <f>Tabella8[[#This Row],[Italy fit]]</f>
        <v>30855.145769920447</v>
      </c>
      <c r="I100" s="143">
        <f>(ATANH(alpha*Tabella34[[#This Row],[Italy cumul. Fit]]/Kf-(1-alpha*Tabella34[[#This Row],[Italy cumul. Fit]]/Kf)*TANH(phi_f))+phi_f)/psi_f-(Tabella34[[#This Row],[Day]]-pf)</f>
        <v>13.40493647050171</v>
      </c>
      <c r="J100" s="143">
        <f>Tabella34[[#This Row],[Italy d.t.]]/Italy_dt_at_lockdown</f>
        <v>12.157431992017838</v>
      </c>
      <c r="K100" s="77">
        <f>Tabella34[[#This Row],[Italy cumul. Fit]]/Kf</f>
        <v>0.13713398119964643</v>
      </c>
      <c r="L100" s="146">
        <f>Tabella34[[#This Row],[sel. region acc. fit]]+Tabella34[[#This Row],[rest of Italy acc. fit]]</f>
        <v>56.898622138752266</v>
      </c>
      <c r="M100" s="77">
        <f>Tabella34[[#This Row],[Italy (fit of selected region + fitted sum of the other regions)]]/(y_l_peak+y_a_peak)</f>
        <v>1.896879631595114E-2</v>
      </c>
      <c r="N100" s="143">
        <f>Tabella3[[#This Row],[Italy remov. rate fit]]</f>
        <v>1929.9731187905627</v>
      </c>
      <c r="O100" s="143">
        <f>Kt*EXP(-0.5*Tabella34[[#This Row],[x_t]]^2)/(psi_t*SQRTPI(2)*(Tabella34[[#This Row],[Day]]-D_bk))</f>
        <v>0</v>
      </c>
      <c r="P100" s="183">
        <f>Tabella34[[#This Row],[Italy velocity]]/Tabella34[[#This Row],[Italy cumul. Fit]]</f>
        <v>6.2549473374130776E-2</v>
      </c>
      <c r="Q100" s="244">
        <f>(LN(Tabella34[[#This Row],[Day]]-D_bk)-phi_t)/psi_t</f>
        <v>76.17182765703663</v>
      </c>
      <c r="R100" s="244">
        <f>EXP(phi_t+psi_t*Tabella34[[#This Row],[x_t_alpha©+plus]])-(Tabella34[[#This Row],[Day]]-D_bk)</f>
        <v>-19.287882551385586</v>
      </c>
      <c r="S100" s="244">
        <f>EXP(phi_t+psi_t*Tabella34[[#This Row],[x_t_alpha©-minus]])-(Tabella34[[#This Row],[Day]]-D_bk)</f>
        <v>-19.939391005143367</v>
      </c>
      <c r="T100" s="244">
        <f>-psi_t+SQRT(psi_t^2-2*Tabella34[[#This Row],[c_t]])</f>
        <v>3.7097736860672184</v>
      </c>
      <c r="U100" s="244">
        <f>-psi_t-SQRT(psi_t^2-2*Tabella34[[#This Row],[c_t]])</f>
        <v>-3.7591664204870234</v>
      </c>
      <c r="V100" s="244">
        <f>phi_t-LN(alpha*Kt/(Tabella34[[#This Row],[Italy velocity]]*psi_t*SQRTPI(2)))</f>
        <v>-6.9728283341351274</v>
      </c>
      <c r="W100" s="244">
        <f>Tabella34[[#This Row],[Italy g.r.]]/Italy_gr_at_lockdown</f>
        <v>7.0570969106661718E-2</v>
      </c>
      <c r="X100" s="244">
        <f>(ACOSH(SQRT(alpha*Kf*psi_f/(Tabella34[[#This Row],[Italy velocity]]*(1+TANH(phi_f)))))+phi_f)/psi_f-(Tabella34[[#This Row],[Day]]-pf)</f>
        <v>75.211167644973585</v>
      </c>
      <c r="Y100" s="244">
        <f>Tabella34[[#This Row],[Italy h.t.]]/Italy_ht_at_lockdown</f>
        <v>0.65059533862981533</v>
      </c>
      <c r="Z100" s="72">
        <f>-2*$BY$48*TANH($BY$48*(Tabella34[[#This Row],[Day]]-$BY$57)-$BY$47)*Tabella34[[#This Row],[Italy velocity]]</f>
        <v>56.955339220214938</v>
      </c>
      <c r="AA100" s="72">
        <f>Tabella34[[#This Row],[Italy acc. fit]]/Itali_acc_at_lockdown</f>
        <v>1.5773358502112411</v>
      </c>
      <c r="AB100" s="77">
        <f>Tabella34[[#This Row],[Italy acc. fit]]/y_f_peak</f>
        <v>1.8976219499525004E-2</v>
      </c>
      <c r="AC100" s="143">
        <f>Tabella34[[#This Row],[Italy (fit of selected region + fitted sum of the other regions)]]*NOT(ISBLANK(Tabella34[[#This Row],[Italy rate data]]))</f>
        <v>56.898622138752266</v>
      </c>
      <c r="AD100" s="143">
        <f>Tabella34[[#This Row],[Italy acc. fit]]*NOT(ISBLANK(Tabella34[[#This Row],[Italy rate data]]))</f>
        <v>56.955339220214938</v>
      </c>
      <c r="AE100" s="77">
        <f>Tabella34[[#This Row],[Italy acc. fit]]+CIf</f>
        <v>1772.5701985547662</v>
      </c>
      <c r="AF100" s="77">
        <f>MAX(Tabella34[[#This Row],[Italy acc. fit]]-CIf,0)</f>
        <v>0</v>
      </c>
      <c r="AG100" s="4">
        <f>Tabella8[[#This Row],[region data]]</f>
        <v>1122</v>
      </c>
      <c r="AH100" s="72">
        <f>(Tabella34[[#This Row],[selected region cumul. data]]-AG99)</f>
        <v>107</v>
      </c>
      <c r="AI100" s="72">
        <f>Tabella34[[#This Row],[selected region rate data]]-AH99</f>
        <v>0</v>
      </c>
      <c r="AJ100" s="77">
        <f>Tabella34[[#This Row],[selected region rate data]]*NOT(ISBLANK(Tabella34[[#This Row],[selected region rate data]]))</f>
        <v>107</v>
      </c>
      <c r="AK100" s="77">
        <f>Tabella8[[#This Row],[region fit]]</f>
        <v>1110.9000399457316</v>
      </c>
      <c r="AL100" s="143">
        <f>(ATANH(alpha*Tabella34[[#This Row],[sel. region cumul. fit]]/Kl-(1-alpha*Tabella34[[#This Row],[sel. region cumul. fit]]/Kl)*TANH(phi_l))+phi_l)/psi_l-(Tabella34[[#This Row],[Day]]-pl)</f>
        <v>10.82062883028912</v>
      </c>
      <c r="AM100" s="77">
        <f>Tabella34[[#This Row],[sel. region cumul. fit]]/Kl</f>
        <v>0.12384615829941266</v>
      </c>
      <c r="AN100" s="143">
        <f>Tabella3[[#This Row],[region fit]]</f>
        <v>86.765251660229168</v>
      </c>
      <c r="AO100" s="186">
        <f>Tabella34[[#This Row],[sel. region velocity]]/Tabella34[[#This Row],[sel. region cumul. fit]]</f>
        <v>7.8103563363331699E-2</v>
      </c>
      <c r="AP100" s="241">
        <f>(LN(Tabella34[[#This Row],[Day]]-pr)-phi_r)/psi_r</f>
        <v>59.189801193674413</v>
      </c>
      <c r="AQ100" s="244">
        <f>EXP(phi_r+psi_r*Tabella34[[#This Row],[x_r_alpha©+plus]])-(Tabella34[[#This Row],[Day]]-pr)</f>
        <v>-14.051455405767307</v>
      </c>
      <c r="AR100" s="244">
        <f>EXP(phi_r+psi_r*Tabella34[[#This Row],[x_r_alpha©-minus]])-(Tabella34[[#This Row],[Day]]-pr)</f>
        <v>-14.74669270121489</v>
      </c>
      <c r="AS100" s="244">
        <f>-psi_r+SQRT(psi_r^2-2*Tabella34[[#This Row],[c_r]])</f>
        <v>3.6525008895650042</v>
      </c>
      <c r="AT100" s="244">
        <f>-psi_r-SQRT(psi_r^2-2*Tabella34[[#This Row],[c_r]])</f>
        <v>-3.7089091279836652</v>
      </c>
      <c r="AU100" s="244">
        <f>phi_r-LN(alpha*Kr/(Tabella34[[#This Row],[sel. region velocity]]*psi_r*SQRTPI(2)))</f>
        <v>-6.7733969446380504</v>
      </c>
      <c r="AV100" s="244">
        <f>(ACOSH(SQRT(alpha*Kl*psi_l/(Tabella34[[#This Row],[sel. region velocity]]*(1+TANH(phi_l)))))+phi_l)/psi_l-(Tabella34[[#This Row],[Day]]-pl)</f>
        <v>66.926213879153863</v>
      </c>
      <c r="AW100" s="72">
        <f>-2*$BY$22*TANH($BY$22*(Tabella34[[#This Row],[Day]]-$BY$31)-$BY$21)*Tabella34[[#This Row],[sel. region velocity]]</f>
        <v>2.9784808440142783</v>
      </c>
      <c r="AX100" s="77">
        <f>Tabella34[[#This Row],[sel. region acc. fit]]/y_l_peak</f>
        <v>2.1614633305598489E-2</v>
      </c>
      <c r="AY100" s="143">
        <f>Tabella34[[#This Row],[sel. region acc. fit]]*NOT(ISBLANK(Tabella34[[#This Row],[selected region rate data]]))</f>
        <v>2.9784808440142783</v>
      </c>
      <c r="AZ100" s="77">
        <f>Tabella34[[#This Row],[sel. region acc. fit]]+CIl</f>
        <v>56.743321253562733</v>
      </c>
      <c r="BA100" s="77">
        <f>MAX(Tabella34[[#This Row],[sel. region acc. fit]]-CIl,0)</f>
        <v>0</v>
      </c>
      <c r="BB100" s="10">
        <f>Tabella8[[#This Row],[rest of Italy ]]</f>
        <v>31071</v>
      </c>
      <c r="BC100" s="10">
        <f>(Tabella34[[#This Row],[rest of Italy cum. Data]]-BB99)</f>
        <v>2084</v>
      </c>
      <c r="BD100" s="10">
        <f>Tabella34[[#This Row],[rest of Italy rate data]]-BC99</f>
        <v>346</v>
      </c>
      <c r="BE100" s="77">
        <f>Tabella34[[#This Row],[rest of Italy rate data]]*NOT(ISBLANK(Tabella34[[#This Row],[rest of Italy rate data]]))</f>
        <v>2084</v>
      </c>
      <c r="BF100" s="77">
        <f>Tabella8[[#This Row],[rest of Italy fit]]</f>
        <v>29733.821053599138</v>
      </c>
      <c r="BG100" s="78">
        <f>(ATANH(alpha*Tabella34[[#This Row],[rest of Italy cumul. fit]]/Ka-(1-alpha*Tabella34[[#This Row],[rest of Italy cumul. fit]]/Ka)*TANH(phi_a))+phi_a)/psi_a-(Tabella34[[#This Row],[Day]]-pa)</f>
        <v>13.513222803322449</v>
      </c>
      <c r="BH100" s="77">
        <f>Tabella34[[#This Row],[rest of Italy cumul. fit]]/Ka</f>
        <v>0.13763746263759263</v>
      </c>
      <c r="BI100" s="143">
        <f>Tabella3[[#This Row],[rest of Italy fit]]</f>
        <v>1845.9993822792608</v>
      </c>
      <c r="BJ100" s="183">
        <f>Tabella34[[#This Row],[rest of Italy velocity]]/Tabella34[[#This Row],[rest of Italy cumul. fit]]</f>
        <v>6.208416264265542E-2</v>
      </c>
      <c r="BK100" s="236">
        <f>(LN(Tabella34[[#This Row],[Day]]-po)-phi_o)/psi_o</f>
        <v>77.132779630866708</v>
      </c>
      <c r="BL100" s="244">
        <f>EXP(phi_o+psi_o*Tabella34[[#This Row],[x_o_alpha©+plus]])-(Tabella34[[#This Row],[Day]]-po)</f>
        <v>-19.451408804114013</v>
      </c>
      <c r="BM100" s="244">
        <f>EXP(phi_o+psi_o*Tabella34[[#This Row],[x_o_alpha©-minus]])-(Tabella34[[#This Row],[Day]]-po)</f>
        <v>-20.096675320355949</v>
      </c>
      <c r="BN100" s="244">
        <f>-psi_o+SQRT(psi_o^2-2*Tabella34[[#This Row],[c_o]])</f>
        <v>3.7138240482761207</v>
      </c>
      <c r="BO100" s="244">
        <f>-psi_o-SQRT(psi_o^2-2*Tabella34[[#This Row],[c_o]])</f>
        <v>-3.76285113384575</v>
      </c>
      <c r="BP100" s="244">
        <f>phi_o-LN(alpha*Ko/(Tabella34[[#This Row],[rest of Italy velocity]]*psi_o*SQRTPI(2)))</f>
        <v>-6.9872835154797075</v>
      </c>
      <c r="BQ100" s="244">
        <f>(ACOSH(SQRT(alpha*Ka*psi_a/(Tabella34[[#This Row],[rest of Italy velocity]]*(1+TANH(phi_a)))))+phi_a)/psi_a-(Tabella34[[#This Row],[Day]]-pa)</f>
        <v>75.586508201002587</v>
      </c>
      <c r="BR100" s="72">
        <f>-2*$BY$35*TANH($BY$35*(Tabella34[[#This Row],[Day]]-$BY$44)-$BY$34)*Tabella34[[#This Row],[rest of Italy velocity]]</f>
        <v>53.920141294737988</v>
      </c>
      <c r="BS100" s="77">
        <f>Tabella34[[#This Row],[rest of Italy acc. fit]]/y_a_peak</f>
        <v>1.8841395541424805E-2</v>
      </c>
      <c r="BT100" s="77">
        <f>Tabella34[[#This Row],[rest of Italy acc. fit]]*NOT(ISBLANK(Tabella34[[#This Row],[rest of Italy rate data]]))</f>
        <v>53.920141294737988</v>
      </c>
      <c r="BU100" s="77">
        <f>Tabella34[[#This Row],[rest of Italy acc. fit]]+CIa</f>
        <v>1748.4943362043207</v>
      </c>
      <c r="BV100" s="77">
        <f>MAX(Tabella34[[#This Row],[rest of Italy acc. fit]]-CIa,0)</f>
        <v>0</v>
      </c>
    </row>
    <row r="101" spans="2:74" ht="15" thickBot="1" x14ac:dyDescent="0.35">
      <c r="B101" s="262">
        <v>43924</v>
      </c>
      <c r="C101" s="174">
        <v>94</v>
      </c>
      <c r="D101" s="175">
        <f>Tabella8[[#This Row],[Italy cumulative]]</f>
        <v>34439</v>
      </c>
      <c r="E101" s="176">
        <f>(Tabella34[[#This Row],[Italy cumul. data]]-D100)</f>
        <v>2246</v>
      </c>
      <c r="F101" s="176">
        <f>Tabella34[[#This Row],[Italy rate data]]-E100</f>
        <v>55</v>
      </c>
      <c r="G101" s="177">
        <f>Tabella34[[#This Row],[Italy rate data]]*NOT(ISBLANK(Tabella34[[#This Row],[Italy rate data]]))</f>
        <v>2246</v>
      </c>
      <c r="H101" s="178">
        <f>Tabella8[[#This Row],[Italy fit]]</f>
        <v>32813.618941838598</v>
      </c>
      <c r="I101" s="143">
        <f>(ATANH(alpha*Tabella34[[#This Row],[Italy cumul. Fit]]/Kf-(1-alpha*Tabella34[[#This Row],[Italy cumul. Fit]]/Kf)*TANH(phi_f))+phi_f)/psi_f-(Tabella34[[#This Row],[Day]]-pf)</f>
        <v>13.866948251363063</v>
      </c>
      <c r="J101" s="178">
        <f>Tabella34[[#This Row],[Italy d.t.]]/Italy_dt_at_lockdown</f>
        <v>12.576447540334176</v>
      </c>
      <c r="K101" s="177">
        <f>Tabella34[[#This Row],[Italy cumul. Fit]]/Kf</f>
        <v>0.14583830640817155</v>
      </c>
      <c r="L101" s="179">
        <f>Tabella34[[#This Row],[sel. region acc. fit]]+Tabella34[[#This Row],[rest of Italy acc. fit]]</f>
        <v>56.991636902489944</v>
      </c>
      <c r="M101" s="177">
        <f>Tabella34[[#This Row],[Italy (fit of selected region + fitted sum of the other regions)]]/(y_l_peak+y_a_peak)</f>
        <v>1.8999805469448985E-2</v>
      </c>
      <c r="N101" s="143">
        <f>Tabella3[[#This Row],[Italy remov. rate fit]]</f>
        <v>1986.9900924710669</v>
      </c>
      <c r="O101" s="178">
        <f>Kt*EXP(-0.5*Tabella34[[#This Row],[x_t]]^2)/(psi_t*SQRTPI(2)*(Tabella34[[#This Row],[Day]]-D_bk))</f>
        <v>0</v>
      </c>
      <c r="P101" s="184">
        <f>Tabella34[[#This Row],[Italy velocity]]/Tabella34[[#This Row],[Italy cumul. Fit]]</f>
        <v>6.0553823581390463E-2</v>
      </c>
      <c r="Q101" s="245">
        <f>(LN(Tabella34[[#This Row],[Day]]-D_bk)-phi_t)/psi_t</f>
        <v>77.883795944158081</v>
      </c>
      <c r="R101" s="245">
        <f>EXP(phi_t+psi_t*Tabella34[[#This Row],[x_t_alpha©+plus]])-(Tabella34[[#This Row],[Day]]-D_bk)</f>
        <v>-20.28862796644227</v>
      </c>
      <c r="S101" s="245">
        <f>EXP(phi_t+psi_t*Tabella34[[#This Row],[x_t_alpha©-minus]])-(Tabella34[[#This Row],[Day]]-D_bk)</f>
        <v>-20.93877103071074</v>
      </c>
      <c r="T101" s="245">
        <f>-psi_t+SQRT(psi_t^2-2*Tabella34[[#This Row],[c_t]])</f>
        <v>3.7019692702631377</v>
      </c>
      <c r="U101" s="245">
        <f>-psi_t-SQRT(psi_t^2-2*Tabella34[[#This Row],[c_t]])</f>
        <v>-3.7513620046829428</v>
      </c>
      <c r="V101" s="245">
        <f>phi_t-LN(alpha*Kt/(Tabella34[[#This Row],[Italy velocity]]*psi_t*SQRTPI(2)))</f>
        <v>-6.9437134314844871</v>
      </c>
      <c r="W101" s="245">
        <f>Tabella34[[#This Row],[Italy g.r.]]/Italy_gr_at_lockdown</f>
        <v>6.8319392358304337E-2</v>
      </c>
      <c r="X101" s="244">
        <f>(ACOSH(SQRT(alpha*Kf*psi_f/(Tabella34[[#This Row],[Italy velocity]]*(1+TANH(phi_f)))))+phi_f)/psi_f-(Tabella34[[#This Row],[Day]]-pf)</f>
        <v>73.493040075847702</v>
      </c>
      <c r="Y101" s="245">
        <f>Tabella34[[#This Row],[Italy h.t.]]/Italy_ht_at_lockdown</f>
        <v>0.63573310709365349</v>
      </c>
      <c r="Z101" s="72">
        <f>-2*$BY$48*TANH($BY$48*(Tabella34[[#This Row],[Day]]-$BY$57)-$BY$47)*Tabella34[[#This Row],[Italy velocity]]</f>
        <v>57.05640770249677</v>
      </c>
      <c r="AA101" s="176">
        <f>Tabella34[[#This Row],[Italy acc. fit]]/Itali_acc_at_lockdown</f>
        <v>1.5801348668199069</v>
      </c>
      <c r="AB101" s="177">
        <f>Tabella34[[#This Row],[Italy acc. fit]]/y_f_peak</f>
        <v>1.900989321177959E-2</v>
      </c>
      <c r="AC101" s="178">
        <f>Tabella34[[#This Row],[Italy (fit of selected region + fitted sum of the other regions)]]*NOT(ISBLANK(Tabella34[[#This Row],[Italy rate data]]))</f>
        <v>56.991636902489944</v>
      </c>
      <c r="AD101" s="178">
        <f>Tabella34[[#This Row],[Italy acc. fit]]*NOT(ISBLANK(Tabella34[[#This Row],[Italy rate data]]))</f>
        <v>57.05640770249677</v>
      </c>
      <c r="AE101" s="177">
        <f>Tabella34[[#This Row],[Italy acc. fit]]+CIf</f>
        <v>1772.671267037048</v>
      </c>
      <c r="AF101" s="177">
        <f>MAX(Tabella34[[#This Row],[Italy acc. fit]]-CIf,0)</f>
        <v>0</v>
      </c>
      <c r="AG101" s="180">
        <f>Tabella8[[#This Row],[region data]]</f>
        <v>1219</v>
      </c>
      <c r="AH101" s="176">
        <f>(Tabella34[[#This Row],[selected region cumul. data]]-AG100)</f>
        <v>97</v>
      </c>
      <c r="AI101" s="176">
        <f>Tabella34[[#This Row],[selected region rate data]]-AH100</f>
        <v>-10</v>
      </c>
      <c r="AJ101" s="177">
        <f>Tabella34[[#This Row],[selected region rate data]]*NOT(ISBLANK(Tabella34[[#This Row],[selected region rate data]]))</f>
        <v>97</v>
      </c>
      <c r="AK101" s="177">
        <f>Tabella8[[#This Row],[region fit]]</f>
        <v>1199.1567304344867</v>
      </c>
      <c r="AL101" s="143">
        <f>(ATANH(alpha*Tabella34[[#This Row],[sel. region cumul. fit]]/Kl-(1-alpha*Tabella34[[#This Row],[sel. region cumul. fit]]/Kl)*TANH(phi_l))+phi_l)/psi_l-(Tabella34[[#This Row],[Day]]-pl)</f>
        <v>11.296433299844502</v>
      </c>
      <c r="AM101" s="177">
        <f>Tabella34[[#This Row],[sel. region cumul. fit]]/Kl</f>
        <v>0.13368525422903976</v>
      </c>
      <c r="AN101" s="143">
        <f>Tabella3[[#This Row],[region fit]]</f>
        <v>89.749965794764407</v>
      </c>
      <c r="AO101" s="185">
        <f>Tabella34[[#This Row],[sel. region velocity]]/Tabella34[[#This Row],[sel. region cumul. fit]]</f>
        <v>7.4844233048873929E-2</v>
      </c>
      <c r="AP101" s="240">
        <f>(LN(Tabella34[[#This Row],[Day]]-pr)-phi_r)/psi_r</f>
        <v>61.132042685952662</v>
      </c>
      <c r="AQ101" s="245">
        <f>EXP(phi_r+psi_r*Tabella34[[#This Row],[x_r_alpha©+plus]])-(Tabella34[[#This Row],[Day]]-pr)</f>
        <v>-15.052417515479071</v>
      </c>
      <c r="AR101" s="245">
        <f>EXP(phi_r+psi_r*Tabella34[[#This Row],[x_r_alpha©-minus]])-(Tabella34[[#This Row],[Day]]-pr)</f>
        <v>-15.745910770691689</v>
      </c>
      <c r="AS101" s="245">
        <f>-psi_r+SQRT(psi_r^2-2*Tabella34[[#This Row],[c_r]])</f>
        <v>3.6433005449783535</v>
      </c>
      <c r="AT101" s="245">
        <f>-psi_r-SQRT(psi_r^2-2*Tabella34[[#This Row],[c_r]])</f>
        <v>-3.6997087833970146</v>
      </c>
      <c r="AU101" s="245">
        <f>phi_r-LN(alpha*Kr/(Tabella34[[#This Row],[sel. region velocity]]*psi_r*SQRTPI(2)))</f>
        <v>-6.7395755134057715</v>
      </c>
      <c r="AV101" s="244">
        <f>(ACOSH(SQRT(alpha*Kl*psi_l/(Tabella34[[#This Row],[sel. region velocity]]*(1+TANH(phi_l)))))+phi_l)/psi_l-(Tabella34[[#This Row],[Day]]-pl)</f>
        <v>65.198994819744485</v>
      </c>
      <c r="AW101" s="72">
        <f>-2*$BY$22*TANH($BY$22*(Tabella34[[#This Row],[Day]]-$BY$31)-$BY$21)*Tabella34[[#This Row],[sel. region velocity]]</f>
        <v>2.98948888467734</v>
      </c>
      <c r="AX101" s="177">
        <f>Tabella34[[#This Row],[sel. region acc. fit]]/y_l_peak</f>
        <v>2.1694517909464032E-2</v>
      </c>
      <c r="AY101" s="178">
        <f>Tabella34[[#This Row],[sel. region acc. fit]]*NOT(ISBLANK(Tabella34[[#This Row],[selected region rate data]]))</f>
        <v>2.98948888467734</v>
      </c>
      <c r="AZ101" s="177">
        <f>Tabella34[[#This Row],[sel. region acc. fit]]+CIl</f>
        <v>56.754329294225798</v>
      </c>
      <c r="BA101" s="177">
        <f>MAX(Tabella34[[#This Row],[sel. region acc. fit]]-CIl,0)</f>
        <v>0</v>
      </c>
      <c r="BB101" s="175">
        <f>Tabella8[[#This Row],[rest of Italy ]]</f>
        <v>33220</v>
      </c>
      <c r="BC101" s="175">
        <f>(Tabella34[[#This Row],[rest of Italy cum. Data]]-BB100)</f>
        <v>2149</v>
      </c>
      <c r="BD101" s="175">
        <f>Tabella34[[#This Row],[rest of Italy rate data]]-BC100</f>
        <v>65</v>
      </c>
      <c r="BE101" s="177">
        <f>Tabella34[[#This Row],[rest of Italy rate data]]*NOT(ISBLANK(Tabella34[[#This Row],[rest of Italy rate data]]))</f>
        <v>2149</v>
      </c>
      <c r="BF101" s="177">
        <f>Tabella8[[#This Row],[rest of Italy fit]]</f>
        <v>31606.799371787129</v>
      </c>
      <c r="BG101" s="78">
        <f>(ATANH(alpha*Tabella34[[#This Row],[rest of Italy cumul. fit]]/Ka-(1-alpha*Tabella34[[#This Row],[rest of Italy cumul. fit]]/Ka)*TANH(phi_a))+phi_a)/psi_a-(Tabella34[[#This Row],[Day]]-pa)</f>
        <v>13.977012818694028</v>
      </c>
      <c r="BH101" s="177">
        <f>Tabella34[[#This Row],[rest of Italy cumul. fit]]/Ka</f>
        <v>0.14630745438960852</v>
      </c>
      <c r="BI101" s="143">
        <f>Tabella3[[#This Row],[rest of Italy fit]]</f>
        <v>1899.9709428015701</v>
      </c>
      <c r="BJ101" s="184">
        <f>Tabella34[[#This Row],[rest of Italy velocity]]/Tabella34[[#This Row],[rest of Italy cumul. fit]]</f>
        <v>6.0112728291543585E-2</v>
      </c>
      <c r="BK101" s="237">
        <f>(LN(Tabella34[[#This Row],[Day]]-po)-phi_o)/psi_o</f>
        <v>78.846727945922694</v>
      </c>
      <c r="BL101" s="245">
        <f>EXP(phi_o+psi_o*Tabella34[[#This Row],[x_o_alpha©+plus]])-(Tabella34[[#This Row],[Day]]-po)</f>
        <v>-20.452137608867105</v>
      </c>
      <c r="BM101" s="245">
        <f>EXP(phi_o+psi_o*Tabella34[[#This Row],[x_o_alpha©-minus]])-(Tabella34[[#This Row],[Day]]-po)</f>
        <v>-21.096068449971249</v>
      </c>
      <c r="BN101" s="245">
        <f>-psi_o+SQRT(psi_o^2-2*Tabella34[[#This Row],[c_o]])</f>
        <v>3.7061073655977306</v>
      </c>
      <c r="BO101" s="245">
        <f>-psi_o-SQRT(psi_o^2-2*Tabella34[[#This Row],[c_o]])</f>
        <v>-3.7551344511673599</v>
      </c>
      <c r="BP101" s="245">
        <f>phi_o-LN(alpha*Ko/(Tabella34[[#This Row],[rest of Italy velocity]]*psi_o*SQRTPI(2)))</f>
        <v>-6.9584657241405727</v>
      </c>
      <c r="BQ101" s="245">
        <f>(ACOSH(SQRT(alpha*Ka*psi_a/(Tabella34[[#This Row],[rest of Italy velocity]]*(1+TANH(phi_a)))))+phi_a)/psi_a-(Tabella34[[#This Row],[Day]]-pa)</f>
        <v>73.869886604570382</v>
      </c>
      <c r="BR101" s="72">
        <f>-2*$BY$35*TANH($BY$35*(Tabella34[[#This Row],[Day]]-$BY$44)-$BY$34)*Tabella34[[#This Row],[rest of Italy velocity]]</f>
        <v>54.002148017812601</v>
      </c>
      <c r="BS101" s="177">
        <f>Tabella34[[#This Row],[rest of Italy acc. fit]]/y_a_peak</f>
        <v>1.8870051273205235E-2</v>
      </c>
      <c r="BT101" s="177">
        <f>Tabella34[[#This Row],[rest of Italy acc. fit]]*NOT(ISBLANK(Tabella34[[#This Row],[rest of Italy rate data]]))</f>
        <v>54.002148017812601</v>
      </c>
      <c r="BU101" s="177">
        <f>Tabella34[[#This Row],[rest of Italy acc. fit]]+CIa</f>
        <v>1748.5763429273952</v>
      </c>
      <c r="BV101" s="182">
        <f>MAX(Tabella34[[#This Row],[rest of Italy acc. fit]]-CIa,0)</f>
        <v>0</v>
      </c>
    </row>
    <row r="102" spans="2:74" x14ac:dyDescent="0.3">
      <c r="B102" s="262">
        <v>43925</v>
      </c>
      <c r="C102" s="4">
        <v>95</v>
      </c>
      <c r="D102" s="10">
        <f>Tabella8[[#This Row],[Italy cumulative]]</f>
        <v>36358</v>
      </c>
      <c r="E102" s="72">
        <f>(Tabella34[[#This Row],[Italy cumul. data]]-D101)</f>
        <v>1919</v>
      </c>
      <c r="F102" s="72">
        <f>Tabella34[[#This Row],[Italy rate data]]-E101</f>
        <v>-327</v>
      </c>
      <c r="G102" s="77">
        <f>Tabella34[[#This Row],[Italy rate data]]*NOT(ISBLANK(Tabella34[[#This Row],[Italy rate data]]))</f>
        <v>1919</v>
      </c>
      <c r="H102" s="143">
        <f>Tabella8[[#This Row],[Italy fit]]</f>
        <v>34829.137084278154</v>
      </c>
      <c r="I102" s="143">
        <f>(ATANH(alpha*Tabella34[[#This Row],[Italy cumul. Fit]]/Kf-(1-alpha*Tabella34[[#This Row],[Italy cumul. Fit]]/Kf)*TANH(phi_f))+phi_f)/psi_f-(Tabella34[[#This Row],[Day]]-pf)</f>
        <v>14.338009679759267</v>
      </c>
      <c r="J102" s="143">
        <f>Tabella34[[#This Row],[Italy d.t.]]/Italy_dt_at_lockdown</f>
        <v>13.003670548245626</v>
      </c>
      <c r="K102" s="77">
        <f>Tabella34[[#This Row],[Italy cumul. Fit]]/Kf</f>
        <v>0.15479616481901401</v>
      </c>
      <c r="L102" s="146">
        <f>Tabella34[[#This Row],[sel. region acc. fit]]+Tabella34[[#This Row],[rest of Italy acc. fit]]</f>
        <v>56.946875635997557</v>
      </c>
      <c r="M102" s="77">
        <f>Tabella34[[#This Row],[Italy (fit of selected region + fitted sum of the other regions)]]/(y_l_peak+y_a_peak)</f>
        <v>1.8984883010608637E-2</v>
      </c>
      <c r="N102" s="143">
        <f>Tabella3[[#This Row],[Italy remov. rate fit]]</f>
        <v>2044.0401872281732</v>
      </c>
      <c r="O102" s="143">
        <f>Kt*EXP(-0.5*Tabella34[[#This Row],[x_t]]^2)/(psi_t*SQRTPI(2)*(Tabella34[[#This Row],[Day]]-D_bk))</f>
        <v>0</v>
      </c>
      <c r="P102" s="183">
        <f>Tabella34[[#This Row],[Italy velocity]]/Tabella34[[#This Row],[Italy cumul. Fit]]</f>
        <v>5.8687649432200582E-2</v>
      </c>
      <c r="Q102" s="244">
        <f>(LN(Tabella34[[#This Row],[Day]]-D_bk)-phi_t)/psi_t</f>
        <v>79.526309809229502</v>
      </c>
      <c r="R102" s="244">
        <f>EXP(phi_t+psi_t*Tabella34[[#This Row],[x_t_alpha©+plus]])-(Tabella34[[#This Row],[Day]]-D_bk)</f>
        <v>-21.28935406786275</v>
      </c>
      <c r="S102" s="244">
        <f>EXP(phi_t+psi_t*Tabella34[[#This Row],[x_t_alpha©-minus]])-(Tabella34[[#This Row],[Day]]-D_bk)</f>
        <v>-21.938166889913283</v>
      </c>
      <c r="T102" s="244">
        <f>-psi_t+SQRT(psi_t^2-2*Tabella34[[#This Row],[c_t]])</f>
        <v>3.6943656196155659</v>
      </c>
      <c r="U102" s="244">
        <f>-psi_t-SQRT(psi_t^2-2*Tabella34[[#This Row],[c_t]])</f>
        <v>-3.7437583540353709</v>
      </c>
      <c r="V102" s="244">
        <f>phi_t-LN(alpha*Kt/(Tabella34[[#This Row],[Italy velocity]]*psi_t*SQRTPI(2)))</f>
        <v>-6.9154060756484173</v>
      </c>
      <c r="W102" s="244">
        <f>Tabella34[[#This Row],[Italy g.r.]]/Italy_gr_at_lockdown</f>
        <v>6.6213895523144772E-2</v>
      </c>
      <c r="X102" s="244">
        <f>(ACOSH(SQRT(alpha*Kf*psi_f/(Tabella34[[#This Row],[Italy velocity]]*(1+TANH(phi_f)))))+phi_f)/psi_f-(Tabella34[[#This Row],[Day]]-pf)</f>
        <v>71.789854798519954</v>
      </c>
      <c r="Y102" s="244">
        <f>Tabella34[[#This Row],[Italy h.t.]]/Italy_ht_at_lockdown</f>
        <v>0.62100013010434574</v>
      </c>
      <c r="Z102" s="72">
        <f>-2*$BY$48*TANH($BY$48*(Tabella34[[#This Row],[Day]]-$BY$57)-$BY$47)*Tabella34[[#This Row],[Italy velocity]]</f>
        <v>57.020245826637641</v>
      </c>
      <c r="AA102" s="72">
        <f>Tabella34[[#This Row],[Italy acc. fit]]/Itali_acc_at_lockdown</f>
        <v>1.57913339050558</v>
      </c>
      <c r="AB102" s="77">
        <f>Tabella34[[#This Row],[Italy acc. fit]]/y_f_peak</f>
        <v>1.899784489983531E-2</v>
      </c>
      <c r="AC102" s="143">
        <f>Tabella34[[#This Row],[Italy (fit of selected region + fitted sum of the other regions)]]*NOT(ISBLANK(Tabella34[[#This Row],[Italy rate data]]))</f>
        <v>56.946875635997557</v>
      </c>
      <c r="AD102" s="143">
        <f>Tabella34[[#This Row],[Italy acc. fit]]*NOT(ISBLANK(Tabella34[[#This Row],[Italy rate data]]))</f>
        <v>57.020245826637641</v>
      </c>
      <c r="AE102" s="77">
        <f>Tabella34[[#This Row],[Italy acc. fit]]+CIf</f>
        <v>1772.6351051611889</v>
      </c>
      <c r="AF102" s="77">
        <f>MAX(Tabella34[[#This Row],[Italy acc. fit]]-CIf,0)</f>
        <v>0</v>
      </c>
      <c r="AG102" s="4">
        <f>Tabella8[[#This Row],[region data]]</f>
        <v>1309</v>
      </c>
      <c r="AH102" s="72">
        <f>(Tabella34[[#This Row],[selected region cumul. data]]-AG101)</f>
        <v>90</v>
      </c>
      <c r="AI102" s="72">
        <f>Tabella34[[#This Row],[selected region rate data]]-AH101</f>
        <v>-7</v>
      </c>
      <c r="AJ102" s="77">
        <f>Tabella34[[#This Row],[selected region rate data]]*NOT(ISBLANK(Tabella34[[#This Row],[selected region rate data]]))</f>
        <v>90</v>
      </c>
      <c r="AK102" s="77">
        <f>Tabella8[[#This Row],[region fit]]</f>
        <v>1290.4021537082767</v>
      </c>
      <c r="AL102" s="143">
        <f>(ATANH(alpha*Tabella34[[#This Row],[sel. region cumul. fit]]/Kl-(1-alpha*Tabella34[[#This Row],[sel. region cumul. fit]]/Kl)*TANH(phi_l))+phi_l)/psi_l-(Tabella34[[#This Row],[Day]]-pl)</f>
        <v>11.778940587483508</v>
      </c>
      <c r="AM102" s="77">
        <f>Tabella34[[#This Row],[sel. region cumul. fit]]/Kl</f>
        <v>0.14385754221942884</v>
      </c>
      <c r="AN102" s="143">
        <f>Tabella3[[#This Row],[region fit]]</f>
        <v>92.741205161447823</v>
      </c>
      <c r="AO102" s="186">
        <f>Tabella34[[#This Row],[sel. region velocity]]/Tabella34[[#This Row],[sel. region cumul. fit]]</f>
        <v>7.1870001840072861E-2</v>
      </c>
      <c r="AP102" s="241">
        <f>(LN(Tabella34[[#This Row],[Day]]-pr)-phi_r)/psi_r</f>
        <v>62.97339256984484</v>
      </c>
      <c r="AQ102" s="244">
        <f>EXP(phi_r+psi_r*Tabella34[[#This Row],[x_r_alpha©+plus]])-(Tabella34[[#This Row],[Day]]-pr)</f>
        <v>-16.053352216295728</v>
      </c>
      <c r="AR102" s="244">
        <f>EXP(phi_r+psi_r*Tabella34[[#This Row],[x_r_alpha©-minus]])-(Tabella34[[#This Row],[Day]]-pr)</f>
        <v>-16.745150727285395</v>
      </c>
      <c r="AS102" s="244">
        <f>-psi_r+SQRT(psi_r^2-2*Tabella34[[#This Row],[c_r]])</f>
        <v>3.6343600158995839</v>
      </c>
      <c r="AT102" s="244">
        <f>-psi_r-SQRT(psi_r^2-2*Tabella34[[#This Row],[c_r]])</f>
        <v>-3.690768254318245</v>
      </c>
      <c r="AU102" s="244">
        <f>phi_r-LN(alpha*Kr/(Tabella34[[#This Row],[sel. region velocity]]*psi_r*SQRTPI(2)))</f>
        <v>-6.7067902857228683</v>
      </c>
      <c r="AV102" s="244">
        <f>(ACOSH(SQRT(alpha*Kl*psi_l/(Tabella34[[#This Row],[sel. region velocity]]*(1+TANH(phi_l)))))+phi_l)/psi_l-(Tabella34[[#This Row],[Day]]-pl)</f>
        <v>63.48836567748701</v>
      </c>
      <c r="AW102" s="72">
        <f>-2*$BY$22*TANH($BY$22*(Tabella34[[#This Row],[Day]]-$BY$31)-$BY$21)*Tabella34[[#This Row],[sel. region velocity]]</f>
        <v>2.9914249037748388</v>
      </c>
      <c r="AX102" s="77">
        <f>Tabella34[[#This Row],[sel. region acc. fit]]/y_l_peak</f>
        <v>2.1708567468637519E-2</v>
      </c>
      <c r="AY102" s="143">
        <f>Tabella34[[#This Row],[sel. region acc. fit]]*NOT(ISBLANK(Tabella34[[#This Row],[selected region rate data]]))</f>
        <v>2.9914249037748388</v>
      </c>
      <c r="AZ102" s="77">
        <f>Tabella34[[#This Row],[sel. region acc. fit]]+CIl</f>
        <v>56.756265313323297</v>
      </c>
      <c r="BA102" s="77">
        <f>MAX(Tabella34[[#This Row],[sel. region acc. fit]]-CIl,0)</f>
        <v>0</v>
      </c>
      <c r="BB102" s="10">
        <f>Tabella8[[#This Row],[rest of Italy ]]</f>
        <v>35049</v>
      </c>
      <c r="BC102" s="10">
        <f>(Tabella34[[#This Row],[rest of Italy cum. Data]]-BB101)</f>
        <v>1829</v>
      </c>
      <c r="BD102" s="10">
        <f>Tabella34[[#This Row],[rest of Italy rate data]]-BC101</f>
        <v>-320</v>
      </c>
      <c r="BE102" s="77">
        <f>Tabella34[[#This Row],[rest of Italy rate data]]*NOT(ISBLANK(Tabella34[[#This Row],[rest of Italy rate data]]))</f>
        <v>1829</v>
      </c>
      <c r="BF102" s="77">
        <f>Tabella8[[#This Row],[rest of Italy fit]]</f>
        <v>33533.769111411661</v>
      </c>
      <c r="BG102" s="78">
        <f>(ATANH(alpha*Tabella34[[#This Row],[rest of Italy cumul. fit]]/Ka-(1-alpha*Tabella34[[#This Row],[rest of Italy cumul. fit]]/Ka)*TANH(phi_a))+phi_a)/psi_a-(Tabella34[[#This Row],[Day]]-pa)</f>
        <v>14.449889022397301</v>
      </c>
      <c r="BH102" s="77">
        <f>Tabella34[[#This Row],[rest of Italy cumul. fit]]/Ka</f>
        <v>0.15522737171416776</v>
      </c>
      <c r="BI102" s="143">
        <f>Tabella3[[#This Row],[rest of Italy fit]]</f>
        <v>1953.9607736524481</v>
      </c>
      <c r="BJ102" s="183">
        <f>Tabella34[[#This Row],[rest of Italy velocity]]/Tabella34[[#This Row],[rest of Italy cumul. fit]]</f>
        <v>5.8268450741718394E-2</v>
      </c>
      <c r="BK102" s="236">
        <f>(LN(Tabella34[[#This Row],[Day]]-po)-phi_o)/psi_o</f>
        <v>80.491559016798888</v>
      </c>
      <c r="BL102" s="244">
        <f>EXP(phi_o+psi_o*Tabella34[[#This Row],[x_o_alpha©+plus]])-(Tabella34[[#This Row],[Day]]-po)</f>
        <v>-21.452847550323753</v>
      </c>
      <c r="BM102" s="244">
        <f>EXP(phi_o+psi_o*Tabella34[[#This Row],[x_o_alpha©-minus]])-(Tabella34[[#This Row],[Day]]-po)</f>
        <v>-22.095477066095597</v>
      </c>
      <c r="BN102" s="244">
        <f>-psi_o+SQRT(psi_o^2-2*Tabella34[[#This Row],[c_o]])</f>
        <v>3.6985890062462836</v>
      </c>
      <c r="BO102" s="244">
        <f>-psi_o-SQRT(psi_o^2-2*Tabella34[[#This Row],[c_o]])</f>
        <v>-3.7476160918159129</v>
      </c>
      <c r="BP102" s="244">
        <f>phi_o-LN(alpha*Ko/(Tabella34[[#This Row],[rest of Italy velocity]]*psi_o*SQRTPI(2)))</f>
        <v>-6.930445838410999</v>
      </c>
      <c r="BQ102" s="244">
        <f>(ACOSH(SQRT(alpha*Ka*psi_a/(Tabella34[[#This Row],[rest of Italy velocity]]*(1+TANH(phi_a)))))+phi_a)/psi_a-(Tabella34[[#This Row],[Day]]-pa)</f>
        <v>72.168170544727133</v>
      </c>
      <c r="BR102" s="72">
        <f>-2*$BY$35*TANH($BY$35*(Tabella34[[#This Row],[Day]]-$BY$44)-$BY$34)*Tabella34[[#This Row],[rest of Italy velocity]]</f>
        <v>53.955450732222715</v>
      </c>
      <c r="BS102" s="77">
        <f>Tabella34[[#This Row],[rest of Italy acc. fit]]/y_a_peak</f>
        <v>1.8853733770925325E-2</v>
      </c>
      <c r="BT102" s="77">
        <f>Tabella34[[#This Row],[rest of Italy acc. fit]]*NOT(ISBLANK(Tabella34[[#This Row],[rest of Italy rate data]]))</f>
        <v>53.955450732222715</v>
      </c>
      <c r="BU102" s="77">
        <f>Tabella34[[#This Row],[rest of Italy acc. fit]]+CIa</f>
        <v>1748.5296456418055</v>
      </c>
      <c r="BV102" s="77">
        <f>MAX(Tabella34[[#This Row],[rest of Italy acc. fit]]-CIa,0)</f>
        <v>0</v>
      </c>
    </row>
    <row r="103" spans="2:74" x14ac:dyDescent="0.3">
      <c r="B103" s="262">
        <v>43926</v>
      </c>
      <c r="C103" s="4">
        <v>96</v>
      </c>
      <c r="D103" s="10">
        <f>Tabella8[[#This Row],[Italy cumulative]]</f>
        <v>37702</v>
      </c>
      <c r="E103" s="72">
        <f>(Tabella34[[#This Row],[Italy cumul. data]]-D102)</f>
        <v>1344</v>
      </c>
      <c r="F103" s="72">
        <f>Tabella34[[#This Row],[Italy rate data]]-E102</f>
        <v>-575</v>
      </c>
      <c r="G103" s="77">
        <f>Tabella34[[#This Row],[Italy rate data]]*NOT(ISBLANK(Tabella34[[#This Row],[Italy rate data]]))</f>
        <v>1344</v>
      </c>
      <c r="H103" s="143">
        <f>Tabella8[[#This Row],[Italy fit]]</f>
        <v>36901.663381846025</v>
      </c>
      <c r="I103" s="143">
        <f>(ATANH(alpha*Tabella34[[#This Row],[Italy cumul. Fit]]/Kf-(1-alpha*Tabella34[[#This Row],[Italy cumul. Fit]]/Kf)*TANH(phi_f))+phi_f)/psi_f-(Tabella34[[#This Row],[Day]]-pf)</f>
        <v>14.820316823126824</v>
      </c>
      <c r="J103" s="143">
        <f>Tabella34[[#This Row],[Italy d.t.]]/Italy_dt_at_lockdown</f>
        <v>13.44109271042138</v>
      </c>
      <c r="K103" s="77">
        <f>Tabella34[[#This Row],[Italy cumul. Fit]]/Kf</f>
        <v>0.16400739280820456</v>
      </c>
      <c r="L103" s="146">
        <f>Tabella34[[#This Row],[sel. region acc. fit]]+Tabella34[[#This Row],[rest of Italy acc. fit]]</f>
        <v>56.756492098668183</v>
      </c>
      <c r="M103" s="77">
        <f>Tabella34[[#This Row],[Italy (fit of selected region + fitted sum of the other regions)]]/(y_l_peak+y_a_peak)</f>
        <v>1.8921413168883742E-2</v>
      </c>
      <c r="N103" s="143">
        <f>Tabella3[[#This Row],[Italy remov. rate fit]]</f>
        <v>2100.9822236321697</v>
      </c>
      <c r="O103" s="143">
        <f>Kt*EXP(-0.5*Tabella34[[#This Row],[x_t]]^2)/(psi_t*SQRTPI(2)*(Tabella34[[#This Row],[Day]]-D_bk))</f>
        <v>0</v>
      </c>
      <c r="P103" s="183">
        <f>Tabella34[[#This Row],[Italy velocity]]/Tabella34[[#This Row],[Italy cumul. Fit]]</f>
        <v>5.6934621127831313E-2</v>
      </c>
      <c r="Q103" s="244">
        <f>(LN(Tabella34[[#This Row],[Day]]-D_bk)-phi_t)/psi_t</f>
        <v>81.104785740522317</v>
      </c>
      <c r="R103" s="244">
        <f>EXP(phi_t+psi_t*Tabella34[[#This Row],[x_t_alpha©+plus]])-(Tabella34[[#This Row],[Day]]-D_bk)</f>
        <v>-22.290060152435512</v>
      </c>
      <c r="S103" s="244">
        <f>EXP(phi_t+psi_t*Tabella34[[#This Row],[x_t_alpha©-minus]])-(Tabella34[[#This Row],[Day]]-D_bk)</f>
        <v>-22.937579186147989</v>
      </c>
      <c r="T103" s="244">
        <f>-psi_t+SQRT(psi_t^2-2*Tabella34[[#This Row],[c_t]])</f>
        <v>3.6869702135122413</v>
      </c>
      <c r="U103" s="244">
        <f>-psi_t-SQRT(psi_t^2-2*Tabella34[[#This Row],[c_t]])</f>
        <v>-3.7363629479320464</v>
      </c>
      <c r="V103" s="244">
        <f>phi_t-LN(alpha*Kt/(Tabella34[[#This Row],[Italy velocity]]*psi_t*SQRTPI(2)))</f>
        <v>-6.8879294479481219</v>
      </c>
      <c r="W103" s="244">
        <f>Tabella34[[#This Row],[Italy g.r.]]/Italy_gr_at_lockdown</f>
        <v>6.4236054629572797E-2</v>
      </c>
      <c r="X103" s="244">
        <f>(ACOSH(SQRT(alpha*Kf*psi_f/(Tabella34[[#This Row],[Italy velocity]]*(1+TANH(phi_f)))))+phi_f)/psi_f-(Tabella34[[#This Row],[Day]]-pf)</f>
        <v>70.102374145225966</v>
      </c>
      <c r="Y103" s="244">
        <f>Tabella34[[#This Row],[Italy h.t.]]/Italy_ht_at_lockdown</f>
        <v>0.60640300202566166</v>
      </c>
      <c r="Z103" s="72">
        <f>-2*$BY$48*TANH($BY$48*(Tabella34[[#This Row],[Day]]-$BY$57)-$BY$47)*Tabella34[[#This Row],[Italy velocity]]</f>
        <v>56.83901628233059</v>
      </c>
      <c r="AA103" s="72">
        <f>Tabella34[[#This Row],[Italy acc. fit]]/Itali_acc_at_lockdown</f>
        <v>1.5741143727757814</v>
      </c>
      <c r="AB103" s="77">
        <f>Tabella34[[#This Row],[Italy acc. fit]]/y_f_peak</f>
        <v>1.8937463350718862E-2</v>
      </c>
      <c r="AC103" s="143">
        <f>Tabella34[[#This Row],[Italy (fit of selected region + fitted sum of the other regions)]]*NOT(ISBLANK(Tabella34[[#This Row],[Italy rate data]]))</f>
        <v>56.756492098668183</v>
      </c>
      <c r="AD103" s="143">
        <f>Tabella34[[#This Row],[Italy acc. fit]]*NOT(ISBLANK(Tabella34[[#This Row],[Italy rate data]]))</f>
        <v>56.83901628233059</v>
      </c>
      <c r="AE103" s="77">
        <f>Tabella34[[#This Row],[Italy acc. fit]]+CIf</f>
        <v>1772.4538756168818</v>
      </c>
      <c r="AF103" s="77">
        <f>MAX(Tabella34[[#This Row],[Italy acc. fit]]-CIf,0)</f>
        <v>0</v>
      </c>
      <c r="AG103" s="4">
        <f>Tabella8[[#This Row],[region data]]</f>
        <v>1356</v>
      </c>
      <c r="AH103" s="72">
        <f>(Tabella34[[#This Row],[selected region cumul. data]]-AG102)</f>
        <v>47</v>
      </c>
      <c r="AI103" s="72">
        <f>Tabella34[[#This Row],[selected region rate data]]-AH102</f>
        <v>-43</v>
      </c>
      <c r="AJ103" s="77">
        <f>Tabella34[[#This Row],[selected region rate data]]*NOT(ISBLANK(Tabella34[[#This Row],[selected region rate data]]))</f>
        <v>47</v>
      </c>
      <c r="AK103" s="77">
        <f>Tabella8[[#This Row],[region fit]]</f>
        <v>1384.6381936691487</v>
      </c>
      <c r="AL103" s="143">
        <f>(ATANH(alpha*Tabella34[[#This Row],[sel. region cumul. fit]]/Kl-(1-alpha*Tabella34[[#This Row],[sel. region cumul. fit]]/Kl)*TANH(phi_l))+phi_l)/psi_l-(Tabella34[[#This Row],[Day]]-pl)</f>
        <v>12.271047243811651</v>
      </c>
      <c r="AM103" s="77">
        <f>Tabella34[[#This Row],[sel. region cumul. fit]]/Kl</f>
        <v>0.15436323229310464</v>
      </c>
      <c r="AN103" s="143">
        <f>Tabella3[[#This Row],[region fit]]</f>
        <v>95.729582920078158</v>
      </c>
      <c r="AO103" s="186">
        <f>Tabella34[[#This Row],[sel. region velocity]]/Tabella34[[#This Row],[sel. region cumul. fit]]</f>
        <v>6.913689320269624E-2</v>
      </c>
      <c r="AP103" s="241">
        <f>(LN(Tabella34[[#This Row],[Day]]-pr)-phi_r)/psi_r</f>
        <v>64.723817091773327</v>
      </c>
      <c r="AQ103" s="244">
        <f>EXP(phi_r+psi_r*Tabella34[[#This Row],[x_r_alpha©+plus]])-(Tabella34[[#This Row],[Day]]-pr)</f>
        <v>-17.054258342005003</v>
      </c>
      <c r="AR103" s="244">
        <f>EXP(phi_r+psi_r*Tabella34[[#This Row],[x_r_alpha©-minus]])-(Tabella34[[#This Row],[Day]]-pr)</f>
        <v>-17.744413553423676</v>
      </c>
      <c r="AS103" s="244">
        <f>-psi_r+SQRT(psi_r^2-2*Tabella34[[#This Row],[c_r]])</f>
        <v>3.6256906586174185</v>
      </c>
      <c r="AT103" s="244">
        <f>-psi_r-SQRT(psi_r^2-2*Tabella34[[#This Row],[c_r]])</f>
        <v>-3.6820988970360795</v>
      </c>
      <c r="AU103" s="244">
        <f>phi_r-LN(alpha*Kr/(Tabella34[[#This Row],[sel. region velocity]]*psi_r*SQRTPI(2)))</f>
        <v>-6.6750757875446061</v>
      </c>
      <c r="AV103" s="244">
        <f>(ACOSH(SQRT(alpha*Kl*psi_l/(Tabella34[[#This Row],[sel. region velocity]]*(1+TANH(phi_l)))))+phi_l)/psi_l-(Tabella34[[#This Row],[Day]]-pl)</f>
        <v>61.795301478309256</v>
      </c>
      <c r="AW103" s="72">
        <f>-2*$BY$22*TANH($BY$22*(Tabella34[[#This Row],[Day]]-$BY$31)-$BY$21)*Tabella34[[#This Row],[sel. region velocity]]</f>
        <v>2.9836639835902363</v>
      </c>
      <c r="AX103" s="77">
        <f>Tabella34[[#This Row],[sel. region acc. fit]]/y_l_peak</f>
        <v>2.1652246997669468E-2</v>
      </c>
      <c r="AY103" s="143">
        <f>Tabella34[[#This Row],[sel. region acc. fit]]*NOT(ISBLANK(Tabella34[[#This Row],[selected region rate data]]))</f>
        <v>2.9836639835902363</v>
      </c>
      <c r="AZ103" s="77">
        <f>Tabella34[[#This Row],[sel. region acc. fit]]+CIl</f>
        <v>56.748504393138688</v>
      </c>
      <c r="BA103" s="77">
        <f>MAX(Tabella34[[#This Row],[sel. region acc. fit]]-CIl,0)</f>
        <v>0</v>
      </c>
      <c r="BB103" s="10">
        <f>Tabella8[[#This Row],[rest of Italy ]]</f>
        <v>36346</v>
      </c>
      <c r="BC103" s="10">
        <f>(Tabella34[[#This Row],[rest of Italy cum. Data]]-BB102)</f>
        <v>1297</v>
      </c>
      <c r="BD103" s="10">
        <f>Tabella34[[#This Row],[rest of Italy rate data]]-BC102</f>
        <v>-532</v>
      </c>
      <c r="BE103" s="77">
        <f>Tabella34[[#This Row],[rest of Italy rate data]]*NOT(ISBLANK(Tabella34[[#This Row],[rest of Italy rate data]]))</f>
        <v>1297</v>
      </c>
      <c r="BF103" s="77">
        <f>Tabella8[[#This Row],[rest of Italy fit]]</f>
        <v>35514.682973036492</v>
      </c>
      <c r="BG103" s="78">
        <f>(ATANH(alpha*Tabella34[[#This Row],[rest of Italy cumul. fit]]/Ka-(1-alpha*Tabella34[[#This Row],[rest of Italy cumul. fit]]/Ka)*TANH(phi_a))+phi_a)/psi_a-(Tabella34[[#This Row],[Day]]-pa)</f>
        <v>14.93402905681819</v>
      </c>
      <c r="BH103" s="77">
        <f>Tabella34[[#This Row],[rest of Italy cumul. fit]]/Ka</f>
        <v>0.16439699566280835</v>
      </c>
      <c r="BI103" s="143">
        <f>Tabella3[[#This Row],[rest of Italy fit]]</f>
        <v>2007.8365314995226</v>
      </c>
      <c r="BJ103" s="183">
        <f>Tabella34[[#This Row],[rest of Italy velocity]]/Tabella34[[#This Row],[rest of Italy cumul. fit]]</f>
        <v>5.6535392221406432E-2</v>
      </c>
      <c r="BK103" s="236">
        <f>(LN(Tabella34[[#This Row],[Day]]-po)-phi_o)/psi_o</f>
        <v>82.072631918941681</v>
      </c>
      <c r="BL103" s="244">
        <f>EXP(phi_o+psi_o*Tabella34[[#This Row],[x_o_alpha©+plus]])-(Tabella34[[#This Row],[Day]]-po)</f>
        <v>-22.453537949302998</v>
      </c>
      <c r="BM103" s="244">
        <f>EXP(phi_o+psi_o*Tabella34[[#This Row],[x_o_alpha©-minus]])-(Tabella34[[#This Row],[Day]]-po)</f>
        <v>-23.094901752051719</v>
      </c>
      <c r="BN103" s="244">
        <f>-psi_o+SQRT(psi_o^2-2*Tabella34[[#This Row],[c_o]])</f>
        <v>3.6912762747166488</v>
      </c>
      <c r="BO103" s="244">
        <f>-psi_o-SQRT(psi_o^2-2*Tabella34[[#This Row],[c_o]])</f>
        <v>-3.7403033602862781</v>
      </c>
      <c r="BP103" s="244">
        <f>phi_o-LN(alpha*Ko/(Tabella34[[#This Row],[rest of Italy velocity]]*psi_o*SQRTPI(2)))</f>
        <v>-6.9032465270338479</v>
      </c>
      <c r="BQ103" s="244">
        <f>(ACOSH(SQRT(alpha*Ka*psi_a/(Tabella34[[#This Row],[rest of Italy velocity]]*(1+TANH(phi_a)))))+phi_a)/psi_a-(Tabella34[[#This Row],[Day]]-pa)</f>
        <v>70.48211392327876</v>
      </c>
      <c r="BR103" s="72">
        <f>-2*$BY$35*TANH($BY$35*(Tabella34[[#This Row],[Day]]-$BY$44)-$BY$34)*Tabella34[[#This Row],[rest of Italy velocity]]</f>
        <v>53.772828115077949</v>
      </c>
      <c r="BS103" s="77">
        <f>Tabella34[[#This Row],[rest of Italy acc. fit]]/y_a_peak</f>
        <v>1.8789919676937213E-2</v>
      </c>
      <c r="BT103" s="77">
        <f>Tabella34[[#This Row],[rest of Italy acc. fit]]*NOT(ISBLANK(Tabella34[[#This Row],[rest of Italy rate data]]))</f>
        <v>53.772828115077949</v>
      </c>
      <c r="BU103" s="77">
        <f>Tabella34[[#This Row],[rest of Italy acc. fit]]+CIa</f>
        <v>1748.3470230246608</v>
      </c>
      <c r="BV103" s="77">
        <f>MAX(Tabella34[[#This Row],[rest of Italy acc. fit]]-CIa,0)</f>
        <v>0</v>
      </c>
    </row>
    <row r="104" spans="2:74" x14ac:dyDescent="0.3">
      <c r="B104" s="262">
        <v>43927</v>
      </c>
      <c r="C104" s="4">
        <v>97</v>
      </c>
      <c r="D104" s="10">
        <f>Tabella8[[#This Row],[Italy cumulative]]</f>
        <v>39360</v>
      </c>
      <c r="E104" s="72">
        <f>(Tabella34[[#This Row],[Italy cumul. data]]-D103)</f>
        <v>1658</v>
      </c>
      <c r="F104" s="72">
        <f>Tabella34[[#This Row],[Italy rate data]]-E103</f>
        <v>314</v>
      </c>
      <c r="G104" s="77">
        <f>Tabella34[[#This Row],[Italy rate data]]*NOT(ISBLANK(Tabella34[[#This Row],[Italy rate data]]))</f>
        <v>1658</v>
      </c>
      <c r="H104" s="143">
        <f>Tabella8[[#This Row],[Italy fit]]</f>
        <v>39031.015986023151</v>
      </c>
      <c r="I104" s="143">
        <f>(ATANH(alpha*Tabella34[[#This Row],[Italy cumul. Fit]]/Kf-(1-alpha*Tabella34[[#This Row],[Italy cumul. Fit]]/Kf)*TANH(phi_f))+phi_f)/psi_f-(Tabella34[[#This Row],[Day]]-pf)</f>
        <v>15.316192694452127</v>
      </c>
      <c r="J104" s="143">
        <f>Tabella34[[#This Row],[Italy d.t.]]/Italy_dt_at_lockdown</f>
        <v>13.890820853138518</v>
      </c>
      <c r="K104" s="77">
        <f>Tabella34[[#This Row],[Italy cumul. Fit]]/Kf</f>
        <v>0.1734711821601029</v>
      </c>
      <c r="L104" s="146">
        <f>Tabella34[[#This Row],[sel. region acc. fit]]+Tabella34[[#This Row],[rest of Italy acc. fit]]</f>
        <v>56.413062775690982</v>
      </c>
      <c r="M104" s="77">
        <f>Tabella34[[#This Row],[Italy (fit of selected region + fitted sum of the other regions)]]/(y_l_peak+y_a_peak)</f>
        <v>1.8806921101561028E-2</v>
      </c>
      <c r="N104" s="143">
        <f>Tabella3[[#This Row],[Italy remov. rate fit]]</f>
        <v>2157.6673839671794</v>
      </c>
      <c r="O104" s="143">
        <f>Kt*EXP(-0.5*Tabella34[[#This Row],[x_t]]^2)/(psi_t*SQRTPI(2)*(Tabella34[[#This Row],[Day]]-D_bk))</f>
        <v>0</v>
      </c>
      <c r="P104" s="183">
        <f>Tabella34[[#This Row],[Italy velocity]]/Tabella34[[#This Row],[Italy cumul. Fit]]</f>
        <v>5.5280840876389979E-2</v>
      </c>
      <c r="Q104" s="244">
        <f>(LN(Tabella34[[#This Row],[Day]]-D_bk)-phi_t)/psi_t</f>
        <v>82.62403031704072</v>
      </c>
      <c r="R104" s="244">
        <f>EXP(phi_t+psi_t*Tabella34[[#This Row],[x_t_alpha©+plus]])-(Tabella34[[#This Row],[Day]]-D_bk)</f>
        <v>-23.290745515877834</v>
      </c>
      <c r="S104" s="244">
        <f>EXP(phi_t+psi_t*Tabella34[[#This Row],[x_t_alpha©-minus]])-(Tabella34[[#This Row],[Day]]-D_bk)</f>
        <v>-23.93700852407385</v>
      </c>
      <c r="T104" s="244">
        <f>-psi_t+SQRT(psi_t^2-2*Tabella34[[#This Row],[c_t]])</f>
        <v>3.679790544848478</v>
      </c>
      <c r="U104" s="244">
        <f>-psi_t-SQRT(psi_t^2-2*Tabella34[[#This Row],[c_t]])</f>
        <v>-3.7291832792682831</v>
      </c>
      <c r="V104" s="244">
        <f>phi_t-LN(alpha*Kt/(Tabella34[[#This Row],[Italy velocity]]*psi_t*SQRTPI(2)))</f>
        <v>-6.8613066855292351</v>
      </c>
      <c r="W104" s="244">
        <f>Tabella34[[#This Row],[Italy g.r.]]/Italy_gr_at_lockdown</f>
        <v>6.2370189599253577E-2</v>
      </c>
      <c r="X104" s="244">
        <f>(ACOSH(SQRT(alpha*Kf*psi_f/(Tabella34[[#This Row],[Italy velocity]]*(1+TANH(phi_f)))))+phi_f)/psi_f-(Tabella34[[#This Row],[Day]]-pf)</f>
        <v>68.431390071965922</v>
      </c>
      <c r="Y104" s="244">
        <f>Tabella34[[#This Row],[Italy h.t.]]/Italy_ht_at_lockdown</f>
        <v>0.59194857347431473</v>
      </c>
      <c r="Z104" s="72">
        <f>-2*$BY$48*TANH($BY$48*(Tabella34[[#This Row],[Day]]-$BY$57)-$BY$47)*Tabella34[[#This Row],[Italy velocity]]</f>
        <v>56.505296461920331</v>
      </c>
      <c r="AA104" s="72">
        <f>Tabella34[[#This Row],[Italy acc. fit]]/Itali_acc_at_lockdown</f>
        <v>1.5648722500201973</v>
      </c>
      <c r="AB104" s="77">
        <f>Tabella34[[#This Row],[Italy acc. fit]]/y_f_peak</f>
        <v>1.8826275520918357E-2</v>
      </c>
      <c r="AC104" s="143">
        <f>Tabella34[[#This Row],[Italy (fit of selected region + fitted sum of the other regions)]]*NOT(ISBLANK(Tabella34[[#This Row],[Italy rate data]]))</f>
        <v>56.413062775690982</v>
      </c>
      <c r="AD104" s="143">
        <f>Tabella34[[#This Row],[Italy acc. fit]]*NOT(ISBLANK(Tabella34[[#This Row],[Italy rate data]]))</f>
        <v>56.505296461920331</v>
      </c>
      <c r="AE104" s="77">
        <f>Tabella34[[#This Row],[Italy acc. fit]]+CIf</f>
        <v>1772.1201557964716</v>
      </c>
      <c r="AF104" s="77">
        <f>MAX(Tabella34[[#This Row],[Italy acc. fit]]-CIf,0)</f>
        <v>0</v>
      </c>
      <c r="AG104" s="4">
        <f>Tabella8[[#This Row],[region data]]</f>
        <v>1432</v>
      </c>
      <c r="AH104" s="72">
        <f>(Tabella34[[#This Row],[selected region cumul. data]]-AG103)</f>
        <v>76</v>
      </c>
      <c r="AI104" s="72">
        <f>Tabella34[[#This Row],[selected region rate data]]-AH103</f>
        <v>29</v>
      </c>
      <c r="AJ104" s="77">
        <f>Tabella34[[#This Row],[selected region rate data]]*NOT(ISBLANK(Tabella34[[#This Row],[selected region rate data]]))</f>
        <v>76</v>
      </c>
      <c r="AK104" s="77">
        <f>Tabella8[[#This Row],[region fit]]</f>
        <v>1481.8570400513306</v>
      </c>
      <c r="AL104" s="143">
        <f>(ATANH(alpha*Tabella34[[#This Row],[sel. region cumul. fit]]/Kl-(1-alpha*Tabella34[[#This Row],[sel. region cumul. fit]]/Kl)*TANH(phi_l))+phi_l)/psi_l-(Tabella34[[#This Row],[Day]]-pl)</f>
        <v>12.775793192695417</v>
      </c>
      <c r="AM104" s="77">
        <f>Tabella34[[#This Row],[sel. region cumul. fit]]/Kl</f>
        <v>0.16520145374039361</v>
      </c>
      <c r="AN104" s="143">
        <f>Tabella3[[#This Row],[region fit]]</f>
        <v>98.705103120941359</v>
      </c>
      <c r="AO104" s="186">
        <f>Tabella34[[#This Row],[sel. region velocity]]/Tabella34[[#This Row],[sel. region cumul. fit]]</f>
        <v>6.6609059074633992E-2</v>
      </c>
      <c r="AP104" s="241">
        <f>(LN(Tabella34[[#This Row],[Day]]-pr)-phi_r)/psi_r</f>
        <v>66.391875018150444</v>
      </c>
      <c r="AQ104" s="244">
        <f>EXP(phi_r+psi_r*Tabella34[[#This Row],[x_r_alpha©+plus]])-(Tabella34[[#This Row],[Day]]-pr)</f>
        <v>-18.055134722739275</v>
      </c>
      <c r="AR104" s="244">
        <f>EXP(phi_r+psi_r*Tabella34[[#This Row],[x_r_alpha©-minus]])-(Tabella34[[#This Row],[Day]]-pr)</f>
        <v>-18.743700235370103</v>
      </c>
      <c r="AS104" s="244">
        <f>-psi_r+SQRT(psi_r^2-2*Tabella34[[#This Row],[c_r]])</f>
        <v>3.6173038693627908</v>
      </c>
      <c r="AT104" s="244">
        <f>-psi_r-SQRT(psi_r^2-2*Tabella34[[#This Row],[c_r]])</f>
        <v>-3.6737121077814519</v>
      </c>
      <c r="AU104" s="244">
        <f>phi_r-LN(alpha*Kr/(Tabella34[[#This Row],[sel. region velocity]]*psi_r*SQRTPI(2)))</f>
        <v>-6.6444665112013892</v>
      </c>
      <c r="AV104" s="244">
        <f>(ACOSH(SQRT(alpha*Kl*psi_l/(Tabella34[[#This Row],[sel. region velocity]]*(1+TANH(phi_l)))))+phi_l)/psi_l-(Tabella34[[#This Row],[Day]]-pl)</f>
        <v>60.120821635023248</v>
      </c>
      <c r="AW104" s="72">
        <f>-2*$BY$22*TANH($BY$22*(Tabella34[[#This Row],[Day]]-$BY$31)-$BY$21)*Tabella34[[#This Row],[sel. region velocity]]</f>
        <v>2.9656144890976019</v>
      </c>
      <c r="AX104" s="77">
        <f>Tabella34[[#This Row],[sel. region acc. fit]]/y_l_peak</f>
        <v>2.1521263041336915E-2</v>
      </c>
      <c r="AY104" s="143">
        <f>Tabella34[[#This Row],[sel. region acc. fit]]*NOT(ISBLANK(Tabella34[[#This Row],[selected region rate data]]))</f>
        <v>2.9656144890976019</v>
      </c>
      <c r="AZ104" s="77">
        <f>Tabella34[[#This Row],[sel. region acc. fit]]+CIl</f>
        <v>56.730454898646059</v>
      </c>
      <c r="BA104" s="77">
        <f>MAX(Tabella34[[#This Row],[sel. region acc. fit]]-CIl,0)</f>
        <v>0</v>
      </c>
      <c r="BB104" s="10">
        <f>Tabella8[[#This Row],[rest of Italy ]]</f>
        <v>37928</v>
      </c>
      <c r="BC104" s="10">
        <f>(Tabella34[[#This Row],[rest of Italy cum. Data]]-BB103)</f>
        <v>1582</v>
      </c>
      <c r="BD104" s="10">
        <f>Tabella34[[#This Row],[rest of Italy rate data]]-BC103</f>
        <v>285</v>
      </c>
      <c r="BE104" s="77">
        <f>Tabella34[[#This Row],[rest of Italy rate data]]*NOT(ISBLANK(Tabella34[[#This Row],[rest of Italy rate data]]))</f>
        <v>1582</v>
      </c>
      <c r="BF104" s="77">
        <f>Tabella8[[#This Row],[rest of Italy fit]]</f>
        <v>37549.357764333334</v>
      </c>
      <c r="BG104" s="78">
        <f>(ATANH(alpha*Tabella34[[#This Row],[rest of Italy cumul. fit]]/Ka-(1-alpha*Tabella34[[#This Row],[rest of Italy cumul. fit]]/Ka)*TANH(phi_a))+phi_a)/psi_a-(Tabella34[[#This Row],[Day]]-pa)</f>
        <v>15.431736304428668</v>
      </c>
      <c r="BH104" s="77">
        <f>Tabella34[[#This Row],[rest of Italy cumul. fit]]/Ka</f>
        <v>0.17381547824067645</v>
      </c>
      <c r="BI104" s="143">
        <f>Tabella3[[#This Row],[rest of Italy fit]]</f>
        <v>2061.4588387886483</v>
      </c>
      <c r="BJ104" s="183">
        <f>Tabella34[[#This Row],[rest of Italy velocity]]/Tabella34[[#This Row],[rest of Italy cumul. fit]]</f>
        <v>5.4899975965680761E-2</v>
      </c>
      <c r="BK104" s="236">
        <f>(LN(Tabella34[[#This Row],[Day]]-po)-phi_o)/psi_o</f>
        <v>83.594705637799038</v>
      </c>
      <c r="BL104" s="244">
        <f>EXP(phi_o+psi_o*Tabella34[[#This Row],[x_o_alpha©+plus]])-(Tabella34[[#This Row],[Day]]-po)</f>
        <v>-23.454208125768726</v>
      </c>
      <c r="BM104" s="244">
        <f>EXP(phi_o+psi_o*Tabella34[[#This Row],[x_o_alpha©-minus]])-(Tabella34[[#This Row],[Day]]-po)</f>
        <v>-24.094343092221621</v>
      </c>
      <c r="BN104" s="244">
        <f>-psi_o+SQRT(psi_o^2-2*Tabella34[[#This Row],[c_o]])</f>
        <v>3.6841764867242284</v>
      </c>
      <c r="BO104" s="244">
        <f>-psi_o-SQRT(psi_o^2-2*Tabella34[[#This Row],[c_o]])</f>
        <v>-3.7332035722938577</v>
      </c>
      <c r="BP104" s="244">
        <f>phi_o-LN(alpha*Ko/(Tabella34[[#This Row],[rest of Italy velocity]]*psi_o*SQRTPI(2)))</f>
        <v>-6.8768904105999615</v>
      </c>
      <c r="BQ104" s="244">
        <f>(ACOSH(SQRT(alpha*Ka*psi_a/(Tabella34[[#This Row],[rest of Italy velocity]]*(1+TANH(phi_a)))))+phi_a)/psi_a-(Tabella34[[#This Row],[Day]]-pa)</f>
        <v>68.812499565034386</v>
      </c>
      <c r="BR104" s="72">
        <f>-2*$BY$35*TANH($BY$35*(Tabella34[[#This Row],[Day]]-$BY$44)-$BY$34)*Tabella34[[#This Row],[rest of Italy velocity]]</f>
        <v>53.447448286593378</v>
      </c>
      <c r="BS104" s="77">
        <f>Tabella34[[#This Row],[rest of Italy acc. fit]]/y_a_peak</f>
        <v>1.8676221717279288E-2</v>
      </c>
      <c r="BT104" s="77">
        <f>Tabella34[[#This Row],[rest of Italy acc. fit]]*NOT(ISBLANK(Tabella34[[#This Row],[rest of Italy rate data]]))</f>
        <v>53.447448286593378</v>
      </c>
      <c r="BU104" s="77">
        <f>Tabella34[[#This Row],[rest of Italy acc. fit]]+CIa</f>
        <v>1748.021643196176</v>
      </c>
      <c r="BV104" s="77">
        <f>MAX(Tabella34[[#This Row],[rest of Italy acc. fit]]-CIa,0)</f>
        <v>0</v>
      </c>
    </row>
    <row r="105" spans="2:74" x14ac:dyDescent="0.3">
      <c r="B105" s="262">
        <v>43928</v>
      </c>
      <c r="C105" s="4">
        <v>98</v>
      </c>
      <c r="D105" s="10">
        <f>Tabella8[[#This Row],[Italy cumulative]]</f>
        <v>41519</v>
      </c>
      <c r="E105" s="72">
        <f>(Tabella34[[#This Row],[Italy cumul. data]]-D104)</f>
        <v>2159</v>
      </c>
      <c r="F105" s="72">
        <f>Tabella34[[#This Row],[Italy rate data]]-E104</f>
        <v>501</v>
      </c>
      <c r="G105" s="77">
        <f>Tabella34[[#This Row],[Italy rate data]]*NOT(ISBLANK(Tabella34[[#This Row],[Italy rate data]]))</f>
        <v>2159</v>
      </c>
      <c r="H105" s="143">
        <f>Tabella8[[#This Row],[Italy fit]]</f>
        <v>41216.860601031651</v>
      </c>
      <c r="I105" s="143">
        <f>(ATANH(alpha*Tabella34[[#This Row],[Italy cumul. Fit]]/Kf-(1-alpha*Tabella34[[#This Row],[Italy cumul. Fit]]/Kf)*TANH(phi_f))+phi_f)/psi_f-(Tabella34[[#This Row],[Day]]-pf)</f>
        <v>15.828118184487522</v>
      </c>
      <c r="J105" s="143">
        <f>Tabella34[[#This Row],[Italy d.t.]]/Italy_dt_at_lockdown</f>
        <v>14.355104987851226</v>
      </c>
      <c r="K105" s="77">
        <f>Tabella34[[#This Row],[Italy cumul. Fit]]/Kf</f>
        <v>0.18318604711569622</v>
      </c>
      <c r="L105" s="146">
        <f>Tabella34[[#This Row],[sel. region acc. fit]]+Tabella34[[#This Row],[rest of Italy acc. fit]]</f>
        <v>55.909690042752771</v>
      </c>
      <c r="M105" s="77">
        <f>Tabella34[[#This Row],[Italy (fit of selected region + fitted sum of the other regions)]]/(y_l_peak+y_a_peak)</f>
        <v>1.8639107286688255E-2</v>
      </c>
      <c r="N105" s="143">
        <f>Tabella3[[#This Row],[Italy remov. rate fit]]</f>
        <v>2213.9396774805964</v>
      </c>
      <c r="O105" s="143">
        <f>Kt*EXP(-0.5*Tabella34[[#This Row],[x_t]]^2)/(psi_t*SQRTPI(2)*(Tabella34[[#This Row],[Day]]-D_bk))</f>
        <v>0</v>
      </c>
      <c r="P105" s="183">
        <f>Tabella34[[#This Row],[Italy velocity]]/Tabella34[[#This Row],[Italy cumul. Fit]]</f>
        <v>5.371441796382672E-2</v>
      </c>
      <c r="Q105" s="244">
        <f>(LN(Tabella34[[#This Row],[Day]]-D_bk)-phi_t)/psi_t</f>
        <v>84.088328475102287</v>
      </c>
      <c r="R105" s="244">
        <f>EXP(phi_t+psi_t*Tabella34[[#This Row],[x_t_alpha©+plus]])-(Tabella34[[#This Row],[Day]]-D_bk)</f>
        <v>-24.291409454757272</v>
      </c>
      <c r="S105" s="244">
        <f>EXP(phi_t+psi_t*Tabella34[[#This Row],[x_t_alpha©-minus]])-(Tabella34[[#This Row],[Day]]-D_bk)</f>
        <v>-24.936455507950679</v>
      </c>
      <c r="T105" s="244">
        <f>-psi_t+SQRT(psi_t^2-2*Tabella34[[#This Row],[c_t]])</f>
        <v>3.6728340995130622</v>
      </c>
      <c r="U105" s="244">
        <f>-psi_t-SQRT(psi_t^2-2*Tabella34[[#This Row],[c_t]])</f>
        <v>-3.7222268339328672</v>
      </c>
      <c r="V105" s="244">
        <f>phi_t-LN(alpha*Kt/(Tabella34[[#This Row],[Italy velocity]]*psi_t*SQRTPI(2)))</f>
        <v>-6.8355608208955898</v>
      </c>
      <c r="W105" s="244">
        <f>Tabella34[[#This Row],[Italy g.r.]]/Italy_gr_at_lockdown</f>
        <v>6.0602884824211493E-2</v>
      </c>
      <c r="X105" s="244">
        <f>(ACOSH(SQRT(alpha*Kf*psi_f/(Tabella34[[#This Row],[Italy velocity]]*(1+TANH(phi_f)))))+phi_f)/psi_f-(Tabella34[[#This Row],[Day]]-pf)</f>
        <v>66.777723460677151</v>
      </c>
      <c r="Y105" s="244">
        <f>Tabella34[[#This Row],[Italy h.t.]]/Italy_ht_at_lockdown</f>
        <v>0.57764394528358165</v>
      </c>
      <c r="Z105" s="72">
        <f>-2*$BY$48*TANH($BY$48*(Tabella34[[#This Row],[Day]]-$BY$57)-$BY$47)*Tabella34[[#This Row],[Italy velocity]]</f>
        <v>56.012180096248763</v>
      </c>
      <c r="AA105" s="72">
        <f>Tabella34[[#This Row],[Italy acc. fit]]/Itali_acc_at_lockdown</f>
        <v>1.5512157582399926</v>
      </c>
      <c r="AB105" s="77">
        <f>Tabella34[[#This Row],[Italy acc. fit]]/y_f_peak</f>
        <v>1.8661980399128083E-2</v>
      </c>
      <c r="AC105" s="143">
        <f>Tabella34[[#This Row],[Italy (fit of selected region + fitted sum of the other regions)]]*NOT(ISBLANK(Tabella34[[#This Row],[Italy rate data]]))</f>
        <v>55.909690042752771</v>
      </c>
      <c r="AD105" s="143">
        <f>Tabella34[[#This Row],[Italy acc. fit]]*NOT(ISBLANK(Tabella34[[#This Row],[Italy rate data]]))</f>
        <v>56.012180096248763</v>
      </c>
      <c r="AE105" s="77">
        <f>Tabella34[[#This Row],[Italy acc. fit]]+CIf</f>
        <v>1771.6270394308001</v>
      </c>
      <c r="AF105" s="77">
        <f>MAX(Tabella34[[#This Row],[Italy acc. fit]]-CIf,0)</f>
        <v>0</v>
      </c>
      <c r="AG105" s="4">
        <f>Tabella8[[#This Row],[region data]]</f>
        <v>1545</v>
      </c>
      <c r="AH105" s="72">
        <f>(Tabella34[[#This Row],[selected region cumul. data]]-AG104)</f>
        <v>113</v>
      </c>
      <c r="AI105" s="72">
        <f>Tabella34[[#This Row],[selected region rate data]]-AH104</f>
        <v>37</v>
      </c>
      <c r="AJ105" s="77">
        <f>Tabella34[[#This Row],[selected region rate data]]*NOT(ISBLANK(Tabella34[[#This Row],[selected region rate data]]))</f>
        <v>113</v>
      </c>
      <c r="AK105" s="77">
        <f>Tabella8[[#This Row],[region fit]]</f>
        <v>1582.0405976386276</v>
      </c>
      <c r="AL105" s="143">
        <f>(ATANH(alpha*Tabella34[[#This Row],[sel. region cumul. fit]]/Kl-(1-alpha*Tabella34[[#This Row],[sel. region cumul. fit]]/Kl)*TANH(phi_l))+phi_l)/psi_l-(Tabella34[[#This Row],[Day]]-pl)</f>
        <v>13.296412310426469</v>
      </c>
      <c r="AM105" s="77">
        <f>Tabella34[[#This Row],[sel. region cumul. fit]]/Kl</f>
        <v>0.17637018925737208</v>
      </c>
      <c r="AN105" s="143">
        <f>Tabella3[[#This Row],[region fit]]</f>
        <v>101.65719906260496</v>
      </c>
      <c r="AO105" s="186">
        <f>Tabella34[[#This Row],[sel. region velocity]]/Tabella34[[#This Row],[sel. region cumul. fit]]</f>
        <v>6.4257010353804891E-2</v>
      </c>
      <c r="AP105" s="241">
        <f>(LN(Tabella34[[#This Row],[Day]]-pr)-phi_r)/psi_r</f>
        <v>67.984970790556645</v>
      </c>
      <c r="AQ105" s="244">
        <f>EXP(phi_r+psi_r*Tabella34[[#This Row],[x_r_alpha©+plus]])-(Tabella34[[#This Row],[Day]]-pr)</f>
        <v>-19.055980189057461</v>
      </c>
      <c r="AR105" s="244">
        <f>EXP(phi_r+psi_r*Tabella34[[#This Row],[x_r_alpha©-minus]])-(Tabella34[[#This Row],[Day]]-pr)</f>
        <v>-19.743011759756314</v>
      </c>
      <c r="AS105" s="244">
        <f>-psi_r+SQRT(psi_r^2-2*Tabella34[[#This Row],[c_r]])</f>
        <v>3.6092110443921039</v>
      </c>
      <c r="AT105" s="244">
        <f>-psi_r-SQRT(psi_r^2-2*Tabella34[[#This Row],[c_r]])</f>
        <v>-3.665619282810765</v>
      </c>
      <c r="AU105" s="244">
        <f>phi_r-LN(alpha*Kr/(Tabella34[[#This Row],[sel. region velocity]]*psi_r*SQRTPI(2)))</f>
        <v>-6.6149968000286377</v>
      </c>
      <c r="AV105" s="244">
        <f>(ACOSH(SQRT(alpha*Kl*psi_l/(Tabella34[[#This Row],[sel. region velocity]]*(1+TANH(phi_l)))))+phi_l)/psi_l-(Tabella34[[#This Row],[Day]]-pl)</f>
        <v>58.465988962162768</v>
      </c>
      <c r="AW105" s="72">
        <f>-2*$BY$22*TANH($BY$22*(Tabella34[[#This Row],[Day]]-$BY$31)-$BY$21)*Tabella34[[#This Row],[sel. region velocity]]</f>
        <v>2.9367282892310467</v>
      </c>
      <c r="AX105" s="77">
        <f>Tabella34[[#This Row],[sel. region acc. fit]]/y_l_peak</f>
        <v>2.1311637849701866E-2</v>
      </c>
      <c r="AY105" s="143">
        <f>Tabella34[[#This Row],[sel. region acc. fit]]*NOT(ISBLANK(Tabella34[[#This Row],[selected region rate data]]))</f>
        <v>2.9367282892310467</v>
      </c>
      <c r="AZ105" s="77">
        <f>Tabella34[[#This Row],[sel. region acc. fit]]+CIl</f>
        <v>56.701568698779504</v>
      </c>
      <c r="BA105" s="77">
        <f>MAX(Tabella34[[#This Row],[sel. region acc. fit]]-CIl,0)</f>
        <v>0</v>
      </c>
      <c r="BB105" s="10">
        <f>Tabella8[[#This Row],[rest of Italy ]]</f>
        <v>39974</v>
      </c>
      <c r="BC105" s="10">
        <f>(Tabella34[[#This Row],[rest of Italy cum. Data]]-BB104)</f>
        <v>2046</v>
      </c>
      <c r="BD105" s="10">
        <f>Tabella34[[#This Row],[rest of Italy rate data]]-BC104</f>
        <v>464</v>
      </c>
      <c r="BE105" s="77">
        <f>Tabella34[[#This Row],[rest of Italy rate data]]*NOT(ISBLANK(Tabella34[[#This Row],[rest of Italy rate data]]))</f>
        <v>2046</v>
      </c>
      <c r="BF105" s="77">
        <f>Tabella8[[#This Row],[rest of Italy fit]]</f>
        <v>39637.467575952011</v>
      </c>
      <c r="BG105" s="78">
        <f>(ATANH(alpha*Tabella34[[#This Row],[rest of Italy cumul. fit]]/Ka-(1-alpha*Tabella34[[#This Row],[rest of Italy cumul. fit]]/Ka)*TANH(phi_a))+phi_a)/psi_a-(Tabella34[[#This Row],[Day]]-pa)</f>
        <v>15.945470250846903</v>
      </c>
      <c r="BH105" s="77">
        <f>Tabella34[[#This Row],[rest of Italy cumul. fit]]/Ka</f>
        <v>0.18348131081771982</v>
      </c>
      <c r="BI105" s="143">
        <f>Tabella3[[#This Row],[rest of Italy fit]]</f>
        <v>2114.6817194215978</v>
      </c>
      <c r="BJ105" s="183">
        <f>Tabella34[[#This Row],[rest of Italy velocity]]/Tabella34[[#This Row],[rest of Italy cumul. fit]]</f>
        <v>5.335057582499473E-2</v>
      </c>
      <c r="BK105" s="236">
        <f>(LN(Tabella34[[#This Row],[Day]]-po)-phi_o)/psi_o</f>
        <v>85.062025448858591</v>
      </c>
      <c r="BL105" s="244">
        <f>EXP(phi_o+psi_o*Tabella34[[#This Row],[x_o_alpha©+plus]])-(Tabella34[[#This Row],[Day]]-po)</f>
        <v>-24.454857400666882</v>
      </c>
      <c r="BM105" s="244">
        <f>EXP(phi_o+psi_o*Tabella34[[#This Row],[x_o_alpha©-minus]])-(Tabella34[[#This Row],[Day]]-po)</f>
        <v>-25.093801670456827</v>
      </c>
      <c r="BN105" s="244">
        <f>-psi_o+SQRT(psi_o^2-2*Tabella34[[#This Row],[c_o]])</f>
        <v>3.6772969493719194</v>
      </c>
      <c r="BO105" s="244">
        <f>-psi_o-SQRT(psi_o^2-2*Tabella34[[#This Row],[c_o]])</f>
        <v>-3.7263240349415487</v>
      </c>
      <c r="BP105" s="244">
        <f>phi_o-LN(alpha*Ko/(Tabella34[[#This Row],[rest of Italy velocity]]*psi_o*SQRTPI(2)))</f>
        <v>-6.8514000030309097</v>
      </c>
      <c r="BQ105" s="244">
        <f>(ACOSH(SQRT(alpha*Ka*psi_a/(Tabella34[[#This Row],[rest of Italy velocity]]*(1+TANH(phi_a)))))+phi_a)/psi_a-(Tabella34[[#This Row],[Day]]-pa)</f>
        <v>67.160138509846661</v>
      </c>
      <c r="BR105" s="72">
        <f>-2*$BY$35*TANH($BY$35*(Tabella34[[#This Row],[Day]]-$BY$44)-$BY$34)*Tabella34[[#This Row],[rest of Italy velocity]]</f>
        <v>52.972961753521723</v>
      </c>
      <c r="BS105" s="77">
        <f>Tabella34[[#This Row],[rest of Italy acc. fit]]/y_a_peak</f>
        <v>1.8510421179038582E-2</v>
      </c>
      <c r="BT105" s="77">
        <f>Tabella34[[#This Row],[rest of Italy acc. fit]]*NOT(ISBLANK(Tabella34[[#This Row],[rest of Italy rate data]]))</f>
        <v>52.972961753521723</v>
      </c>
      <c r="BU105" s="77">
        <f>Tabella34[[#This Row],[rest of Italy acc. fit]]+CIa</f>
        <v>1747.5471566631045</v>
      </c>
      <c r="BV105" s="77">
        <f>MAX(Tabella34[[#This Row],[rest of Italy acc. fit]]-CIa,0)</f>
        <v>0</v>
      </c>
    </row>
    <row r="106" spans="2:74" x14ac:dyDescent="0.3">
      <c r="B106" s="262">
        <v>43929</v>
      </c>
      <c r="C106" s="4">
        <v>99</v>
      </c>
      <c r="D106" s="10">
        <f>Tabella8[[#This Row],[Italy cumulative]]</f>
        <v>44160</v>
      </c>
      <c r="E106" s="72">
        <f>(Tabella34[[#This Row],[Italy cumul. data]]-D105)</f>
        <v>2641</v>
      </c>
      <c r="F106" s="72">
        <f>Tabella34[[#This Row],[Italy rate data]]-E105</f>
        <v>482</v>
      </c>
      <c r="G106" s="77">
        <f>Tabella34[[#This Row],[Italy rate data]]*NOT(ISBLANK(Tabella34[[#This Row],[Italy rate data]]))</f>
        <v>2641</v>
      </c>
      <c r="H106" s="143">
        <f>Tabella8[[#This Row],[Italy fit]]</f>
        <v>43458.703586257718</v>
      </c>
      <c r="I106" s="143">
        <f>(ATANH(alpha*Tabella34[[#This Row],[Italy cumul. Fit]]/Kf-(1-alpha*Tabella34[[#This Row],[Italy cumul. Fit]]/Kf)*TANH(phi_f))+phi_f)/psi_f-(Tabella34[[#This Row],[Day]]-pf)</f>
        <v>16.358767673840632</v>
      </c>
      <c r="J106" s="143">
        <f>Tabella34[[#This Row],[Italy d.t.]]/Italy_dt_at_lockdown</f>
        <v>14.836370609109927</v>
      </c>
      <c r="K106" s="77">
        <f>Tabella34[[#This Row],[Italy cumul. Fit]]/Kf</f>
        <v>0.19314979371670096</v>
      </c>
      <c r="L106" s="146">
        <f>Tabella34[[#This Row],[sel. region acc. fit]]+Tabella34[[#This Row],[rest of Italy acc. fit]]</f>
        <v>55.240107921782979</v>
      </c>
      <c r="M106" s="77">
        <f>Tabella34[[#This Row],[Italy (fit of selected region + fitted sum of the other regions)]]/(y_l_peak+y_a_peak)</f>
        <v>1.8415882779801152E-2</v>
      </c>
      <c r="N106" s="143">
        <f>Tabella3[[#This Row],[Italy remov. rate fit]]</f>
        <v>2269.6365086784022</v>
      </c>
      <c r="O106" s="143">
        <f>Kt*EXP(-0.5*Tabella34[[#This Row],[x_t]]^2)/(psi_t*SQRTPI(2)*(Tabella34[[#This Row],[Day]]-D_bk))</f>
        <v>0</v>
      </c>
      <c r="P106" s="183">
        <f>Tabella34[[#This Row],[Italy velocity]]/Tabella34[[#This Row],[Italy cumul. Fit]]</f>
        <v>5.222513147852148E-2</v>
      </c>
      <c r="Q106" s="244">
        <f>(LN(Tabella34[[#This Row],[Day]]-D_bk)-phi_t)/psi_t</f>
        <v>85.501516363375728</v>
      </c>
      <c r="R106" s="244">
        <f>EXP(phi_t+psi_t*Tabella34[[#This Row],[x_t_alpha©+plus]])-(Tabella34[[#This Row],[Day]]-D_bk)</f>
        <v>-25.292051268522204</v>
      </c>
      <c r="S106" s="244">
        <f>EXP(phi_t+psi_t*Tabella34[[#This Row],[x_t_alpha©-minus]])-(Tabella34[[#This Row],[Day]]-D_bk)</f>
        <v>-25.935920739881453</v>
      </c>
      <c r="T106" s="244">
        <f>-psi_t+SQRT(psi_t^2-2*Tabella34[[#This Row],[c_t]])</f>
        <v>3.6661083346966943</v>
      </c>
      <c r="U106" s="244">
        <f>-psi_t-SQRT(psi_t^2-2*Tabella34[[#This Row],[c_t]])</f>
        <v>-3.7155010691164994</v>
      </c>
      <c r="V106" s="244">
        <f>phi_t-LN(alpha*Kt/(Tabella34[[#This Row],[Italy velocity]]*psi_t*SQRTPI(2)))</f>
        <v>-6.810714718531238</v>
      </c>
      <c r="W106" s="244">
        <f>Tabella34[[#This Row],[Italy g.r.]]/Italy_gr_at_lockdown</f>
        <v>5.8922608638402513E-2</v>
      </c>
      <c r="X106" s="244">
        <f>(ACOSH(SQRT(alpha*Kf*psi_f/(Tabella34[[#This Row],[Italy velocity]]*(1+TANH(phi_f)))))+phi_f)/psi_f-(Tabella34[[#This Row],[Day]]-pf)</f>
        <v>65.142223039995642</v>
      </c>
      <c r="Y106" s="244">
        <f>Tabella34[[#This Row],[Italy h.t.]]/Italy_ht_at_lockdown</f>
        <v>0.56349645916762048</v>
      </c>
      <c r="Z106" s="72">
        <f>-2*$BY$48*TANH($BY$48*(Tabella34[[#This Row],[Day]]-$BY$57)-$BY$47)*Tabella34[[#This Row],[Italy velocity]]</f>
        <v>55.353381487347725</v>
      </c>
      <c r="AA106" s="72">
        <f>Tabella34[[#This Row],[Italy acc. fit]]/Itali_acc_at_lockdown</f>
        <v>1.5329708196948792</v>
      </c>
      <c r="AB106" s="77">
        <f>Tabella34[[#This Row],[Italy acc. fit]]/y_f_peak</f>
        <v>1.8442483734203458E-2</v>
      </c>
      <c r="AC106" s="143">
        <f>Tabella34[[#This Row],[Italy (fit of selected region + fitted sum of the other regions)]]*NOT(ISBLANK(Tabella34[[#This Row],[Italy rate data]]))</f>
        <v>55.240107921782979</v>
      </c>
      <c r="AD106" s="143">
        <f>Tabella34[[#This Row],[Italy acc. fit]]*NOT(ISBLANK(Tabella34[[#This Row],[Italy rate data]]))</f>
        <v>55.353381487347725</v>
      </c>
      <c r="AE106" s="77">
        <f>Tabella34[[#This Row],[Italy acc. fit]]+CIf</f>
        <v>1770.9682408218989</v>
      </c>
      <c r="AF106" s="77">
        <f>MAX(Tabella34[[#This Row],[Italy acc. fit]]-CIf,0)</f>
        <v>0</v>
      </c>
      <c r="AG106" s="4">
        <f>Tabella8[[#This Row],[region data]]</f>
        <v>1661</v>
      </c>
      <c r="AH106" s="72">
        <f>(Tabella34[[#This Row],[selected region cumul. data]]-AG105)</f>
        <v>116</v>
      </c>
      <c r="AI106" s="72">
        <f>Tabella34[[#This Row],[selected region rate data]]-AH105</f>
        <v>3</v>
      </c>
      <c r="AJ106" s="77">
        <f>Tabella34[[#This Row],[selected region rate data]]*NOT(ISBLANK(Tabella34[[#This Row],[selected region rate data]]))</f>
        <v>116</v>
      </c>
      <c r="AK106" s="77">
        <f>Tabella8[[#This Row],[region fit]]</f>
        <v>1685.1599390144866</v>
      </c>
      <c r="AL106" s="143">
        <f>(ATANH(alpha*Tabella34[[#This Row],[sel. region cumul. fit]]/Kl-(1-alpha*Tabella34[[#This Row],[sel. region cumul. fit]]/Kl)*TANH(phi_l))+phi_l)/psi_l-(Tabella34[[#This Row],[Day]]-pl)</f>
        <v>13.836390497563634</v>
      </c>
      <c r="AM106" s="77">
        <f>Tabella34[[#This Row],[sel. region cumul. fit]]/Kl</f>
        <v>0.18786621393695502</v>
      </c>
      <c r="AN106" s="143">
        <f>Tabella3[[#This Row],[region fit]]</f>
        <v>104.57478205671082</v>
      </c>
      <c r="AO106" s="186">
        <f>Tabella34[[#This Row],[sel. region velocity]]/Tabella34[[#This Row],[sel. region cumul. fit]]</f>
        <v>6.2056294857014062E-2</v>
      </c>
      <c r="AP106" s="241">
        <f>(LN(Tabella34[[#This Row],[Day]]-pr)-phi_r)/psi_r</f>
        <v>69.50955320481836</v>
      </c>
      <c r="AQ106" s="244">
        <f>EXP(phi_r+psi_r*Tabella34[[#This Row],[x_r_alpha©+plus]])-(Tabella34[[#This Row],[Day]]-pr)</f>
        <v>-20.056793576302507</v>
      </c>
      <c r="AR106" s="244">
        <f>EXP(phi_r+psi_r*Tabella34[[#This Row],[x_r_alpha©-minus]])-(Tabella34[[#This Row],[Day]]-pr)</f>
        <v>-20.742349109873608</v>
      </c>
      <c r="AS106" s="244">
        <f>-psi_r+SQRT(psi_r^2-2*Tabella34[[#This Row],[c_r]])</f>
        <v>3.6014235373381873</v>
      </c>
      <c r="AT106" s="244">
        <f>-psi_r-SQRT(psi_r^2-2*Tabella34[[#This Row],[c_r]])</f>
        <v>-3.6578317757568484</v>
      </c>
      <c r="AU106" s="244">
        <f>phi_r-LN(alpha*Kr/(Tabella34[[#This Row],[sel. region velocity]]*psi_r*SQRTPI(2)))</f>
        <v>-6.5867007264171251</v>
      </c>
      <c r="AV106" s="244">
        <f>(ACOSH(SQRT(alpha*Kl*psi_l/(Tabella34[[#This Row],[sel. region velocity]]*(1+TANH(phi_l)))))+phi_l)/psi_l-(Tabella34[[#This Row],[Day]]-pl)</f>
        <v>56.831907977032913</v>
      </c>
      <c r="AW106" s="72">
        <f>-2*$BY$22*TANH($BY$22*(Tabella34[[#This Row],[Day]]-$BY$31)-$BY$21)*Tabella34[[#This Row],[sel. region velocity]]</f>
        <v>2.896511321170383</v>
      </c>
      <c r="AX106" s="77">
        <f>Tabella34[[#This Row],[sel. region acc. fit]]/y_l_peak</f>
        <v>2.1019786042415223E-2</v>
      </c>
      <c r="AY106" s="143">
        <f>Tabella34[[#This Row],[sel. region acc. fit]]*NOT(ISBLANK(Tabella34[[#This Row],[selected region rate data]]))</f>
        <v>2.896511321170383</v>
      </c>
      <c r="AZ106" s="77">
        <f>Tabella34[[#This Row],[sel. region acc. fit]]+CIl</f>
        <v>56.661351730718835</v>
      </c>
      <c r="BA106" s="77">
        <f>MAX(Tabella34[[#This Row],[sel. region acc. fit]]-CIl,0)</f>
        <v>0</v>
      </c>
      <c r="BB106" s="10">
        <f>Tabella8[[#This Row],[rest of Italy ]]</f>
        <v>42499</v>
      </c>
      <c r="BC106" s="10">
        <f>(Tabella34[[#This Row],[rest of Italy cum. Data]]-BB105)</f>
        <v>2525</v>
      </c>
      <c r="BD106" s="10">
        <f>Tabella34[[#This Row],[rest of Italy rate data]]-BC105</f>
        <v>479</v>
      </c>
      <c r="BE106" s="77">
        <f>Tabella34[[#This Row],[rest of Italy rate data]]*NOT(ISBLANK(Tabella34[[#This Row],[rest of Italy rate data]]))</f>
        <v>2525</v>
      </c>
      <c r="BF106" s="77">
        <f>Tabella8[[#This Row],[rest of Italy fit]]</f>
        <v>41778.537439965126</v>
      </c>
      <c r="BG106" s="78">
        <f>(ATANH(alpha*Tabella34[[#This Row],[rest of Italy cumul. fit]]/Ka-(1-alpha*Tabella34[[#This Row],[rest of Italy cumul. fit]]/Ka)*TANH(phi_a))+phi_a)/psi_a-(Tabella34[[#This Row],[Day]]-pa)</f>
        <v>16.477881425607649</v>
      </c>
      <c r="BH106" s="77">
        <f>Tabella34[[#This Row],[rest of Italy cumul. fit]]/Ka</f>
        <v>0.19339229477371256</v>
      </c>
      <c r="BI106" s="143">
        <f>Tabella3[[#This Row],[rest of Italy fit]]</f>
        <v>2167.3531286026951</v>
      </c>
      <c r="BJ106" s="183">
        <f>Tabella34[[#This Row],[rest of Italy velocity]]/Tabella34[[#This Row],[rest of Italy cumul. fit]]</f>
        <v>5.1877190093529139E-2</v>
      </c>
      <c r="BK106" s="236">
        <f>(LN(Tabella34[[#This Row],[Day]]-po)-phi_o)/psi_o</f>
        <v>86.478394293584657</v>
      </c>
      <c r="BL106" s="244">
        <f>EXP(phi_o+psi_o*Tabella34[[#This Row],[x_o_alpha©+plus]])-(Tabella34[[#This Row],[Day]]-po)</f>
        <v>-25.455485097865058</v>
      </c>
      <c r="BM106" s="244">
        <f>EXP(phi_o+psi_o*Tabella34[[#This Row],[x_o_alpha©-minus]])-(Tabella34[[#This Row],[Day]]-po)</f>
        <v>-26.093278068397929</v>
      </c>
      <c r="BN106" s="244">
        <f>-psi_o+SQRT(psi_o^2-2*Tabella34[[#This Row],[c_o]])</f>
        <v>3.6706449401990642</v>
      </c>
      <c r="BO106" s="244">
        <f>-psi_o-SQRT(psi_o^2-2*Tabella34[[#This Row],[c_o]])</f>
        <v>-3.7196720257686935</v>
      </c>
      <c r="BP106" s="244">
        <f>phi_o-LN(alpha*Ko/(Tabella34[[#This Row],[rest of Italy velocity]]*psi_o*SQRTPI(2)))</f>
        <v>-6.8267976502939289</v>
      </c>
      <c r="BQ106" s="244">
        <f>(ACOSH(SQRT(alpha*Ka*psi_a/(Tabella34[[#This Row],[rest of Italy velocity]]*(1+TANH(phi_a)))))+phi_a)/psi_a-(Tabella34[[#This Row],[Day]]-pa)</f>
        <v>65.525868933000623</v>
      </c>
      <c r="BR106" s="72">
        <f>-2*$BY$35*TANH($BY$35*(Tabella34[[#This Row],[Day]]-$BY$44)-$BY$34)*Tabella34[[#This Row],[rest of Italy velocity]]</f>
        <v>52.343596600612592</v>
      </c>
      <c r="BS106" s="77">
        <f>Tabella34[[#This Row],[rest of Italy acc. fit]]/y_a_peak</f>
        <v>1.8290501173244617E-2</v>
      </c>
      <c r="BT106" s="77">
        <f>Tabella34[[#This Row],[rest of Italy acc. fit]]*NOT(ISBLANK(Tabella34[[#This Row],[rest of Italy rate data]]))</f>
        <v>52.343596600612592</v>
      </c>
      <c r="BU106" s="77">
        <f>Tabella34[[#This Row],[rest of Italy acc. fit]]+CIa</f>
        <v>1746.9177915101952</v>
      </c>
      <c r="BV106" s="77">
        <f>MAX(Tabella34[[#This Row],[rest of Italy acc. fit]]-CIa,0)</f>
        <v>0</v>
      </c>
    </row>
    <row r="107" spans="2:74" x14ac:dyDescent="0.3">
      <c r="B107" s="262">
        <v>43930</v>
      </c>
      <c r="C107" s="4">
        <v>100</v>
      </c>
      <c r="D107" s="10">
        <f>Tabella8[[#This Row],[Italy cumulative]]</f>
        <v>46749</v>
      </c>
      <c r="E107" s="72">
        <f>(Tabella34[[#This Row],[Italy cumul. data]]-D106)</f>
        <v>2589</v>
      </c>
      <c r="F107" s="72">
        <f>Tabella34[[#This Row],[Italy rate data]]-E106</f>
        <v>-52</v>
      </c>
      <c r="G107" s="77">
        <f>Tabella34[[#This Row],[Italy rate data]]*NOT(ISBLANK(Tabella34[[#This Row],[Italy rate data]]))</f>
        <v>2589</v>
      </c>
      <c r="H107" s="143">
        <f>Tabella8[[#This Row],[Italy fit]]</f>
        <v>45755.885679343373</v>
      </c>
      <c r="I107" s="143">
        <f>(ATANH(alpha*Tabella34[[#This Row],[Italy cumul. Fit]]/Kf-(1-alpha*Tabella34[[#This Row],[Italy cumul. Fit]]/Kf)*TANH(phi_f))+phi_f)/psi_f-(Tabella34[[#This Row],[Day]]-pf)</f>
        <v>16.911050672128539</v>
      </c>
      <c r="J107" s="143">
        <f>Tabella34[[#This Row],[Italy d.t.]]/Italy_dt_at_lockdown</f>
        <v>15.337256458648135</v>
      </c>
      <c r="K107" s="77">
        <f>Tabella34[[#This Row],[Italy cumul. Fit]]/Kf</f>
        <v>0.20335949190819277</v>
      </c>
      <c r="L107" s="146">
        <f>Tabella34[[#This Row],[sel. region acc. fit]]+Tabella34[[#This Row],[rest of Italy acc. fit]]</f>
        <v>54.398788941088071</v>
      </c>
      <c r="M107" s="77">
        <f>Tabella34[[#This Row],[Italy (fit of selected region + fitted sum of the other regions)]]/(y_l_peak+y_a_peak)</f>
        <v>1.8135404838830482E-2</v>
      </c>
      <c r="N107" s="143">
        <f>Tabella3[[#This Row],[Italy remov. rate fit]]</f>
        <v>2324.5893505620138</v>
      </c>
      <c r="O107" s="143">
        <f>Kt*EXP(-0.5*Tabella34[[#This Row],[x_t]]^2)/(psi_t*SQRTPI(2)*(Tabella34[[#This Row],[Day]]-D_bk))</f>
        <v>0</v>
      </c>
      <c r="P107" s="183">
        <f>Tabella34[[#This Row],[Italy velocity]]/Tabella34[[#This Row],[Italy cumul. Fit]]</f>
        <v>5.0804160296507084E-2</v>
      </c>
      <c r="Q107" s="244">
        <f>(LN(Tabella34[[#This Row],[Day]]-D_bk)-phi_t)/psi_t</f>
        <v>86.867041906783001</v>
      </c>
      <c r="R107" s="244">
        <f>EXP(phi_t+psi_t*Tabella34[[#This Row],[x_t_alpha©+plus]])-(Tabella34[[#This Row],[Day]]-D_bk)</f>
        <v>-26.292670261634285</v>
      </c>
      <c r="S107" s="244">
        <f>EXP(phi_t+psi_t*Tabella34[[#This Row],[x_t_alpha©-minus]])-(Tabella34[[#This Row],[Day]]-D_bk)</f>
        <v>-26.935404817964248</v>
      </c>
      <c r="T107" s="244">
        <f>-psi_t+SQRT(psi_t^2-2*Tabella34[[#This Row],[c_t]])</f>
        <v>3.6596206560980638</v>
      </c>
      <c r="U107" s="244">
        <f>-psi_t-SQRT(psi_t^2-2*Tabella34[[#This Row],[c_t]])</f>
        <v>-3.7090133905178688</v>
      </c>
      <c r="V107" s="244">
        <f>phi_t-LN(alpha*Kt/(Tabella34[[#This Row],[Italy velocity]]*psi_t*SQRTPI(2)))</f>
        <v>-6.786791008841754</v>
      </c>
      <c r="W107" s="244">
        <f>Tabella34[[#This Row],[Italy g.r.]]/Italy_gr_at_lockdown</f>
        <v>5.7319408675589267E-2</v>
      </c>
      <c r="X107" s="244">
        <f>(ACOSH(SQRT(alpha*Kf*psi_f/(Tabella34[[#This Row],[Italy velocity]]*(1+TANH(phi_f)))))+phi_f)/psi_f-(Tabella34[[#This Row],[Day]]-pf)</f>
        <v>63.525763872904903</v>
      </c>
      <c r="Y107" s="244">
        <f>Tabella34[[#This Row],[Italy h.t.]]/Italy_ht_at_lockdown</f>
        <v>0.54951368463925632</v>
      </c>
      <c r="Z107" s="72">
        <f>-2*$BY$48*TANH($BY$48*(Tabella34[[#This Row],[Day]]-$BY$57)-$BY$47)*Tabella34[[#This Row],[Italy velocity]]</f>
        <v>54.52334090446594</v>
      </c>
      <c r="AA107" s="72">
        <f>Tabella34[[#This Row],[Italy acc. fit]]/Itali_acc_at_lockdown</f>
        <v>1.5099834617678636</v>
      </c>
      <c r="AB107" s="77">
        <f>Tabella34[[#This Row],[Italy acc. fit]]/y_f_peak</f>
        <v>1.8165933150712455E-2</v>
      </c>
      <c r="AC107" s="143">
        <f>Tabella34[[#This Row],[Italy (fit of selected region + fitted sum of the other regions)]]*NOT(ISBLANK(Tabella34[[#This Row],[Italy rate data]]))</f>
        <v>54.398788941088071</v>
      </c>
      <c r="AD107" s="143">
        <f>Tabella34[[#This Row],[Italy acc. fit]]*NOT(ISBLANK(Tabella34[[#This Row],[Italy rate data]]))</f>
        <v>54.52334090446594</v>
      </c>
      <c r="AE107" s="77">
        <f>Tabella34[[#This Row],[Italy acc. fit]]+CIf</f>
        <v>1770.1382002390171</v>
      </c>
      <c r="AF107" s="77">
        <f>MAX(Tabella34[[#This Row],[Italy acc. fit]]-CIf,0)</f>
        <v>0</v>
      </c>
      <c r="AG107" s="4">
        <f>Tabella8[[#This Row],[region data]]</f>
        <v>1767</v>
      </c>
      <c r="AH107" s="72">
        <f>(Tabella34[[#This Row],[selected region cumul. data]]-AG106)</f>
        <v>106</v>
      </c>
      <c r="AI107" s="72">
        <f>Tabella34[[#This Row],[selected region rate data]]-AH106</f>
        <v>-10</v>
      </c>
      <c r="AJ107" s="77">
        <f>Tabella34[[#This Row],[selected region rate data]]*NOT(ISBLANK(Tabella34[[#This Row],[selected region rate data]]))</f>
        <v>106</v>
      </c>
      <c r="AK107" s="77">
        <f>Tabella8[[#This Row],[region fit]]</f>
        <v>1791.1748113935785</v>
      </c>
      <c r="AL107" s="143">
        <f>(ATANH(alpha*Tabella34[[#This Row],[sel. region cumul. fit]]/Kl-(1-alpha*Tabella34[[#This Row],[sel. region cumul. fit]]/Kl)*TANH(phi_l))+phi_l)/psi_l-(Tabella34[[#This Row],[Day]]-pl)</f>
        <v>14.399533971700265</v>
      </c>
      <c r="AM107" s="77">
        <f>Tabella34[[#This Row],[sel. region cumul. fit]]/Kl</f>
        <v>0.19968504028913919</v>
      </c>
      <c r="AN107" s="143">
        <f>Tabella3[[#This Row],[region fit]]</f>
        <v>107.44630085262033</v>
      </c>
      <c r="AO107" s="186">
        <f>Tabella34[[#This Row],[sel. region velocity]]/Tabella34[[#This Row],[sel. region cumul. fit]]</f>
        <v>5.9986496108118244E-2</v>
      </c>
      <c r="AP107" s="241">
        <f>(LN(Tabella34[[#This Row],[Day]]-pr)-phi_r)/psi_r</f>
        <v>70.971273102612983</v>
      </c>
      <c r="AQ107" s="244">
        <f>EXP(phi_r+psi_r*Tabella34[[#This Row],[x_r_alpha©+plus]])-(Tabella34[[#This Row],[Day]]-pr)</f>
        <v>-21.057573729215505</v>
      </c>
      <c r="AR107" s="244">
        <f>EXP(phi_r+psi_r*Tabella34[[#This Row],[x_r_alpha©-minus]])-(Tabella34[[#This Row],[Day]]-pr)</f>
        <v>-21.741713261739889</v>
      </c>
      <c r="AS107" s="244">
        <f>-psi_r+SQRT(psi_r^2-2*Tabella34[[#This Row],[c_r]])</f>
        <v>3.5939526140139151</v>
      </c>
      <c r="AT107" s="244">
        <f>-psi_r-SQRT(psi_r^2-2*Tabella34[[#This Row],[c_r]])</f>
        <v>-3.6503608524325761</v>
      </c>
      <c r="AU107" s="244">
        <f>phi_r-LN(alpha*Kr/(Tabella34[[#This Row],[sel. region velocity]]*psi_r*SQRTPI(2)))</f>
        <v>-6.5596119638470594</v>
      </c>
      <c r="AV107" s="244">
        <f>(ACOSH(SQRT(alpha*Kl*psi_l/(Tabella34[[#This Row],[sel. region velocity]]*(1+TANH(phi_l)))))+phi_l)/psi_l-(Tabella34[[#This Row],[Day]]-pl)</f>
        <v>55.219722373182819</v>
      </c>
      <c r="AW107" s="72">
        <f>-2*$BY$22*TANH($BY$22*(Tabella34[[#This Row],[Day]]-$BY$31)-$BY$21)*Tabella34[[#This Row],[sel. region velocity]]</f>
        <v>2.8445343125445799</v>
      </c>
      <c r="AX107" s="77">
        <f>Tabella34[[#This Row],[sel. region acc. fit]]/y_l_peak</f>
        <v>2.0642592419019442E-2</v>
      </c>
      <c r="AY107" s="143">
        <f>Tabella34[[#This Row],[sel. region acc. fit]]*NOT(ISBLANK(Tabella34[[#This Row],[selected region rate data]]))</f>
        <v>2.8445343125445799</v>
      </c>
      <c r="AZ107" s="77">
        <f>Tabella34[[#This Row],[sel. region acc. fit]]+CIl</f>
        <v>56.609374722093037</v>
      </c>
      <c r="BA107" s="77">
        <f>MAX(Tabella34[[#This Row],[sel. region acc. fit]]-CIl,0)</f>
        <v>0</v>
      </c>
      <c r="BB107" s="10">
        <f>Tabella8[[#This Row],[rest of Italy ]]</f>
        <v>44982</v>
      </c>
      <c r="BC107" s="10">
        <f>(Tabella34[[#This Row],[rest of Italy cum. Data]]-BB106)</f>
        <v>2483</v>
      </c>
      <c r="BD107" s="10">
        <f>Tabella34[[#This Row],[rest of Italy rate data]]-BC106</f>
        <v>-42</v>
      </c>
      <c r="BE107" s="77">
        <f>Tabella34[[#This Row],[rest of Italy rate data]]*NOT(ISBLANK(Tabella34[[#This Row],[rest of Italy rate data]]))</f>
        <v>2483</v>
      </c>
      <c r="BF107" s="77">
        <f>Tabella8[[#This Row],[rest of Italy fit]]</f>
        <v>43971.937565970635</v>
      </c>
      <c r="BG107" s="78">
        <f>(ATANH(alpha*Tabella34[[#This Row],[rest of Italy cumul. fit]]/Ka-(1-alpha*Tabella34[[#This Row],[rest of Italy cumul. fit]]/Ka)*TANH(phi_a))+phi_a)/psi_a-(Tabella34[[#This Row],[Day]]-pa)</f>
        <v>17.031852229079796</v>
      </c>
      <c r="BH107" s="77">
        <f>Tabella34[[#This Row],[rest of Italy cumul. fit]]/Ka</f>
        <v>0.20354551481725056</v>
      </c>
      <c r="BI107" s="143">
        <f>Tabella3[[#This Row],[rest of Italy fit]]</f>
        <v>2219.3155784654437</v>
      </c>
      <c r="BJ107" s="183">
        <f>Tabella34[[#This Row],[rest of Italy velocity]]/Tabella34[[#This Row],[rest of Italy cumul. fit]]</f>
        <v>5.0471180059687565E-2</v>
      </c>
      <c r="BK107" s="236">
        <f>(LN(Tabella34[[#This Row],[Day]]-po)-phi_o)/psi_o</f>
        <v>87.847232173970795</v>
      </c>
      <c r="BL107" s="244">
        <f>EXP(phi_o+psi_o*Tabella34[[#This Row],[x_o_alpha©+plus]])-(Tabella34[[#This Row],[Day]]-po)</f>
        <v>-26.456090546187671</v>
      </c>
      <c r="BM107" s="244">
        <f>EXP(phi_o+psi_o*Tabella34[[#This Row],[x_o_alpha©-minus]])-(Tabella34[[#This Row],[Day]]-po)</f>
        <v>-27.092772863709268</v>
      </c>
      <c r="BN107" s="244">
        <f>-psi_o+SQRT(psi_o^2-2*Tabella34[[#This Row],[c_o]])</f>
        <v>3.6642276851848488</v>
      </c>
      <c r="BO107" s="244">
        <f>-psi_o-SQRT(psi_o^2-2*Tabella34[[#This Row],[c_o]])</f>
        <v>-3.7132547707544781</v>
      </c>
      <c r="BP107" s="244">
        <f>phi_o-LN(alpha*Ko/(Tabella34[[#This Row],[rest of Italy velocity]]*psi_o*SQRTPI(2)))</f>
        <v>-6.8031054665716395</v>
      </c>
      <c r="BQ107" s="244">
        <f>(ACOSH(SQRT(alpha*Ka*psi_a/(Tabella34[[#This Row],[rest of Italy velocity]]*(1+TANH(phi_a)))))+phi_a)/psi_a-(Tabella34[[#This Row],[Day]]-pa)</f>
        <v>63.910554644396441</v>
      </c>
      <c r="BR107" s="72">
        <f>-2*$BY$35*TANH($BY$35*(Tabella34[[#This Row],[Day]]-$BY$44)-$BY$34)*Tabella34[[#This Row],[rest of Italy velocity]]</f>
        <v>51.55425462854349</v>
      </c>
      <c r="BS107" s="77">
        <f>Tabella34[[#This Row],[rest of Italy acc. fit]]/y_a_peak</f>
        <v>1.8014680228490274E-2</v>
      </c>
      <c r="BT107" s="77">
        <f>Tabella34[[#This Row],[rest of Italy acc. fit]]*NOT(ISBLANK(Tabella34[[#This Row],[rest of Italy rate data]]))</f>
        <v>51.55425462854349</v>
      </c>
      <c r="BU107" s="77">
        <f>Tabella34[[#This Row],[rest of Italy acc. fit]]+CIa</f>
        <v>1746.1284495381262</v>
      </c>
      <c r="BV107" s="77">
        <f>MAX(Tabella34[[#This Row],[rest of Italy acc. fit]]-CIa,0)</f>
        <v>0</v>
      </c>
    </row>
    <row r="108" spans="2:74" x14ac:dyDescent="0.3">
      <c r="B108" s="262">
        <v>43931</v>
      </c>
      <c r="C108" s="4">
        <v>101</v>
      </c>
      <c r="D108" s="10">
        <f>Tabella8[[#This Row],[Italy cumulative]]</f>
        <v>49304</v>
      </c>
      <c r="E108" s="72">
        <f>(Tabella34[[#This Row],[Italy cumul. data]]-D107)</f>
        <v>2555</v>
      </c>
      <c r="F108" s="72">
        <f>Tabella34[[#This Row],[Italy rate data]]-E107</f>
        <v>-34</v>
      </c>
      <c r="G108" s="77">
        <f>Tabella34[[#This Row],[Italy rate data]]*NOT(ISBLANK(Tabella34[[#This Row],[Italy rate data]]))</f>
        <v>2555</v>
      </c>
      <c r="H108" s="143">
        <f>Tabella8[[#This Row],[Italy fit]]</f>
        <v>48107.576445208608</v>
      </c>
      <c r="I108" s="143">
        <f>(ATANH(alpha*Tabella34[[#This Row],[Italy cumul. Fit]]/Kf-(1-alpha*Tabella34[[#This Row],[Italy cumul. Fit]]/Kf)*TANH(phi_f))+phi_f)/psi_f-(Tabella34[[#This Row],[Day]]-pf)</f>
        <v>17.488161202935608</v>
      </c>
      <c r="J108" s="143">
        <f>Tabella34[[#This Row],[Italy d.t.]]/Italy_dt_at_lockdown</f>
        <v>15.860659314424716</v>
      </c>
      <c r="K108" s="77">
        <f>Tabella34[[#This Row],[Italy cumul. Fit]]/Kf</f>
        <v>0.21381145086759382</v>
      </c>
      <c r="L108" s="146">
        <f>Tabella34[[#This Row],[sel. region acc. fit]]+Tabella34[[#This Row],[rest of Italy acc. fit]]</f>
        <v>53.381050426628775</v>
      </c>
      <c r="M108" s="77">
        <f>Tabella34[[#This Row],[Italy (fit of selected region + fitted sum of the other regions)]]/(y_l_peak+y_a_peak)</f>
        <v>1.7796112359364118E-2</v>
      </c>
      <c r="N108" s="143">
        <f>Tabella3[[#This Row],[Italy remov. rate fit]]</f>
        <v>2378.6245231777166</v>
      </c>
      <c r="O108" s="143">
        <f>Kt*EXP(-0.5*Tabella34[[#This Row],[x_t]]^2)/(psi_t*SQRTPI(2)*(Tabella34[[#This Row],[Day]]-D_bk))</f>
        <v>0</v>
      </c>
      <c r="P108" s="183">
        <f>Tabella34[[#This Row],[Italy velocity]]/Tabella34[[#This Row],[Italy cumul. Fit]]</f>
        <v>4.9443865165122482E-2</v>
      </c>
      <c r="Q108" s="244">
        <f>(LN(Tabella34[[#This Row],[Day]]-D_bk)-phi_t)/psi_t</f>
        <v>88.188015486577171</v>
      </c>
      <c r="R108" s="244">
        <f>EXP(phi_t+psi_t*Tabella34[[#This Row],[x_t_alpha©+plus]])-(Tabella34[[#This Row],[Day]]-D_bk)</f>
        <v>-27.293265745794233</v>
      </c>
      <c r="S108" s="244">
        <f>EXP(phi_t+psi_t*Tabella34[[#This Row],[x_t_alpha©-minus]])-(Tabella34[[#This Row],[Day]]-D_bk)</f>
        <v>-27.934908334361229</v>
      </c>
      <c r="T108" s="244">
        <f>-psi_t+SQRT(psi_t^2-2*Tabella34[[#This Row],[c_t]])</f>
        <v>3.653378394119756</v>
      </c>
      <c r="U108" s="244">
        <f>-psi_t-SQRT(psi_t^2-2*Tabella34[[#This Row],[c_t]])</f>
        <v>-3.702771128539561</v>
      </c>
      <c r="V108" s="244">
        <f>phi_t-LN(alpha*Kt/(Tabella34[[#This Row],[Italy velocity]]*psi_t*SQRTPI(2)))</f>
        <v>-6.7638120196884293</v>
      </c>
      <c r="W108" s="244">
        <f>Tabella34[[#This Row],[Italy g.r.]]/Italy_gr_at_lockdown</f>
        <v>5.5784666006875004E-2</v>
      </c>
      <c r="X108" s="244">
        <f>(ACOSH(SQRT(alpha*Kf*psi_f/(Tabella34[[#This Row],[Italy velocity]]*(1+TANH(phi_f)))))+phi_f)/psi_f-(Tabella34[[#This Row],[Day]]-pf)</f>
        <v>61.929245358888451</v>
      </c>
      <c r="Y108" s="244">
        <f>Tabella34[[#This Row],[Italy h.t.]]/Italy_ht_at_lockdown</f>
        <v>0.53570340172810249</v>
      </c>
      <c r="Z108" s="72">
        <f>-2*$BY$48*TANH($BY$48*(Tabella34[[#This Row],[Day]]-$BY$57)-$BY$47)*Tabella34[[#This Row],[Italy velocity]]</f>
        <v>53.517329530274758</v>
      </c>
      <c r="AA108" s="72">
        <f>Tabella34[[#This Row],[Italy acc. fit]]/Itali_acc_at_lockdown</f>
        <v>1.4821227233725276</v>
      </c>
      <c r="AB108" s="77">
        <f>Tabella34[[#This Row],[Italy acc. fit]]/y_f_peak</f>
        <v>1.7830753114616821E-2</v>
      </c>
      <c r="AC108" s="143">
        <f>Tabella34[[#This Row],[Italy (fit of selected region + fitted sum of the other regions)]]*NOT(ISBLANK(Tabella34[[#This Row],[Italy rate data]]))</f>
        <v>53.381050426628775</v>
      </c>
      <c r="AD108" s="143">
        <f>Tabella34[[#This Row],[Italy acc. fit]]*NOT(ISBLANK(Tabella34[[#This Row],[Italy rate data]]))</f>
        <v>53.517329530274758</v>
      </c>
      <c r="AE108" s="77">
        <f>Tabella34[[#This Row],[Italy acc. fit]]+CIf</f>
        <v>1769.132188864826</v>
      </c>
      <c r="AF108" s="77">
        <f>MAX(Tabella34[[#This Row],[Italy acc. fit]]-CIf,0)</f>
        <v>0</v>
      </c>
      <c r="AG108" s="4">
        <f>Tabella8[[#This Row],[region data]]</f>
        <v>1890</v>
      </c>
      <c r="AH108" s="72">
        <f>(Tabella34[[#This Row],[selected region cumul. data]]-AG107)</f>
        <v>123</v>
      </c>
      <c r="AI108" s="72">
        <f>Tabella34[[#This Row],[selected region rate data]]-AH107</f>
        <v>17</v>
      </c>
      <c r="AJ108" s="77">
        <f>Tabella34[[#This Row],[selected region rate data]]*NOT(ISBLANK(Tabella34[[#This Row],[selected region rate data]]))</f>
        <v>123</v>
      </c>
      <c r="AK108" s="77">
        <f>Tabella8[[#This Row],[region fit]]</f>
        <v>1900.0332082393834</v>
      </c>
      <c r="AL108" s="143">
        <f>(ATANH(alpha*Tabella34[[#This Row],[sel. region cumul. fit]]/Kl-(1-alpha*Tabella34[[#This Row],[sel. region cumul. fit]]/Kl)*TANH(phi_l))+phi_l)/psi_l-(Tabella34[[#This Row],[Day]]-pl)</f>
        <v>14.990051322595995</v>
      </c>
      <c r="AM108" s="77">
        <f>Tabella34[[#This Row],[sel. region cumul. fit]]/Kl</f>
        <v>0.21182087048376627</v>
      </c>
      <c r="AN108" s="143">
        <f>Tabella3[[#This Row],[region fit]]</f>
        <v>110.25981177572147</v>
      </c>
      <c r="AO108" s="186">
        <f>Tabella34[[#This Row],[sel. region velocity]]/Tabella34[[#This Row],[sel. region cumul. fit]]</f>
        <v>5.8030465624277626E-2</v>
      </c>
      <c r="AP108" s="241">
        <f>(LN(Tabella34[[#This Row],[Day]]-pr)-phi_r)/psi_r</f>
        <v>72.375109821654704</v>
      </c>
      <c r="AQ108" s="244">
        <f>EXP(phi_r+psi_r*Tabella34[[#This Row],[x_r_alpha©+plus]])-(Tabella34[[#This Row],[Day]]-pr)</f>
        <v>-22.058319506782315</v>
      </c>
      <c r="AR108" s="244">
        <f>EXP(phi_r+psi_r*Tabella34[[#This Row],[x_r_alpha©-minus]])-(Tabella34[[#This Row],[Day]]-pr)</f>
        <v>-22.741105179962474</v>
      </c>
      <c r="AS108" s="244">
        <f>-psi_r+SQRT(psi_r^2-2*Tabella34[[#This Row],[c_r]])</f>
        <v>3.5868094049042978</v>
      </c>
      <c r="AT108" s="244">
        <f>-psi_r-SQRT(psi_r^2-2*Tabella34[[#This Row],[c_r]])</f>
        <v>-3.6432176433229588</v>
      </c>
      <c r="AU108" s="244">
        <f>phi_r-LN(alpha*Kr/(Tabella34[[#This Row],[sel. region velocity]]*psi_r*SQRTPI(2)))</f>
        <v>-6.5337636535920289</v>
      </c>
      <c r="AV108" s="244">
        <f>(ACOSH(SQRT(alpha*Kl*psi_l/(Tabella34[[#This Row],[sel. region velocity]]*(1+TANH(phi_l)))))+phi_l)/psi_l-(Tabella34[[#This Row],[Day]]-pl)</f>
        <v>53.630611550396253</v>
      </c>
      <c r="AW108" s="72">
        <f>-2*$BY$22*TANH($BY$22*(Tabella34[[#This Row],[Day]]-$BY$31)-$BY$21)*Tabella34[[#This Row],[sel. region velocity]]</f>
        <v>2.7804434489868957</v>
      </c>
      <c r="AX108" s="77">
        <f>Tabella34[[#This Row],[sel. region acc. fit]]/y_l_peak</f>
        <v>2.0177489372672018E-2</v>
      </c>
      <c r="AY108" s="143">
        <f>Tabella34[[#This Row],[sel. region acc. fit]]*NOT(ISBLANK(Tabella34[[#This Row],[selected region rate data]]))</f>
        <v>2.7804434489868957</v>
      </c>
      <c r="AZ108" s="77">
        <f>Tabella34[[#This Row],[sel. region acc. fit]]+CIl</f>
        <v>56.545283858535349</v>
      </c>
      <c r="BA108" s="77">
        <f>MAX(Tabella34[[#This Row],[sel. region acc. fit]]-CIl,0)</f>
        <v>0</v>
      </c>
      <c r="BB108" s="10">
        <f>Tabella8[[#This Row],[rest of Italy ]]</f>
        <v>47414</v>
      </c>
      <c r="BC108" s="10">
        <f>(Tabella34[[#This Row],[rest of Italy cum. Data]]-BB107)</f>
        <v>2432</v>
      </c>
      <c r="BD108" s="10">
        <f>Tabella34[[#This Row],[rest of Italy rate data]]-BC107</f>
        <v>-51</v>
      </c>
      <c r="BE108" s="77">
        <f>Tabella34[[#This Row],[rest of Italy rate data]]*NOT(ISBLANK(Tabella34[[#This Row],[rest of Italy rate data]]))</f>
        <v>2432</v>
      </c>
      <c r="BF108" s="77">
        <f>Tabella8[[#This Row],[rest of Italy fit]]</f>
        <v>46216.878250867601</v>
      </c>
      <c r="BG108" s="78">
        <f>(ATANH(alpha*Tabella34[[#This Row],[rest of Italy cumul. fit]]/Ka-(1-alpha*Tabella34[[#This Row],[rest of Italy cumul. fit]]/Ka)*TANH(phi_a))+phi_a)/psi_a-(Tabella34[[#This Row],[Day]]-pa)</f>
        <v>17.610545312896555</v>
      </c>
      <c r="BH108" s="77">
        <f>Tabella34[[#This Row],[rest of Italy cumul. fit]]/Ka</f>
        <v>0.21393731542317085</v>
      </c>
      <c r="BI108" s="143">
        <f>Tabella3[[#This Row],[rest of Italy fit]]</f>
        <v>2270.4068597079263</v>
      </c>
      <c r="BJ108" s="183">
        <f>Tabella34[[#This Row],[rest of Italy velocity]]/Tabella34[[#This Row],[rest of Italy cumul. fit]]</f>
        <v>4.9125058758491665E-2</v>
      </c>
      <c r="BK108" s="236">
        <f>(LN(Tabella34[[#This Row],[Day]]-po)-phi_o)/psi_o</f>
        <v>89.171625900995608</v>
      </c>
      <c r="BL108" s="244">
        <f>EXP(phi_o+psi_o*Tabella34[[#This Row],[x_o_alpha©+plus]])-(Tabella34[[#This Row],[Day]]-po)</f>
        <v>-27.456673081538597</v>
      </c>
      <c r="BM108" s="244">
        <f>EXP(phi_o+psi_o*Tabella34[[#This Row],[x_o_alpha©-minus]])-(Tabella34[[#This Row],[Day]]-po)</f>
        <v>-28.092286628235861</v>
      </c>
      <c r="BN108" s="244">
        <f>-psi_o+SQRT(psi_o^2-2*Tabella34[[#This Row],[c_o]])</f>
        <v>3.6580523357947339</v>
      </c>
      <c r="BO108" s="244">
        <f>-psi_o-SQRT(psi_o^2-2*Tabella34[[#This Row],[c_o]])</f>
        <v>-3.7070794213643632</v>
      </c>
      <c r="BP108" s="244">
        <f>phi_o-LN(alpha*Ko/(Tabella34[[#This Row],[rest of Italy velocity]]*psi_o*SQRTPI(2)))</f>
        <v>-6.78034526814925</v>
      </c>
      <c r="BQ108" s="244">
        <f>(ACOSH(SQRT(alpha*Ka*psi_a/(Tabella34[[#This Row],[rest of Italy velocity]]*(1+TANH(phi_a)))))+phi_a)/psi_a-(Tabella34[[#This Row],[Day]]-pa)</f>
        <v>62.31508311642898</v>
      </c>
      <c r="BR108" s="72">
        <f>-2*$BY$35*TANH($BY$35*(Tabella34[[#This Row],[Day]]-$BY$44)-$BY$34)*Tabella34[[#This Row],[rest of Italy velocity]]</f>
        <v>50.600606977641881</v>
      </c>
      <c r="BS108" s="77">
        <f>Tabella34[[#This Row],[rest of Italy acc. fit]]/y_a_peak</f>
        <v>1.7681445704871894E-2</v>
      </c>
      <c r="BT108" s="77">
        <f>Tabella34[[#This Row],[rest of Italy acc. fit]]*NOT(ISBLANK(Tabella34[[#This Row],[rest of Italy rate data]]))</f>
        <v>50.600606977641881</v>
      </c>
      <c r="BU108" s="77">
        <f>Tabella34[[#This Row],[rest of Italy acc. fit]]+CIa</f>
        <v>1745.1748018872247</v>
      </c>
      <c r="BV108" s="77">
        <f>MAX(Tabella34[[#This Row],[rest of Italy acc. fit]]-CIa,0)</f>
        <v>0</v>
      </c>
    </row>
    <row r="109" spans="2:74" x14ac:dyDescent="0.3">
      <c r="B109" s="262">
        <v>43932</v>
      </c>
      <c r="C109" s="4">
        <v>102</v>
      </c>
      <c r="D109" s="10">
        <f>Tabella8[[#This Row],[Italy cumulative]]</f>
        <v>52002</v>
      </c>
      <c r="E109" s="72">
        <f>(Tabella34[[#This Row],[Italy cumul. data]]-D108)</f>
        <v>2698</v>
      </c>
      <c r="F109" s="72">
        <f>Tabella34[[#This Row],[Italy rate data]]-E108</f>
        <v>143</v>
      </c>
      <c r="G109" s="77">
        <f>Tabella34[[#This Row],[Italy rate data]]*NOT(ISBLANK(Tabella34[[#This Row],[Italy rate data]]))</f>
        <v>2698</v>
      </c>
      <c r="H109" s="143">
        <f>Tabella8[[#This Row],[Italy fit]]</f>
        <v>50512.769555802355</v>
      </c>
      <c r="I109" s="143">
        <f>(ATANH(alpha*Tabella34[[#This Row],[Italy cumul. Fit]]/Kf-(1-alpha*Tabella34[[#This Row],[Italy cumul. Fit]]/Kf)*TANH(phi_f))+phi_f)/psi_f-(Tabella34[[#This Row],[Day]]-pf)</f>
        <v>18.093637163261924</v>
      </c>
      <c r="J109" s="143">
        <f>Tabella34[[#This Row],[Italy d.t.]]/Italy_dt_at_lockdown</f>
        <v>16.409787825900114</v>
      </c>
      <c r="K109" s="77">
        <f>Tabella34[[#This Row],[Italy cumul. Fit]]/Kf</f>
        <v>0.22450119802578825</v>
      </c>
      <c r="L109" s="146">
        <f>Tabella34[[#This Row],[sel. region acc. fit]]+Tabella34[[#This Row],[rest of Italy acc. fit]]</f>
        <v>52.183158385584356</v>
      </c>
      <c r="M109" s="77">
        <f>Tabella34[[#This Row],[Italy (fit of selected region + fitted sum of the other regions)]]/(y_l_peak+y_a_peak)</f>
        <v>1.7396760507228583E-2</v>
      </c>
      <c r="N109" s="143">
        <f>Tabella3[[#This Row],[Italy remov. rate fit]]</f>
        <v>2431.5640761545164</v>
      </c>
      <c r="O109" s="143">
        <f>Kt*EXP(-0.5*Tabella34[[#This Row],[x_t]]^2)/(psi_t*SQRTPI(2)*(Tabella34[[#This Row],[Day]]-D_bk))</f>
        <v>0</v>
      </c>
      <c r="P109" s="183">
        <f>Tabella34[[#This Row],[Italy velocity]]/Tabella34[[#This Row],[Italy cumul. Fit]]</f>
        <v>4.8137611489869392E-2</v>
      </c>
      <c r="Q109" s="244">
        <f>(LN(Tabella34[[#This Row],[Day]]-D_bk)-phi_t)/psi_t</f>
        <v>89.467252611179489</v>
      </c>
      <c r="R109" s="244">
        <f>EXP(phi_t+psi_t*Tabella34[[#This Row],[x_t_alpha©+plus]])-(Tabella34[[#This Row],[Day]]-D_bk)</f>
        <v>-28.293837042250654</v>
      </c>
      <c r="S109" s="244">
        <f>EXP(phi_t+psi_t*Tabella34[[#This Row],[x_t_alpha©-minus]])-(Tabella34[[#This Row],[Day]]-D_bk)</f>
        <v>-28.934431873293583</v>
      </c>
      <c r="T109" s="244">
        <f>-psi_t+SQRT(psi_t^2-2*Tabella34[[#This Row],[c_t]])</f>
        <v>3.6473887791636006</v>
      </c>
      <c r="U109" s="244">
        <f>-psi_t-SQRT(psi_t^2-2*Tabella34[[#This Row],[c_t]])</f>
        <v>-3.6967815135834057</v>
      </c>
      <c r="V109" s="244">
        <f>phi_t-LN(alpha*Kt/(Tabella34[[#This Row],[Italy velocity]]*psi_t*SQRTPI(2)))</f>
        <v>-6.7417997058317729</v>
      </c>
      <c r="W109" s="244">
        <f>Tabella34[[#This Row],[Italy g.r.]]/Italy_gr_at_lockdown</f>
        <v>5.4310895201318161E-2</v>
      </c>
      <c r="X109" s="244">
        <f>(ACOSH(SQRT(alpha*Kf*psi_f/(Tabella34[[#This Row],[Italy velocity]]*(1+TANH(phi_f)))))+phi_f)/psi_f-(Tabella34[[#This Row],[Day]]-pf)</f>
        <v>60.353588699145618</v>
      </c>
      <c r="Y109" s="244">
        <f>Tabella34[[#This Row],[Italy h.t.]]/Italy_ht_at_lockdown</f>
        <v>0.52207357905404617</v>
      </c>
      <c r="Z109" s="72">
        <f>-2*$BY$48*TANH($BY$48*(Tabella34[[#This Row],[Day]]-$BY$57)-$BY$47)*Tabella34[[#This Row],[Italy velocity]]</f>
        <v>52.331552183910084</v>
      </c>
      <c r="AA109" s="72">
        <f>Tabella34[[#This Row],[Italy acc. fit]]/Itali_acc_at_lockdown</f>
        <v>1.4492834997914394</v>
      </c>
      <c r="AB109" s="77">
        <f>Tabella34[[#This Row],[Italy acc. fit]]/y_f_peak</f>
        <v>1.7435679158245863E-2</v>
      </c>
      <c r="AC109" s="143">
        <f>Tabella34[[#This Row],[Italy (fit of selected region + fitted sum of the other regions)]]*NOT(ISBLANK(Tabella34[[#This Row],[Italy rate data]]))</f>
        <v>52.183158385584356</v>
      </c>
      <c r="AD109" s="143">
        <f>Tabella34[[#This Row],[Italy acc. fit]]*NOT(ISBLANK(Tabella34[[#This Row],[Italy rate data]]))</f>
        <v>52.331552183910084</v>
      </c>
      <c r="AE109" s="77">
        <f>Tabella34[[#This Row],[Italy acc. fit]]+CIf</f>
        <v>1767.9464115184614</v>
      </c>
      <c r="AF109" s="77">
        <f>MAX(Tabella34[[#This Row],[Italy acc. fit]]-CIf,0)</f>
        <v>0</v>
      </c>
      <c r="AG109" s="4">
        <f>Tabella8[[#This Row],[region data]]</f>
        <v>2043</v>
      </c>
      <c r="AH109" s="72">
        <f>(Tabella34[[#This Row],[selected region cumul. data]]-AG108)</f>
        <v>153</v>
      </c>
      <c r="AI109" s="72">
        <f>Tabella34[[#This Row],[selected region rate data]]-AH108</f>
        <v>30</v>
      </c>
      <c r="AJ109" s="77">
        <f>Tabella34[[#This Row],[selected region rate data]]*NOT(ISBLANK(Tabella34[[#This Row],[selected region rate data]]))</f>
        <v>153</v>
      </c>
      <c r="AK109" s="77">
        <f>Tabella8[[#This Row],[region fit]]</f>
        <v>2011.6710163155669</v>
      </c>
      <c r="AL109" s="143">
        <f>(ATANH(alpha*Tabella34[[#This Row],[sel. region cumul. fit]]/Kl-(1-alpha*Tabella34[[#This Row],[sel. region cumul. fit]]/Kl)*TANH(phi_l))+phi_l)/psi_l-(Tabella34[[#This Row],[Day]]-pl)</f>
        <v>15.612654044926309</v>
      </c>
      <c r="AM109" s="77">
        <f>Tabella34[[#This Row],[sel. region cumul. fit]]/Kl</f>
        <v>0.22426655700285028</v>
      </c>
      <c r="AN109" s="143">
        <f>Tabella3[[#This Row],[region fit]]</f>
        <v>113.00305940821912</v>
      </c>
      <c r="AO109" s="186">
        <f>Tabella34[[#This Row],[sel. region velocity]]/Tabella34[[#This Row],[sel. region cumul. fit]]</f>
        <v>5.6173727459267894E-2</v>
      </c>
      <c r="AP109" s="241">
        <f>(LN(Tabella34[[#This Row],[Day]]-pr)-phi_r)/psi_r</f>
        <v>73.725473549596913</v>
      </c>
      <c r="AQ109" s="244">
        <f>EXP(phi_r+psi_r*Tabella34[[#This Row],[x_r_alpha©+plus]])-(Tabella34[[#This Row],[Day]]-pr)</f>
        <v>-23.059029787283333</v>
      </c>
      <c r="AR109" s="244">
        <f>EXP(phi_r+psi_r*Tabella34[[#This Row],[x_r_alpha©-minus]])-(Tabella34[[#This Row],[Day]]-pr)</f>
        <v>-23.740525813421801</v>
      </c>
      <c r="AS109" s="244">
        <f>-psi_r+SQRT(psi_r^2-2*Tabella34[[#This Row],[c_r]])</f>
        <v>3.5800048556347233</v>
      </c>
      <c r="AT109" s="244">
        <f>-psi_r-SQRT(psi_r^2-2*Tabella34[[#This Row],[c_r]])</f>
        <v>-3.6364130940533843</v>
      </c>
      <c r="AU109" s="244">
        <f>phi_r-LN(alpha*Kr/(Tabella34[[#This Row],[sel. region velocity]]*psi_r*SQRTPI(2)))</f>
        <v>-6.5091882669024015</v>
      </c>
      <c r="AV109" s="244">
        <f>(ACOSH(SQRT(alpha*Kl*psi_l/(Tabella34[[#This Row],[sel. region velocity]]*(1+TANH(phi_l)))))+phi_l)/psi_l-(Tabella34[[#This Row],[Day]]-pl)</f>
        <v>52.065786087814431</v>
      </c>
      <c r="AW109" s="72">
        <f>-2*$BY$22*TANH($BY$22*(Tabella34[[#This Row],[Day]]-$BY$31)-$BY$21)*Tabella34[[#This Row],[sel. region velocity]]</f>
        <v>2.703970750301925</v>
      </c>
      <c r="AX109" s="77">
        <f>Tabella34[[#This Row],[sel. region acc. fit]]/y_l_peak</f>
        <v>1.9622532189285398E-2</v>
      </c>
      <c r="AY109" s="143">
        <f>Tabella34[[#This Row],[sel. region acc. fit]]*NOT(ISBLANK(Tabella34[[#This Row],[selected region rate data]]))</f>
        <v>2.703970750301925</v>
      </c>
      <c r="AZ109" s="77">
        <f>Tabella34[[#This Row],[sel. region acc. fit]]+CIl</f>
        <v>56.468811159850382</v>
      </c>
      <c r="BA109" s="77">
        <f>MAX(Tabella34[[#This Row],[sel. region acc. fit]]-CIl,0)</f>
        <v>0</v>
      </c>
      <c r="BB109" s="10">
        <f>Tabella8[[#This Row],[rest of Italy ]]</f>
        <v>49959</v>
      </c>
      <c r="BC109" s="10">
        <f>(Tabella34[[#This Row],[rest of Italy cum. Data]]-BB108)</f>
        <v>2545</v>
      </c>
      <c r="BD109" s="10">
        <f>Tabella34[[#This Row],[rest of Italy rate data]]-BC108</f>
        <v>113</v>
      </c>
      <c r="BE109" s="77">
        <f>Tabella34[[#This Row],[rest of Italy rate data]]*NOT(ISBLANK(Tabella34[[#This Row],[rest of Italy rate data]]))</f>
        <v>2545</v>
      </c>
      <c r="BF109" s="77">
        <f>Tabella8[[#This Row],[rest of Italy fit]]</f>
        <v>48512.405557796192</v>
      </c>
      <c r="BG109" s="78">
        <f>(ATANH(alpha*Tabella34[[#This Row],[rest of Italy cumul. fit]]/Ka-(1-alpha*Tabella34[[#This Row],[rest of Italy cumul. fit]]/Ka)*TANH(phi_a))+phi_a)/psi_a-(Tabella34[[#This Row],[Day]]-pa)</f>
        <v>18.21746167301491</v>
      </c>
      <c r="BH109" s="77">
        <f>Tabella34[[#This Row],[rest of Italy cumul. fit]]/Ka</f>
        <v>0.2245632808304226</v>
      </c>
      <c r="BI109" s="143">
        <f>Tabella3[[#This Row],[rest of Italy fit]]</f>
        <v>2320.4608579325804</v>
      </c>
      <c r="BJ109" s="183">
        <f>Tabella34[[#This Row],[rest of Italy velocity]]/Tabella34[[#This Row],[rest of Italy cumul. fit]]</f>
        <v>4.7832318996592627E-2</v>
      </c>
      <c r="BK109" s="236">
        <f>(LN(Tabella34[[#This Row],[Day]]-po)-phi_o)/psi_o</f>
        <v>90.454371017904563</v>
      </c>
      <c r="BL109" s="244">
        <f>EXP(phi_o+psi_o*Tabella34[[#This Row],[x_o_alpha©+plus]])-(Tabella34[[#This Row],[Day]]-po)</f>
        <v>-28.457232049101517</v>
      </c>
      <c r="BM109" s="244">
        <f>EXP(phi_o+psi_o*Tabella34[[#This Row],[x_o_alpha©-minus]])-(Tabella34[[#This Row],[Day]]-po)</f>
        <v>-29.091819926090938</v>
      </c>
      <c r="BN109" s="244">
        <f>-psi_o+SQRT(psi_o^2-2*Tabella34[[#This Row],[c_o]])</f>
        <v>3.652125945174876</v>
      </c>
      <c r="BO109" s="244">
        <f>-psi_o-SQRT(psi_o^2-2*Tabella34[[#This Row],[c_o]])</f>
        <v>-3.7011530307445053</v>
      </c>
      <c r="BP109" s="244">
        <f>phi_o-LN(alpha*Ko/(Tabella34[[#This Row],[rest of Italy velocity]]*psi_o*SQRTPI(2)))</f>
        <v>-6.7585385053223161</v>
      </c>
      <c r="BQ109" s="244">
        <f>(ACOSH(SQRT(alpha*Ka*psi_a/(Tabella34[[#This Row],[rest of Italy velocity]]*(1+TANH(phi_a)))))+phi_a)/psi_a-(Tabella34[[#This Row],[Day]]-pa)</f>
        <v>60.740362991481561</v>
      </c>
      <c r="BR109" s="72">
        <f>-2*$BY$35*TANH($BY$35*(Tabella34[[#This Row],[Day]]-$BY$44)-$BY$34)*Tabella34[[#This Row],[rest of Italy velocity]]</f>
        <v>49.479187635282429</v>
      </c>
      <c r="BS109" s="77">
        <f>Tabella34[[#This Row],[rest of Italy acc. fit]]/y_a_peak</f>
        <v>1.7289586468418799E-2</v>
      </c>
      <c r="BT109" s="77">
        <f>Tabella34[[#This Row],[rest of Italy acc. fit]]*NOT(ISBLANK(Tabella34[[#This Row],[rest of Italy rate data]]))</f>
        <v>49.479187635282429</v>
      </c>
      <c r="BU109" s="77">
        <f>Tabella34[[#This Row],[rest of Italy acc. fit]]+CIa</f>
        <v>1744.0533825448651</v>
      </c>
      <c r="BV109" s="77">
        <f>MAX(Tabella34[[#This Row],[rest of Italy acc. fit]]-CIa,0)</f>
        <v>0</v>
      </c>
    </row>
    <row r="110" spans="2:74" x14ac:dyDescent="0.3">
      <c r="B110" s="262">
        <v>43933</v>
      </c>
      <c r="C110" s="4">
        <v>103</v>
      </c>
      <c r="D110" s="10">
        <f>Tabella8[[#This Row],[Italy cumulative]]</f>
        <v>54110</v>
      </c>
      <c r="E110" s="72">
        <f>(Tabella34[[#This Row],[Italy cumul. data]]-D109)</f>
        <v>2108</v>
      </c>
      <c r="F110" s="72">
        <f>Tabella34[[#This Row],[Italy rate data]]-E109</f>
        <v>-590</v>
      </c>
      <c r="G110" s="77">
        <f>Tabella34[[#This Row],[Italy rate data]]*NOT(ISBLANK(Tabella34[[#This Row],[Italy rate data]]))</f>
        <v>2108</v>
      </c>
      <c r="H110" s="143">
        <f>Tabella8[[#This Row],[Italy fit]]</f>
        <v>52970.279003145995</v>
      </c>
      <c r="I110" s="143">
        <f>(ATANH(alpha*Tabella34[[#This Row],[Italy cumul. Fit]]/Kf-(1-alpha*Tabella34[[#This Row],[Italy cumul. Fit]]/Kf)*TANH(phi_f))+phi_f)/psi_f-(Tabella34[[#This Row],[Day]]-pf)</f>
        <v>18.731432591609376</v>
      </c>
      <c r="J110" s="143">
        <f>Tabella34[[#This Row],[Italy d.t.]]/Italy_dt_at_lockdown</f>
        <v>16.988228056632803</v>
      </c>
      <c r="K110" s="77">
        <f>Tabella34[[#This Row],[Italy cumul. Fit]]/Kf</f>
        <v>0.23542346223620442</v>
      </c>
      <c r="L110" s="146">
        <f>Tabella34[[#This Row],[sel. region acc. fit]]+Tabella34[[#This Row],[rest of Italy acc. fit]]</f>
        <v>50.802427006659244</v>
      </c>
      <c r="M110" s="77">
        <f>Tabella34[[#This Row],[Italy (fit of selected region + fitted sum of the other regions)]]/(y_l_peak+y_a_peak)</f>
        <v>1.6936453889785298E-2</v>
      </c>
      <c r="N110" s="143">
        <f>Tabella3[[#This Row],[Italy remov. rate fit]]</f>
        <v>2483.2267720637014</v>
      </c>
      <c r="O110" s="143">
        <f>Kt*EXP(-0.5*Tabella34[[#This Row],[x_t]]^2)/(psi_t*SQRTPI(2)*(Tabella34[[#This Row],[Day]]-D_bk))</f>
        <v>0</v>
      </c>
      <c r="P110" s="183">
        <f>Tabella34[[#This Row],[Italy velocity]]/Tabella34[[#This Row],[Italy cumul. Fit]]</f>
        <v>4.6879624174081064E-2</v>
      </c>
      <c r="Q110" s="244">
        <f>(LN(Tabella34[[#This Row],[Day]]-D_bk)-phi_t)/psi_t</f>
        <v>90.707310050245511</v>
      </c>
      <c r="R110" s="244">
        <f>EXP(phi_t+psi_t*Tabella34[[#This Row],[x_t_alpha©+plus]])-(Tabella34[[#This Row],[Day]]-D_bk)</f>
        <v>-29.29438348418007</v>
      </c>
      <c r="S110" s="244">
        <f>EXP(phi_t+psi_t*Tabella34[[#This Row],[x_t_alpha©-minus]])-(Tabella34[[#This Row],[Day]]-D_bk)</f>
        <v>-29.93397600897271</v>
      </c>
      <c r="T110" s="244">
        <f>-psi_t+SQRT(psi_t^2-2*Tabella34[[#This Row],[c_t]])</f>
        <v>3.64165891615245</v>
      </c>
      <c r="U110" s="244">
        <f>-psi_t-SQRT(psi_t^2-2*Tabella34[[#This Row],[c_t]])</f>
        <v>-3.691051650572255</v>
      </c>
      <c r="V110" s="244">
        <f>phi_t-LN(alpha*Kt/(Tabella34[[#This Row],[Italy velocity]]*psi_t*SQRTPI(2)))</f>
        <v>-6.7207755766428354</v>
      </c>
      <c r="W110" s="244">
        <f>Tabella34[[#This Row],[Italy g.r.]]/Italy_gr_at_lockdown</f>
        <v>5.2891580549889183E-2</v>
      </c>
      <c r="X110" s="244">
        <f>(ACOSH(SQRT(alpha*Kf*psi_f/(Tabella34[[#This Row],[Italy velocity]]*(1+TANH(phi_f)))))+phi_f)/psi_f-(Tabella34[[#This Row],[Day]]-pf)</f>
        <v>58.799733776419046</v>
      </c>
      <c r="Y110" s="244">
        <f>Tabella34[[#This Row],[Italy h.t.]]/Italy_ht_at_lockdown</f>
        <v>0.50863234683697844</v>
      </c>
      <c r="Z110" s="72">
        <f>-2*$BY$48*TANH($BY$48*(Tabella34[[#This Row],[Day]]-$BY$57)-$BY$47)*Tabella34[[#This Row],[Italy velocity]]</f>
        <v>50.963245914139193</v>
      </c>
      <c r="AA110" s="72">
        <f>Tabella34[[#This Row],[Italy acc. fit]]/Itali_acc_at_lockdown</f>
        <v>1.4113892731407376</v>
      </c>
      <c r="AB110" s="77">
        <f>Tabella34[[#This Row],[Italy acc. fit]]/y_f_peak</f>
        <v>1.697979072929006E-2</v>
      </c>
      <c r="AC110" s="143">
        <f>Tabella34[[#This Row],[Italy (fit of selected region + fitted sum of the other regions)]]*NOT(ISBLANK(Tabella34[[#This Row],[Italy rate data]]))</f>
        <v>50.802427006659244</v>
      </c>
      <c r="AD110" s="143">
        <f>Tabella34[[#This Row],[Italy acc. fit]]*NOT(ISBLANK(Tabella34[[#This Row],[Italy rate data]]))</f>
        <v>50.963245914139193</v>
      </c>
      <c r="AE110" s="77">
        <f>Tabella34[[#This Row],[Italy acc. fit]]+CIf</f>
        <v>1766.5781052486905</v>
      </c>
      <c r="AF110" s="77">
        <f>MAX(Tabella34[[#This Row],[Italy acc. fit]]-CIf,0)</f>
        <v>0</v>
      </c>
      <c r="AG110" s="4">
        <f>Tabella8[[#This Row],[region data]]</f>
        <v>2161</v>
      </c>
      <c r="AH110" s="72">
        <f>(Tabella34[[#This Row],[selected region cumul. data]]-AG109)</f>
        <v>118</v>
      </c>
      <c r="AI110" s="72">
        <f>Tabella34[[#This Row],[selected region rate data]]-AH109</f>
        <v>-35</v>
      </c>
      <c r="AJ110" s="77">
        <f>Tabella34[[#This Row],[selected region rate data]]*NOT(ISBLANK(Tabella34[[#This Row],[selected region rate data]]))</f>
        <v>118</v>
      </c>
      <c r="AK110" s="77">
        <f>Tabella8[[#This Row],[region fit]]</f>
        <v>2126.0117485259707</v>
      </c>
      <c r="AL110" s="143">
        <f>(ATANH(alpha*Tabella34[[#This Row],[sel. region cumul. fit]]/Kl-(1-alpha*Tabella34[[#This Row],[sel. region cumul. fit]]/Kl)*TANH(phi_l))+phi_l)/psi_l-(Tabella34[[#This Row],[Day]]-pl)</f>
        <v>16.272681968318324</v>
      </c>
      <c r="AM110" s="77">
        <f>Tabella34[[#This Row],[sel. region cumul. fit]]/Kl</f>
        <v>0.23701357285685293</v>
      </c>
      <c r="AN110" s="143">
        <f>Tabella3[[#This Row],[region fit]]</f>
        <v>115.663567394317</v>
      </c>
      <c r="AO110" s="186">
        <f>Tabella34[[#This Row],[sel. region velocity]]/Tabella34[[#This Row],[sel. region cumul. fit]]</f>
        <v>5.4404011395755507E-2</v>
      </c>
      <c r="AP110" s="241">
        <f>(LN(Tabella34[[#This Row],[Day]]-pr)-phi_r)/psi_r</f>
        <v>75.02628889008399</v>
      </c>
      <c r="AQ110" s="244">
        <f>EXP(phi_r+psi_r*Tabella34[[#This Row],[x_r_alpha©+plus]])-(Tabella34[[#This Row],[Day]]-pr)</f>
        <v>-24.059703473511828</v>
      </c>
      <c r="AR110" s="244">
        <f>EXP(phi_r+psi_r*Tabella34[[#This Row],[x_r_alpha©-minus]])-(Tabella34[[#This Row],[Day]]-pr)</f>
        <v>-24.739976090805666</v>
      </c>
      <c r="AS110" s="244">
        <f>-psi_r+SQRT(psi_r^2-2*Tabella34[[#This Row],[c_r]])</f>
        <v>3.5735496757548657</v>
      </c>
      <c r="AT110" s="244">
        <f>-psi_r-SQRT(psi_r^2-2*Tabella34[[#This Row],[c_r]])</f>
        <v>-3.6299579141735268</v>
      </c>
      <c r="AU110" s="244">
        <f>phi_r-LN(alpha*Kr/(Tabella34[[#This Row],[sel. region velocity]]*psi_r*SQRTPI(2)))</f>
        <v>-6.485917463599308</v>
      </c>
      <c r="AV110" s="244">
        <f>(ACOSH(SQRT(alpha*Kl*psi_l/(Tabella34[[#This Row],[sel. region velocity]]*(1+TANH(phi_l)))))+phi_l)/psi_l-(Tabella34[[#This Row],[Day]]-pl)</f>
        <v>50.526482055344118</v>
      </c>
      <c r="AW110" s="72">
        <f>-2*$BY$22*TANH($BY$22*(Tabella34[[#This Row],[Day]]-$BY$31)-$BY$21)*Tabella34[[#This Row],[sel. region velocity]]</f>
        <v>2.6149438990746545</v>
      </c>
      <c r="AX110" s="77">
        <f>Tabella34[[#This Row],[sel. region acc. fit]]/y_l_peak</f>
        <v>1.8976470373075746E-2</v>
      </c>
      <c r="AY110" s="143">
        <f>Tabella34[[#This Row],[sel. region acc. fit]]*NOT(ISBLANK(Tabella34[[#This Row],[selected region rate data]]))</f>
        <v>2.6149438990746545</v>
      </c>
      <c r="AZ110" s="77">
        <f>Tabella34[[#This Row],[sel. region acc. fit]]+CIl</f>
        <v>56.379784308623108</v>
      </c>
      <c r="BA110" s="77">
        <f>MAX(Tabella34[[#This Row],[sel. region acc. fit]]-CIl,0)</f>
        <v>0</v>
      </c>
      <c r="BB110" s="10">
        <f>Tabella8[[#This Row],[rest of Italy ]]</f>
        <v>51949</v>
      </c>
      <c r="BC110" s="10">
        <f>(Tabella34[[#This Row],[rest of Italy cum. Data]]-BB109)</f>
        <v>1990</v>
      </c>
      <c r="BD110" s="10">
        <f>Tabella34[[#This Row],[rest of Italy rate data]]-BC109</f>
        <v>-555</v>
      </c>
      <c r="BE110" s="77">
        <f>Tabella34[[#This Row],[rest of Italy rate data]]*NOT(ISBLANK(Tabella34[[#This Row],[rest of Italy rate data]]))</f>
        <v>1990</v>
      </c>
      <c r="BF110" s="77">
        <f>Tabella8[[#This Row],[rest of Italy fit]]</f>
        <v>50857.397857605189</v>
      </c>
      <c r="BG110" s="78">
        <f>(ATANH(alpha*Tabella34[[#This Row],[rest of Italy cumul. fit]]/Ka-(1-alpha*Tabella34[[#This Row],[rest of Italy cumul. fit]]/Ka)*TANH(phi_a))+phi_a)/psi_a-(Tabella34[[#This Row],[Day]]-pa)</f>
        <v>18.856511293541082</v>
      </c>
      <c r="BH110" s="77">
        <f>Tabella34[[#This Row],[rest of Italy cumul. fit]]/Ka</f>
        <v>0.2354182190325658</v>
      </c>
      <c r="BI110" s="143">
        <f>Tabella3[[#This Row],[rest of Italy fit]]</f>
        <v>2369.308461722921</v>
      </c>
      <c r="BJ110" s="183">
        <f>Tabella34[[#This Row],[rest of Italy velocity]]/Tabella34[[#This Row],[rest of Italy cumul. fit]]</f>
        <v>4.6587292341552941E-2</v>
      </c>
      <c r="BK110" s="236">
        <f>(LN(Tabella34[[#This Row],[Day]]-po)-phi_o)/psi_o</f>
        <v>91.698007330410348</v>
      </c>
      <c r="BL110" s="244">
        <f>EXP(phi_o+psi_o*Tabella34[[#This Row],[x_o_alpha©+plus]])-(Tabella34[[#This Row],[Day]]-po)</f>
        <v>-29.45776680560677</v>
      </c>
      <c r="BM110" s="244">
        <f>EXP(phi_o+psi_o*Tabella34[[#This Row],[x_o_alpha©-minus]])-(Tabella34[[#This Row],[Day]]-po)</f>
        <v>-30.091373311683917</v>
      </c>
      <c r="BN110" s="244">
        <f>-psi_o+SQRT(psi_o^2-2*Tabella34[[#This Row],[c_o]])</f>
        <v>3.6464554436158165</v>
      </c>
      <c r="BO110" s="244">
        <f>-psi_o-SQRT(psi_o^2-2*Tabella34[[#This Row],[c_o]])</f>
        <v>-3.6954825291854458</v>
      </c>
      <c r="BP110" s="244">
        <f>phi_o-LN(alpha*Ko/(Tabella34[[#This Row],[rest of Italy velocity]]*psi_o*SQRTPI(2)))</f>
        <v>-6.7377061926677078</v>
      </c>
      <c r="BQ110" s="244">
        <f>(ACOSH(SQRT(alpha*Ka*psi_a/(Tabella34[[#This Row],[rest of Italy velocity]]*(1+TANH(phi_a)))))+phi_a)/psi_a-(Tabella34[[#This Row],[Day]]-pa)</f>
        <v>59.18732102292303</v>
      </c>
      <c r="BR110" s="72">
        <f>-2*$BY$35*TANH($BY$35*(Tabella34[[#This Row],[Day]]-$BY$44)-$BY$34)*Tabella34[[#This Row],[rest of Italy velocity]]</f>
        <v>48.18748310758459</v>
      </c>
      <c r="BS110" s="77">
        <f>Tabella34[[#This Row],[rest of Italy acc. fit]]/y_a_peak</f>
        <v>1.6838224225208594E-2</v>
      </c>
      <c r="BT110" s="77">
        <f>Tabella34[[#This Row],[rest of Italy acc. fit]]*NOT(ISBLANK(Tabella34[[#This Row],[rest of Italy rate data]]))</f>
        <v>48.18748310758459</v>
      </c>
      <c r="BU110" s="77">
        <f>Tabella34[[#This Row],[rest of Italy acc. fit]]+CIa</f>
        <v>1742.7616780171672</v>
      </c>
      <c r="BV110" s="77">
        <f>MAX(Tabella34[[#This Row],[rest of Italy acc. fit]]-CIa,0)</f>
        <v>0</v>
      </c>
    </row>
    <row r="111" spans="2:74" x14ac:dyDescent="0.3">
      <c r="B111" s="262">
        <v>43934</v>
      </c>
      <c r="C111" s="4">
        <v>104</v>
      </c>
      <c r="D111" s="10">
        <f>Tabella8[[#This Row],[Italy cumulative]]</f>
        <v>55900</v>
      </c>
      <c r="E111" s="72">
        <f>(Tabella34[[#This Row],[Italy cumul. data]]-D110)</f>
        <v>1790</v>
      </c>
      <c r="F111" s="72">
        <f>Tabella34[[#This Row],[Italy rate data]]-E110</f>
        <v>-318</v>
      </c>
      <c r="G111" s="77">
        <f>Tabella34[[#This Row],[Italy rate data]]*NOT(ISBLANK(Tabella34[[#This Row],[Italy rate data]]))</f>
        <v>1790</v>
      </c>
      <c r="H111" s="143">
        <f>Tabella8[[#This Row],[Italy fit]]</f>
        <v>55478.736344095603</v>
      </c>
      <c r="I111" s="143">
        <f>(ATANH(alpha*Tabella34[[#This Row],[Italy cumul. Fit]]/Kf-(1-alpha*Tabella34[[#This Row],[Italy cumul. Fit]]/Kf)*TANH(phi_f))+phi_f)/psi_f-(Tabella34[[#This Row],[Day]]-pf)</f>
        <v>19.406006765191798</v>
      </c>
      <c r="J111" s="143">
        <f>Tabella34[[#This Row],[Italy d.t.]]/Italy_dt_at_lockdown</f>
        <v>17.600024289829943</v>
      </c>
      <c r="K111" s="77">
        <f>Tabella34[[#This Row],[Italy cumul. Fit]]/Kf</f>
        <v>0.2465721615293138</v>
      </c>
      <c r="L111" s="146">
        <f>Tabella34[[#This Row],[sel. region acc. fit]]+Tabella34[[#This Row],[rest of Italy acc. fit]]</f>
        <v>49.23731170174112</v>
      </c>
      <c r="M111" s="77">
        <f>Tabella34[[#This Row],[Italy (fit of selected region + fitted sum of the other regions)]]/(y_l_peak+y_a_peak)</f>
        <v>1.6414677574050057E-2</v>
      </c>
      <c r="N111" s="143">
        <f>Tabella3[[#This Row],[Italy remov. rate fit]]</f>
        <v>2533.4291654739427</v>
      </c>
      <c r="O111" s="143">
        <f>Kt*EXP(-0.5*Tabella34[[#This Row],[x_t]]^2)/(psi_t*SQRTPI(2)*(Tabella34[[#This Row],[Day]]-D_bk))</f>
        <v>0</v>
      </c>
      <c r="P111" s="183">
        <f>Tabella34[[#This Row],[Italy velocity]]/Tabella34[[#This Row],[Italy cumul. Fit]]</f>
        <v>4.5664867883090605E-2</v>
      </c>
      <c r="Q111" s="244">
        <f>(LN(Tabella34[[#This Row],[Day]]-D_bk)-phi_t)/psi_t</f>
        <v>91.910516597969661</v>
      </c>
      <c r="R111" s="244">
        <f>EXP(phi_t+psi_t*Tabella34[[#This Row],[x_t_alpha©+plus]])-(Tabella34[[#This Row],[Day]]-D_bk)</f>
        <v>-30.294904419124705</v>
      </c>
      <c r="S111" s="244">
        <f>EXP(phi_t+psi_t*Tabella34[[#This Row],[x_t_alpha©-minus]])-(Tabella34[[#This Row],[Day]]-D_bk)</f>
        <v>-30.933541303479387</v>
      </c>
      <c r="T111" s="244">
        <f>-psi_t+SQRT(psi_t^2-2*Tabella34[[#This Row],[c_t]])</f>
        <v>3.6361957584224722</v>
      </c>
      <c r="U111" s="244">
        <f>-psi_t-SQRT(psi_t^2-2*Tabella34[[#This Row],[c_t]])</f>
        <v>-3.6855884928422773</v>
      </c>
      <c r="V111" s="244">
        <f>phi_t-LN(alpha*Kt/(Tabella34[[#This Row],[Italy velocity]]*psi_t*SQRTPI(2)))</f>
        <v>-6.7007606224818801</v>
      </c>
      <c r="W111" s="244">
        <f>Tabella34[[#This Row],[Italy g.r.]]/Italy_gr_at_lockdown</f>
        <v>5.1521040974426266E-2</v>
      </c>
      <c r="X111" s="244">
        <f>(ACOSH(SQRT(alpha*Kf*psi_f/(Tabella34[[#This Row],[Italy velocity]]*(1+TANH(phi_f)))))+phi_f)/psi_f-(Tabella34[[#This Row],[Day]]-pf)</f>
        <v>57.268635406452447</v>
      </c>
      <c r="Y111" s="244">
        <f>Tabella34[[#This Row],[Italy h.t.]]/Italy_ht_at_lockdown</f>
        <v>0.49538796447097022</v>
      </c>
      <c r="Z111" s="72">
        <f>-2*$BY$48*TANH($BY$48*(Tabella34[[#This Row],[Day]]-$BY$57)-$BY$47)*Tabella34[[#This Row],[Italy velocity]]</f>
        <v>49.410772456769045</v>
      </c>
      <c r="AA111" s="72">
        <f>Tabella34[[#This Row],[Italy acc. fit]]/Itali_acc_at_lockdown</f>
        <v>1.3683946729094356</v>
      </c>
      <c r="AB111" s="77">
        <f>Tabella34[[#This Row],[Italy acc. fit]]/y_f_peak</f>
        <v>1.6462541995499951E-2</v>
      </c>
      <c r="AC111" s="143">
        <f>Tabella34[[#This Row],[Italy (fit of selected region + fitted sum of the other regions)]]*NOT(ISBLANK(Tabella34[[#This Row],[Italy rate data]]))</f>
        <v>49.23731170174112</v>
      </c>
      <c r="AD111" s="143">
        <f>Tabella34[[#This Row],[Italy acc. fit]]*NOT(ISBLANK(Tabella34[[#This Row],[Italy rate data]]))</f>
        <v>49.410772456769045</v>
      </c>
      <c r="AE111" s="77">
        <f>Tabella34[[#This Row],[Italy acc. fit]]+CIf</f>
        <v>1765.0256317913204</v>
      </c>
      <c r="AF111" s="77">
        <f>MAX(Tabella34[[#This Row],[Italy acc. fit]]-CIf,0)</f>
        <v>0</v>
      </c>
      <c r="AG111" s="4">
        <f>Tabella8[[#This Row],[region data]]</f>
        <v>2231</v>
      </c>
      <c r="AH111" s="72">
        <f>(Tabella34[[#This Row],[selected region cumul. data]]-AG110)</f>
        <v>70</v>
      </c>
      <c r="AI111" s="72">
        <f>Tabella34[[#This Row],[selected region rate data]]-AH110</f>
        <v>-48</v>
      </c>
      <c r="AJ111" s="77">
        <f>Tabella34[[#This Row],[selected region rate data]]*NOT(ISBLANK(Tabella34[[#This Row],[selected region rate data]]))</f>
        <v>70</v>
      </c>
      <c r="AK111" s="77">
        <f>Tabella8[[#This Row],[region fit]]</f>
        <v>2242.9663723493127</v>
      </c>
      <c r="AL111" s="143">
        <f>(ATANH(alpha*Tabella34[[#This Row],[sel. region cumul. fit]]/Kl-(1-alpha*Tabella34[[#This Row],[sel. region cumul. fit]]/Kl)*TANH(phi_l))+phi_l)/psi_l-(Tabella34[[#This Row],[Day]]-pl)</f>
        <v>16.976262508418799</v>
      </c>
      <c r="AM111" s="77">
        <f>Tabella34[[#This Row],[sel. region cumul. fit]]/Kl</f>
        <v>0.25005199245811738</v>
      </c>
      <c r="AN111" s="143">
        <f>Tabella3[[#This Row],[region fit]]</f>
        <v>118.22873868833913</v>
      </c>
      <c r="AO111" s="186">
        <f>Tabella34[[#This Row],[sel. region velocity]]/Tabella34[[#This Row],[sel. region cumul. fit]]</f>
        <v>5.2710883295367814E-2</v>
      </c>
      <c r="AP111" s="241">
        <f>(LN(Tabella34[[#This Row],[Day]]-pr)-phi_r)/psi_r</f>
        <v>76.281063633208078</v>
      </c>
      <c r="AQ111" s="244">
        <f>EXP(phi_r+psi_r*Tabella34[[#This Row],[x_r_alpha©+plus]])-(Tabella34[[#This Row],[Day]]-pr)</f>
        <v>-25.060339498121195</v>
      </c>
      <c r="AR111" s="244">
        <f>EXP(phi_r+psi_r*Tabella34[[#This Row],[x_r_alpha©-minus]])-(Tabella34[[#This Row],[Day]]-pr)</f>
        <v>-25.739456916028061</v>
      </c>
      <c r="AS111" s="244">
        <f>-psi_r+SQRT(psi_r^2-2*Tabella34[[#This Row],[c_r]])</f>
        <v>3.5674542862282825</v>
      </c>
      <c r="AT111" s="244">
        <f>-psi_r-SQRT(psi_r^2-2*Tabella34[[#This Row],[c_r]])</f>
        <v>-3.6238625246469436</v>
      </c>
      <c r="AU111" s="244">
        <f>phi_r-LN(alpha*Kr/(Tabella34[[#This Row],[sel. region velocity]]*psi_r*SQRTPI(2)))</f>
        <v>-6.4639819481268921</v>
      </c>
      <c r="AV111" s="244">
        <f>(ACOSH(SQRT(alpha*Kl*psi_l/(Tabella34[[#This Row],[sel. region velocity]]*(1+TANH(phi_l)))))+phi_l)/psi_l-(Tabella34[[#This Row],[Day]]-pl)</f>
        <v>49.013954074480182</v>
      </c>
      <c r="AW111" s="72">
        <f>-2*$BY$22*TANH($BY$22*(Tabella34[[#This Row],[Day]]-$BY$31)-$BY$21)*Tabella34[[#This Row],[sel. region velocity]]</f>
        <v>2.5132952523139931</v>
      </c>
      <c r="AX111" s="77">
        <f>Tabella34[[#This Row],[sel. region acc. fit]]/y_l_peak</f>
        <v>1.8238813043448324E-2</v>
      </c>
      <c r="AY111" s="143">
        <f>Tabella34[[#This Row],[sel. region acc. fit]]*NOT(ISBLANK(Tabella34[[#This Row],[selected region rate data]]))</f>
        <v>2.5132952523139931</v>
      </c>
      <c r="AZ111" s="77">
        <f>Tabella34[[#This Row],[sel. region acc. fit]]+CIl</f>
        <v>56.27813566186245</v>
      </c>
      <c r="BA111" s="77">
        <f>MAX(Tabella34[[#This Row],[sel. region acc. fit]]-CIl,0)</f>
        <v>0</v>
      </c>
      <c r="BB111" s="10">
        <f>Tabella8[[#This Row],[rest of Italy ]]</f>
        <v>53669</v>
      </c>
      <c r="BC111" s="10">
        <f>(Tabella34[[#This Row],[rest of Italy cum. Data]]-BB110)</f>
        <v>1720</v>
      </c>
      <c r="BD111" s="10">
        <f>Tabella34[[#This Row],[rest of Italy rate data]]-BC110</f>
        <v>-270</v>
      </c>
      <c r="BE111" s="77">
        <f>Tabella34[[#This Row],[rest of Italy rate data]]*NOT(ISBLANK(Tabella34[[#This Row],[rest of Italy rate data]]))</f>
        <v>1720</v>
      </c>
      <c r="BF111" s="77">
        <f>Tabella8[[#This Row],[rest of Italy fit]]</f>
        <v>53250.563322368253</v>
      </c>
      <c r="BG111" s="78">
        <f>(ATANH(alpha*Tabella34[[#This Row],[rest of Italy cumul. fit]]/Ka-(1-alpha*Tabella34[[#This Row],[rest of Italy cumul. fit]]/Ka)*TANH(phi_a))+phi_a)/psi_a-(Tabella34[[#This Row],[Day]]-pa)</f>
        <v>19.53210012696271</v>
      </c>
      <c r="BH111" s="77">
        <f>Tabella34[[#This Row],[rest of Italy cumul. fit]]/Ka</f>
        <v>0.24649615017529164</v>
      </c>
      <c r="BI111" s="143">
        <f>Tabella3[[#This Row],[rest of Italy fit]]</f>
        <v>2416.778557724303</v>
      </c>
      <c r="BJ111" s="183">
        <f>Tabella34[[#This Row],[rest of Italy velocity]]/Tabella34[[#This Row],[rest of Italy cumul. fit]]</f>
        <v>4.5385032700848801E-2</v>
      </c>
      <c r="BK111" s="236">
        <f>(LN(Tabella34[[#This Row],[Day]]-po)-phi_o)/psi_o</f>
        <v>92.904849179164017</v>
      </c>
      <c r="BL111" s="244">
        <f>EXP(phi_o+psi_o*Tabella34[[#This Row],[x_o_alpha©+plus]])-(Tabella34[[#This Row],[Day]]-po)</f>
        <v>-30.458276721652062</v>
      </c>
      <c r="BM111" s="244">
        <f>EXP(phi_o+psi_o*Tabella34[[#This Row],[x_o_alpha©-minus]])-(Tabella34[[#This Row],[Day]]-po)</f>
        <v>-31.090947327699823</v>
      </c>
      <c r="BN111" s="244">
        <f>-psi_o+SQRT(psi_o^2-2*Tabella34[[#This Row],[c_o]])</f>
        <v>3.6410476134227756</v>
      </c>
      <c r="BO111" s="244">
        <f>-psi_o-SQRT(psi_o^2-2*Tabella34[[#This Row],[c_o]])</f>
        <v>-3.6900746989924049</v>
      </c>
      <c r="BP111" s="244">
        <f>phi_o-LN(alpha*Ko/(Tabella34[[#This Row],[rest of Italy velocity]]*psi_o*SQRTPI(2)))</f>
        <v>-6.7178688380590321</v>
      </c>
      <c r="BQ111" s="244">
        <f>(ACOSH(SQRT(alpha*Ka*psi_a/(Tabella34[[#This Row],[rest of Italy velocity]]*(1+TANH(phi_a)))))+phi_a)/psi_a-(Tabella34[[#This Row],[Day]]-pa)</f>
        <v>57.656898408827573</v>
      </c>
      <c r="BR111" s="72">
        <f>-2*$BY$35*TANH($BY$35*(Tabella34[[#This Row],[Day]]-$BY$44)-$BY$34)*Tabella34[[#This Row],[rest of Italy velocity]]</f>
        <v>46.724016449427126</v>
      </c>
      <c r="BS111" s="77">
        <f>Tabella34[[#This Row],[rest of Italy acc. fit]]/y_a_peak</f>
        <v>1.6326842884100669E-2</v>
      </c>
      <c r="BT111" s="77">
        <f>Tabella34[[#This Row],[rest of Italy acc. fit]]*NOT(ISBLANK(Tabella34[[#This Row],[rest of Italy rate data]]))</f>
        <v>46.724016449427126</v>
      </c>
      <c r="BU111" s="77">
        <f>Tabella34[[#This Row],[rest of Italy acc. fit]]+CIa</f>
        <v>1741.2982113590099</v>
      </c>
      <c r="BV111" s="77">
        <f>MAX(Tabella34[[#This Row],[rest of Italy acc. fit]]-CIa,0)</f>
        <v>0</v>
      </c>
    </row>
    <row r="112" spans="2:74" x14ac:dyDescent="0.3">
      <c r="B112" s="262">
        <v>43935</v>
      </c>
      <c r="C112" s="4">
        <v>105</v>
      </c>
      <c r="D112" s="10">
        <f>Tabella8[[#This Row],[Italy cumulative]]</f>
        <v>58197</v>
      </c>
      <c r="E112" s="72">
        <f>(Tabella34[[#This Row],[Italy cumul. data]]-D111)</f>
        <v>2297</v>
      </c>
      <c r="F112" s="72">
        <f>Tabella34[[#This Row],[Italy rate data]]-E111</f>
        <v>507</v>
      </c>
      <c r="G112" s="77">
        <f>Tabella34[[#This Row],[Italy rate data]]*NOT(ISBLANK(Tabella34[[#This Row],[Italy rate data]]))</f>
        <v>2297</v>
      </c>
      <c r="H112" s="143">
        <f>Tabella8[[#This Row],[Italy fit]]</f>
        <v>58036.589069107889</v>
      </c>
      <c r="I112" s="143">
        <f>(ATANH(alpha*Tabella34[[#This Row],[Italy cumul. Fit]]/Kf-(1-alpha*Tabella34[[#This Row],[Italy cumul. Fit]]/Kf)*TANH(phi_f))+phi_f)/psi_f-(Tabella34[[#This Row],[Day]]-pf)</f>
        <v>20.122435443575476</v>
      </c>
      <c r="J112" s="143">
        <f>Tabella34[[#This Row],[Italy d.t.]]/Italy_dt_at_lockdown</f>
        <v>18.249779919313713</v>
      </c>
      <c r="K112" s="77">
        <f>Tabella34[[#This Row],[Italy cumul. Fit]]/Kf</f>
        <v>0.25794039586270173</v>
      </c>
      <c r="L112" s="146">
        <f>Tabella34[[#This Row],[sel. region acc. fit]]+Tabella34[[#This Row],[rest of Italy acc. fit]]</f>
        <v>47.487493558099921</v>
      </c>
      <c r="M112" s="77">
        <f>Tabella34[[#This Row],[Italy (fit of selected region + fitted sum of the other regions)]]/(y_l_peak+y_a_peak)</f>
        <v>1.583132524126871E-2</v>
      </c>
      <c r="N112" s="143">
        <f>Tabella3[[#This Row],[Italy remov. rate fit]]</f>
        <v>2581.9867705372199</v>
      </c>
      <c r="O112" s="143">
        <f>Kt*EXP(-0.5*Tabella34[[#This Row],[x_t]]^2)/(psi_t*SQRTPI(2)*(Tabella34[[#This Row],[Day]]-D_bk))</f>
        <v>0</v>
      </c>
      <c r="P112" s="183">
        <f>Tabella34[[#This Row],[Italy velocity]]/Tabella34[[#This Row],[Italy cumul. Fit]]</f>
        <v>4.448894760963093E-2</v>
      </c>
      <c r="Q112" s="244">
        <f>(LN(Tabella34[[#This Row],[Day]]-D_bk)-phi_t)/psi_t</f>
        <v>93.078999395974236</v>
      </c>
      <c r="R112" s="244">
        <f>EXP(phi_t+psi_t*Tabella34[[#This Row],[x_t_alpha©+plus]])-(Tabella34[[#This Row],[Day]]-D_bk)</f>
        <v>-31.295399211473082</v>
      </c>
      <c r="S112" s="244">
        <f>EXP(phi_t+psi_t*Tabella34[[#This Row],[x_t_alpha©-minus]])-(Tabella34[[#This Row],[Day]]-D_bk)</f>
        <v>-31.933128304603969</v>
      </c>
      <c r="T112" s="244">
        <f>-psi_t+SQRT(psi_t^2-2*Tabella34[[#This Row],[c_t]])</f>
        <v>3.6310060811464631</v>
      </c>
      <c r="U112" s="244">
        <f>-psi_t-SQRT(psi_t^2-2*Tabella34[[#This Row],[c_t]])</f>
        <v>-3.6803988155662681</v>
      </c>
      <c r="V112" s="244">
        <f>phi_t-LN(alpha*Kt/(Tabella34[[#This Row],[Italy velocity]]*psi_t*SQRTPI(2)))</f>
        <v>-6.68177524018268</v>
      </c>
      <c r="W112" s="244">
        <f>Tabella34[[#This Row],[Italy g.r.]]/Italy_gr_at_lockdown</f>
        <v>5.0194317841301669E-2</v>
      </c>
      <c r="X112" s="244">
        <f>(ACOSH(SQRT(alpha*Kf*psi_f/(Tabella34[[#This Row],[Italy velocity]]*(1+TANH(phi_f)))))+phi_f)/psi_f-(Tabella34[[#This Row],[Day]]-pf)</f>
        <v>55.761258926462787</v>
      </c>
      <c r="Y112" s="244">
        <f>Tabella34[[#This Row],[Italy h.t.]]/Italy_ht_at_lockdown</f>
        <v>0.48234878236345735</v>
      </c>
      <c r="Z112" s="72">
        <f>-2*$BY$48*TANH($BY$48*(Tabella34[[#This Row],[Day]]-$BY$57)-$BY$47)*Tabella34[[#This Row],[Italy velocity]]</f>
        <v>47.673702492537359</v>
      </c>
      <c r="AA112" s="72">
        <f>Tabella34[[#This Row],[Italy acc. fit]]/Itali_acc_at_lockdown</f>
        <v>1.320287809419185</v>
      </c>
      <c r="AB112" s="77">
        <f>Tabella34[[#This Row],[Italy acc. fit]]/y_f_peak</f>
        <v>1.5883789917492955E-2</v>
      </c>
      <c r="AC112" s="143">
        <f>Tabella34[[#This Row],[Italy (fit of selected region + fitted sum of the other regions)]]*NOT(ISBLANK(Tabella34[[#This Row],[Italy rate data]]))</f>
        <v>47.487493558099921</v>
      </c>
      <c r="AD112" s="143">
        <f>Tabella34[[#This Row],[Italy acc. fit]]*NOT(ISBLANK(Tabella34[[#This Row],[Italy rate data]]))</f>
        <v>47.673702492537359</v>
      </c>
      <c r="AE112" s="77">
        <f>Tabella34[[#This Row],[Italy acc. fit]]+CIf</f>
        <v>1763.2885618270886</v>
      </c>
      <c r="AF112" s="77">
        <f>MAX(Tabella34[[#This Row],[Italy acc. fit]]-CIf,0)</f>
        <v>0</v>
      </c>
      <c r="AG112" s="4">
        <f>Tabella8[[#This Row],[region data]]</f>
        <v>2342</v>
      </c>
      <c r="AH112" s="72">
        <f>(Tabella34[[#This Row],[selected region cumul. data]]-AG111)</f>
        <v>111</v>
      </c>
      <c r="AI112" s="72">
        <f>Tabella34[[#This Row],[selected region rate data]]-AH111</f>
        <v>41</v>
      </c>
      <c r="AJ112" s="77">
        <f>Tabella34[[#This Row],[selected region rate data]]*NOT(ISBLANK(Tabella34[[#This Row],[selected region rate data]]))</f>
        <v>111</v>
      </c>
      <c r="AK112" s="77">
        <f>Tabella8[[#This Row],[region fit]]</f>
        <v>2362.4332428573034</v>
      </c>
      <c r="AL112" s="143">
        <f>(ATANH(alpha*Tabella34[[#This Row],[sel. region cumul. fit]]/Kl-(1-alpha*Tabella34[[#This Row],[sel. region cumul. fit]]/Kl)*TANH(phi_l))+phi_l)/psi_l-(Tabella34[[#This Row],[Day]]-pl)</f>
        <v>17.730516400585252</v>
      </c>
      <c r="AM112" s="77">
        <f>Tabella34[[#This Row],[sel. region cumul. fit]]/Kl</f>
        <v>0.26337048415354553</v>
      </c>
      <c r="AN112" s="143">
        <f>Tabella3[[#This Row],[region fit]]</f>
        <v>120.68596429140617</v>
      </c>
      <c r="AO112" s="186">
        <f>Tabella34[[#This Row],[sel. region velocity]]/Tabella34[[#This Row],[sel. region cumul. fit]]</f>
        <v>5.1085449570392745E-2</v>
      </c>
      <c r="AP112" s="241">
        <f>(LN(Tabella34[[#This Row],[Day]]-pr)-phi_r)/psi_r</f>
        <v>77.492945766679043</v>
      </c>
      <c r="AQ112" s="244">
        <f>EXP(phi_r+psi_r*Tabella34[[#This Row],[x_r_alpha©+plus]])-(Tabella34[[#This Row],[Day]]-pr)</f>
        <v>-26.060936829056658</v>
      </c>
      <c r="AR112" s="244">
        <f>EXP(phi_r+psi_r*Tabella34[[#This Row],[x_r_alpha©-minus]])-(Tabella34[[#This Row],[Day]]-pr)</f>
        <v>-26.738969163570914</v>
      </c>
      <c r="AS112" s="244">
        <f>-psi_r+SQRT(psi_r^2-2*Tabella34[[#This Row],[c_r]])</f>
        <v>3.561728766065694</v>
      </c>
      <c r="AT112" s="244">
        <f>-psi_r-SQRT(psi_r^2-2*Tabella34[[#This Row],[c_r]])</f>
        <v>-3.618137004484355</v>
      </c>
      <c r="AU112" s="244">
        <f>phi_r-LN(alpha*Kr/(Tabella34[[#This Row],[sel. region velocity]]*psi_r*SQRTPI(2)))</f>
        <v>-6.4434113242193432</v>
      </c>
      <c r="AV112" s="244">
        <f>(ACOSH(SQRT(alpha*Kl*psi_l/(Tabella34[[#This Row],[sel. region velocity]]*(1+TANH(phi_l)))))+phi_l)/psi_l-(Tabella34[[#This Row],[Day]]-pl)</f>
        <v>47.529467064408792</v>
      </c>
      <c r="AW112" s="72">
        <f>-2*$BY$22*TANH($BY$22*(Tabella34[[#This Row],[Day]]-$BY$31)-$BY$21)*Tabella34[[#This Row],[sel. region velocity]]</f>
        <v>2.399069761044037</v>
      </c>
      <c r="AX112" s="77">
        <f>Tabella34[[#This Row],[sel. region acc. fit]]/y_l_peak</f>
        <v>1.7409886406933715E-2</v>
      </c>
      <c r="AY112" s="143">
        <f>Tabella34[[#This Row],[sel. region acc. fit]]*NOT(ISBLANK(Tabella34[[#This Row],[selected region rate data]]))</f>
        <v>2.399069761044037</v>
      </c>
      <c r="AZ112" s="77">
        <f>Tabella34[[#This Row],[sel. region acc. fit]]+CIl</f>
        <v>56.163910170592494</v>
      </c>
      <c r="BA112" s="77">
        <f>MAX(Tabella34[[#This Row],[sel. region acc. fit]]-CIl,0)</f>
        <v>0</v>
      </c>
      <c r="BB112" s="10">
        <f>Tabella8[[#This Row],[rest of Italy ]]</f>
        <v>55855</v>
      </c>
      <c r="BC112" s="10">
        <f>(Tabella34[[#This Row],[rest of Italy cum. Data]]-BB111)</f>
        <v>2186</v>
      </c>
      <c r="BD112" s="10">
        <f>Tabella34[[#This Row],[rest of Italy rate data]]-BC111</f>
        <v>466</v>
      </c>
      <c r="BE112" s="77">
        <f>Tabella34[[#This Row],[rest of Italy rate data]]*NOT(ISBLANK(Tabella34[[#This Row],[rest of Italy rate data]]))</f>
        <v>2186</v>
      </c>
      <c r="BF112" s="77">
        <f>Tabella8[[#This Row],[rest of Italy fit]]</f>
        <v>55690.438454824405</v>
      </c>
      <c r="BG112" s="78">
        <f>(ATANH(alpha*Tabella34[[#This Row],[rest of Italy cumul. fit]]/Ka-(1-alpha*Tabella34[[#This Row],[rest of Italy cumul. fit]]/Ka)*TANH(phi_a))+phi_a)/psi_a-(Tabella34[[#This Row],[Day]]-pa)</f>
        <v>20.249238535399861</v>
      </c>
      <c r="BH112" s="77">
        <f>Tabella34[[#This Row],[rest of Italy cumul. fit]]/Ka</f>
        <v>0.25779029974922191</v>
      </c>
      <c r="BI112" s="143">
        <f>Tabella3[[#This Row],[rest of Italy fit]]</f>
        <v>2462.6991061616313</v>
      </c>
      <c r="BJ112" s="183">
        <f>Tabella34[[#This Row],[rest of Italy velocity]]/Tabella34[[#This Row],[rest of Italy cumul. fit]]</f>
        <v>4.4221219557453319E-2</v>
      </c>
      <c r="BK112" s="236">
        <f>(LN(Tabella34[[#This Row],[Day]]-po)-phi_o)/psi_o</f>
        <v>94.077011361362977</v>
      </c>
      <c r="BL112" s="244">
        <f>EXP(phi_o+psi_o*Tabella34[[#This Row],[x_o_alpha©+plus]])-(Tabella34[[#This Row],[Day]]-po)</f>
        <v>-31.45876118406294</v>
      </c>
      <c r="BM112" s="244">
        <f>EXP(phi_o+psi_o*Tabella34[[#This Row],[x_o_alpha©-minus]])-(Tabella34[[#This Row],[Day]]-po)</f>
        <v>-32.09054250304245</v>
      </c>
      <c r="BN112" s="244">
        <f>-psi_o+SQRT(psi_o^2-2*Tabella34[[#This Row],[c_o]])</f>
        <v>3.6359090633452662</v>
      </c>
      <c r="BO112" s="244">
        <f>-psi_o-SQRT(psi_o^2-2*Tabella34[[#This Row],[c_o]])</f>
        <v>-3.6849361489148955</v>
      </c>
      <c r="BP112" s="244">
        <f>phi_o-LN(alpha*Ko/(Tabella34[[#This Row],[rest of Italy velocity]]*psi_o*SQRTPI(2)))</f>
        <v>-6.6990463708441359</v>
      </c>
      <c r="BQ112" s="244">
        <f>(ACOSH(SQRT(alpha*Ka*psi_a/(Tabella34[[#This Row],[rest of Italy velocity]]*(1+TANH(phi_a)))))+phi_a)/psi_a-(Tabella34[[#This Row],[Day]]-pa)</f>
        <v>56.150046485718704</v>
      </c>
      <c r="BR112" s="72">
        <f>-2*$BY$35*TANH($BY$35*(Tabella34[[#This Row],[Day]]-$BY$44)-$BY$34)*Tabella34[[#This Row],[rest of Italy velocity]]</f>
        <v>45.088423797055881</v>
      </c>
      <c r="BS112" s="77">
        <f>Tabella34[[#This Row],[rest of Italy acc. fit]]/y_a_peak</f>
        <v>1.5755315299639718E-2</v>
      </c>
      <c r="BT112" s="77">
        <f>Tabella34[[#This Row],[rest of Italy acc. fit]]*NOT(ISBLANK(Tabella34[[#This Row],[rest of Italy rate data]]))</f>
        <v>45.088423797055881</v>
      </c>
      <c r="BU112" s="77">
        <f>Tabella34[[#This Row],[rest of Italy acc. fit]]+CIa</f>
        <v>1739.6626187066386</v>
      </c>
      <c r="BV112" s="77">
        <f>MAX(Tabella34[[#This Row],[rest of Italy acc. fit]]-CIa,0)</f>
        <v>0</v>
      </c>
    </row>
    <row r="113" spans="2:74" x14ac:dyDescent="0.3">
      <c r="B113" s="262">
        <v>43936</v>
      </c>
      <c r="C113" s="4">
        <v>106</v>
      </c>
      <c r="D113" s="10">
        <f>Tabella8[[#This Row],[Italy cumulative]]</f>
        <v>59737</v>
      </c>
      <c r="E113" s="72">
        <f>(Tabella34[[#This Row],[Italy cumul. data]]-D112)</f>
        <v>1540</v>
      </c>
      <c r="F113" s="72">
        <f>Tabella34[[#This Row],[Italy rate data]]-E112</f>
        <v>-757</v>
      </c>
      <c r="G113" s="77">
        <f>Tabella34[[#This Row],[Italy rate data]]*NOT(ISBLANK(Tabella34[[#This Row],[Italy rate data]]))</f>
        <v>1540</v>
      </c>
      <c r="H113" s="143">
        <f>Tabella8[[#This Row],[Italy fit]]</f>
        <v>60642.100179094807</v>
      </c>
      <c r="I113" s="143">
        <f>(ATANH(alpha*Tabella34[[#This Row],[Italy cumul. Fit]]/Kf-(1-alpha*Tabella34[[#This Row],[Italy cumul. Fit]]/Kf)*TANH(phi_f))+phi_f)/psi_f-(Tabella34[[#This Row],[Day]]-pf)</f>
        <v>20.886551583633903</v>
      </c>
      <c r="J113" s="143">
        <f>Tabella34[[#This Row],[Italy d.t.]]/Italy_dt_at_lockdown</f>
        <v>18.942785069111025</v>
      </c>
      <c r="K113" s="77">
        <f>Tabella34[[#This Row],[Italy cumul. Fit]]/Kf</f>
        <v>0.26952044524042135</v>
      </c>
      <c r="L113" s="146">
        <f>Tabella34[[#This Row],[sel. region acc. fit]]+Tabella34[[#This Row],[rest of Italy acc. fit]]</f>
        <v>45.553953066165917</v>
      </c>
      <c r="M113" s="77">
        <f>Tabella34[[#This Row],[Italy (fit of selected region + fitted sum of the other regions)]]/(y_l_peak+y_a_peak)</f>
        <v>1.5186723766197834E-2</v>
      </c>
      <c r="N113" s="143">
        <f>Tabella3[[#This Row],[Italy remov. rate fit]]</f>
        <v>2628.7153078678161</v>
      </c>
      <c r="O113" s="143">
        <f>Kt*EXP(-0.5*Tabella34[[#This Row],[x_t]]^2)/(psi_t*SQRTPI(2)*(Tabella34[[#This Row],[Day]]-D_bk))</f>
        <v>0</v>
      </c>
      <c r="P113" s="183">
        <f>Tabella34[[#This Row],[Italy velocity]]/Tabella34[[#This Row],[Italy cumul. Fit]]</f>
        <v>4.3348025548330449E-2</v>
      </c>
      <c r="Q113" s="244">
        <f>(LN(Tabella34[[#This Row],[Day]]-D_bk)-phi_t)/psi_t</f>
        <v>94.214706563373994</v>
      </c>
      <c r="R113" s="244">
        <f>EXP(phi_t+psi_t*Tabella34[[#This Row],[x_t_alpha©+plus]])-(Tabella34[[#This Row],[Day]]-D_bk)</f>
        <v>-32.295867244967042</v>
      </c>
      <c r="S113" s="244">
        <f>EXP(phi_t+psi_t*Tabella34[[#This Row],[x_t_alpha©-minus]])-(Tabella34[[#This Row],[Day]]-D_bk)</f>
        <v>-32.932737543661979</v>
      </c>
      <c r="T113" s="244">
        <f>-psi_t+SQRT(psi_t^2-2*Tabella34[[#This Row],[c_t]])</f>
        <v>3.6260964544641361</v>
      </c>
      <c r="U113" s="244">
        <f>-psi_t-SQRT(psi_t^2-2*Tabella34[[#This Row],[c_t]])</f>
        <v>-3.6754891888839412</v>
      </c>
      <c r="V113" s="244">
        <f>phi_t-LN(alpha*Kt/(Tabella34[[#This Row],[Italy velocity]]*psi_t*SQRTPI(2)))</f>
        <v>-6.6638391581166614</v>
      </c>
      <c r="W113" s="244">
        <f>Tabella34[[#This Row],[Italy g.r.]]/Italy_gr_at_lockdown</f>
        <v>4.8907081175701785E-2</v>
      </c>
      <c r="X113" s="244">
        <f>(ACOSH(SQRT(alpha*Kf*psi_f/(Tabella34[[#This Row],[Italy velocity]]*(1+TANH(phi_f)))))+phi_f)/psi_f-(Tabella34[[#This Row],[Day]]-pf)</f>
        <v>54.27857509763561</v>
      </c>
      <c r="Y113" s="244">
        <f>Tabella34[[#This Row],[Italy h.t.]]/Italy_ht_at_lockdown</f>
        <v>0.46952319784055524</v>
      </c>
      <c r="Z113" s="72">
        <f>-2*$BY$48*TANH($BY$48*(Tabella34[[#This Row],[Day]]-$BY$57)-$BY$47)*Tabella34[[#This Row],[Italy velocity]]</f>
        <v>45.752889631610245</v>
      </c>
      <c r="AA113" s="72">
        <f>Tabella34[[#This Row],[Italy acc. fit]]/Itali_acc_at_lockdown</f>
        <v>1.2670923227700279</v>
      </c>
      <c r="AB113" s="77">
        <f>Tabella34[[#This Row],[Italy acc. fit]]/y_f_peak</f>
        <v>1.5243818898699928E-2</v>
      </c>
      <c r="AC113" s="143">
        <f>Tabella34[[#This Row],[Italy (fit of selected region + fitted sum of the other regions)]]*NOT(ISBLANK(Tabella34[[#This Row],[Italy rate data]]))</f>
        <v>45.553953066165917</v>
      </c>
      <c r="AD113" s="143">
        <f>Tabella34[[#This Row],[Italy acc. fit]]*NOT(ISBLANK(Tabella34[[#This Row],[Italy rate data]]))</f>
        <v>45.752889631610245</v>
      </c>
      <c r="AE113" s="77">
        <f>Tabella34[[#This Row],[Italy acc. fit]]+CIf</f>
        <v>1761.3677489661616</v>
      </c>
      <c r="AF113" s="77">
        <f>MAX(Tabella34[[#This Row],[Italy acc. fit]]-CIf,0)</f>
        <v>0</v>
      </c>
      <c r="AG113" s="4">
        <f>Tabella8[[#This Row],[region data]]</f>
        <v>2472</v>
      </c>
      <c r="AH113" s="72">
        <f>(Tabella34[[#This Row],[selected region cumul. data]]-AG112)</f>
        <v>130</v>
      </c>
      <c r="AI113" s="72">
        <f>Tabella34[[#This Row],[selected region rate data]]-AH112</f>
        <v>19</v>
      </c>
      <c r="AJ113" s="77">
        <f>Tabella34[[#This Row],[selected region rate data]]*NOT(ISBLANK(Tabella34[[#This Row],[selected region rate data]]))</f>
        <v>130</v>
      </c>
      <c r="AK113" s="77">
        <f>Tabella8[[#This Row],[region fit]]</f>
        <v>2484.2981482130458</v>
      </c>
      <c r="AL113" s="143">
        <f>(ATANH(alpha*Tabella34[[#This Row],[sel. region cumul. fit]]/Kl-(1-alpha*Tabella34[[#This Row],[sel. region cumul. fit]]/Kl)*TANH(phi_l))+phi_l)/psi_l-(Tabella34[[#This Row],[Day]]-pl)</f>
        <v>18.543828265923715</v>
      </c>
      <c r="AM113" s="77">
        <f>Tabella34[[#This Row],[sel. region cumul. fit]]/Kl</f>
        <v>0.27695631529688358</v>
      </c>
      <c r="AN113" s="143">
        <f>Tabella3[[#This Row],[region fit]]</f>
        <v>123.02273924795995</v>
      </c>
      <c r="AO113" s="186">
        <f>Tabella34[[#This Row],[sel. region velocity]]/Tabella34[[#This Row],[sel. region cumul. fit]]</f>
        <v>4.9520118725061291E-2</v>
      </c>
      <c r="AP113" s="241">
        <f>(LN(Tabella34[[#This Row],[Day]]-pr)-phi_r)/psi_r</f>
        <v>78.664771061040952</v>
      </c>
      <c r="AQ113" s="244">
        <f>EXP(phi_r+psi_r*Tabella34[[#This Row],[x_r_alpha©+plus]])-(Tabella34[[#This Row],[Day]]-pr)</f>
        <v>-27.06149447502251</v>
      </c>
      <c r="AR113" s="244">
        <f>EXP(phi_r+psi_r*Tabella34[[#This Row],[x_r_alpha©-minus]])-(Tabella34[[#This Row],[Day]]-pr)</f>
        <v>-27.738513673790976</v>
      </c>
      <c r="AS113" s="244">
        <f>-psi_r+SQRT(psi_r^2-2*Tabella34[[#This Row],[c_r]])</f>
        <v>3.5563827985838765</v>
      </c>
      <c r="AT113" s="244">
        <f>-psi_r-SQRT(psi_r^2-2*Tabella34[[#This Row],[c_r]])</f>
        <v>-3.6127910370025376</v>
      </c>
      <c r="AU113" s="244">
        <f>phi_r-LN(alpha*Kr/(Tabella34[[#This Row],[sel. region velocity]]*psi_r*SQRTPI(2)))</f>
        <v>-6.4242339494369149</v>
      </c>
      <c r="AV113" s="244">
        <f>(ACOSH(SQRT(alpha*Kl*psi_l/(Tabella34[[#This Row],[sel. region velocity]]*(1+TANH(phi_l)))))+phi_l)/psi_l-(Tabella34[[#This Row],[Day]]-pl)</f>
        <v>46.074286643798061</v>
      </c>
      <c r="AW113" s="72">
        <f>-2*$BY$22*TANH($BY$22*(Tabella34[[#This Row],[Day]]-$BY$31)-$BY$21)*Tabella34[[#This Row],[sel. region velocity]]</f>
        <v>2.2724315258301364</v>
      </c>
      <c r="AX113" s="77">
        <f>Tabella34[[#This Row],[sel. region acc. fit]]/y_l_peak</f>
        <v>1.6490881330195519E-2</v>
      </c>
      <c r="AY113" s="143">
        <f>Tabella34[[#This Row],[sel. region acc. fit]]*NOT(ISBLANK(Tabella34[[#This Row],[selected region rate data]]))</f>
        <v>2.2724315258301364</v>
      </c>
      <c r="AZ113" s="77">
        <f>Tabella34[[#This Row],[sel. region acc. fit]]+CIl</f>
        <v>56.037271935378591</v>
      </c>
      <c r="BA113" s="77">
        <f>MAX(Tabella34[[#This Row],[sel. region acc. fit]]-CIl,0)</f>
        <v>0</v>
      </c>
      <c r="BB113" s="10">
        <f>Tabella8[[#This Row],[rest of Italy ]]</f>
        <v>57265</v>
      </c>
      <c r="BC113" s="10">
        <f>(Tabella34[[#This Row],[rest of Italy cum. Data]]-BB112)</f>
        <v>1410</v>
      </c>
      <c r="BD113" s="10">
        <f>Tabella34[[#This Row],[rest of Italy rate data]]-BC112</f>
        <v>-776</v>
      </c>
      <c r="BE113" s="77">
        <f>Tabella34[[#This Row],[rest of Italy rate data]]*NOT(ISBLANK(Tabella34[[#This Row],[rest of Italy rate data]]))</f>
        <v>1410</v>
      </c>
      <c r="BF113" s="77">
        <f>Tabella8[[#This Row],[rest of Italy fit]]</f>
        <v>58175.387730119633</v>
      </c>
      <c r="BG113" s="78">
        <f>(ATANH(alpha*Tabella34[[#This Row],[rest of Italy cumul. fit]]/Ka-(1-alpha*Tabella34[[#This Row],[rest of Italy cumul. fit]]/Ka)*TANH(phi_a))+phi_a)/psi_a-(Tabella34[[#This Row],[Day]]-pa)</f>
        <v>21.013678237462997</v>
      </c>
      <c r="BH113" s="77">
        <f>Tabella34[[#This Row],[rest of Italy cumul. fit]]/Ka</f>
        <v>0.26929309693153558</v>
      </c>
      <c r="BI113" s="143">
        <f>Tabella3[[#This Row],[rest of Italy fit]]</f>
        <v>2506.8982883638237</v>
      </c>
      <c r="BJ113" s="183">
        <f>Tabella34[[#This Row],[rest of Italy velocity]]/Tabella34[[#This Row],[rest of Italy cumul. fit]]</f>
        <v>4.3092077013625232E-2</v>
      </c>
      <c r="BK113" s="236">
        <f>(LN(Tabella34[[#This Row],[Day]]-po)-phi_o)/psi_o</f>
        <v>95.216431430961237</v>
      </c>
      <c r="BL113" s="244">
        <f>EXP(phi_o+psi_o*Tabella34[[#This Row],[x_o_alpha©+plus]])-(Tabella34[[#This Row],[Day]]-po)</f>
        <v>-32.459219598277684</v>
      </c>
      <c r="BM113" s="244">
        <f>EXP(phi_o+psi_o*Tabella34[[#This Row],[x_o_alpha©-minus]])-(Tabella34[[#This Row],[Day]]-po)</f>
        <v>-33.09015935075481</v>
      </c>
      <c r="BN113" s="244">
        <f>-psi_o+SQRT(psi_o^2-2*Tabella34[[#This Row],[c_o]])</f>
        <v>3.6310462027332395</v>
      </c>
      <c r="BO113" s="244">
        <f>-psi_o-SQRT(psi_o^2-2*Tabella34[[#This Row],[c_o]])</f>
        <v>-3.6800732883028688</v>
      </c>
      <c r="BP113" s="244">
        <f>phi_o-LN(alpha*Ko/(Tabella34[[#This Row],[rest of Italy velocity]]*psi_o*SQRTPI(2)))</f>
        <v>-6.6812580696360797</v>
      </c>
      <c r="BQ113" s="244">
        <f>(ACOSH(SQRT(alpha*Ka*psi_a/(Tabella34[[#This Row],[rest of Italy velocity]]*(1+TANH(phi_a)))))+phi_a)/psi_a-(Tabella34[[#This Row],[Day]]-pa)</f>
        <v>54.667721760801555</v>
      </c>
      <c r="BR113" s="72">
        <f>-2*$BY$35*TANH($BY$35*(Tabella34[[#This Row],[Day]]-$BY$44)-$BY$34)*Tabella34[[#This Row],[rest of Italy velocity]]</f>
        <v>43.281521540335781</v>
      </c>
      <c r="BS113" s="77">
        <f>Tabella34[[#This Row],[rest of Italy acc. fit]]/y_a_peak</f>
        <v>1.5123926744156113E-2</v>
      </c>
      <c r="BT113" s="77">
        <f>Tabella34[[#This Row],[rest of Italy acc. fit]]*NOT(ISBLANK(Tabella34[[#This Row],[rest of Italy rate data]]))</f>
        <v>43.281521540335781</v>
      </c>
      <c r="BU113" s="77">
        <f>Tabella34[[#This Row],[rest of Italy acc. fit]]+CIa</f>
        <v>1737.8557164499184</v>
      </c>
      <c r="BV113" s="77">
        <f>MAX(Tabella34[[#This Row],[rest of Italy acc. fit]]-CIa,0)</f>
        <v>0</v>
      </c>
    </row>
    <row r="114" spans="2:74" x14ac:dyDescent="0.3">
      <c r="B114" s="262">
        <v>43937</v>
      </c>
      <c r="C114" s="4">
        <v>107</v>
      </c>
      <c r="D114" s="10">
        <f>Tabella8[[#This Row],[Italy cumulative]]</f>
        <v>62334</v>
      </c>
      <c r="E114" s="72">
        <f>(Tabella34[[#This Row],[Italy cumul. data]]-D113)</f>
        <v>2597</v>
      </c>
      <c r="F114" s="72">
        <f>Tabella34[[#This Row],[Italy rate data]]-E113</f>
        <v>1057</v>
      </c>
      <c r="G114" s="77">
        <f>Tabella34[[#This Row],[Italy rate data]]*NOT(ISBLANK(Tabella34[[#This Row],[Italy rate data]]))</f>
        <v>2597</v>
      </c>
      <c r="H114" s="143">
        <f>Tabella8[[#This Row],[Italy fit]]</f>
        <v>63293.349044181807</v>
      </c>
      <c r="I114" s="143">
        <f>(ATANH(alpha*Tabella34[[#This Row],[Italy cumul. Fit]]/Kf-(1-alpha*Tabella34[[#This Row],[Italy cumul. Fit]]/Kf)*TANH(phi_f))+phi_f)/psi_f-(Tabella34[[#This Row],[Day]]-pf)</f>
        <v>21.705125784669427</v>
      </c>
      <c r="J114" s="143">
        <f>Tabella34[[#This Row],[Italy d.t.]]/Italy_dt_at_lockdown</f>
        <v>19.685180245799042</v>
      </c>
      <c r="K114" s="77">
        <f>Tabella34[[#This Row],[Italy cumul. Fit]]/Kf</f>
        <v>0.28130377352969693</v>
      </c>
      <c r="L114" s="146">
        <f>Tabella34[[#This Row],[sel. region acc. fit]]+Tabella34[[#This Row],[rest of Italy acc. fit]]</f>
        <v>43.439031040735486</v>
      </c>
      <c r="M114" s="77">
        <f>Tabella34[[#This Row],[Italy (fit of selected region + fitted sum of the other regions)]]/(y_l_peak+y_a_peak)</f>
        <v>1.4481653526945314E-2</v>
      </c>
      <c r="N114" s="143">
        <f>Tabella3[[#This Row],[Italy remov. rate fit]]</f>
        <v>2673.4320194196857</v>
      </c>
      <c r="O114" s="143">
        <f>Kt*EXP(-0.5*Tabella34[[#This Row],[x_t]]^2)/(psi_t*SQRTPI(2)*(Tabella34[[#This Row],[Day]]-D_bk))</f>
        <v>0</v>
      </c>
      <c r="P114" s="183">
        <f>Tabella34[[#This Row],[Italy velocity]]/Tabella34[[#This Row],[Italy cumul. Fit]]</f>
        <v>4.2238751145140092E-2</v>
      </c>
      <c r="Q114" s="244">
        <f>(LN(Tabella34[[#This Row],[Day]]-D_bk)-phi_t)/psi_t</f>
        <v>95.319426738763468</v>
      </c>
      <c r="R114" s="244">
        <f>EXP(phi_t+psi_t*Tabella34[[#This Row],[x_t_alpha©+plus]])-(Tabella34[[#This Row],[Day]]-D_bk)</f>
        <v>-33.296307925217491</v>
      </c>
      <c r="S114" s="244">
        <f>EXP(phi_t+psi_t*Tabella34[[#This Row],[x_t_alpha©-minus]])-(Tabella34[[#This Row],[Day]]-D_bk)</f>
        <v>-33.932369533300587</v>
      </c>
      <c r="T114" s="244">
        <f>-psi_t+SQRT(psi_t^2-2*Tabella34[[#This Row],[c_t]])</f>
        <v>3.6214732165094148</v>
      </c>
      <c r="U114" s="244">
        <f>-psi_t-SQRT(psi_t^2-2*Tabella34[[#This Row],[c_t]])</f>
        <v>-3.6708659509292199</v>
      </c>
      <c r="V114" s="244">
        <f>phi_t-LN(alpha*Kt/(Tabella34[[#This Row],[Italy velocity]]*psi_t*SQRTPI(2)))</f>
        <v>-6.646971361343267</v>
      </c>
      <c r="W114" s="244">
        <f>Tabella34[[#This Row],[Italy g.r.]]/Italy_gr_at_lockdown</f>
        <v>4.7655550740423436E-2</v>
      </c>
      <c r="X114" s="244">
        <f>(ACOSH(SQRT(alpha*Kf*psi_f/(Tabella34[[#This Row],[Italy velocity]]*(1+TANH(phi_f)))))+phi_f)/psi_f-(Tabella34[[#This Row],[Day]]-pf)</f>
        <v>52.821554313791154</v>
      </c>
      <c r="Y114" s="244">
        <f>Tabella34[[#This Row],[Italy h.t.]]/Italy_ht_at_lockdown</f>
        <v>0.45691960505057794</v>
      </c>
      <c r="Z114" s="72">
        <f>-2*$BY$48*TANH($BY$48*(Tabella34[[#This Row],[Day]]-$BY$57)-$BY$47)*Tabella34[[#This Row],[Italy velocity]]</f>
        <v>43.650532093922749</v>
      </c>
      <c r="AA114" s="72">
        <f>Tabella34[[#This Row],[Italy acc. fit]]/Itali_acc_at_lockdown</f>
        <v>1.2088690910316533</v>
      </c>
      <c r="AB114" s="77">
        <f>Tabella34[[#This Row],[Italy acc. fit]]/y_f_peak</f>
        <v>1.4543361335847257E-2</v>
      </c>
      <c r="AC114" s="143">
        <f>Tabella34[[#This Row],[Italy (fit of selected region + fitted sum of the other regions)]]*NOT(ISBLANK(Tabella34[[#This Row],[Italy rate data]]))</f>
        <v>43.439031040735486</v>
      </c>
      <c r="AD114" s="143">
        <f>Tabella34[[#This Row],[Italy acc. fit]]*NOT(ISBLANK(Tabella34[[#This Row],[Italy rate data]]))</f>
        <v>43.650532093922749</v>
      </c>
      <c r="AE114" s="77">
        <f>Tabella34[[#This Row],[Italy acc. fit]]+CIf</f>
        <v>1759.265391428474</v>
      </c>
      <c r="AF114" s="77">
        <f>MAX(Tabella34[[#This Row],[Italy acc. fit]]-CIf,0)</f>
        <v>0</v>
      </c>
      <c r="AG114" s="4">
        <f>Tabella8[[#This Row],[region data]]</f>
        <v>2602</v>
      </c>
      <c r="AH114" s="72">
        <f>(Tabella34[[#This Row],[selected region cumul. data]]-AG113)</f>
        <v>130</v>
      </c>
      <c r="AI114" s="72">
        <f>Tabella34[[#This Row],[selected region rate data]]-AH113</f>
        <v>0</v>
      </c>
      <c r="AJ114" s="77">
        <f>Tabella34[[#This Row],[selected region rate data]]*NOT(ISBLANK(Tabella34[[#This Row],[selected region rate data]]))</f>
        <v>130</v>
      </c>
      <c r="AK114" s="77">
        <f>Tabella8[[#This Row],[region fit]]</f>
        <v>2608.4344741836117</v>
      </c>
      <c r="AL114" s="143">
        <f>(ATANH(alpha*Tabella34[[#This Row],[sel. region cumul. fit]]/Kl-(1-alpha*Tabella34[[#This Row],[sel. region cumul. fit]]/Kl)*TANH(phi_l))+phi_l)/psi_l-(Tabella34[[#This Row],[Day]]-pl)</f>
        <v>19.426209211980677</v>
      </c>
      <c r="AM114" s="77">
        <f>Tabella34[[#This Row],[sel. region cumul. fit]]/Kl</f>
        <v>0.29079537058903138</v>
      </c>
      <c r="AN114" s="143">
        <f>Tabella3[[#This Row],[region fit]]</f>
        <v>125.2267844069582</v>
      </c>
      <c r="AO114" s="186">
        <f>Tabella34[[#This Row],[sel. region velocity]]/Tabella34[[#This Row],[sel. region cumul. fit]]</f>
        <v>4.8008407206070108E-2</v>
      </c>
      <c r="AP114" s="241">
        <f>(LN(Tabella34[[#This Row],[Day]]-pr)-phi_r)/psi_r</f>
        <v>79.799103039359295</v>
      </c>
      <c r="AQ114" s="244">
        <f>EXP(phi_r+psi_r*Tabella34[[#This Row],[x_r_alpha©+plus]])-(Tabella34[[#This Row],[Day]]-pr)</f>
        <v>-28.062011490932203</v>
      </c>
      <c r="AR114" s="244">
        <f>EXP(phi_r+psi_r*Tabella34[[#This Row],[x_r_alpha©-minus]])-(Tabella34[[#This Row],[Day]]-pr)</f>
        <v>-28.738091248237467</v>
      </c>
      <c r="AS114" s="244">
        <f>-psi_r+SQRT(psi_r^2-2*Tabella34[[#This Row],[c_r]])</f>
        <v>3.5514256178106627</v>
      </c>
      <c r="AT114" s="244">
        <f>-psi_r-SQRT(psi_r^2-2*Tabella34[[#This Row],[c_r]])</f>
        <v>-3.6078338562293237</v>
      </c>
      <c r="AU114" s="244">
        <f>phi_r-LN(alpha*Kr/(Tabella34[[#This Row],[sel. region velocity]]*psi_r*SQRTPI(2)))</f>
        <v>-6.4064767909087257</v>
      </c>
      <c r="AV114" s="244">
        <f>(ACOSH(SQRT(alpha*Kl*psi_l/(Tabella34[[#This Row],[sel. region velocity]]*(1+TANH(phi_l)))))+phi_l)/psi_l-(Tabella34[[#This Row],[Day]]-pl)</f>
        <v>44.649668203573626</v>
      </c>
      <c r="AW114" s="72">
        <f>-2*$BY$22*TANH($BY$22*(Tabella34[[#This Row],[Day]]-$BY$31)-$BY$21)*Tabella34[[#This Row],[sel. region velocity]]</f>
        <v>2.1336687289812866</v>
      </c>
      <c r="AX114" s="77">
        <f>Tabella34[[#This Row],[sel. region acc. fit]]/y_l_peak</f>
        <v>1.5483889132688283E-2</v>
      </c>
      <c r="AY114" s="143">
        <f>Tabella34[[#This Row],[sel. region acc. fit]]*NOT(ISBLANK(Tabella34[[#This Row],[selected region rate data]]))</f>
        <v>2.1336687289812866</v>
      </c>
      <c r="AZ114" s="77">
        <f>Tabella34[[#This Row],[sel. region acc. fit]]+CIl</f>
        <v>55.898509138529739</v>
      </c>
      <c r="BA114" s="77">
        <f>MAX(Tabella34[[#This Row],[sel. region acc. fit]]-CIl,0)</f>
        <v>0</v>
      </c>
      <c r="BB114" s="10">
        <f>Tabella8[[#This Row],[rest of Italy ]]</f>
        <v>59732</v>
      </c>
      <c r="BC114" s="10">
        <f>(Tabella34[[#This Row],[rest of Italy cum. Data]]-BB113)</f>
        <v>2467</v>
      </c>
      <c r="BD114" s="10">
        <f>Tabella34[[#This Row],[rest of Italy rate data]]-BC113</f>
        <v>1057</v>
      </c>
      <c r="BE114" s="77">
        <f>Tabella34[[#This Row],[rest of Italy rate data]]*NOT(ISBLANK(Tabella34[[#This Row],[rest of Italy rate data]]))</f>
        <v>2467</v>
      </c>
      <c r="BF114" s="77">
        <f>Tabella8[[#This Row],[rest of Italy fit]]</f>
        <v>60703.604416869603</v>
      </c>
      <c r="BG114" s="78">
        <f>(ATANH(alpha*Tabella34[[#This Row],[rest of Italy cumul. fit]]/Ka-(1-alpha*Tabella34[[#This Row],[rest of Italy cumul. fit]]/Ka)*TANH(phi_a))+phi_a)/psi_a-(Tabella34[[#This Row],[Day]]-pa)</f>
        <v>21.832087604119678</v>
      </c>
      <c r="BH114" s="77">
        <f>Tabella34[[#This Row],[rest of Italy cumul. fit]]/Ka</f>
        <v>0.28099617838665741</v>
      </c>
      <c r="BI114" s="143">
        <f>Tabella3[[#This Row],[rest of Italy fit]]</f>
        <v>2549.2057160178306</v>
      </c>
      <c r="BJ114" s="183">
        <f>Tabella34[[#This Row],[rest of Italy velocity]]/Tabella34[[#This Row],[rest of Italy cumul. fit]]</f>
        <v>4.1994305618356383E-2</v>
      </c>
      <c r="BK114" s="236">
        <f>(LN(Tabella34[[#This Row],[Day]]-po)-phi_o)/psi_o</f>
        <v>96.324888968131845</v>
      </c>
      <c r="BL114" s="244">
        <f>EXP(phi_o+psi_o*Tabella34[[#This Row],[x_o_alpha©+plus]])-(Tabella34[[#This Row],[Day]]-po)</f>
        <v>-33.459651390739928</v>
      </c>
      <c r="BM114" s="244">
        <f>EXP(phi_o+psi_o*Tabella34[[#This Row],[x_o_alpha©-minus]])-(Tabella34[[#This Row],[Day]]-po)</f>
        <v>-34.089798365931372</v>
      </c>
      <c r="BN114" s="244">
        <f>-psi_o+SQRT(psi_o^2-2*Tabella34[[#This Row],[c_o]])</f>
        <v>3.6264652156001356</v>
      </c>
      <c r="BO114" s="244">
        <f>-psi_o-SQRT(psi_o^2-2*Tabella34[[#This Row],[c_o]])</f>
        <v>-3.6754923011697649</v>
      </c>
      <c r="BP114" s="244">
        <f>phi_o-LN(alpha*Ko/(Tabella34[[#This Row],[rest of Italy velocity]]*psi_o*SQRTPI(2)))</f>
        <v>-6.6645224901991256</v>
      </c>
      <c r="BQ114" s="244">
        <f>(ACOSH(SQRT(alpha*Ka*psi_a/(Tabella34[[#This Row],[rest of Italy velocity]]*(1+TANH(phi_a)))))+phi_a)/psi_a-(Tabella34[[#This Row],[Day]]-pa)</f>
        <v>53.210880275631595</v>
      </c>
      <c r="BR114" s="72">
        <f>-2*$BY$35*TANH($BY$35*(Tabella34[[#This Row],[Day]]-$BY$44)-$BY$34)*Tabella34[[#This Row],[rest of Italy velocity]]</f>
        <v>41.305362311754202</v>
      </c>
      <c r="BS114" s="77">
        <f>Tabella34[[#This Row],[rest of Italy acc. fit]]/y_a_peak</f>
        <v>1.4433394472087011E-2</v>
      </c>
      <c r="BT114" s="77">
        <f>Tabella34[[#This Row],[rest of Italy acc. fit]]*NOT(ISBLANK(Tabella34[[#This Row],[rest of Italy rate data]]))</f>
        <v>41.305362311754202</v>
      </c>
      <c r="BU114" s="77">
        <f>Tabella34[[#This Row],[rest of Italy acc. fit]]+CIa</f>
        <v>1735.8795572213369</v>
      </c>
      <c r="BV114" s="77">
        <f>MAX(Tabella34[[#This Row],[rest of Italy acc. fit]]-CIa,0)</f>
        <v>0</v>
      </c>
    </row>
    <row r="115" spans="2:74" x14ac:dyDescent="0.3">
      <c r="B115" s="262">
        <v>43938</v>
      </c>
      <c r="C115" s="4">
        <v>108</v>
      </c>
      <c r="D115" s="10">
        <f>Tabella8[[#This Row],[Italy cumulative]]</f>
        <v>65472</v>
      </c>
      <c r="E115" s="72">
        <f>(Tabella34[[#This Row],[Italy cumul. data]]-D114)</f>
        <v>3138</v>
      </c>
      <c r="F115" s="72">
        <f>Tabella34[[#This Row],[Italy rate data]]-E114</f>
        <v>541</v>
      </c>
      <c r="G115" s="77">
        <f>Tabella34[[#This Row],[Italy rate data]]*NOT(ISBLANK(Tabella34[[#This Row],[Italy rate data]]))</f>
        <v>3138</v>
      </c>
      <c r="H115" s="143">
        <f>Tabella8[[#This Row],[Italy fit]]</f>
        <v>65988.233605889051</v>
      </c>
      <c r="I115" s="143">
        <f>(ATANH(alpha*Tabella34[[#This Row],[Italy cumul. Fit]]/Kf-(1-alpha*Tabella34[[#This Row],[Italy cumul. Fit]]/Kf)*TANH(phi_f))+phi_f)/psi_f-(Tabella34[[#This Row],[Day]]-pf)</f>
        <v>22.586101091379078</v>
      </c>
      <c r="J115" s="143">
        <f>Tabella34[[#This Row],[Italy d.t.]]/Italy_dt_at_lockdown</f>
        <v>20.484169289987236</v>
      </c>
      <c r="K115" s="77">
        <f>Tabella34[[#This Row],[Italy cumul. Fit]]/Kf</f>
        <v>0.2932810382483958</v>
      </c>
      <c r="L115" s="146">
        <f>Tabella34[[#This Row],[sel. region acc. fit]]+Tabella34[[#This Row],[rest of Italy acc. fit]]</f>
        <v>41.146474767363941</v>
      </c>
      <c r="M115" s="77">
        <f>Tabella34[[#This Row],[Italy (fit of selected region + fitted sum of the other regions)]]/(y_l_peak+y_a_peak)</f>
        <v>1.3717363789200982E-2</v>
      </c>
      <c r="N115" s="143">
        <f>Tabella3[[#This Row],[Italy remov. rate fit]]</f>
        <v>2715.9570380820237</v>
      </c>
      <c r="O115" s="143">
        <f>Kt*EXP(-0.5*Tabella34[[#This Row],[x_t]]^2)/(psi_t*SQRTPI(2)*(Tabella34[[#This Row],[Day]]-D_bk))</f>
        <v>0</v>
      </c>
      <c r="P115" s="183">
        <f>Tabella34[[#This Row],[Italy velocity]]/Tabella34[[#This Row],[Italy cumul. Fit]]</f>
        <v>4.1158201844027555E-2</v>
      </c>
      <c r="Q115" s="244">
        <f>(LN(Tabella34[[#This Row],[Day]]-D_bk)-phi_t)/psi_t</f>
        <v>96.394806026398228</v>
      </c>
      <c r="R115" s="244">
        <f>EXP(phi_t+psi_t*Tabella34[[#This Row],[x_t_alpha©+plus]])-(Tabella34[[#This Row],[Day]]-D_bk)</f>
        <v>-34.296720682210164</v>
      </c>
      <c r="S115" s="244">
        <f>EXP(phi_t+psi_t*Tabella34[[#This Row],[x_t_alpha©-minus]])-(Tabella34[[#This Row],[Day]]-D_bk)</f>
        <v>-34.932024765312434</v>
      </c>
      <c r="T115" s="244">
        <f>-psi_t+SQRT(psi_t^2-2*Tabella34[[#This Row],[c_t]])</f>
        <v>3.6171424465371169</v>
      </c>
      <c r="U115" s="244">
        <f>-psi_t-SQRT(psi_t^2-2*Tabella34[[#This Row],[c_t]])</f>
        <v>-3.666535180956922</v>
      </c>
      <c r="V115" s="244">
        <f>phi_t-LN(alpha*Kt/(Tabella34[[#This Row],[Italy velocity]]*psi_t*SQRTPI(2)))</f>
        <v>-6.6311900173804652</v>
      </c>
      <c r="W115" s="244">
        <f>Tabella34[[#This Row],[Italy g.r.]]/Italy_gr_at_lockdown</f>
        <v>4.6436429183780957E-2</v>
      </c>
      <c r="X115" s="244">
        <f>(ACOSH(SQRT(alpha*Kf*psi_f/(Tabella34[[#This Row],[Italy velocity]]*(1+TANH(phi_f)))))+phi_f)/psi_f-(Tabella34[[#This Row],[Day]]-pf)</f>
        <v>51.391160127120273</v>
      </c>
      <c r="Y115" s="244">
        <f>Tabella34[[#This Row],[Italy h.t.]]/Italy_ht_at_lockdown</f>
        <v>0.4445463389600407</v>
      </c>
      <c r="Z115" s="72">
        <f>-2*$BY$48*TANH($BY$48*(Tabella34[[#This Row],[Day]]-$BY$57)-$BY$47)*Tabella34[[#This Row],[Italy velocity]]</f>
        <v>41.370220155048976</v>
      </c>
      <c r="AA115" s="72">
        <f>Tabella34[[#This Row],[Italy acc. fit]]/Itali_acc_at_lockdown</f>
        <v>1.1457175442215572</v>
      </c>
      <c r="AB115" s="77">
        <f>Tabella34[[#This Row],[Italy acc. fit]]/y_f_peak</f>
        <v>1.3783613426838266E-2</v>
      </c>
      <c r="AC115" s="143">
        <f>Tabella34[[#This Row],[Italy (fit of selected region + fitted sum of the other regions)]]*NOT(ISBLANK(Tabella34[[#This Row],[Italy rate data]]))</f>
        <v>41.146474767363941</v>
      </c>
      <c r="AD115" s="143">
        <f>Tabella34[[#This Row],[Italy acc. fit]]*NOT(ISBLANK(Tabella34[[#This Row],[Italy rate data]]))</f>
        <v>41.370220155048976</v>
      </c>
      <c r="AE115" s="77">
        <f>Tabella34[[#This Row],[Italy acc. fit]]+CIf</f>
        <v>1756.9850794896004</v>
      </c>
      <c r="AF115" s="77">
        <f>MAX(Tabella34[[#This Row],[Italy acc. fit]]-CIf,0)</f>
        <v>0</v>
      </c>
      <c r="AG115" s="4">
        <f>Tabella8[[#This Row],[region data]]</f>
        <v>2729</v>
      </c>
      <c r="AH115" s="72">
        <f>(Tabella34[[#This Row],[selected region cumul. data]]-AG114)</f>
        <v>127</v>
      </c>
      <c r="AI115" s="72">
        <f>Tabella34[[#This Row],[selected region rate data]]-AH114</f>
        <v>-3</v>
      </c>
      <c r="AJ115" s="77">
        <f>Tabella34[[#This Row],[selected region rate data]]*NOT(ISBLANK(Tabella34[[#This Row],[selected region rate data]]))</f>
        <v>127</v>
      </c>
      <c r="AK115" s="77">
        <f>Tabella8[[#This Row],[region fit]]</f>
        <v>2734.70349257925</v>
      </c>
      <c r="AL115" s="143">
        <f>(ATANH(alpha*Tabella34[[#This Row],[sel. region cumul. fit]]/Kl-(1-alpha*Tabella34[[#This Row],[sel. region cumul. fit]]/Kl)*TANH(phi_l))+phi_l)/psi_l-(Tabella34[[#This Row],[Day]]-pl)</f>
        <v>20.389792807068446</v>
      </c>
      <c r="AM115" s="77">
        <f>Tabella34[[#This Row],[sel. region cumul. fit]]/Kl</f>
        <v>0.30487218423403012</v>
      </c>
      <c r="AN115" s="143">
        <f>Tabella3[[#This Row],[region fit]]</f>
        <v>127.28617220393699</v>
      </c>
      <c r="AO115" s="186">
        <f>Tabella34[[#This Row],[sel. region velocity]]/Tabella34[[#This Row],[sel. region cumul. fit]]</f>
        <v>4.6544779918310762E-2</v>
      </c>
      <c r="AP115" s="241">
        <f>(LN(Tabella34[[#This Row],[Day]]-pr)-phi_r)/psi_r</f>
        <v>80.898266748676619</v>
      </c>
      <c r="AQ115" s="244">
        <f>EXP(phi_r+psi_r*Tabella34[[#This Row],[x_r_alpha©+plus]])-(Tabella34[[#This Row],[Day]]-pr)</f>
        <v>-29.062486983285293</v>
      </c>
      <c r="AR115" s="244">
        <f>EXP(phi_r+psi_r*Tabella34[[#This Row],[x_r_alpha©-minus]])-(Tabella34[[#This Row],[Day]]-pr)</f>
        <v>-29.737702645028904</v>
      </c>
      <c r="AS115" s="244">
        <f>-psi_r+SQRT(psi_r^2-2*Tabella34[[#This Row],[c_r]])</f>
        <v>3.54686595558826</v>
      </c>
      <c r="AT115" s="244">
        <f>-psi_r-SQRT(psi_r^2-2*Tabella34[[#This Row],[c_r]])</f>
        <v>-3.6032741940069211</v>
      </c>
      <c r="AU115" s="244">
        <f>phi_r-LN(alpha*Kr/(Tabella34[[#This Row],[sel. region velocity]]*psi_r*SQRTPI(2)))</f>
        <v>-6.3901652836864367</v>
      </c>
      <c r="AV115" s="244">
        <f>(ACOSH(SQRT(alpha*Kl*psi_l/(Tabella34[[#This Row],[sel. region velocity]]*(1+TANH(phi_l)))))+phi_l)/psi_l-(Tabella34[[#This Row],[Day]]-pl)</f>
        <v>43.256844721021665</v>
      </c>
      <c r="AW115" s="72">
        <f>-2*$BY$22*TANH($BY$22*(Tabella34[[#This Row],[Day]]-$BY$31)-$BY$21)*Tabella34[[#This Row],[sel. region velocity]]</f>
        <v>1.9831967071769225</v>
      </c>
      <c r="AX115" s="77">
        <f>Tabella34[[#This Row],[sel. region acc. fit]]/y_l_peak</f>
        <v>1.4391923884501594E-2</v>
      </c>
      <c r="AY115" s="143">
        <f>Tabella34[[#This Row],[sel. region acc. fit]]*NOT(ISBLANK(Tabella34[[#This Row],[selected region rate data]]))</f>
        <v>1.9831967071769225</v>
      </c>
      <c r="AZ115" s="77">
        <f>Tabella34[[#This Row],[sel. region acc. fit]]+CIl</f>
        <v>55.748037116725378</v>
      </c>
      <c r="BA115" s="77">
        <f>MAX(Tabella34[[#This Row],[sel. region acc. fit]]-CIl,0)</f>
        <v>0</v>
      </c>
      <c r="BB115" s="10">
        <f>Tabella8[[#This Row],[rest of Italy ]]</f>
        <v>62743</v>
      </c>
      <c r="BC115" s="10">
        <f>(Tabella34[[#This Row],[rest of Italy cum. Data]]-BB114)</f>
        <v>3011</v>
      </c>
      <c r="BD115" s="10">
        <f>Tabella34[[#This Row],[rest of Italy rate data]]-BC114</f>
        <v>544</v>
      </c>
      <c r="BE115" s="77">
        <f>Tabella34[[#This Row],[rest of Italy rate data]]*NOT(ISBLANK(Tabella34[[#This Row],[rest of Italy rate data]]))</f>
        <v>3011</v>
      </c>
      <c r="BF115" s="77">
        <f>Tabella8[[#This Row],[rest of Italy fit]]</f>
        <v>63273.11263338838</v>
      </c>
      <c r="BG115" s="78">
        <f>(ATANH(alpha*Tabella34[[#This Row],[rest of Italy cumul. fit]]/Ka-(1-alpha*Tabella34[[#This Row],[rest of Italy cumul. fit]]/Ka)*TANH(phi_a))+phi_a)/psi_a-(Tabella34[[#This Row],[Day]]-pa)</f>
        <v>22.712279302849019</v>
      </c>
      <c r="BH115" s="77">
        <f>Tabella34[[#This Row],[rest of Italy cumul. fit]]/Ka</f>
        <v>0.29289039778451315</v>
      </c>
      <c r="BI115" s="143">
        <f>Tabella3[[#This Row],[rest of Italy fit]]</f>
        <v>2589.4536900931867</v>
      </c>
      <c r="BJ115" s="183">
        <f>Tabella34[[#This Row],[rest of Italy velocity]]/Tabella34[[#This Row],[rest of Italy cumul. fit]]</f>
        <v>4.0925024585036239E-2</v>
      </c>
      <c r="BK115" s="236">
        <f>(LN(Tabella34[[#This Row],[Day]]-po)-phi_o)/psi_o</f>
        <v>97.404022299208819</v>
      </c>
      <c r="BL115" s="244">
        <f>EXP(phi_o+psi_o*Tabella34[[#This Row],[x_o_alpha©+plus]])-(Tabella34[[#This Row],[Day]]-po)</f>
        <v>-34.46005601128148</v>
      </c>
      <c r="BM115" s="244">
        <f>EXP(phi_o+psi_o*Tabella34[[#This Row],[x_o_alpha©-minus]])-(Tabella34[[#This Row],[Day]]-po)</f>
        <v>-35.089460023637585</v>
      </c>
      <c r="BN115" s="244">
        <f>-psi_o+SQRT(psi_o^2-2*Tabella34[[#This Row],[c_o]])</f>
        <v>3.6221720347847923</v>
      </c>
      <c r="BO115" s="244">
        <f>-psi_o-SQRT(psi_o^2-2*Tabella34[[#This Row],[c_o]])</f>
        <v>-3.6711991203544216</v>
      </c>
      <c r="BP115" s="244">
        <f>phi_o-LN(alpha*Ko/(Tabella34[[#This Row],[rest of Italy velocity]]*psi_o*SQRTPI(2)))</f>
        <v>-6.6488573939371571</v>
      </c>
      <c r="BQ115" s="244">
        <f>(ACOSH(SQRT(alpha*Ka*psi_a/(Tabella34[[#This Row],[rest of Italy velocity]]*(1+TANH(phi_a)))))+phi_a)/psi_a-(Tabella34[[#This Row],[Day]]-pa)</f>
        <v>51.780471312056051</v>
      </c>
      <c r="BR115" s="72">
        <f>-2*$BY$35*TANH($BY$35*(Tabella34[[#This Row],[Day]]-$BY$44)-$BY$34)*Tabella34[[#This Row],[rest of Italy velocity]]</f>
        <v>39.163278060187018</v>
      </c>
      <c r="BS115" s="77">
        <f>Tabella34[[#This Row],[rest of Italy acc. fit]]/y_a_peak</f>
        <v>1.3684882771306788E-2</v>
      </c>
      <c r="BT115" s="77">
        <f>Tabella34[[#This Row],[rest of Italy acc. fit]]*NOT(ISBLANK(Tabella34[[#This Row],[rest of Italy rate data]]))</f>
        <v>39.163278060187018</v>
      </c>
      <c r="BU115" s="77">
        <f>Tabella34[[#This Row],[rest of Italy acc. fit]]+CIa</f>
        <v>1733.7374729697697</v>
      </c>
      <c r="BV115" s="77">
        <f>MAX(Tabella34[[#This Row],[rest of Italy acc. fit]]-CIa,0)</f>
        <v>0</v>
      </c>
    </row>
    <row r="116" spans="2:74" x14ac:dyDescent="0.3">
      <c r="B116" s="262">
        <v>43939</v>
      </c>
      <c r="C116" s="4">
        <v>109</v>
      </c>
      <c r="D116" s="10">
        <f>Tabella8[[#This Row],[Italy cumulative]]</f>
        <v>68154</v>
      </c>
      <c r="E116" s="72">
        <f>(Tabella34[[#This Row],[Italy cumul. data]]-D115)</f>
        <v>2682</v>
      </c>
      <c r="F116" s="72">
        <f>Tabella34[[#This Row],[Italy rate data]]-E115</f>
        <v>-456</v>
      </c>
      <c r="G116" s="77">
        <f>Tabella34[[#This Row],[Italy rate data]]*NOT(ISBLANK(Tabella34[[#This Row],[Italy rate data]]))</f>
        <v>2682</v>
      </c>
      <c r="H116" s="143">
        <f>Tabella8[[#This Row],[Italy fit]]</f>
        <v>68724.47397003349</v>
      </c>
      <c r="I116" s="143">
        <f>(ATANH(alpha*Tabella34[[#This Row],[Italy cumul. Fit]]/Kf-(1-alpha*Tabella34[[#This Row],[Italy cumul. Fit]]/Kf)*TANH(phi_f))+phi_f)/psi_f-(Tabella34[[#This Row],[Day]]-pf)</f>
        <v>23.53890342525618</v>
      </c>
      <c r="J116" s="143">
        <f>Tabella34[[#This Row],[Italy d.t.]]/Italy_dt_at_lockdown</f>
        <v>21.348300918021216</v>
      </c>
      <c r="K116" s="77">
        <f>Tabella34[[#This Row],[Italy cumul. Fit]]/Kf</f>
        <v>0.30544210653348219</v>
      </c>
      <c r="L116" s="146">
        <f>Tabella34[[#This Row],[sel. region acc. fit]]+Tabella34[[#This Row],[rest of Italy acc. fit]]</f>
        <v>38.681467582930225</v>
      </c>
      <c r="M116" s="77">
        <f>Tabella34[[#This Row],[Italy (fit of selected region + fitted sum of the other regions)]]/(y_l_peak+y_a_peak)</f>
        <v>1.2895582567770781E-2</v>
      </c>
      <c r="N116" s="143">
        <f>Tabella3[[#This Row],[Italy remov. rate fit]]</f>
        <v>2756.1147968576543</v>
      </c>
      <c r="O116" s="143">
        <f>Kt*EXP(-0.5*Tabella34[[#This Row],[x_t]]^2)/(psi_t*SQRTPI(2)*(Tabella34[[#This Row],[Day]]-D_bk))</f>
        <v>0</v>
      </c>
      <c r="P116" s="183">
        <f>Tabella34[[#This Row],[Italy velocity]]/Tabella34[[#This Row],[Italy cumul. Fit]]</f>
        <v>4.0103832559845072E-2</v>
      </c>
      <c r="Q116" s="244">
        <f>(LN(Tabella34[[#This Row],[Day]]-D_bk)-phi_t)/psi_t</f>
        <v>97.442362749651764</v>
      </c>
      <c r="R116" s="244">
        <f>EXP(phi_t+psi_t*Tabella34[[#This Row],[x_t_alpha©+plus]])-(Tabella34[[#This Row],[Day]]-D_bk)</f>
        <v>-35.297104972781426</v>
      </c>
      <c r="S116" s="244">
        <f>EXP(phi_t+psi_t*Tabella34[[#This Row],[x_t_alpha©-minus]])-(Tabella34[[#This Row],[Day]]-D_bk)</f>
        <v>-35.931703708474259</v>
      </c>
      <c r="T116" s="244">
        <f>-psi_t+SQRT(psi_t^2-2*Tabella34[[#This Row],[c_t]])</f>
        <v>3.6131099383616916</v>
      </c>
      <c r="U116" s="244">
        <f>-psi_t-SQRT(psi_t^2-2*Tabella34[[#This Row],[c_t]])</f>
        <v>-3.6625026727814967</v>
      </c>
      <c r="V116" s="244">
        <f>phi_t-LN(alpha*Kt/(Tabella34[[#This Row],[Italy velocity]]*psi_t*SQRTPI(2)))</f>
        <v>-6.6165124031515417</v>
      </c>
      <c r="W116" s="244">
        <f>Tabella34[[#This Row],[Italy g.r.]]/Italy_gr_at_lockdown</f>
        <v>4.5246845032752295E-2</v>
      </c>
      <c r="X116" s="244">
        <f>(ACOSH(SQRT(alpha*Kf*psi_f/(Tabella34[[#This Row],[Italy velocity]]*(1+TANH(phi_f)))))+phi_f)/psi_f-(Tabella34[[#This Row],[Day]]-pf)</f>
        <v>49.988342124132487</v>
      </c>
      <c r="Y116" s="244">
        <f>Tabella34[[#This Row],[Italy h.t.]]/Italy_ht_at_lockdown</f>
        <v>0.43241161372883585</v>
      </c>
      <c r="Z116" s="72">
        <f>-2*$BY$48*TANH($BY$48*(Tabella34[[#This Row],[Day]]-$BY$57)-$BY$47)*Tabella34[[#This Row],[Italy velocity]]</f>
        <v>38.916967587487655</v>
      </c>
      <c r="AA116" s="72">
        <f>Tabella34[[#This Row],[Italy acc. fit]]/Itali_acc_at_lockdown</f>
        <v>1.077776535048113</v>
      </c>
      <c r="AB116" s="77">
        <f>Tabella34[[#This Row],[Italy acc. fit]]/y_f_peak</f>
        <v>1.2966245646272157E-2</v>
      </c>
      <c r="AC116" s="143">
        <f>Tabella34[[#This Row],[Italy (fit of selected region + fitted sum of the other regions)]]*NOT(ISBLANK(Tabella34[[#This Row],[Italy rate data]]))</f>
        <v>38.681467582930225</v>
      </c>
      <c r="AD116" s="143">
        <f>Tabella34[[#This Row],[Italy acc. fit]]*NOT(ISBLANK(Tabella34[[#This Row],[Italy rate data]]))</f>
        <v>38.916967587487655</v>
      </c>
      <c r="AE116" s="77">
        <f>Tabella34[[#This Row],[Italy acc. fit]]+CIf</f>
        <v>1754.531826922039</v>
      </c>
      <c r="AF116" s="77">
        <f>MAX(Tabella34[[#This Row],[Italy acc. fit]]-CIf,0)</f>
        <v>0</v>
      </c>
      <c r="AG116" s="4">
        <f>Tabella8[[#This Row],[region data]]</f>
        <v>2889</v>
      </c>
      <c r="AH116" s="72">
        <f>(Tabella34[[#This Row],[selected region cumul. data]]-AG115)</f>
        <v>160</v>
      </c>
      <c r="AI116" s="72">
        <f>Tabella34[[#This Row],[selected region rate data]]-AH115</f>
        <v>33</v>
      </c>
      <c r="AJ116" s="77">
        <f>Tabella34[[#This Row],[selected region rate data]]*NOT(ISBLANK(Tabella34[[#This Row],[selected region rate data]]))</f>
        <v>160</v>
      </c>
      <c r="AK116" s="77">
        <f>Tabella8[[#This Row],[region fit]]</f>
        <v>2862.954776674921</v>
      </c>
      <c r="AL116" s="143">
        <f>(ATANH(alpha*Tabella34[[#This Row],[sel. region cumul. fit]]/Kl-(1-alpha*Tabella34[[#This Row],[sel. region cumul. fit]]/Kl)*TANH(phi_l))+phi_l)/psi_l-(Tabella34[[#This Row],[Day]]-pl)</f>
        <v>21.449529015383668</v>
      </c>
      <c r="AM116" s="77">
        <f>Tabella34[[#This Row],[sel. region cumul. fit]]/Kl</f>
        <v>0.31916998625138471</v>
      </c>
      <c r="AN116" s="143">
        <f>Tabella3[[#This Row],[region fit]]</f>
        <v>129.18945449972719</v>
      </c>
      <c r="AO116" s="186">
        <f>Tabella34[[#This Row],[sel. region velocity]]/Tabella34[[#This Row],[sel. region cumul. fit]]</f>
        <v>4.5124518051161737E-2</v>
      </c>
      <c r="AP116" s="241">
        <f>(LN(Tabella34[[#This Row],[Day]]-pr)-phi_r)/psi_r</f>
        <v>81.964377452040239</v>
      </c>
      <c r="AQ116" s="244">
        <f>EXP(phi_r+psi_r*Tabella34[[#This Row],[x_r_alpha©+plus]])-(Tabella34[[#This Row],[Day]]-pr)</f>
        <v>-30.062920115413036</v>
      </c>
      <c r="AR116" s="244">
        <f>EXP(phi_r+psi_r*Tabella34[[#This Row],[x_r_alpha©-minus]])-(Tabella34[[#This Row],[Day]]-pr)</f>
        <v>-30.737348574339723</v>
      </c>
      <c r="AS116" s="244">
        <f>-psi_r+SQRT(psi_r^2-2*Tabella34[[#This Row],[c_r]])</f>
        <v>3.542711989950698</v>
      </c>
      <c r="AT116" s="244">
        <f>-psi_r-SQRT(psi_r^2-2*Tabella34[[#This Row],[c_r]])</f>
        <v>-3.5991202283693591</v>
      </c>
      <c r="AU116" s="244">
        <f>phi_r-LN(alpha*Kr/(Tabella34[[#This Row],[sel. region velocity]]*psi_r*SQRTPI(2)))</f>
        <v>-6.3753231931591108</v>
      </c>
      <c r="AV116" s="244">
        <f>(ACOSH(SQRT(alpha*Kl*psi_l/(Tabella34[[#This Row],[sel. region velocity]]*(1+TANH(phi_l)))))+phi_l)/psi_l-(Tabella34[[#This Row],[Day]]-pl)</f>
        <v>41.8970134495667</v>
      </c>
      <c r="AW116" s="72">
        <f>-2*$BY$22*TANH($BY$22*(Tabella34[[#This Row],[Day]]-$BY$31)-$BY$21)*Tabella34[[#This Row],[sel. region velocity]]</f>
        <v>1.821558961658561</v>
      </c>
      <c r="AX116" s="77">
        <f>Tabella34[[#This Row],[sel. region acc. fit]]/y_l_peak</f>
        <v>1.3218929737252253E-2</v>
      </c>
      <c r="AY116" s="143">
        <f>Tabella34[[#This Row],[sel. region acc. fit]]*NOT(ISBLANK(Tabella34[[#This Row],[selected region rate data]]))</f>
        <v>1.821558961658561</v>
      </c>
      <c r="AZ116" s="77">
        <f>Tabella34[[#This Row],[sel. region acc. fit]]+CIl</f>
        <v>55.586399371207015</v>
      </c>
      <c r="BA116" s="77">
        <f>MAX(Tabella34[[#This Row],[sel. region acc. fit]]-CIl,0)</f>
        <v>0</v>
      </c>
      <c r="BB116" s="10">
        <f>Tabella8[[#This Row],[rest of Italy ]]</f>
        <v>65265</v>
      </c>
      <c r="BC116" s="10">
        <f>(Tabella34[[#This Row],[rest of Italy cum. Data]]-BB115)</f>
        <v>2522</v>
      </c>
      <c r="BD116" s="10">
        <f>Tabella34[[#This Row],[rest of Italy rate data]]-BC115</f>
        <v>-489</v>
      </c>
      <c r="BE116" s="77">
        <f>Tabella34[[#This Row],[rest of Italy rate data]]*NOT(ISBLANK(Tabella34[[#This Row],[rest of Italy rate data]]))</f>
        <v>2522</v>
      </c>
      <c r="BF116" s="77">
        <f>Tabella8[[#This Row],[rest of Italy fit]]</f>
        <v>65881.770682023955</v>
      </c>
      <c r="BG116" s="78">
        <f>(ATANH(alpha*Tabella34[[#This Row],[rest of Italy cumul. fit]]/Ka-(1-alpha*Tabella34[[#This Row],[rest of Italy cumul. fit]]/Ka)*TANH(phi_a))+phi_a)/psi_a-(Tabella34[[#This Row],[Day]]-pa)</f>
        <v>23.663510588791873</v>
      </c>
      <c r="BH116" s="77">
        <f>Tabella34[[#This Row],[rest of Italy cumul. fit]]/Ka</f>
        <v>0.30496584123512455</v>
      </c>
      <c r="BI116" s="143">
        <f>Tabella3[[#This Row],[rest of Italy fit]]</f>
        <v>2627.4784957135739</v>
      </c>
      <c r="BJ116" s="183">
        <f>Tabella34[[#This Row],[rest of Italy velocity]]/Tabella34[[#This Row],[rest of Italy cumul. fit]]</f>
        <v>3.9881722493389046E-2</v>
      </c>
      <c r="BK116" s="236">
        <f>(LN(Tabella34[[#This Row],[Day]]-po)-phi_o)/psi_o</f>
        <v>98.45534306148393</v>
      </c>
      <c r="BL116" s="244">
        <f>EXP(phi_o+psi_o*Tabella34[[#This Row],[x_o_alpha©+plus]])-(Tabella34[[#This Row],[Day]]-po)</f>
        <v>-35.460432935476739</v>
      </c>
      <c r="BM116" s="244">
        <f>EXP(phi_o+psi_o*Tabella34[[#This Row],[x_o_alpha©-minus]])-(Tabella34[[#This Row],[Day]]-po)</f>
        <v>-36.089144776853054</v>
      </c>
      <c r="BN116" s="244">
        <f>-psi_o+SQRT(psi_o^2-2*Tabella34[[#This Row],[c_o]])</f>
        <v>3.6181723164137729</v>
      </c>
      <c r="BO116" s="244">
        <f>-psi_o-SQRT(psi_o^2-2*Tabella34[[#This Row],[c_o]])</f>
        <v>-3.6671994019834022</v>
      </c>
      <c r="BP116" s="244">
        <f>phi_o-LN(alpha*Ko/(Tabella34[[#This Row],[rest of Italy velocity]]*psi_o*SQRTPI(2)))</f>
        <v>-6.6342796775127448</v>
      </c>
      <c r="BQ116" s="244">
        <f>(ACOSH(SQRT(alpha*Ka*psi_a/(Tabella34[[#This Row],[rest of Italy velocity]]*(1+TANH(phi_a)))))+phi_a)/psi_a-(Tabella34[[#This Row],[Day]]-pa)</f>
        <v>50.377430472438604</v>
      </c>
      <c r="BR116" s="72">
        <f>-2*$BY$35*TANH($BY$35*(Tabella34[[#This Row],[Day]]-$BY$44)-$BY$34)*Tabella34[[#This Row],[rest of Italy velocity]]</f>
        <v>36.859908621271664</v>
      </c>
      <c r="BS116" s="77">
        <f>Tabella34[[#This Row],[rest of Italy acc. fit]]/y_a_peak</f>
        <v>1.2880012946515191E-2</v>
      </c>
      <c r="BT116" s="77">
        <f>Tabella34[[#This Row],[rest of Italy acc. fit]]*NOT(ISBLANK(Tabella34[[#This Row],[rest of Italy rate data]]))</f>
        <v>36.859908621271664</v>
      </c>
      <c r="BU116" s="77">
        <f>Tabella34[[#This Row],[rest of Italy acc. fit]]+CIa</f>
        <v>1731.4341035308544</v>
      </c>
      <c r="BV116" s="77">
        <f>MAX(Tabella34[[#This Row],[rest of Italy acc. fit]]-CIa,0)</f>
        <v>0</v>
      </c>
    </row>
    <row r="117" spans="2:74" x14ac:dyDescent="0.3">
      <c r="B117" s="262">
        <v>43940</v>
      </c>
      <c r="C117" s="4">
        <v>110</v>
      </c>
      <c r="D117" s="10">
        <f>Tabella8[[#This Row],[Italy cumulative]]</f>
        <v>70715</v>
      </c>
      <c r="E117" s="72">
        <f>(Tabella34[[#This Row],[Italy cumul. data]]-D116)</f>
        <v>2561</v>
      </c>
      <c r="F117" s="72">
        <f>Tabella34[[#This Row],[Italy rate data]]-E116</f>
        <v>-121</v>
      </c>
      <c r="G117" s="77">
        <f>Tabella34[[#This Row],[Italy rate data]]*NOT(ISBLANK(Tabella34[[#This Row],[Italy rate data]]))</f>
        <v>2561</v>
      </c>
      <c r="H117" s="143">
        <f>Tabella8[[#This Row],[Italy fit]]</f>
        <v>71499.617421664065</v>
      </c>
      <c r="I117" s="143">
        <f>(ATANH(alpha*Tabella34[[#This Row],[Italy cumul. Fit]]/Kf-(1-alpha*Tabella34[[#This Row],[Italy cumul. Fit]]/Kf)*TANH(phi_f))+phi_f)/psi_f-(Tabella34[[#This Row],[Day]]-pf)</f>
        <v>24.574859255195079</v>
      </c>
      <c r="J117" s="143">
        <f>Tabella34[[#This Row],[Italy d.t.]]/Italy_dt_at_lockdown</f>
        <v>22.287847522880671</v>
      </c>
      <c r="K117" s="77">
        <f>Tabella34[[#This Row],[Italy cumul. Fit]]/Kf</f>
        <v>0.31777607742961805</v>
      </c>
      <c r="L117" s="146">
        <f>Tabella34[[#This Row],[sel. region acc. fit]]+Tabella34[[#This Row],[rest of Italy acc. fit]]</f>
        <v>36.050640339850496</v>
      </c>
      <c r="M117" s="77">
        <f>Tabella34[[#This Row],[Italy (fit of selected region + fitted sum of the other regions)]]/(y_l_peak+y_a_peak)</f>
        <v>1.2018520448502931E-2</v>
      </c>
      <c r="N117" s="143">
        <f>Tabella3[[#This Row],[Italy remov. rate fit]]</f>
        <v>2793.7354608239434</v>
      </c>
      <c r="O117" s="143">
        <f>Kt*EXP(-0.5*Tabella34[[#This Row],[x_t]]^2)/(psi_t*SQRTPI(2)*(Tabella34[[#This Row],[Day]]-D_bk))</f>
        <v>0</v>
      </c>
      <c r="P117" s="183">
        <f>Tabella34[[#This Row],[Italy velocity]]/Tabella34[[#This Row],[Italy cumul. Fit]]</f>
        <v>3.9073432300316811E-2</v>
      </c>
      <c r="Q117" s="244">
        <f>(LN(Tabella34[[#This Row],[Day]]-D_bk)-phi_t)/psi_t</f>
        <v>98.463500343646487</v>
      </c>
      <c r="R117" s="244">
        <f>EXP(phi_t+psi_t*Tabella34[[#This Row],[x_t_alpha©+plus]])-(Tabella34[[#This Row],[Day]]-D_bk)</f>
        <v>-36.297460283043954</v>
      </c>
      <c r="S117" s="244">
        <f>EXP(phi_t+psi_t*Tabella34[[#This Row],[x_t_alpha©-minus]])-(Tabella34[[#This Row],[Day]]-D_bk)</f>
        <v>-36.931406806428271</v>
      </c>
      <c r="T117" s="244">
        <f>-psi_t+SQRT(psi_t^2-2*Tabella34[[#This Row],[c_t]])</f>
        <v>3.6093811743285182</v>
      </c>
      <c r="U117" s="244">
        <f>-psi_t-SQRT(psi_t^2-2*Tabella34[[#This Row],[c_t]])</f>
        <v>-3.6587739087483233</v>
      </c>
      <c r="V117" s="244">
        <f>phi_t-LN(alpha*Kt/(Tabella34[[#This Row],[Italy velocity]]*psi_t*SQRTPI(2)))</f>
        <v>-6.6029548336802826</v>
      </c>
      <c r="W117" s="244">
        <f>Tabella34[[#This Row],[Italy g.r.]]/Italy_gr_at_lockdown</f>
        <v>4.4084303752065207E-2</v>
      </c>
      <c r="X117" s="244">
        <f>(ACOSH(SQRT(alpha*Kf*psi_f/(Tabella34[[#This Row],[Italy velocity]]*(1+TANH(phi_f)))))+phi_f)/psi_f-(Tabella34[[#This Row],[Day]]-pf)</f>
        <v>48.614028210296439</v>
      </c>
      <c r="Y117" s="244">
        <f>Tabella34[[#This Row],[Italy h.t.]]/Italy_ht_at_lockdown</f>
        <v>0.42052345597045027</v>
      </c>
      <c r="Z117" s="72">
        <f>-2*$BY$48*TANH($BY$48*(Tabella34[[#This Row],[Day]]-$BY$57)-$BY$47)*Tabella34[[#This Row],[Italy velocity]]</f>
        <v>36.297225547599659</v>
      </c>
      <c r="AA117" s="72">
        <f>Tabella34[[#This Row],[Italy acc. fit]]/Itali_acc_at_lockdown</f>
        <v>1.0052247234989995</v>
      </c>
      <c r="AB117" s="77">
        <f>Tabella34[[#This Row],[Italy acc. fit]]/y_f_peak</f>
        <v>1.2093407372254755E-2</v>
      </c>
      <c r="AC117" s="143">
        <f>Tabella34[[#This Row],[Italy (fit of selected region + fitted sum of the other regions)]]*NOT(ISBLANK(Tabella34[[#This Row],[Italy rate data]]))</f>
        <v>36.050640339850496</v>
      </c>
      <c r="AD117" s="143">
        <f>Tabella34[[#This Row],[Italy acc. fit]]*NOT(ISBLANK(Tabella34[[#This Row],[Italy rate data]]))</f>
        <v>36.297225547599659</v>
      </c>
      <c r="AE117" s="77">
        <f>Tabella34[[#This Row],[Italy acc. fit]]+CIf</f>
        <v>1751.912084882151</v>
      </c>
      <c r="AF117" s="77">
        <f>MAX(Tabella34[[#This Row],[Italy acc. fit]]-CIf,0)</f>
        <v>0</v>
      </c>
      <c r="AG117" s="4">
        <f>Tabella8[[#This Row],[region data]]</f>
        <v>3038</v>
      </c>
      <c r="AH117" s="72">
        <f>(Tabella34[[#This Row],[selected region cumul. data]]-AG116)</f>
        <v>149</v>
      </c>
      <c r="AI117" s="72">
        <f>Tabella34[[#This Row],[selected region rate data]]-AH116</f>
        <v>-11</v>
      </c>
      <c r="AJ117" s="77">
        <f>Tabella34[[#This Row],[selected region rate data]]*NOT(ISBLANK(Tabella34[[#This Row],[selected region rate data]]))</f>
        <v>149</v>
      </c>
      <c r="AK117" s="77">
        <f>Tabella8[[#This Row],[region fit]]</f>
        <v>2993.0267446110092</v>
      </c>
      <c r="AL117" s="143">
        <f>(ATANH(alpha*Tabella34[[#This Row],[sel. region cumul. fit]]/Kl-(1-alpha*Tabella34[[#This Row],[sel. region cumul. fit]]/Kl)*TANH(phi_l))+phi_l)/psi_l-(Tabella34[[#This Row],[Day]]-pl)</f>
        <v>22.624180221500673</v>
      </c>
      <c r="AM117" s="77">
        <f>Tabella34[[#This Row],[sel. region cumul. fit]]/Kl</f>
        <v>0.33367076305585386</v>
      </c>
      <c r="AN117" s="143">
        <f>Tabella3[[#This Row],[region fit]]</f>
        <v>130.92579032964943</v>
      </c>
      <c r="AO117" s="186">
        <f>Tabella34[[#This Row],[sel. region velocity]]/Tabella34[[#This Row],[sel. region cumul. fit]]</f>
        <v>4.3743608561261048E-2</v>
      </c>
      <c r="AP117" s="241">
        <f>(LN(Tabella34[[#This Row],[Day]]-pr)-phi_r)/psi_r</f>
        <v>82.999365131164623</v>
      </c>
      <c r="AQ117" s="244">
        <f>EXP(phi_r+psi_r*Tabella34[[#This Row],[x_r_alpha©+plus]])-(Tabella34[[#This Row],[Day]]-pr)</f>
        <v>-31.063310112532907</v>
      </c>
      <c r="AR117" s="244">
        <f>EXP(phi_r+psi_r*Tabella34[[#This Row],[x_r_alpha©-minus]])-(Tabella34[[#This Row],[Day]]-pr)</f>
        <v>-31.737029694048449</v>
      </c>
      <c r="AS117" s="244">
        <f>-psi_r+SQRT(psi_r^2-2*Tabella34[[#This Row],[c_r]])</f>
        <v>3.5389712953654384</v>
      </c>
      <c r="AT117" s="244">
        <f>-psi_r-SQRT(psi_r^2-2*Tabella34[[#This Row],[c_r]])</f>
        <v>-3.5953795337840995</v>
      </c>
      <c r="AU117" s="244">
        <f>phi_r-LN(alpha*Kr/(Tabella34[[#This Row],[sel. region velocity]]*psi_r*SQRTPI(2)))</f>
        <v>-6.3619724830031501</v>
      </c>
      <c r="AV117" s="244">
        <f>(ACOSH(SQRT(alpha*Kl*psi_l/(Tabella34[[#This Row],[sel. region velocity]]*(1+TANH(phi_l)))))+phi_l)/psi_l-(Tabella34[[#This Row],[Day]]-pl)</f>
        <v>40.571321689152811</v>
      </c>
      <c r="AW117" s="72">
        <f>-2*$BY$22*TANH($BY$22*(Tabella34[[#This Row],[Day]]-$BY$31)-$BY$21)*Tabella34[[#This Row],[sel. region velocity]]</f>
        <v>1.6494259465391681</v>
      </c>
      <c r="AX117" s="77">
        <f>Tabella34[[#This Row],[sel. region acc. fit]]/y_l_peak</f>
        <v>1.1969772130927595E-2</v>
      </c>
      <c r="AY117" s="143">
        <f>Tabella34[[#This Row],[sel. region acc. fit]]*NOT(ISBLANK(Tabella34[[#This Row],[selected region rate data]]))</f>
        <v>1.6494259465391681</v>
      </c>
      <c r="AZ117" s="77">
        <f>Tabella34[[#This Row],[sel. region acc. fit]]+CIl</f>
        <v>55.414266356087623</v>
      </c>
      <c r="BA117" s="77">
        <f>MAX(Tabella34[[#This Row],[sel. region acc. fit]]-CIl,0)</f>
        <v>0</v>
      </c>
      <c r="BB117" s="10">
        <f>Tabella8[[#This Row],[rest of Italy ]]</f>
        <v>67677</v>
      </c>
      <c r="BC117" s="10">
        <f>(Tabella34[[#This Row],[rest of Italy cum. Data]]-BB116)</f>
        <v>2412</v>
      </c>
      <c r="BD117" s="10">
        <f>Tabella34[[#This Row],[rest of Italy rate data]]-BC116</f>
        <v>-110</v>
      </c>
      <c r="BE117" s="77">
        <f>Tabella34[[#This Row],[rest of Italy rate data]]*NOT(ISBLANK(Tabella34[[#This Row],[rest of Italy rate data]]))</f>
        <v>2412</v>
      </c>
      <c r="BF117" s="77">
        <f>Tabella8[[#This Row],[rest of Italy fit]]</f>
        <v>68527.27569005503</v>
      </c>
      <c r="BG117" s="78">
        <f>(ATANH(alpha*Tabella34[[#This Row],[rest of Italy cumul. fit]]/Ka-(1-alpha*Tabella34[[#This Row],[rest of Italy cumul. fit]]/Ka)*TANH(phi_a))+phi_a)/psi_a-(Tabella34[[#This Row],[Day]]-pa)</f>
        <v>24.696886312976446</v>
      </c>
      <c r="BH117" s="77">
        <f>Tabella34[[#This Row],[rest of Italy cumul. fit]]/Ka</f>
        <v>0.31721184877125874</v>
      </c>
      <c r="BI117" s="143">
        <f>Tabella3[[#This Row],[rest of Italy fit]]</f>
        <v>2663.121717757861</v>
      </c>
      <c r="BJ117" s="183">
        <f>Tabella34[[#This Row],[rest of Italy velocity]]/Tabella34[[#This Row],[rest of Italy cumul. fit]]</f>
        <v>3.8862214949314619E-2</v>
      </c>
      <c r="BK117" s="236">
        <f>(LN(Tabella34[[#This Row],[Day]]-po)-phi_o)/psi_o</f>
        <v>99.480248937847151</v>
      </c>
      <c r="BL117" s="244">
        <f>EXP(phi_o+psi_o*Tabella34[[#This Row],[x_o_alpha©+plus]])-(Tabella34[[#This Row],[Day]]-po)</f>
        <v>-36.460781666949522</v>
      </c>
      <c r="BM117" s="244">
        <f>EXP(phi_o+psi_o*Tabella34[[#This Row],[x_o_alpha©-minus]])-(Tabella34[[#This Row],[Day]]-po)</f>
        <v>-37.08885305445515</v>
      </c>
      <c r="BN117" s="244">
        <f>-psi_o+SQRT(psi_o^2-2*Tabella34[[#This Row],[c_o]])</f>
        <v>3.6144714148730297</v>
      </c>
      <c r="BO117" s="244">
        <f>-psi_o-SQRT(psi_o^2-2*Tabella34[[#This Row],[c_o]])</f>
        <v>-3.663498500442659</v>
      </c>
      <c r="BP117" s="244">
        <f>phi_o-LN(alpha*Ko/(Tabella34[[#This Row],[rest of Italy velocity]]*psi_o*SQRTPI(2)))</f>
        <v>-6.6208053041400996</v>
      </c>
      <c r="BQ117" s="244">
        <f>(ACOSH(SQRT(alpha*Ka*psi_a/(Tabella34[[#This Row],[rest of Italy velocity]]*(1+TANH(phi_a)))))+phi_a)/psi_a-(Tabella34[[#This Row],[Day]]-pa)</f>
        <v>49.002672190263581</v>
      </c>
      <c r="BR117" s="72">
        <f>-2*$BY$35*TANH($BY$35*(Tabella34[[#This Row],[Day]]-$BY$44)-$BY$34)*Tabella34[[#This Row],[rest of Italy velocity]]</f>
        <v>34.401214393311328</v>
      </c>
      <c r="BS117" s="77">
        <f>Tabella34[[#This Row],[rest of Italy acc. fit]]/y_a_peak</f>
        <v>1.2020867748597477E-2</v>
      </c>
      <c r="BT117" s="77">
        <f>Tabella34[[#This Row],[rest of Italy acc. fit]]*NOT(ISBLANK(Tabella34[[#This Row],[rest of Italy rate data]]))</f>
        <v>34.401214393311328</v>
      </c>
      <c r="BU117" s="77">
        <f>Tabella34[[#This Row],[rest of Italy acc. fit]]+CIa</f>
        <v>1728.9754093028941</v>
      </c>
      <c r="BV117" s="77">
        <f>MAX(Tabella34[[#This Row],[rest of Italy acc. fit]]-CIa,0)</f>
        <v>0</v>
      </c>
    </row>
    <row r="118" spans="2:74" x14ac:dyDescent="0.3">
      <c r="B118" s="262">
        <v>43941</v>
      </c>
      <c r="C118" s="4">
        <v>111</v>
      </c>
      <c r="D118" s="10">
        <f>Tabella8[[#This Row],[Italy cumulative]]</f>
        <v>72991</v>
      </c>
      <c r="E118" s="72">
        <f>(Tabella34[[#This Row],[Italy cumul. data]]-D117)</f>
        <v>2276</v>
      </c>
      <c r="F118" s="72">
        <f>Tabella34[[#This Row],[Italy rate data]]-E117</f>
        <v>-285</v>
      </c>
      <c r="G118" s="77">
        <f>Tabella34[[#This Row],[Italy rate data]]*NOT(ISBLANK(Tabella34[[#This Row],[Italy rate data]]))</f>
        <v>2276</v>
      </c>
      <c r="H118" s="143">
        <f>Tabella8[[#This Row],[Italy fit]]</f>
        <v>74311.044875810316</v>
      </c>
      <c r="I118" s="143">
        <f>(ATANH(alpha*Tabella34[[#This Row],[Italy cumul. Fit]]/Kf-(1-alpha*Tabella34[[#This Row],[Italy cumul. Fit]]/Kf)*TANH(phi_f))+phi_f)/psi_f-(Tabella34[[#This Row],[Day]]-pf)</f>
        <v>25.707768643096983</v>
      </c>
      <c r="J118" s="143">
        <f>Tabella34[[#This Row],[Italy d.t.]]/Italy_dt_at_lockdown</f>
        <v>23.315324890404554</v>
      </c>
      <c r="K118" s="77">
        <f>Tabella34[[#This Row],[Italy cumul. Fit]]/Kf</f>
        <v>0.33027131055915698</v>
      </c>
      <c r="L118" s="146">
        <f>Tabella34[[#This Row],[sel. region acc. fit]]+Tabella34[[#This Row],[rest of Italy acc. fit]]</f>
        <v>33.262063504645418</v>
      </c>
      <c r="M118" s="77">
        <f>Tabella34[[#This Row],[Italy (fit of selected region + fitted sum of the other regions)]]/(y_l_peak+y_a_peak)</f>
        <v>1.1088867954117506E-2</v>
      </c>
      <c r="N118" s="143">
        <f>Tabella3[[#This Row],[Italy remov. rate fit]]</f>
        <v>2828.6563636607611</v>
      </c>
      <c r="O118" s="143">
        <f>Kt*EXP(-0.5*Tabella34[[#This Row],[x_t]]^2)/(psi_t*SQRTPI(2)*(Tabella34[[#This Row],[Day]]-D_bk))</f>
        <v>0</v>
      </c>
      <c r="P118" s="183">
        <f>Tabella34[[#This Row],[Italy velocity]]/Tabella34[[#This Row],[Italy cumul. Fit]]</f>
        <v>3.8065086668987794E-2</v>
      </c>
      <c r="Q118" s="244">
        <f>(LN(Tabella34[[#This Row],[Day]]-D_bk)-phi_t)/psi_t</f>
        <v>99.459518661785452</v>
      </c>
      <c r="R118" s="244">
        <f>EXP(phi_t+psi_t*Tabella34[[#This Row],[x_t_alpha©+plus]])-(Tabella34[[#This Row],[Day]]-D_bk)</f>
        <v>-37.297786130741017</v>
      </c>
      <c r="S118" s="244">
        <f>EXP(phi_t+psi_t*Tabella34[[#This Row],[x_t_alpha©-minus]])-(Tabella34[[#This Row],[Day]]-D_bk)</f>
        <v>-37.931134475624717</v>
      </c>
      <c r="T118" s="244">
        <f>-psi_t+SQRT(psi_t^2-2*Tabella34[[#This Row],[c_t]])</f>
        <v>3.6059613000434076</v>
      </c>
      <c r="U118" s="244">
        <f>-psi_t-SQRT(psi_t^2-2*Tabella34[[#This Row],[c_t]])</f>
        <v>-3.6553540344632127</v>
      </c>
      <c r="V118" s="244">
        <f>phi_t-LN(alpha*Kt/(Tabella34[[#This Row],[Italy velocity]]*psi_t*SQRTPI(2)))</f>
        <v>-6.59053259311594</v>
      </c>
      <c r="W118" s="244">
        <f>Tabella34[[#This Row],[Italy g.r.]]/Italy_gr_at_lockdown</f>
        <v>4.2946645438433621E-2</v>
      </c>
      <c r="X118" s="244">
        <f>(ACOSH(SQRT(alpha*Kf*psi_f/(Tabella34[[#This Row],[Italy velocity]]*(1+TANH(phi_f)))))+phi_f)/psi_f-(Tabella34[[#This Row],[Day]]-pf)</f>
        <v>47.269116389565767</v>
      </c>
      <c r="Y118" s="244">
        <f>Tabella34[[#This Row],[Italy h.t.]]/Italy_ht_at_lockdown</f>
        <v>0.40888963364281633</v>
      </c>
      <c r="Z118" s="72">
        <f>-2*$BY$48*TANH($BY$48*(Tabella34[[#This Row],[Day]]-$BY$57)-$BY$47)*Tabella34[[#This Row],[Italy velocity]]</f>
        <v>33.518877637103238</v>
      </c>
      <c r="AA118" s="72">
        <f>Tabella34[[#This Row],[Italy acc. fit]]/Itali_acc_at_lockdown</f>
        <v>0.92828044007297672</v>
      </c>
      <c r="AB118" s="77">
        <f>Tabella34[[#This Row],[Italy acc. fit]]/y_f_peak</f>
        <v>1.1167725241001394E-2</v>
      </c>
      <c r="AC118" s="143">
        <f>Tabella34[[#This Row],[Italy (fit of selected region + fitted sum of the other regions)]]*NOT(ISBLANK(Tabella34[[#This Row],[Italy rate data]]))</f>
        <v>33.262063504645418</v>
      </c>
      <c r="AD118" s="143">
        <f>Tabella34[[#This Row],[Italy acc. fit]]*NOT(ISBLANK(Tabella34[[#This Row],[Italy rate data]]))</f>
        <v>33.518877637103238</v>
      </c>
      <c r="AE118" s="77">
        <f>Tabella34[[#This Row],[Italy acc. fit]]+CIf</f>
        <v>1749.1337369716546</v>
      </c>
      <c r="AF118" s="77">
        <f>MAX(Tabella34[[#This Row],[Italy acc. fit]]-CIf,0)</f>
        <v>0</v>
      </c>
      <c r="AG118" s="4">
        <f>Tabella8[[#This Row],[region data]]</f>
        <v>3173</v>
      </c>
      <c r="AH118" s="72">
        <f>(Tabella34[[#This Row],[selected region cumul. data]]-AG117)</f>
        <v>135</v>
      </c>
      <c r="AI118" s="72">
        <f>Tabella34[[#This Row],[selected region rate data]]-AH117</f>
        <v>-14</v>
      </c>
      <c r="AJ118" s="77">
        <f>Tabella34[[#This Row],[selected region rate data]]*NOT(ISBLANK(Tabella34[[#This Row],[selected region rate data]]))</f>
        <v>135</v>
      </c>
      <c r="AK118" s="77">
        <f>Tabella8[[#This Row],[region fit]]</f>
        <v>3124.7473295525961</v>
      </c>
      <c r="AL118" s="143">
        <f>(ATANH(alpha*Tabella34[[#This Row],[sel. region cumul. fit]]/Kl-(1-alpha*Tabella34[[#This Row],[sel. region cumul. fit]]/Kl)*TANH(phi_l))+phi_l)/psi_l-(Tabella34[[#This Row],[Day]]-pl)</f>
        <v>23.937793389819262</v>
      </c>
      <c r="AM118" s="77">
        <f>Tabella34[[#This Row],[sel. region cumul. fit]]/Kl</f>
        <v>0.3483553321686283</v>
      </c>
      <c r="AN118" s="143">
        <f>Tabella3[[#This Row],[region fit]]</f>
        <v>132.48507128312363</v>
      </c>
      <c r="AO118" s="186">
        <f>Tabella34[[#This Row],[sel. region velocity]]/Tabella34[[#This Row],[sel. region cumul. fit]]</f>
        <v>4.2398650934151835E-2</v>
      </c>
      <c r="AP118" s="241">
        <f>(LN(Tabella34[[#This Row],[Day]]-pr)-phi_r)/psi_r</f>
        <v>84.004995512982873</v>
      </c>
      <c r="AQ118" s="244">
        <f>EXP(phi_r+psi_r*Tabella34[[#This Row],[x_r_alpha©+plus]])-(Tabella34[[#This Row],[Day]]-pr)</f>
        <v>-32.063656266552087</v>
      </c>
      <c r="AR118" s="244">
        <f>EXP(phi_r+psi_r*Tabella34[[#This Row],[x_r_alpha©-minus]])-(Tabella34[[#This Row],[Day]]-pr)</f>
        <v>-32.73674660559967</v>
      </c>
      <c r="AS118" s="244">
        <f>-psi_r+SQRT(psi_r^2-2*Tabella34[[#This Row],[c_r]])</f>
        <v>3.5356507954330119</v>
      </c>
      <c r="AT118" s="244">
        <f>-psi_r-SQRT(psi_r^2-2*Tabella34[[#This Row],[c_r]])</f>
        <v>-3.5920590338516729</v>
      </c>
      <c r="AU118" s="244">
        <f>phi_r-LN(alpha*Kr/(Tabella34[[#This Row],[sel. region velocity]]*psi_r*SQRTPI(2)))</f>
        <v>-6.350133190140002</v>
      </c>
      <c r="AV118" s="244">
        <f>(ACOSH(SQRT(alpha*Kl*psi_l/(Tabella34[[#This Row],[sel. region velocity]]*(1+TANH(phi_l)))))+phi_l)/psi_l-(Tabella34[[#This Row],[Day]]-pl)</f>
        <v>39.280851915614477</v>
      </c>
      <c r="AW118" s="72">
        <f>-2*$BY$22*TANH($BY$22*(Tabella34[[#This Row],[Day]]-$BY$31)-$BY$21)*Tabella34[[#This Row],[sel. region velocity]]</f>
        <v>1.4675915283128365</v>
      </c>
      <c r="AX118" s="77">
        <f>Tabella34[[#This Row],[sel. region acc. fit]]/y_l_peak</f>
        <v>1.0650212100787563E-2</v>
      </c>
      <c r="AY118" s="143">
        <f>Tabella34[[#This Row],[sel. region acc. fit]]*NOT(ISBLANK(Tabella34[[#This Row],[selected region rate data]]))</f>
        <v>1.4675915283128365</v>
      </c>
      <c r="AZ118" s="77">
        <f>Tabella34[[#This Row],[sel. region acc. fit]]+CIl</f>
        <v>55.232431937861293</v>
      </c>
      <c r="BA118" s="77">
        <f>MAX(Tabella34[[#This Row],[sel. region acc. fit]]-CIl,0)</f>
        <v>0</v>
      </c>
      <c r="BB118" s="10">
        <f>Tabella8[[#This Row],[rest of Italy ]]</f>
        <v>69818</v>
      </c>
      <c r="BC118" s="10">
        <f>(Tabella34[[#This Row],[rest of Italy cum. Data]]-BB117)</f>
        <v>2141</v>
      </c>
      <c r="BD118" s="10">
        <f>Tabella34[[#This Row],[rest of Italy rate data]]-BC117</f>
        <v>-271</v>
      </c>
      <c r="BE118" s="77">
        <f>Tabella34[[#This Row],[rest of Italy rate data]]*NOT(ISBLANK(Tabella34[[#This Row],[rest of Italy rate data]]))</f>
        <v>2141</v>
      </c>
      <c r="BF118" s="77">
        <f>Tabella8[[#This Row],[rest of Italy fit]]</f>
        <v>71207.169569729391</v>
      </c>
      <c r="BG118" s="78">
        <f>(ATANH(alpha*Tabella34[[#This Row],[rest of Italy cumul. fit]]/Ka-(1-alpha*Tabella34[[#This Row],[rest of Italy cumul. fit]]/Ka)*TANH(phi_a))+phi_a)/psi_a-(Tabella34[[#This Row],[Day]]-pa)</f>
        <v>25.825910272521014</v>
      </c>
      <c r="BH118" s="77">
        <f>Tabella34[[#This Row],[rest of Italy cumul. fit]]/Ka</f>
        <v>0.32961704193736702</v>
      </c>
      <c r="BI118" s="143">
        <f>Tabella3[[#This Row],[rest of Italy fit]]</f>
        <v>2696.2315607021442</v>
      </c>
      <c r="BJ118" s="183">
        <f>Tabella34[[#This Row],[rest of Italy velocity]]/Tabella34[[#This Row],[rest of Italy cumul. fit]]</f>
        <v>3.7864607974087049E-2</v>
      </c>
      <c r="BK118" s="236">
        <f>(LN(Tabella34[[#This Row],[Day]]-po)-phi_o)/psi_o</f>
        <v>100.48003483048328</v>
      </c>
      <c r="BL118" s="244">
        <f>EXP(phi_o+psi_o*Tabella34[[#This Row],[x_o_alpha©+plus]])-(Tabella34[[#This Row],[Day]]-po)</f>
        <v>-37.461101739612737</v>
      </c>
      <c r="BM118" s="244">
        <f>EXP(phi_o+psi_o*Tabella34[[#This Row],[x_o_alpha©-minus]])-(Tabella34[[#This Row],[Day]]-po)</f>
        <v>-38.088585259260434</v>
      </c>
      <c r="BN118" s="244">
        <f>-psi_o+SQRT(psi_o^2-2*Tabella34[[#This Row],[c_o]])</f>
        <v>3.6110743585026195</v>
      </c>
      <c r="BO118" s="244">
        <f>-psi_o-SQRT(psi_o^2-2*Tabella34[[#This Row],[c_o]])</f>
        <v>-3.6601014440722488</v>
      </c>
      <c r="BP118" s="244">
        <f>phi_o-LN(alpha*Ko/(Tabella34[[#This Row],[rest of Italy velocity]]*psi_o*SQRTPI(2)))</f>
        <v>-6.6084492371038532</v>
      </c>
      <c r="BQ118" s="244">
        <f>(ACOSH(SQRT(alpha*Ka*psi_a/(Tabella34[[#This Row],[rest of Italy velocity]]*(1+TANH(phi_a)))))+phi_a)/psi_a-(Tabella34[[#This Row],[Day]]-pa)</f>
        <v>47.65708175353447</v>
      </c>
      <c r="BR118" s="72">
        <f>-2*$BY$35*TANH($BY$35*(Tabella34[[#This Row],[Day]]-$BY$44)-$BY$34)*Tabella34[[#This Row],[rest of Italy velocity]]</f>
        <v>31.794471976332584</v>
      </c>
      <c r="BS118" s="77">
        <f>Tabella34[[#This Row],[rest of Italy acc. fit]]/y_a_peak</f>
        <v>1.1109989850773806E-2</v>
      </c>
      <c r="BT118" s="77">
        <f>Tabella34[[#This Row],[rest of Italy acc. fit]]*NOT(ISBLANK(Tabella34[[#This Row],[rest of Italy rate data]]))</f>
        <v>31.794471976332584</v>
      </c>
      <c r="BU118" s="77">
        <f>Tabella34[[#This Row],[rest of Italy acc. fit]]+CIa</f>
        <v>1726.3686668859152</v>
      </c>
      <c r="BV118" s="77">
        <f>MAX(Tabella34[[#This Row],[rest of Italy acc. fit]]-CIa,0)</f>
        <v>0</v>
      </c>
    </row>
    <row r="119" spans="2:74" x14ac:dyDescent="0.3">
      <c r="B119" s="262">
        <v>43942</v>
      </c>
      <c r="C119" s="4">
        <v>112</v>
      </c>
      <c r="D119" s="10">
        <f>Tabella8[[#This Row],[Italy cumulative]]</f>
        <v>76248</v>
      </c>
      <c r="E119" s="72">
        <f>(Tabella34[[#This Row],[Italy cumul. data]]-D118)</f>
        <v>3257</v>
      </c>
      <c r="F119" s="72">
        <f>Tabella34[[#This Row],[Italy rate data]]-E118</f>
        <v>981</v>
      </c>
      <c r="G119" s="77">
        <f>Tabella34[[#This Row],[Italy rate data]]*NOT(ISBLANK(Tabella34[[#This Row],[Italy rate data]]))</f>
        <v>3257</v>
      </c>
      <c r="H119" s="143">
        <f>Tabella8[[#This Row],[Italy fit]]</f>
        <v>77155.978759027974</v>
      </c>
      <c r="I119" s="143">
        <f>(ATANH(alpha*Tabella34[[#This Row],[Italy cumul. Fit]]/Kf-(1-alpha*Tabella34[[#This Row],[Italy cumul. Fit]]/Kf)*TANH(phi_f))+phi_f)/psi_f-(Tabella34[[#This Row],[Day]]-pf)</f>
        <v>26.954709009100483</v>
      </c>
      <c r="J119" s="143">
        <f>Tabella34[[#This Row],[Italy d.t.]]/Italy_dt_at_lockdown</f>
        <v>24.446221163665445</v>
      </c>
      <c r="K119" s="77">
        <f>Tabella34[[#This Row],[Italy cumul. Fit]]/Kf</f>
        <v>0.34291546115123545</v>
      </c>
      <c r="L119" s="146">
        <f>Tabella34[[#This Row],[sel. region acc. fit]]+Tabella34[[#This Row],[rest of Italy acc. fit]]</f>
        <v>30.325218998372531</v>
      </c>
      <c r="M119" s="77">
        <f>Tabella34[[#This Row],[Italy (fit of selected region + fitted sum of the other regions)]]/(y_l_peak+y_a_peak)</f>
        <v>1.0109786156402605E-2</v>
      </c>
      <c r="N119" s="143">
        <f>Tabella3[[#This Row],[Italy remov. rate fit]]</f>
        <v>2860.7234294210716</v>
      </c>
      <c r="O119" s="143">
        <f>Kt*EXP(-0.5*Tabella34[[#This Row],[x_t]]^2)/(psi_t*SQRTPI(2)*(Tabella34[[#This Row],[Day]]-D_bk))</f>
        <v>0</v>
      </c>
      <c r="P119" s="183">
        <f>Tabella34[[#This Row],[Italy velocity]]/Tabella34[[#This Row],[Italy cumul. Fit]]</f>
        <v>3.7077145224942661E-2</v>
      </c>
      <c r="Q119" s="244">
        <f>(LN(Tabella34[[#This Row],[Day]]-D_bk)-phi_t)/psi_t</f>
        <v>100.43162392472649</v>
      </c>
      <c r="R119" s="244">
        <f>EXP(phi_t+psi_t*Tabella34[[#This Row],[x_t_alpha©+plus]])-(Tabella34[[#This Row],[Day]]-D_bk)</f>
        <v>-38.29808206750851</v>
      </c>
      <c r="S119" s="244">
        <f>EXP(phi_t+psi_t*Tabella34[[#This Row],[x_t_alpha©-minus]])-(Tabella34[[#This Row],[Day]]-D_bk)</f>
        <v>-38.93088710334429</v>
      </c>
      <c r="T119" s="244">
        <f>-psi_t+SQRT(psi_t^2-2*Tabella34[[#This Row],[c_t]])</f>
        <v>3.6028551000880649</v>
      </c>
      <c r="U119" s="244">
        <f>-psi_t-SQRT(psi_t^2-2*Tabella34[[#This Row],[c_t]])</f>
        <v>-3.6522478345078699</v>
      </c>
      <c r="V119" s="244">
        <f>phi_t-LN(alpha*Kt/(Tabella34[[#This Row],[Italy velocity]]*psi_t*SQRTPI(2)))</f>
        <v>-6.5792598686711345</v>
      </c>
      <c r="W119" s="244">
        <f>Tabella34[[#This Row],[Italy g.r.]]/Italy_gr_at_lockdown</f>
        <v>4.1832007994407838E-2</v>
      </c>
      <c r="X119" s="244">
        <f>(ACOSH(SQRT(alpha*Kf*psi_f/(Tabella34[[#This Row],[Italy velocity]]*(1+TANH(phi_f)))))+phi_f)/psi_f-(Tabella34[[#This Row],[Day]]-pf)</f>
        <v>45.954466154002745</v>
      </c>
      <c r="Y119" s="244">
        <f>Tabella34[[#This Row],[Italy h.t.]]/Italy_ht_at_lockdown</f>
        <v>0.39751758156641104</v>
      </c>
      <c r="Z119" s="72">
        <f>-2*$BY$48*TANH($BY$48*(Tabella34[[#This Row],[Day]]-$BY$57)-$BY$47)*Tabella34[[#This Row],[Italy velocity]]</f>
        <v>30.591215200804971</v>
      </c>
      <c r="AA119" s="72">
        <f>Tabella34[[#This Row],[Italy acc. fit]]/Itali_acc_at_lockdown</f>
        <v>0.84720100166887669</v>
      </c>
      <c r="AB119" s="77">
        <f>Tabella34[[#This Row],[Italy acc. fit]]/y_f_peak</f>
        <v>1.019229491660449E-2</v>
      </c>
      <c r="AC119" s="143">
        <f>Tabella34[[#This Row],[Italy (fit of selected region + fitted sum of the other regions)]]*NOT(ISBLANK(Tabella34[[#This Row],[Italy rate data]]))</f>
        <v>30.325218998372531</v>
      </c>
      <c r="AD119" s="143">
        <f>Tabella34[[#This Row],[Italy acc. fit]]*NOT(ISBLANK(Tabella34[[#This Row],[Italy rate data]]))</f>
        <v>30.591215200804971</v>
      </c>
      <c r="AE119" s="77">
        <f>Tabella34[[#This Row],[Italy acc. fit]]+CIf</f>
        <v>1746.2060745353563</v>
      </c>
      <c r="AF119" s="77">
        <f>MAX(Tabella34[[#This Row],[Italy acc. fit]]-CIf,0)</f>
        <v>0</v>
      </c>
      <c r="AG119" s="4">
        <f>Tabella8[[#This Row],[region data]]</f>
        <v>3301</v>
      </c>
      <c r="AH119" s="72">
        <f>(Tabella34[[#This Row],[selected region cumul. data]]-AG118)</f>
        <v>128</v>
      </c>
      <c r="AI119" s="72">
        <f>Tabella34[[#This Row],[selected region rate data]]-AH118</f>
        <v>-7</v>
      </c>
      <c r="AJ119" s="77">
        <f>Tabella34[[#This Row],[selected region rate data]]*NOT(ISBLANK(Tabella34[[#This Row],[selected region rate data]]))</f>
        <v>128</v>
      </c>
      <c r="AK119" s="77">
        <f>Tabella8[[#This Row],[region fit]]</f>
        <v>3257.9347730628738</v>
      </c>
      <c r="AL119" s="143">
        <f>(ATANH(alpha*Tabella34[[#This Row],[sel. region cumul. fit]]/Kl-(1-alpha*Tabella34[[#This Row],[sel. region cumul. fit]]/Kl)*TANH(phi_l))+phi_l)/psi_l-(Tabella34[[#This Row],[Day]]-pl)</f>
        <v>25.421951755678755</v>
      </c>
      <c r="AM119" s="77">
        <f>Tabella34[[#This Row],[sel. region cumul. fit]]/Kl</f>
        <v>0.36320343066475741</v>
      </c>
      <c r="AN119" s="143">
        <f>Tabella3[[#This Row],[region fit]]</f>
        <v>133.85804215624799</v>
      </c>
      <c r="AO119" s="186">
        <f>Tabella34[[#This Row],[sel. region velocity]]/Tabella34[[#This Row],[sel. region cumul. fit]]</f>
        <v>4.108677781489295E-2</v>
      </c>
      <c r="AP119" s="241">
        <f>(LN(Tabella34[[#This Row],[Day]]-pr)-phi_r)/psi_r</f>
        <v>84.98288819557024</v>
      </c>
      <c r="AQ119" s="244">
        <f>EXP(phi_r+psi_r*Tabella34[[#This Row],[x_r_alpha©+plus]])-(Tabella34[[#This Row],[Day]]-pr)</f>
        <v>-33.063957940560563</v>
      </c>
      <c r="AR119" s="244">
        <f>EXP(phi_r+psi_r*Tabella34[[#This Row],[x_r_alpha©-minus]])-(Tabella34[[#This Row],[Day]]-pr)</f>
        <v>-33.736499850131366</v>
      </c>
      <c r="AS119" s="244">
        <f>-psi_r+SQRT(psi_r^2-2*Tabella34[[#This Row],[c_r]])</f>
        <v>3.5327567186312461</v>
      </c>
      <c r="AT119" s="244">
        <f>-psi_r-SQRT(psi_r^2-2*Tabella34[[#This Row],[c_r]])</f>
        <v>-3.5891649570499071</v>
      </c>
      <c r="AU119" s="244">
        <f>phi_r-LN(alpha*Kr/(Tabella34[[#This Row],[sel. region velocity]]*psi_r*SQRTPI(2)))</f>
        <v>-6.3398233081469435</v>
      </c>
      <c r="AV119" s="244">
        <f>(ACOSH(SQRT(alpha*Kl*psi_l/(Tabella34[[#This Row],[sel. region velocity]]*(1+TANH(phi_l)))))+phi_l)/psi_l-(Tabella34[[#This Row],[Day]]-pl)</f>
        <v>38.026606618806028</v>
      </c>
      <c r="AW119" s="72">
        <f>-2*$BY$22*TANH($BY$22*(Tabella34[[#This Row],[Day]]-$BY$31)-$BY$21)*Tabella34[[#This Row],[sel. region velocity]]</f>
        <v>1.2769670698494591</v>
      </c>
      <c r="AX119" s="77">
        <f>Tabella34[[#This Row],[sel. region acc. fit]]/y_l_peak</f>
        <v>9.2668633453156131E-3</v>
      </c>
      <c r="AY119" s="143">
        <f>Tabella34[[#This Row],[sel. region acc. fit]]*NOT(ISBLANK(Tabella34[[#This Row],[selected region rate data]]))</f>
        <v>1.2769670698494591</v>
      </c>
      <c r="AZ119" s="77">
        <f>Tabella34[[#This Row],[sel. region acc. fit]]+CIl</f>
        <v>55.041807479397917</v>
      </c>
      <c r="BA119" s="77">
        <f>MAX(Tabella34[[#This Row],[sel. region acc. fit]]-CIl,0)</f>
        <v>0</v>
      </c>
      <c r="BB119" s="10">
        <f>Tabella8[[#This Row],[rest of Italy ]]</f>
        <v>72947</v>
      </c>
      <c r="BC119" s="10">
        <f>(Tabella34[[#This Row],[rest of Italy cum. Data]]-BB118)</f>
        <v>3129</v>
      </c>
      <c r="BD119" s="10">
        <f>Tabella34[[#This Row],[rest of Italy rate data]]-BC118</f>
        <v>988</v>
      </c>
      <c r="BE119" s="77">
        <f>Tabella34[[#This Row],[rest of Italy rate data]]*NOT(ISBLANK(Tabella34[[#This Row],[rest of Italy rate data]]))</f>
        <v>3129</v>
      </c>
      <c r="BF119" s="77">
        <f>Tabella8[[#This Row],[rest of Italy fit]]</f>
        <v>73918.846293012437</v>
      </c>
      <c r="BG119" s="78">
        <f>(ATANH(alpha*Tabella34[[#This Row],[rest of Italy cumul. fit]]/Ka-(1-alpha*Tabella34[[#This Row],[rest of Italy cumul. fit]]/Ka)*TANH(phi_a))+phi_a)/psi_a-(Tabella34[[#This Row],[Day]]-pa)</f>
        <v>27.067256025299002</v>
      </c>
      <c r="BH119" s="77">
        <f>Tabella34[[#This Row],[rest of Italy cumul. fit]]/Ka</f>
        <v>0.34216935746429866</v>
      </c>
      <c r="BI119" s="143">
        <f>Tabella3[[#This Row],[rest of Italy fit]]</f>
        <v>2726.6641552165006</v>
      </c>
      <c r="BJ119" s="183">
        <f>Tabella34[[#This Row],[rest of Italy velocity]]/Tabella34[[#This Row],[rest of Italy cumul. fit]]</f>
        <v>3.6887266129777954E-2</v>
      </c>
      <c r="BK119" s="236">
        <f>(LN(Tabella34[[#This Row],[Day]]-po)-phi_o)/psi_o</f>
        <v>101.45590269774037</v>
      </c>
      <c r="BL119" s="244">
        <f>EXP(phi_o+psi_o*Tabella34[[#This Row],[x_o_alpha©+plus]])-(Tabella34[[#This Row],[Day]]-po)</f>
        <v>-38.46139271982107</v>
      </c>
      <c r="BM119" s="244">
        <f>EXP(phi_o+psi_o*Tabella34[[#This Row],[x_o_alpha©-minus]])-(Tabella34[[#This Row],[Day]]-po)</f>
        <v>-39.088341766141291</v>
      </c>
      <c r="BN119" s="244">
        <f>-psi_o+SQRT(psi_o^2-2*Tabella34[[#This Row],[c_o]])</f>
        <v>3.6079858262302018</v>
      </c>
      <c r="BO119" s="244">
        <f>-psi_o-SQRT(psi_o^2-2*Tabella34[[#This Row],[c_o]])</f>
        <v>-3.6570129117998311</v>
      </c>
      <c r="BP119" s="244">
        <f>phi_o-LN(alpha*Ko/(Tabella34[[#This Row],[rest of Italy velocity]]*psi_o*SQRTPI(2)))</f>
        <v>-6.597225376057315</v>
      </c>
      <c r="BQ119" s="244">
        <f>(ACOSH(SQRT(alpha*Ka*psi_a/(Tabella34[[#This Row],[rest of Italy velocity]]*(1+TANH(phi_a)))))+phi_a)/psi_a-(Tabella34[[#This Row],[Day]]-pa)</f>
        <v>46.34150695093409</v>
      </c>
      <c r="BR119" s="72">
        <f>-2*$BY$35*TANH($BY$35*(Tabella34[[#This Row],[Day]]-$BY$44)-$BY$34)*Tabella34[[#This Row],[rest of Italy velocity]]</f>
        <v>29.048251928523072</v>
      </c>
      <c r="BS119" s="77">
        <f>Tabella34[[#This Row],[rest of Italy acc. fit]]/y_a_peak</f>
        <v>1.0150374075998026E-2</v>
      </c>
      <c r="BT119" s="77">
        <f>Tabella34[[#This Row],[rest of Italy acc. fit]]*NOT(ISBLANK(Tabella34[[#This Row],[rest of Italy rate data]]))</f>
        <v>29.048251928523072</v>
      </c>
      <c r="BU119" s="77">
        <f>Tabella34[[#This Row],[rest of Italy acc. fit]]+CIa</f>
        <v>1723.6224468381058</v>
      </c>
      <c r="BV119" s="77">
        <f>MAX(Tabella34[[#This Row],[rest of Italy acc. fit]]-CIa,0)</f>
        <v>0</v>
      </c>
    </row>
    <row r="120" spans="2:74" x14ac:dyDescent="0.3">
      <c r="B120" s="262">
        <v>43943</v>
      </c>
      <c r="C120" s="4">
        <v>113</v>
      </c>
      <c r="D120" s="10">
        <f>Tabella8[[#This Row],[Italy cumulative]]</f>
        <v>79628</v>
      </c>
      <c r="E120" s="72">
        <f>(Tabella34[[#This Row],[Italy cumul. data]]-D119)</f>
        <v>3380</v>
      </c>
      <c r="F120" s="72">
        <f>Tabella34[[#This Row],[Italy rate data]]-E119</f>
        <v>123</v>
      </c>
      <c r="G120" s="77">
        <f>Tabella34[[#This Row],[Italy rate data]]*NOT(ISBLANK(Tabella34[[#This Row],[Italy rate data]]))</f>
        <v>3380</v>
      </c>
      <c r="H120" s="143">
        <f>Tabella8[[#This Row],[Italy fit]]</f>
        <v>80031.492296992452</v>
      </c>
      <c r="I120" s="143">
        <f>(ATANH(alpha*Tabella34[[#This Row],[Italy cumul. Fit]]/Kf-(1-alpha*Tabella34[[#This Row],[Italy cumul. Fit]]/Kf)*TANH(phi_f))+phi_f)/psi_f-(Tabella34[[#This Row],[Day]]-pf)</f>
        <v>28.337191311383236</v>
      </c>
      <c r="J120" s="143">
        <f>Tabella34[[#This Row],[Italy d.t.]]/Italy_dt_at_lockdown</f>
        <v>25.700045425134828</v>
      </c>
      <c r="K120" s="77">
        <f>Tabella34[[#This Row],[Italy cumul. Fit]]/Kf</f>
        <v>0.35569552131996646</v>
      </c>
      <c r="L120" s="146">
        <f>Tabella34[[#This Row],[sel. region acc. fit]]+Tabella34[[#This Row],[rest of Italy acc. fit]]</f>
        <v>27.250951291034635</v>
      </c>
      <c r="M120" s="77">
        <f>Tabella34[[#This Row],[Italy (fit of selected region + fitted sum of the other regions)]]/(y_l_peak+y_a_peak)</f>
        <v>9.0848903721252282E-3</v>
      </c>
      <c r="N120" s="143">
        <f>Tabella3[[#This Row],[Italy remov. rate fit]]</f>
        <v>2889.7925594679014</v>
      </c>
      <c r="O120" s="143">
        <f>Kt*EXP(-0.5*Tabella34[[#This Row],[x_t]]^2)/(psi_t*SQRTPI(2)*(Tabella34[[#This Row],[Day]]-D_bk))</f>
        <v>0</v>
      </c>
      <c r="P120" s="183">
        <f>Tabella34[[#This Row],[Italy velocity]]/Tabella34[[#This Row],[Italy cumul. Fit]]</f>
        <v>3.6108192869177554E-2</v>
      </c>
      <c r="Q120" s="244">
        <f>(LN(Tabella34[[#This Row],[Day]]-D_bk)-phi_t)/psi_t</f>
        <v>101.38093750282043</v>
      </c>
      <c r="R120" s="244">
        <f>EXP(phi_t+psi_t*Tabella34[[#This Row],[x_t_alpha©+plus]])-(Tabella34[[#This Row],[Day]]-D_bk)</f>
        <v>-39.298347681023543</v>
      </c>
      <c r="S120" s="244">
        <f>EXP(phi_t+psi_t*Tabella34[[#This Row],[x_t_alpha©-minus]])-(Tabella34[[#This Row],[Day]]-D_bk)</f>
        <v>-39.930665045818927</v>
      </c>
      <c r="T120" s="244">
        <f>-psi_t+SQRT(psi_t^2-2*Tabella34[[#This Row],[c_t]])</f>
        <v>3.6000669749481817</v>
      </c>
      <c r="U120" s="244">
        <f>-psi_t-SQRT(psi_t^2-2*Tabella34[[#This Row],[c_t]])</f>
        <v>-3.6494597093679868</v>
      </c>
      <c r="V120" s="244">
        <f>phi_t-LN(alpha*Kt/(Tabella34[[#This Row],[Italy velocity]]*psi_t*SQRTPI(2)))</f>
        <v>-6.5691496880498388</v>
      </c>
      <c r="W120" s="244">
        <f>Tabella34[[#This Row],[Italy g.r.]]/Italy_gr_at_lockdown</f>
        <v>4.0738794845265526E-2</v>
      </c>
      <c r="X120" s="244">
        <f>(ACOSH(SQRT(alpha*Kf*psi_f/(Tabella34[[#This Row],[Italy velocity]]*(1+TANH(phi_f)))))+phi_f)/psi_f-(Tabella34[[#This Row],[Day]]-pf)</f>
        <v>44.670889627621619</v>
      </c>
      <c r="Y120" s="244">
        <f>Tabella34[[#This Row],[Italy h.t.]]/Italy_ht_at_lockdown</f>
        <v>0.38641432481629434</v>
      </c>
      <c r="Z120" s="72">
        <f>-2*$BY$48*TANH($BY$48*(Tabella34[[#This Row],[Day]]-$BY$57)-$BY$47)*Tabella34[[#This Row],[Italy velocity]]</f>
        <v>27.524892302476065</v>
      </c>
      <c r="AA120" s="72">
        <f>Tabella34[[#This Row],[Italy acc. fit]]/Itali_acc_at_lockdown</f>
        <v>0.76228146467591329</v>
      </c>
      <c r="AB120" s="77">
        <f>Tabella34[[#This Row],[Italy acc. fit]]/y_f_peak</f>
        <v>9.1706660900228217E-3</v>
      </c>
      <c r="AC120" s="143">
        <f>Tabella34[[#This Row],[Italy (fit of selected region + fitted sum of the other regions)]]*NOT(ISBLANK(Tabella34[[#This Row],[Italy rate data]]))</f>
        <v>27.250951291034635</v>
      </c>
      <c r="AD120" s="143">
        <f>Tabella34[[#This Row],[Italy acc. fit]]*NOT(ISBLANK(Tabella34[[#This Row],[Italy rate data]]))</f>
        <v>27.524892302476065</v>
      </c>
      <c r="AE120" s="77">
        <f>Tabella34[[#This Row],[Italy acc. fit]]+CIf</f>
        <v>1743.1397516370273</v>
      </c>
      <c r="AF120" s="77">
        <f>MAX(Tabella34[[#This Row],[Italy acc. fit]]-CIf,0)</f>
        <v>0</v>
      </c>
      <c r="AG120" s="4">
        <f>Tabella8[[#This Row],[region data]]</f>
        <v>3442</v>
      </c>
      <c r="AH120" s="72">
        <f>(Tabella34[[#This Row],[selected region cumul. data]]-AG119)</f>
        <v>141</v>
      </c>
      <c r="AI120" s="72">
        <f>Tabella34[[#This Row],[selected region rate data]]-AH119</f>
        <v>13</v>
      </c>
      <c r="AJ120" s="77">
        <f>Tabella34[[#This Row],[selected region rate data]]*NOT(ISBLANK(Tabella34[[#This Row],[selected region rate data]]))</f>
        <v>141</v>
      </c>
      <c r="AK120" s="77">
        <f>Tabella8[[#This Row],[region fit]]</f>
        <v>3392.3985357762895</v>
      </c>
      <c r="AL120" s="143">
        <f>(ATANH(alpha*Tabella34[[#This Row],[sel. region cumul. fit]]/Kl-(1-alpha*Tabella34[[#This Row],[sel. region cumul. fit]]/Kl)*TANH(phi_l))+phi_l)/psi_l-(Tabella34[[#This Row],[Day]]-pl)</f>
        <v>27.119361891049522</v>
      </c>
      <c r="AM120" s="77">
        <f>Tabella34[[#This Row],[sel. region cumul. fit]]/Kl</f>
        <v>0.37819381669746815</v>
      </c>
      <c r="AN120" s="143">
        <f>Tabella3[[#This Row],[region fit]]</f>
        <v>135.03641450576106</v>
      </c>
      <c r="AO120" s="186">
        <f>Tabella34[[#This Row],[sel. region velocity]]/Tabella34[[#This Row],[sel. region cumul. fit]]</f>
        <v>3.9805586838239926E-2</v>
      </c>
      <c r="AP120" s="241">
        <f>(LN(Tabella34[[#This Row],[Day]]-pr)-phi_r)/psi_r</f>
        <v>85.934532340747168</v>
      </c>
      <c r="AQ120" s="244">
        <f>EXP(phi_r+psi_r*Tabella34[[#This Row],[x_r_alpha©+plus]])-(Tabella34[[#This Row],[Day]]-pr)</f>
        <v>-34.064214572956573</v>
      </c>
      <c r="AR120" s="244">
        <f>EXP(phi_r+psi_r*Tabella34[[#This Row],[x_r_alpha©-minus]])-(Tabella34[[#This Row],[Day]]-pr)</f>
        <v>-34.736289904917491</v>
      </c>
      <c r="AS120" s="244">
        <f>-psi_r+SQRT(psi_r^2-2*Tabella34[[#This Row],[c_r]])</f>
        <v>3.5302945576716396</v>
      </c>
      <c r="AT120" s="244">
        <f>-psi_r-SQRT(psi_r^2-2*Tabella34[[#This Row],[c_r]])</f>
        <v>-3.5867027960903006</v>
      </c>
      <c r="AU120" s="244">
        <f>phi_r-LN(alpha*Kr/(Tabella34[[#This Row],[sel. region velocity]]*psi_r*SQRTPI(2)))</f>
        <v>-6.33105868051162</v>
      </c>
      <c r="AV120" s="244">
        <f>(ACOSH(SQRT(alpha*Kl*psi_l/(Tabella34[[#This Row],[sel. region velocity]]*(1+TANH(phi_l)))))+phi_l)/psi_l-(Tabella34[[#This Row],[Day]]-pl)</f>
        <v>36.809493262584525</v>
      </c>
      <c r="AW120" s="72">
        <f>-2*$BY$22*TANH($BY$22*(Tabella34[[#This Row],[Day]]-$BY$31)-$BY$21)*Tabella34[[#This Row],[sel. region velocity]]</f>
        <v>1.0785731580765308</v>
      </c>
      <c r="AX120" s="77">
        <f>Tabella34[[#This Row],[sel. region acc. fit]]/y_l_peak</f>
        <v>7.8271321945670921E-3</v>
      </c>
      <c r="AY120" s="143">
        <f>Tabella34[[#This Row],[sel. region acc. fit]]*NOT(ISBLANK(Tabella34[[#This Row],[selected region rate data]]))</f>
        <v>1.0785731580765308</v>
      </c>
      <c r="AZ120" s="77">
        <f>Tabella34[[#This Row],[sel. region acc. fit]]+CIl</f>
        <v>54.843413567624985</v>
      </c>
      <c r="BA120" s="77">
        <f>MAX(Tabella34[[#This Row],[sel. region acc. fit]]-CIl,0)</f>
        <v>0</v>
      </c>
      <c r="BB120" s="10">
        <f>Tabella8[[#This Row],[rest of Italy ]]</f>
        <v>76186</v>
      </c>
      <c r="BC120" s="10">
        <f>(Tabella34[[#This Row],[rest of Italy cum. Data]]-BB119)</f>
        <v>3239</v>
      </c>
      <c r="BD120" s="10">
        <f>Tabella34[[#This Row],[rest of Italy rate data]]-BC119</f>
        <v>110</v>
      </c>
      <c r="BE120" s="77">
        <f>Tabella34[[#This Row],[rest of Italy rate data]]*NOT(ISBLANK(Tabella34[[#This Row],[rest of Italy rate data]]))</f>
        <v>3239</v>
      </c>
      <c r="BF120" s="77">
        <f>Tabella8[[#This Row],[rest of Italy fit]]</f>
        <v>76659.560458759966</v>
      </c>
      <c r="BG120" s="78">
        <f>(ATANH(alpha*Tabella34[[#This Row],[rest of Italy cumul. fit]]/Ka-(1-alpha*Tabella34[[#This Row],[rest of Italy cumul. fit]]/Ka)*TANH(phi_a))+phi_a)/psi_a-(Tabella34[[#This Row],[Day]]-pa)</f>
        <v>28.441871506030452</v>
      </c>
      <c r="BH120" s="77">
        <f>Tabella34[[#This Row],[rest of Italy cumul. fit]]/Ka</f>
        <v>0.3548560869266304</v>
      </c>
      <c r="BI120" s="143">
        <f>Tabella3[[#This Row],[rest of Italy fit]]</f>
        <v>2754.2848333505026</v>
      </c>
      <c r="BJ120" s="183">
        <f>Tabella34[[#This Row],[rest of Italy velocity]]/Tabella34[[#This Row],[rest of Italy cumul. fit]]</f>
        <v>3.592878457517646E-2</v>
      </c>
      <c r="BK120" s="236">
        <f>(LN(Tabella34[[#This Row],[Day]]-po)-phi_o)/psi_o</f>
        <v>102.40897024161993</v>
      </c>
      <c r="BL120" s="244">
        <f>EXP(phi_o+psi_o*Tabella34[[#This Row],[x_o_alpha©+plus]])-(Tabella34[[#This Row],[Day]]-po)</f>
        <v>-39.461654208416952</v>
      </c>
      <c r="BM120" s="244">
        <f>EXP(phi_o+psi_o*Tabella34[[#This Row],[x_o_alpha©-minus]])-(Tabella34[[#This Row],[Day]]-po)</f>
        <v>-40.088122920235193</v>
      </c>
      <c r="BN120" s="244">
        <f>-psi_o+SQRT(psi_o^2-2*Tabella34[[#This Row],[c_o]])</f>
        <v>3.6052101253580404</v>
      </c>
      <c r="BO120" s="244">
        <f>-psi_o-SQRT(psi_o^2-2*Tabella34[[#This Row],[c_o]])</f>
        <v>-3.6542372109276697</v>
      </c>
      <c r="BP120" s="244">
        <f>phi_o-LN(alpha*Ko/(Tabella34[[#This Row],[rest of Italy velocity]]*psi_o*SQRTPI(2)))</f>
        <v>-6.5871464966482804</v>
      </c>
      <c r="BQ120" s="244">
        <f>(ACOSH(SQRT(alpha*Ka*psi_a/(Tabella34[[#This Row],[rest of Italy velocity]]*(1+TANH(phi_a)))))+phi_a)/psi_a-(Tabella34[[#This Row],[Day]]-pa)</f>
        <v>45.056749478176442</v>
      </c>
      <c r="BR120" s="72">
        <f>-2*$BY$35*TANH($BY$35*(Tabella34[[#This Row],[Day]]-$BY$44)-$BY$34)*Tabella34[[#This Row],[rest of Italy velocity]]</f>
        <v>26.172378132958105</v>
      </c>
      <c r="BS120" s="77">
        <f>Tabella34[[#This Row],[rest of Italy acc. fit]]/y_a_peak</f>
        <v>9.1454531984122307E-3</v>
      </c>
      <c r="BT120" s="77">
        <f>Tabella34[[#This Row],[rest of Italy acc. fit]]*NOT(ISBLANK(Tabella34[[#This Row],[rest of Italy rate data]]))</f>
        <v>26.172378132958105</v>
      </c>
      <c r="BU120" s="77">
        <f>Tabella34[[#This Row],[rest of Italy acc. fit]]+CIa</f>
        <v>1720.7465730425408</v>
      </c>
      <c r="BV120" s="77">
        <f>MAX(Tabella34[[#This Row],[rest of Italy acc. fit]]-CIa,0)</f>
        <v>0</v>
      </c>
    </row>
    <row r="121" spans="2:74" x14ac:dyDescent="0.3">
      <c r="B121" s="262">
        <v>43944</v>
      </c>
      <c r="C121" s="4">
        <v>114</v>
      </c>
      <c r="D121" s="10">
        <f>Tabella8[[#This Row],[Italy cumulative]]</f>
        <v>83125</v>
      </c>
      <c r="E121" s="72">
        <f>(Tabella34[[#This Row],[Italy cumul. data]]-D120)</f>
        <v>3497</v>
      </c>
      <c r="F121" s="72">
        <f>Tabella34[[#This Row],[Italy rate data]]-E120</f>
        <v>117</v>
      </c>
      <c r="G121" s="77">
        <f>Tabella34[[#This Row],[Italy rate data]]*NOT(ISBLANK(Tabella34[[#This Row],[Italy rate data]]))</f>
        <v>3497</v>
      </c>
      <c r="H121" s="143">
        <f>Tabella8[[#This Row],[Italy fit]]</f>
        <v>82934.520163104055</v>
      </c>
      <c r="I121" s="143">
        <f>(ATANH(alpha*Tabella34[[#This Row],[Italy cumul. Fit]]/Kf-(1-alpha*Tabella34[[#This Row],[Italy cumul. Fit]]/Kf)*TANH(phi_f))+phi_f)/psi_f-(Tabella34[[#This Row],[Day]]-pf)</f>
        <v>29.882872448360928</v>
      </c>
      <c r="J121" s="143">
        <f>Tabella34[[#This Row],[Italy d.t.]]/Italy_dt_at_lockdown</f>
        <v>27.101880737484336</v>
      </c>
      <c r="K121" s="77">
        <f>Tabella34[[#This Row],[Italy cumul. Fit]]/Kf</f>
        <v>0.36859786739157357</v>
      </c>
      <c r="L121" s="146">
        <f>Tabella34[[#This Row],[sel. region acc. fit]]+Tabella34[[#This Row],[rest of Italy acc. fit]]</f>
        <v>24.051397704198784</v>
      </c>
      <c r="M121" s="77">
        <f>Tabella34[[#This Row],[Italy (fit of selected region + fitted sum of the other regions)]]/(y_l_peak+y_a_peak)</f>
        <v>8.0182269273996552E-3</v>
      </c>
      <c r="N121" s="143">
        <f>Tabella3[[#This Row],[Italy remov. rate fit]]</f>
        <v>2915.7309641499155</v>
      </c>
      <c r="O121" s="143">
        <f>Kt*EXP(-0.5*Tabella34[[#This Row],[x_t]]^2)/(psi_t*SQRTPI(2)*(Tabella34[[#This Row],[Day]]-D_bk))</f>
        <v>0</v>
      </c>
      <c r="P121" s="183">
        <f>Tabella34[[#This Row],[Italy velocity]]/Tabella34[[#This Row],[Italy cumul. Fit]]</f>
        <v>3.5157024582956074E-2</v>
      </c>
      <c r="Q121" s="244">
        <f>(LN(Tabella34[[#This Row],[Day]]-D_bk)-phi_t)/psi_t</f>
        <v>102.30850369239324</v>
      </c>
      <c r="R121" s="244">
        <f>EXP(phi_t+psi_t*Tabella34[[#This Row],[x_t_alpha©+plus]])-(Tabella34[[#This Row],[Day]]-D_bk)</f>
        <v>-40.298582597019028</v>
      </c>
      <c r="S121" s="244">
        <f>EXP(phi_t+psi_t*Tabella34[[#This Row],[x_t_alpha©-minus]])-(Tabella34[[#This Row],[Day]]-D_bk)</f>
        <v>-40.930468626469079</v>
      </c>
      <c r="T121" s="244">
        <f>-psi_t+SQRT(psi_t^2-2*Tabella34[[#This Row],[c_t]])</f>
        <v>3.5976009193763692</v>
      </c>
      <c r="U121" s="244">
        <f>-psi_t-SQRT(psi_t^2-2*Tabella34[[#This Row],[c_t]])</f>
        <v>-3.6469936537961742</v>
      </c>
      <c r="V121" s="244">
        <f>phi_t-LN(alpha*Kt/(Tabella34[[#This Row],[Italy velocity]]*psi_t*SQRTPI(2)))</f>
        <v>-6.5602138609284495</v>
      </c>
      <c r="W121" s="244">
        <f>Tabella34[[#This Row],[Italy g.r.]]/Italy_gr_at_lockdown</f>
        <v>3.9665646437753374E-2</v>
      </c>
      <c r="X121" s="244">
        <f>(ACOSH(SQRT(alpha*Kf*psi_f/(Tabella34[[#This Row],[Italy velocity]]*(1+TANH(phi_f)))))+phi_f)/psi_f-(Tabella34[[#This Row],[Day]]-pf)</f>
        <v>43.419142635656272</v>
      </c>
      <c r="Y121" s="244">
        <f>Tabella34[[#This Row],[Italy h.t.]]/Italy_ht_at_lockdown</f>
        <v>0.37558640146904959</v>
      </c>
      <c r="Z121" s="72">
        <f>-2*$BY$48*TANH($BY$48*(Tabella34[[#This Row],[Day]]-$BY$57)-$BY$47)*Tabella34[[#This Row],[Italy velocity]]</f>
        <v>24.331860239494421</v>
      </c>
      <c r="AA121" s="72">
        <f>Tabella34[[#This Row],[Italy acc. fit]]/Itali_acc_at_lockdown</f>
        <v>0.67385281140529374</v>
      </c>
      <c r="AB121" s="77">
        <f>Tabella34[[#This Row],[Italy acc. fit]]/y_f_peak</f>
        <v>8.1068206608544309E-3</v>
      </c>
      <c r="AC121" s="143">
        <f>Tabella34[[#This Row],[Italy (fit of selected region + fitted sum of the other regions)]]*NOT(ISBLANK(Tabella34[[#This Row],[Italy rate data]]))</f>
        <v>24.051397704198784</v>
      </c>
      <c r="AD121" s="143">
        <f>Tabella34[[#This Row],[Italy acc. fit]]*NOT(ISBLANK(Tabella34[[#This Row],[Italy rate data]]))</f>
        <v>24.331860239494421</v>
      </c>
      <c r="AE121" s="77">
        <f>Tabella34[[#This Row],[Italy acc. fit]]+CIf</f>
        <v>1739.9467195740458</v>
      </c>
      <c r="AF121" s="77">
        <f>MAX(Tabella34[[#This Row],[Italy acc. fit]]-CIf,0)</f>
        <v>0</v>
      </c>
      <c r="AG121" s="4">
        <f>Tabella8[[#This Row],[region data]]</f>
        <v>3583</v>
      </c>
      <c r="AH121" s="72">
        <f>(Tabella34[[#This Row],[selected region cumul. data]]-AG120)</f>
        <v>141</v>
      </c>
      <c r="AI121" s="72">
        <f>Tabella34[[#This Row],[selected region rate data]]-AH120</f>
        <v>0</v>
      </c>
      <c r="AJ121" s="77">
        <f>Tabella34[[#This Row],[selected region rate data]]*NOT(ISBLANK(Tabella34[[#This Row],[selected region rate data]]))</f>
        <v>141</v>
      </c>
      <c r="AK121" s="77">
        <f>Tabella8[[#This Row],[region fit]]</f>
        <v>3527.9403171064591</v>
      </c>
      <c r="AL121" s="143">
        <f>(ATANH(alpha*Tabella34[[#This Row],[sel. region cumul. fit]]/Kl-(1-alpha*Tabella34[[#This Row],[sel. region cumul. fit]]/Kl)*TANH(phi_l))+phi_l)/psi_l-(Tabella34[[#This Row],[Day]]-pl)</f>
        <v>29.089857317659096</v>
      </c>
      <c r="AM121" s="77">
        <f>Tabella34[[#This Row],[sel. region cumul. fit]]/Kl</f>
        <v>0.39330438317797761</v>
      </c>
      <c r="AN121" s="143">
        <f>Tabella3[[#This Row],[region fit]]</f>
        <v>136.01297078645584</v>
      </c>
      <c r="AO121" s="186">
        <f>Tabella34[[#This Row],[sel. region velocity]]/Tabella34[[#This Row],[sel. region cumul. fit]]</f>
        <v>3.8553081560634438E-2</v>
      </c>
      <c r="AP121" s="241">
        <f>(LN(Tabella34[[#This Row],[Day]]-pr)-phi_r)/psi_r</f>
        <v>86.861300315128716</v>
      </c>
      <c r="AQ121" s="244">
        <f>EXP(phi_r+psi_r*Tabella34[[#This Row],[x_r_alpha©+plus]])-(Tabella34[[#This Row],[Day]]-pr)</f>
        <v>-35.064425681150226</v>
      </c>
      <c r="AR121" s="244">
        <f>EXP(phi_r+psi_r*Tabella34[[#This Row],[x_r_alpha©-minus]])-(Tabella34[[#This Row],[Day]]-pr)</f>
        <v>-35.736117180173096</v>
      </c>
      <c r="AS121" s="244">
        <f>-psi_r+SQRT(psi_r^2-2*Tabella34[[#This Row],[c_r]])</f>
        <v>3.5282690330046225</v>
      </c>
      <c r="AT121" s="244">
        <f>-psi_r-SQRT(psi_r^2-2*Tabella34[[#This Row],[c_r]])</f>
        <v>-3.5846772714232835</v>
      </c>
      <c r="AU121" s="244">
        <f>phi_r-LN(alpha*Kr/(Tabella34[[#This Row],[sel. region velocity]]*psi_r*SQRTPI(2)))</f>
        <v>-6.3238529050391383</v>
      </c>
      <c r="AV121" s="244">
        <f>(ACOSH(SQRT(alpha*Kl*psi_l/(Tabella34[[#This Row],[sel. region velocity]]*(1+TANH(phi_l)))))+phi_l)/psi_l-(Tabella34[[#This Row],[Day]]-pl)</f>
        <v>35.630309828483973</v>
      </c>
      <c r="AW121" s="72">
        <f>-2*$BY$22*TANH($BY$22*(Tabella34[[#This Row],[Day]]-$BY$31)-$BY$21)*Tabella34[[#This Row],[sel. region velocity]]</f>
        <v>0.87352906378303918</v>
      </c>
      <c r="AX121" s="77">
        <f>Tabella34[[#This Row],[sel. region acc. fit]]/y_l_peak</f>
        <v>6.3391411206815311E-3</v>
      </c>
      <c r="AY121" s="143">
        <f>Tabella34[[#This Row],[sel. region acc. fit]]*NOT(ISBLANK(Tabella34[[#This Row],[selected region rate data]]))</f>
        <v>0.87352906378303918</v>
      </c>
      <c r="AZ121" s="77">
        <f>Tabella34[[#This Row],[sel. region acc. fit]]+CIl</f>
        <v>54.638369473331494</v>
      </c>
      <c r="BA121" s="77">
        <f>MAX(Tabella34[[#This Row],[sel. region acc. fit]]-CIl,0)</f>
        <v>0</v>
      </c>
      <c r="BB121" s="10">
        <f>Tabella8[[#This Row],[rest of Italy ]]</f>
        <v>79542</v>
      </c>
      <c r="BC121" s="10">
        <f>(Tabella34[[#This Row],[rest of Italy cum. Data]]-BB120)</f>
        <v>3356</v>
      </c>
      <c r="BD121" s="10">
        <f>Tabella34[[#This Row],[rest of Italy rate data]]-BC120</f>
        <v>117</v>
      </c>
      <c r="BE121" s="77">
        <f>Tabella34[[#This Row],[rest of Italy rate data]]*NOT(ISBLANK(Tabella34[[#This Row],[rest of Italy rate data]]))</f>
        <v>3356</v>
      </c>
      <c r="BF121" s="77">
        <f>Tabella8[[#This Row],[rest of Italy fit]]</f>
        <v>79426.437111670166</v>
      </c>
      <c r="BG121" s="78">
        <f>(ATANH(alpha*Tabella34[[#This Row],[rest of Italy cumul. fit]]/Ka-(1-alpha*Tabella34[[#This Row],[rest of Italy cumul. fit]]/Ka)*TANH(phi_a))+phi_a)/psi_a-(Tabella34[[#This Row],[Day]]-pa)</f>
        <v>29.976607888500055</v>
      </c>
      <c r="BH121" s="77">
        <f>Tabella34[[#This Row],[rest of Italy cumul. fit]]/Ka</f>
        <v>0.36766392219446448</v>
      </c>
      <c r="BI121" s="143">
        <f>Tabella3[[#This Row],[rest of Italy fit]]</f>
        <v>2778.9693538184129</v>
      </c>
      <c r="BJ121" s="183">
        <f>Tabella34[[#This Row],[rest of Italy velocity]]/Tabella34[[#This Row],[rest of Italy cumul. fit]]</f>
        <v>3.4987964396681941E-2</v>
      </c>
      <c r="BK121" s="236">
        <f>(LN(Tabella34[[#This Row],[Day]]-po)-phi_o)/psi_o</f>
        <v>103.34027860337281</v>
      </c>
      <c r="BL121" s="244">
        <f>EXP(phi_o+psi_o*Tabella34[[#This Row],[x_o_alpha©+plus]])-(Tabella34[[#This Row],[Day]]-po)</f>
        <v>-40.461885842650595</v>
      </c>
      <c r="BM121" s="244">
        <f>EXP(phi_o+psi_o*Tabella34[[#This Row],[x_o_alpha©-minus]])-(Tabella34[[#This Row],[Day]]-po)</f>
        <v>-41.087929035263606</v>
      </c>
      <c r="BN121" s="244">
        <f>-psi_o+SQRT(psi_o^2-2*Tabella34[[#This Row],[c_o]])</f>
        <v>3.6027511707141091</v>
      </c>
      <c r="BO121" s="244">
        <f>-psi_o-SQRT(psi_o^2-2*Tabella34[[#This Row],[c_o]])</f>
        <v>-3.6517782562837384</v>
      </c>
      <c r="BP121" s="244">
        <f>phi_o-LN(alpha*Ko/(Tabella34[[#This Row],[rest of Italy velocity]]*psi_o*SQRTPI(2)))</f>
        <v>-6.5782241940072836</v>
      </c>
      <c r="BQ121" s="244">
        <f>(ACOSH(SQRT(alpha*Ka*psi_a/(Tabella34[[#This Row],[rest of Italy velocity]]*(1+TANH(phi_a)))))+phi_a)/psi_a-(Tabella34[[#This Row],[Day]]-pa)</f>
        <v>43.803556267748505</v>
      </c>
      <c r="BR121" s="72">
        <f>-2*$BY$35*TANH($BY$35*(Tabella34[[#This Row],[Day]]-$BY$44)-$BY$34)*Tabella34[[#This Row],[rest of Italy velocity]]</f>
        <v>23.177868640415745</v>
      </c>
      <c r="BS121" s="77">
        <f>Tabella34[[#This Row],[rest of Italy acc. fit]]/y_a_peak</f>
        <v>8.0990772719632415E-3</v>
      </c>
      <c r="BT121" s="77">
        <f>Tabella34[[#This Row],[rest of Italy acc. fit]]*NOT(ISBLANK(Tabella34[[#This Row],[rest of Italy rate data]]))</f>
        <v>23.177868640415745</v>
      </c>
      <c r="BU121" s="77">
        <f>Tabella34[[#This Row],[rest of Italy acc. fit]]+CIa</f>
        <v>1717.7520635499984</v>
      </c>
      <c r="BV121" s="77">
        <f>MAX(Tabella34[[#This Row],[rest of Italy acc. fit]]-CIa,0)</f>
        <v>0</v>
      </c>
    </row>
    <row r="122" spans="2:74" x14ac:dyDescent="0.3">
      <c r="B122" s="262">
        <v>43945</v>
      </c>
      <c r="C122" s="4">
        <v>115</v>
      </c>
      <c r="D122" s="10">
        <f>Tabella8[[#This Row],[Italy cumulative]]</f>
        <v>86467</v>
      </c>
      <c r="E122" s="72">
        <f>(Tabella34[[#This Row],[Italy cumul. data]]-D121)</f>
        <v>3342</v>
      </c>
      <c r="F122" s="72">
        <f>Tabella34[[#This Row],[Italy rate data]]-E121</f>
        <v>-155</v>
      </c>
      <c r="G122" s="77">
        <f>Tabella34[[#This Row],[Italy rate data]]*NOT(ISBLANK(Tabella34[[#This Row],[Italy rate data]]))</f>
        <v>3342</v>
      </c>
      <c r="H122" s="143">
        <f>Tabella8[[#This Row],[Italy fit]]</f>
        <v>85861.870422645647</v>
      </c>
      <c r="I122" s="143">
        <f>(ATANH(alpha*Tabella34[[#This Row],[Italy cumul. Fit]]/Kf-(1-alpha*Tabella34[[#This Row],[Italy cumul. Fit]]/Kf)*TANH(phi_f))+phi_f)/psi_f-(Tabella34[[#This Row],[Day]]-pf)</f>
        <v>31.628179952809688</v>
      </c>
      <c r="J122" s="143">
        <f>Tabella34[[#This Row],[Italy d.t.]]/Italy_dt_at_lockdown</f>
        <v>28.684764575627586</v>
      </c>
      <c r="K122" s="77">
        <f>Tabella34[[#This Row],[Italy cumul. Fit]]/Kf</f>
        <v>0.38160831298953618</v>
      </c>
      <c r="L122" s="146">
        <f>Tabella34[[#This Row],[sel. region acc. fit]]+Tabella34[[#This Row],[rest of Italy acc. fit]]</f>
        <v>20.739898343231211</v>
      </c>
      <c r="M122" s="77">
        <f>Tabella34[[#This Row],[Italy (fit of selected region + fitted sum of the other regions)]]/(y_l_peak+y_a_peak)</f>
        <v>6.9142431310009311E-3</v>
      </c>
      <c r="N122" s="143">
        <f>Tabella3[[#This Row],[Italy remov. rate fit]]</f>
        <v>2938.4184188697382</v>
      </c>
      <c r="O122" s="143">
        <f>Kt*EXP(-0.5*Tabella34[[#This Row],[x_t]]^2)/(psi_t*SQRTPI(2)*(Tabella34[[#This Row],[Day]]-D_bk))</f>
        <v>0</v>
      </c>
      <c r="P122" s="183">
        <f>Tabella34[[#This Row],[Italy velocity]]/Tabella34[[#This Row],[Italy cumul. Fit]]</f>
        <v>3.4222622968795059E-2</v>
      </c>
      <c r="Q122" s="244">
        <f>(LN(Tabella34[[#This Row],[Day]]-D_bk)-phi_t)/psi_t</f>
        <v>103.21529662110409</v>
      </c>
      <c r="R122" s="244">
        <f>EXP(phi_t+psi_t*Tabella34[[#This Row],[x_t_alpha©+plus]])-(Tabella34[[#This Row],[Day]]-D_bk)</f>
        <v>-41.29878648114444</v>
      </c>
      <c r="S122" s="244">
        <f>EXP(phi_t+psi_t*Tabella34[[#This Row],[x_t_alpha©-minus]])-(Tabella34[[#This Row],[Day]]-D_bk)</f>
        <v>-41.930298134275127</v>
      </c>
      <c r="T122" s="244">
        <f>-psi_t+SQRT(psi_t^2-2*Tabella34[[#This Row],[c_t]])</f>
        <v>3.5954605024042099</v>
      </c>
      <c r="U122" s="244">
        <f>-psi_t-SQRT(psi_t^2-2*Tabella34[[#This Row],[c_t]])</f>
        <v>-3.644853236824015</v>
      </c>
      <c r="V122" s="244">
        <f>phi_t-LN(alpha*Kt/(Tabella34[[#This Row],[Italy velocity]]*psi_t*SQRTPI(2)))</f>
        <v>-6.5524629250304418</v>
      </c>
      <c r="W122" s="244">
        <f>Tabella34[[#This Row],[Italy g.r.]]/Italy_gr_at_lockdown</f>
        <v>3.8611414900874538E-2</v>
      </c>
      <c r="X122" s="244">
        <f>(ACOSH(SQRT(alpha*Kf*psi_f/(Tabella34[[#This Row],[Italy velocity]]*(1+TANH(phi_f)))))+phi_f)/psi_f-(Tabella34[[#This Row],[Day]]-pf)</f>
        <v>42.199915893778979</v>
      </c>
      <c r="Y122" s="244">
        <f>Tabella34[[#This Row],[Italy h.t.]]/Italy_ht_at_lockdown</f>
        <v>0.36503978638733048</v>
      </c>
      <c r="Z122" s="72">
        <f>-2*$BY$48*TANH($BY$48*(Tabella34[[#This Row],[Day]]-$BY$57)-$BY$47)*Tabella34[[#This Row],[Italy velocity]]</f>
        <v>21.025281902943224</v>
      </c>
      <c r="AA122" s="72">
        <f>Tabella34[[#This Row],[Italy acc. fit]]/Itali_acc_at_lockdown</f>
        <v>0.58227957835670696</v>
      </c>
      <c r="AB122" s="77">
        <f>Tabella34[[#This Row],[Italy acc. fit]]/y_f_peak</f>
        <v>7.0051442040754775E-3</v>
      </c>
      <c r="AC122" s="143">
        <f>Tabella34[[#This Row],[Italy (fit of selected region + fitted sum of the other regions)]]*NOT(ISBLANK(Tabella34[[#This Row],[Italy rate data]]))</f>
        <v>20.739898343231211</v>
      </c>
      <c r="AD122" s="143">
        <f>Tabella34[[#This Row],[Italy acc. fit]]*NOT(ISBLANK(Tabella34[[#This Row],[Italy rate data]]))</f>
        <v>21.025281902943224</v>
      </c>
      <c r="AE122" s="77">
        <f>Tabella34[[#This Row],[Italy acc. fit]]+CIf</f>
        <v>1736.6401412374946</v>
      </c>
      <c r="AF122" s="77">
        <f>MAX(Tabella34[[#This Row],[Italy acc. fit]]-CIf,0)</f>
        <v>0</v>
      </c>
      <c r="AG122" s="4">
        <f>Tabella8[[#This Row],[region data]]</f>
        <v>3736</v>
      </c>
      <c r="AH122" s="72">
        <f>(Tabella34[[#This Row],[selected region cumul. data]]-AG121)</f>
        <v>153</v>
      </c>
      <c r="AI122" s="72">
        <f>Tabella34[[#This Row],[selected region rate data]]-AH121</f>
        <v>12</v>
      </c>
      <c r="AJ122" s="77">
        <f>Tabella34[[#This Row],[selected region rate data]]*NOT(ISBLANK(Tabella34[[#This Row],[selected region rate data]]))</f>
        <v>153</v>
      </c>
      <c r="AK122" s="77">
        <f>Tabella8[[#This Row],[region fit]]</f>
        <v>3664.3551734618636</v>
      </c>
      <c r="AL122" s="143">
        <f>(ATANH(alpha*Tabella34[[#This Row],[sel. region cumul. fit]]/Kl-(1-alpha*Tabella34[[#This Row],[sel. region cumul. fit]]/Kl)*TANH(phi_l))+phi_l)/psi_l-(Tabella34[[#This Row],[Day]]-pl)</f>
        <v>31.421082486877268</v>
      </c>
      <c r="AM122" s="77">
        <f>Tabella34[[#This Row],[sel. region cumul. fit]]/Kl</f>
        <v>0.40851228243722004</v>
      </c>
      <c r="AN122" s="143">
        <f>Tabella3[[#This Row],[region fit]]</f>
        <v>136.78165687752391</v>
      </c>
      <c r="AO122" s="186">
        <f>Tabella34[[#This Row],[sel. region velocity]]/Tabella34[[#This Row],[sel. region cumul. fit]]</f>
        <v>3.7327619841037621E-2</v>
      </c>
      <c r="AP122" s="241">
        <f>(LN(Tabella34[[#This Row],[Day]]-pr)-phi_r)/psi_r</f>
        <v>87.764459593285338</v>
      </c>
      <c r="AQ122" s="244">
        <f>EXP(phi_r+psi_r*Tabella34[[#This Row],[x_r_alpha©+plus]])-(Tabella34[[#This Row],[Day]]-pr)</f>
        <v>-36.064590864795321</v>
      </c>
      <c r="AR122" s="244">
        <f>EXP(phi_r+psi_r*Tabella34[[#This Row],[x_r_alpha©-minus]])-(Tabella34[[#This Row],[Day]]-pr)</f>
        <v>-36.735982016265439</v>
      </c>
      <c r="AS122" s="244">
        <f>-psi_r+SQRT(psi_r^2-2*Tabella34[[#This Row],[c_r]])</f>
        <v>3.5266840609679537</v>
      </c>
      <c r="AT122" s="244">
        <f>-psi_r-SQRT(psi_r^2-2*Tabella34[[#This Row],[c_r]])</f>
        <v>-3.5830922993866148</v>
      </c>
      <c r="AU122" s="244">
        <f>phi_r-LN(alpha*Kr/(Tabella34[[#This Row],[sel. region velocity]]*psi_r*SQRTPI(2)))</f>
        <v>-6.3182172506118945</v>
      </c>
      <c r="AV122" s="244">
        <f>(ACOSH(SQRT(alpha*Kl*psi_l/(Tabella34[[#This Row],[sel. region velocity]]*(1+TANH(phi_l)))))+phi_l)/psi_l-(Tabella34[[#This Row],[Day]]-pl)</f>
        <v>34.489731432687364</v>
      </c>
      <c r="AW122" s="72">
        <f>-2*$BY$22*TANH($BY$22*(Tabella34[[#This Row],[Day]]-$BY$31)-$BY$21)*Tabella34[[#This Row],[sel. region velocity]]</f>
        <v>0.66304009178876544</v>
      </c>
      <c r="AX122" s="77">
        <f>Tabella34[[#This Row],[sel. region acc. fit]]/y_l_peak</f>
        <v>4.8116369389199351E-3</v>
      </c>
      <c r="AY122" s="143">
        <f>Tabella34[[#This Row],[sel. region acc. fit]]*NOT(ISBLANK(Tabella34[[#This Row],[selected region rate data]]))</f>
        <v>0.66304009178876544</v>
      </c>
      <c r="AZ122" s="77">
        <f>Tabella34[[#This Row],[sel. region acc. fit]]+CIl</f>
        <v>54.427880501337221</v>
      </c>
      <c r="BA122" s="77">
        <f>MAX(Tabella34[[#This Row],[sel. region acc. fit]]-CIl,0)</f>
        <v>0</v>
      </c>
      <c r="BB122" s="10">
        <f>Tabella8[[#This Row],[rest of Italy ]]</f>
        <v>82731</v>
      </c>
      <c r="BC122" s="10">
        <f>(Tabella34[[#This Row],[rest of Italy cum. Data]]-BB121)</f>
        <v>3189</v>
      </c>
      <c r="BD122" s="10">
        <f>Tabella34[[#This Row],[rest of Italy rate data]]-BC121</f>
        <v>-167</v>
      </c>
      <c r="BE122" s="77">
        <f>Tabella34[[#This Row],[rest of Italy rate data]]*NOT(ISBLANK(Tabella34[[#This Row],[rest of Italy rate data]]))</f>
        <v>3189</v>
      </c>
      <c r="BF122" s="77">
        <f>Tabella8[[#This Row],[rest of Italy fit]]</f>
        <v>82216.482753880366</v>
      </c>
      <c r="BG122" s="78">
        <f>(ATANH(alpha*Tabella34[[#This Row],[rest of Italy cumul. fit]]/Ka-(1-alpha*Tabella34[[#This Row],[rest of Italy cumul. fit]]/Ka)*TANH(phi_a))+phi_a)/psi_a-(Tabella34[[#This Row],[Day]]-pa)</f>
        <v>31.706703294600416</v>
      </c>
      <c r="BH122" s="77">
        <f>Tabella34[[#This Row],[rest of Italy cumul. fit]]/Ka</f>
        <v>0.38057900640596382</v>
      </c>
      <c r="BI122" s="143">
        <f>Tabella3[[#This Row],[rest of Italy fit]]</f>
        <v>2800.6050589578949</v>
      </c>
      <c r="BJ122" s="183">
        <f>Tabella34[[#This Row],[rest of Italy velocity]]/Tabella34[[#This Row],[rest of Italy cumul. fit]]</f>
        <v>3.4063790679803981E-2</v>
      </c>
      <c r="BK122" s="236">
        <f>(LN(Tabella34[[#This Row],[Day]]-po)-phi_o)/psi_o</f>
        <v>104.25079920007242</v>
      </c>
      <c r="BL122" s="244">
        <f>EXP(phi_o+psi_o*Tabella34[[#This Row],[x_o_alpha©+plus]])-(Tabella34[[#This Row],[Day]]-po)</f>
        <v>-41.462087297955343</v>
      </c>
      <c r="BM122" s="244">
        <f>EXP(phi_o+psi_o*Tabella34[[#This Row],[x_o_alpha©-minus]])-(Tabella34[[#This Row],[Day]]-po)</f>
        <v>-42.087760391977028</v>
      </c>
      <c r="BN122" s="244">
        <f>-psi_o+SQRT(psi_o^2-2*Tabella34[[#This Row],[c_o]])</f>
        <v>3.6006124653705216</v>
      </c>
      <c r="BO122" s="244">
        <f>-psi_o-SQRT(psi_o^2-2*Tabella34[[#This Row],[c_o]])</f>
        <v>-3.6496395509401509</v>
      </c>
      <c r="BP122" s="244">
        <f>phi_o-LN(alpha*Ko/(Tabella34[[#This Row],[rest of Italy velocity]]*psi_o*SQRTPI(2)))</f>
        <v>-6.5704688306121906</v>
      </c>
      <c r="BQ122" s="244">
        <f>(ACOSH(SQRT(alpha*Ka*psi_a/(Tabella34[[#This Row],[rest of Italy velocity]]*(1+TANH(phi_a)))))+phi_a)/psi_a-(Tabella34[[#This Row],[Day]]-pa)</f>
        <v>42.582610927509904</v>
      </c>
      <c r="BR122" s="72">
        <f>-2*$BY$35*TANH($BY$35*(Tabella34[[#This Row],[Day]]-$BY$44)-$BY$34)*Tabella34[[#This Row],[rest of Italy velocity]]</f>
        <v>20.076858251442445</v>
      </c>
      <c r="BS122" s="77">
        <f>Tabella34[[#This Row],[rest of Italy acc. fit]]/y_a_peak</f>
        <v>7.0154865781381229E-3</v>
      </c>
      <c r="BT122" s="77">
        <f>Tabella34[[#This Row],[rest of Italy acc. fit]]*NOT(ISBLANK(Tabella34[[#This Row],[rest of Italy rate data]]))</f>
        <v>20.076858251442445</v>
      </c>
      <c r="BU122" s="77">
        <f>Tabella34[[#This Row],[rest of Italy acc. fit]]+CIa</f>
        <v>1714.6510531610252</v>
      </c>
      <c r="BV122" s="77">
        <f>MAX(Tabella34[[#This Row],[rest of Italy acc. fit]]-CIa,0)</f>
        <v>0</v>
      </c>
    </row>
    <row r="123" spans="2:74" x14ac:dyDescent="0.3">
      <c r="B123" s="262">
        <v>43946</v>
      </c>
      <c r="C123" s="4">
        <v>116</v>
      </c>
      <c r="D123" s="10">
        <f>Tabella8[[#This Row],[Italy cumulative]]</f>
        <v>89504</v>
      </c>
      <c r="E123" s="72">
        <f>(Tabella34[[#This Row],[Italy cumul. data]]-D122)</f>
        <v>3037</v>
      </c>
      <c r="F123" s="72">
        <f>Tabella34[[#This Row],[Italy rate data]]-E122</f>
        <v>-305</v>
      </c>
      <c r="G123" s="77">
        <f>Tabella34[[#This Row],[Italy rate data]]*NOT(ISBLANK(Tabella34[[#This Row],[Italy rate data]]))</f>
        <v>3037</v>
      </c>
      <c r="H123" s="143">
        <f>Tabella8[[#This Row],[Italy fit]]</f>
        <v>88810.237686916284</v>
      </c>
      <c r="I123" s="143">
        <f>(ATANH(alpha*Tabella34[[#This Row],[Italy cumul. Fit]]/Kf-(1-alpha*Tabella34[[#This Row],[Italy cumul. Fit]]/Kf)*TANH(phi_f))+phi_f)/psi_f-(Tabella34[[#This Row],[Day]]-pf)</f>
        <v>33.622503022827203</v>
      </c>
      <c r="J123" s="143">
        <f>Tabella34[[#This Row],[Italy d.t.]]/Italy_dt_at_lockdown</f>
        <v>30.493489827493157</v>
      </c>
      <c r="K123" s="77">
        <f>Tabella34[[#This Row],[Italy cumul. Fit]]/Kf</f>
        <v>0.39471216749740573</v>
      </c>
      <c r="L123" s="146">
        <f>Tabella34[[#This Row],[sel. region acc. fit]]+Tabella34[[#This Row],[rest of Italy acc. fit]]</f>
        <v>17.330886558522916</v>
      </c>
      <c r="M123" s="77">
        <f>Tabella34[[#This Row],[Italy (fit of selected region + fitted sum of the other regions)]]/(y_l_peak+y_a_peak)</f>
        <v>5.7777507564559403E-3</v>
      </c>
      <c r="N123" s="143">
        <f>Tabella3[[#This Row],[Italy remov. rate fit]]</f>
        <v>2957.7484247354641</v>
      </c>
      <c r="O123" s="143">
        <f>Kt*EXP(-0.5*Tabella34[[#This Row],[x_t]]^2)/(psi_t*SQRTPI(2)*(Tabella34[[#This Row],[Day]]-D_bk))</f>
        <v>0</v>
      </c>
      <c r="P123" s="183">
        <f>Tabella34[[#This Row],[Italy velocity]]/Tabella34[[#This Row],[Italy cumul. Fit]]</f>
        <v>3.3304138146352538E-2</v>
      </c>
      <c r="Q123" s="244">
        <f>(LN(Tabella34[[#This Row],[Day]]-D_bk)-phi_t)/psi_t</f>
        <v>104.10222639686799</v>
      </c>
      <c r="R123" s="244">
        <f>EXP(phi_t+psi_t*Tabella34[[#This Row],[x_t_alpha©+plus]])-(Tabella34[[#This Row],[Day]]-D_bk)</f>
        <v>-42.298959040653905</v>
      </c>
      <c r="S123" s="244">
        <f>EXP(phi_t+psi_t*Tabella34[[#This Row],[x_t_alpha©-minus]])-(Tabella34[[#This Row],[Day]]-D_bk)</f>
        <v>-42.930153822299452</v>
      </c>
      <c r="T123" s="244">
        <f>-psi_t+SQRT(psi_t^2-2*Tabella34[[#This Row],[c_t]])</f>
        <v>3.5936488492063332</v>
      </c>
      <c r="U123" s="244">
        <f>-psi_t-SQRT(psi_t^2-2*Tabella34[[#This Row],[c_t]])</f>
        <v>-3.6430415836261383</v>
      </c>
      <c r="V123" s="244">
        <f>phi_t-LN(alpha*Kt/(Tabella34[[#This Row],[Italy velocity]]*psi_t*SQRTPI(2)))</f>
        <v>-6.5459060973044449</v>
      </c>
      <c r="W123" s="244">
        <f>Tabella34[[#This Row],[Italy g.r.]]/Italy_gr_at_lockdown</f>
        <v>3.7575141363576675E-2</v>
      </c>
      <c r="X123" s="244">
        <f>(ACOSH(SQRT(alpha*Kf*psi_f/(Tabella34[[#This Row],[Italy velocity]]*(1+TANH(phi_f)))))+phi_f)/psi_f-(Tabella34[[#This Row],[Day]]-pf)</f>
        <v>41.013826529351974</v>
      </c>
      <c r="Y123" s="244">
        <f>Tabella34[[#This Row],[Italy h.t.]]/Italy_ht_at_lockdown</f>
        <v>0.35477981787657459</v>
      </c>
      <c r="Z123" s="72">
        <f>-2*$BY$48*TANH($BY$48*(Tabella34[[#This Row],[Day]]-$BY$57)-$BY$47)*Tabella34[[#This Row],[Italy velocity]]</f>
        <v>17.619426750381923</v>
      </c>
      <c r="AA123" s="72">
        <f>Tabella34[[#This Row],[Italy acc. fit]]/Itali_acc_at_lockdown</f>
        <v>0.48795694756716212</v>
      </c>
      <c r="AB123" s="77">
        <f>Tabella34[[#This Row],[Italy acc. fit]]/y_f_peak</f>
        <v>5.8703909773638978E-3</v>
      </c>
      <c r="AC123" s="143">
        <f>Tabella34[[#This Row],[Italy (fit of selected region + fitted sum of the other regions)]]*NOT(ISBLANK(Tabella34[[#This Row],[Italy rate data]]))</f>
        <v>17.330886558522916</v>
      </c>
      <c r="AD123" s="143">
        <f>Tabella34[[#This Row],[Italy acc. fit]]*NOT(ISBLANK(Tabella34[[#This Row],[Italy rate data]]))</f>
        <v>17.619426750381923</v>
      </c>
      <c r="AE123" s="77">
        <f>Tabella34[[#This Row],[Italy acc. fit]]+CIf</f>
        <v>1733.2342860849333</v>
      </c>
      <c r="AF123" s="77">
        <f>MAX(Tabella34[[#This Row],[Italy acc. fit]]-CIf,0)</f>
        <v>0</v>
      </c>
      <c r="AG123" s="4">
        <f>Tabella8[[#This Row],[region data]]</f>
        <v>3868</v>
      </c>
      <c r="AH123" s="72">
        <f>(Tabella34[[#This Row],[selected region cumul. data]]-AG122)</f>
        <v>132</v>
      </c>
      <c r="AI123" s="72">
        <f>Tabella34[[#This Row],[selected region rate data]]-AH122</f>
        <v>-21</v>
      </c>
      <c r="AJ123" s="77">
        <f>Tabella34[[#This Row],[selected region rate data]]*NOT(ISBLANK(Tabella34[[#This Row],[selected region rate data]]))</f>
        <v>132</v>
      </c>
      <c r="AK123" s="77">
        <f>Tabella8[[#This Row],[region fit]]</f>
        <v>3801.4327223383148</v>
      </c>
      <c r="AL123" s="143">
        <f>(ATANH(alpha*Tabella34[[#This Row],[sel. region cumul. fit]]/Kl-(1-alpha*Tabella34[[#This Row],[sel. region cumul. fit]]/Kl)*TANH(phi_l))+phi_l)/psi_l-(Tabella34[[#This Row],[Day]]-pl)</f>
        <v>34.249060707598005</v>
      </c>
      <c r="AM123" s="77">
        <f>Tabella34[[#This Row],[sel. region cumul. fit]]/Kl</f>
        <v>0.4237940604613506</v>
      </c>
      <c r="AN123" s="143">
        <f>Tabella3[[#This Row],[region fit]]</f>
        <v>137.33766099559634</v>
      </c>
      <c r="AO123" s="186">
        <f>Tabella34[[#This Row],[sel. region velocity]]/Tabella34[[#This Row],[sel. region cumul. fit]]</f>
        <v>3.6127868366197996E-2</v>
      </c>
      <c r="AP123" s="241">
        <f>(LN(Tabella34[[#This Row],[Day]]-pr)-phi_r)/psi_r</f>
        <v>88.645183182117776</v>
      </c>
      <c r="AQ123" s="244">
        <f>EXP(phi_r+psi_r*Tabella34[[#This Row],[x_r_alpha©+plus]])-(Tabella34[[#This Row],[Day]]-pr)</f>
        <v>-37.064709808505</v>
      </c>
      <c r="AR123" s="244">
        <f>EXP(phi_r+psi_r*Tabella34[[#This Row],[x_r_alpha©-minus]])-(Tabella34[[#This Row],[Day]]-pr)</f>
        <v>-37.735884681369889</v>
      </c>
      <c r="AS123" s="244">
        <f>-psi_r+SQRT(psi_r^2-2*Tabella34[[#This Row],[c_r]])</f>
        <v>3.5255427270189332</v>
      </c>
      <c r="AT123" s="244">
        <f>-psi_r-SQRT(psi_r^2-2*Tabella34[[#This Row],[c_r]])</f>
        <v>-3.5819509654375943</v>
      </c>
      <c r="AU123" s="244">
        <f>phi_r-LN(alpha*Kr/(Tabella34[[#This Row],[sel. region velocity]]*psi_r*SQRTPI(2)))</f>
        <v>-6.3141605873684785</v>
      </c>
      <c r="AV123" s="244">
        <f>(ACOSH(SQRT(alpha*Kl*psi_l/(Tabella34[[#This Row],[sel. region velocity]]*(1+TANH(phi_l)))))+phi_l)/psi_l-(Tabella34[[#This Row],[Day]]-pl)</f>
        <v>33.388298507267606</v>
      </c>
      <c r="AW123" s="72">
        <f>-2*$BY$22*TANH($BY$22*(Tabella34[[#This Row],[Day]]-$BY$31)-$BY$21)*Tabella34[[#This Row],[sel. region velocity]]</f>
        <v>0.44838304716464095</v>
      </c>
      <c r="AX123" s="77">
        <f>Tabella34[[#This Row],[sel. region acc. fit]]/y_l_peak</f>
        <v>3.2538853370124698E-3</v>
      </c>
      <c r="AY123" s="143">
        <f>Tabella34[[#This Row],[sel. region acc. fit]]*NOT(ISBLANK(Tabella34[[#This Row],[selected region rate data]]))</f>
        <v>0.44838304716464095</v>
      </c>
      <c r="AZ123" s="77">
        <f>Tabella34[[#This Row],[sel. region acc. fit]]+CIl</f>
        <v>54.213223456713095</v>
      </c>
      <c r="BA123" s="77">
        <f>MAX(Tabella34[[#This Row],[sel. region acc. fit]]-CIl,0)</f>
        <v>0</v>
      </c>
      <c r="BB123" s="10">
        <f>Tabella8[[#This Row],[rest of Italy ]]</f>
        <v>85636</v>
      </c>
      <c r="BC123" s="10">
        <f>(Tabella34[[#This Row],[rest of Italy cum. Data]]-BB122)</f>
        <v>2905</v>
      </c>
      <c r="BD123" s="10">
        <f>Tabella34[[#This Row],[rest of Italy rate data]]-BC122</f>
        <v>-284</v>
      </c>
      <c r="BE123" s="77">
        <f>Tabella34[[#This Row],[rest of Italy rate data]]*NOT(ISBLANK(Tabella34[[#This Row],[rest of Italy rate data]]))</f>
        <v>2905</v>
      </c>
      <c r="BF123" s="77">
        <f>Tabella8[[#This Row],[rest of Italy fit]]</f>
        <v>85026.597471845656</v>
      </c>
      <c r="BG123" s="78">
        <f>(ATANH(alpha*Tabella34[[#This Row],[rest of Italy cumul. fit]]/Ka-(1-alpha*Tabella34[[#This Row],[rest of Italy cumul. fit]]/Ka)*TANH(phi_a))+phi_a)/psi_a-(Tabella34[[#This Row],[Day]]-pa)</f>
        <v>33.679723995082014</v>
      </c>
      <c r="BH123" s="77">
        <f>Tabella34[[#This Row],[rest of Italy cumul. fit]]/Ka</f>
        <v>0.39358699010251197</v>
      </c>
      <c r="BI123" s="143">
        <f>Tabella3[[#This Row],[rest of Italy fit]]</f>
        <v>2819.0919454039017</v>
      </c>
      <c r="BJ123" s="183">
        <f>Tabella34[[#This Row],[rest of Italy velocity]]/Tabella34[[#This Row],[rest of Italy cumul. fit]]</f>
        <v>3.3155412885213599E-2</v>
      </c>
      <c r="BK123" s="236">
        <f>(LN(Tabella34[[#This Row],[Day]]-po)-phi_o)/psi_o</f>
        <v>105.14143981472279</v>
      </c>
      <c r="BL123" s="244">
        <f>EXP(phi_o+psi_o*Tabella34[[#This Row],[x_o_alpha©+plus]])-(Tabella34[[#This Row],[Day]]-po)</f>
        <v>-42.462258289560772</v>
      </c>
      <c r="BM123" s="244">
        <f>EXP(phi_o+psi_o*Tabella34[[#This Row],[x_o_alpha©-minus]])-(Tabella34[[#This Row],[Day]]-po)</f>
        <v>-43.087617236741771</v>
      </c>
      <c r="BN123" s="244">
        <f>-psi_o+SQRT(psi_o^2-2*Tabella34[[#This Row],[c_o]])</f>
        <v>3.5987970831219189</v>
      </c>
      <c r="BO123" s="244">
        <f>-psi_o-SQRT(psi_o^2-2*Tabella34[[#This Row],[c_o]])</f>
        <v>-3.6478241686915482</v>
      </c>
      <c r="BP123" s="244">
        <f>phi_o-LN(alpha*Ko/(Tabella34[[#This Row],[rest of Italy velocity]]*psi_o*SQRTPI(2)))</f>
        <v>-6.5638894890143913</v>
      </c>
      <c r="BQ123" s="244">
        <f>(ACOSH(SQRT(alpha*Ka*psi_a/(Tabella34[[#This Row],[rest of Italy velocity]]*(1+TANH(phi_a)))))+phi_a)/psi_a-(Tabella34[[#This Row],[Day]]-pa)</f>
        <v>41.394525490506737</v>
      </c>
      <c r="BR123" s="72">
        <f>-2*$BY$35*TANH($BY$35*(Tabella34[[#This Row],[Day]]-$BY$44)-$BY$34)*Tabella34[[#This Row],[rest of Italy velocity]]</f>
        <v>16.882503511358276</v>
      </c>
      <c r="BS123" s="77">
        <f>Tabella34[[#This Row],[rest of Italy acc. fit]]/y_a_peak</f>
        <v>5.8992784282269027E-3</v>
      </c>
      <c r="BT123" s="77">
        <f>Tabella34[[#This Row],[rest of Italy acc. fit]]*NOT(ISBLANK(Tabella34[[#This Row],[rest of Italy rate data]]))</f>
        <v>16.882503511358276</v>
      </c>
      <c r="BU123" s="77">
        <f>Tabella34[[#This Row],[rest of Italy acc. fit]]+CIa</f>
        <v>1711.4566984209409</v>
      </c>
      <c r="BV123" s="77">
        <f>MAX(Tabella34[[#This Row],[rest of Italy acc. fit]]-CIa,0)</f>
        <v>0</v>
      </c>
    </row>
    <row r="124" spans="2:74" x14ac:dyDescent="0.3">
      <c r="B124" s="262">
        <v>43947</v>
      </c>
      <c r="C124" s="4">
        <v>117</v>
      </c>
      <c r="D124" s="10">
        <f>Tabella8[[#This Row],[Italy cumulative]]</f>
        <v>91572</v>
      </c>
      <c r="E124" s="72">
        <f>(Tabella34[[#This Row],[Italy cumul. data]]-D123)</f>
        <v>2068</v>
      </c>
      <c r="F124" s="72">
        <f>Tabella34[[#This Row],[Italy rate data]]-E123</f>
        <v>-969</v>
      </c>
      <c r="G124" s="77">
        <f>Tabella34[[#This Row],[Italy rate data]]*NOT(ISBLANK(Tabella34[[#This Row],[Italy rate data]]))</f>
        <v>2068</v>
      </c>
      <c r="H124" s="143">
        <f>Tabella8[[#This Row],[Italy fit]]</f>
        <v>91776.217372416228</v>
      </c>
      <c r="I124" s="143">
        <f>(ATANH(alpha*Tabella34[[#This Row],[Italy cumul. Fit]]/Kf-(1-alpha*Tabella34[[#This Row],[Italy cumul. Fit]]/Kf)*TANH(phi_f))+phi_f)/psi_f-(Tabella34[[#This Row],[Day]]-pf)</f>
        <v>35.935226081461138</v>
      </c>
      <c r="J124" s="143">
        <f>Tabella34[[#This Row],[Italy d.t.]]/Italy_dt_at_lockdown</f>
        <v>32.590983789033821</v>
      </c>
      <c r="K124" s="77">
        <f>Tabella34[[#This Row],[Italy cumul. Fit]]/Kf</f>
        <v>0.40789429943296102</v>
      </c>
      <c r="L124" s="146">
        <f>Tabella34[[#This Row],[sel. region acc. fit]]+Tabella34[[#This Row],[rest of Italy acc. fit]]</f>
        <v>13.839761308371882</v>
      </c>
      <c r="M124" s="77">
        <f>Tabella34[[#This Row],[Italy (fit of selected region + fitted sum of the other regions)]]/(y_l_peak+y_a_peak)</f>
        <v>4.6138834905298919E-3</v>
      </c>
      <c r="N124" s="143">
        <f>Tabella3[[#This Row],[Italy remov. rate fit]]</f>
        <v>2973.6292549839927</v>
      </c>
      <c r="O124" s="143">
        <f>Kt*EXP(-0.5*Tabella34[[#This Row],[x_t]]^2)/(psi_t*SQRTPI(2)*(Tabella34[[#This Row],[Day]]-D_bk))</f>
        <v>0</v>
      </c>
      <c r="P124" s="183">
        <f>Tabella34[[#This Row],[Italy velocity]]/Tabella34[[#This Row],[Italy cumul. Fit]]</f>
        <v>3.240086963834414E-2</v>
      </c>
      <c r="Q124" s="244">
        <f>(LN(Tabella34[[#This Row],[Day]]-D_bk)-phi_t)/psi_t</f>
        <v>104.97014459765063</v>
      </c>
      <c r="R124" s="244">
        <f>EXP(phi_t+psi_t*Tabella34[[#This Row],[x_t_alpha©+plus]])-(Tabella34[[#This Row],[Day]]-D_bk)</f>
        <v>-43.299100025904217</v>
      </c>
      <c r="S124" s="244">
        <f>EXP(phi_t+psi_t*Tabella34[[#This Row],[x_t_alpha©-minus]])-(Tabella34[[#This Row],[Day]]-D_bk)</f>
        <v>-43.930035906374627</v>
      </c>
      <c r="T124" s="244">
        <f>-psi_t+SQRT(psi_t^2-2*Tabella34[[#This Row],[c_t]])</f>
        <v>3.592168625004621</v>
      </c>
      <c r="U124" s="244">
        <f>-psi_t-SQRT(psi_t^2-2*Tabella34[[#This Row],[c_t]])</f>
        <v>-3.641561359424426</v>
      </c>
      <c r="V124" s="244">
        <f>phi_t-LN(alpha*Kt/(Tabella34[[#This Row],[Italy velocity]]*psi_t*SQRTPI(2)))</f>
        <v>-6.5405512306767992</v>
      </c>
      <c r="W124" s="244">
        <f>Tabella34[[#This Row],[Italy g.r.]]/Italy_gr_at_lockdown</f>
        <v>3.6556035517674466E-2</v>
      </c>
      <c r="X124" s="244">
        <f>(ACOSH(SQRT(alpha*Kf*psi_f/(Tabella34[[#This Row],[Italy velocity]]*(1+TANH(phi_f)))))+phi_f)/psi_f-(Tabella34[[#This Row],[Day]]-pf)</f>
        <v>39.861410156665656</v>
      </c>
      <c r="Y124" s="244">
        <f>Tabella34[[#This Row],[Italy h.t.]]/Italy_ht_at_lockdown</f>
        <v>0.34481112913383966</v>
      </c>
      <c r="Z124" s="72">
        <f>-2*$BY$48*TANH($BY$48*(Tabella34[[#This Row],[Day]]-$BY$57)-$BY$47)*Tabella34[[#This Row],[Italy velocity]]</f>
        <v>14.129547619233298</v>
      </c>
      <c r="AA124" s="72">
        <f>Tabella34[[#This Row],[Italy acc. fit]]/Itali_acc_at_lockdown</f>
        <v>0.39130733504916637</v>
      </c>
      <c r="AB124" s="77">
        <f>Tabella34[[#This Row],[Italy acc. fit]]/y_f_peak</f>
        <v>4.7076428781306825E-3</v>
      </c>
      <c r="AC124" s="143">
        <f>Tabella34[[#This Row],[Italy (fit of selected region + fitted sum of the other regions)]]*NOT(ISBLANK(Tabella34[[#This Row],[Italy rate data]]))</f>
        <v>13.839761308371882</v>
      </c>
      <c r="AD124" s="143">
        <f>Tabella34[[#This Row],[Italy acc. fit]]*NOT(ISBLANK(Tabella34[[#This Row],[Italy rate data]]))</f>
        <v>14.129547619233298</v>
      </c>
      <c r="AE124" s="77">
        <f>Tabella34[[#This Row],[Italy acc. fit]]+CIf</f>
        <v>1729.7444069537846</v>
      </c>
      <c r="AF124" s="77">
        <f>MAX(Tabella34[[#This Row],[Italy acc. fit]]-CIf,0)</f>
        <v>0</v>
      </c>
      <c r="AG124" s="4">
        <f>Tabella8[[#This Row],[region data]]</f>
        <v>4008</v>
      </c>
      <c r="AH124" s="72">
        <f>(Tabella34[[#This Row],[selected region cumul. data]]-AG123)</f>
        <v>140</v>
      </c>
      <c r="AI124" s="72">
        <f>Tabella34[[#This Row],[selected region rate data]]-AH123</f>
        <v>8</v>
      </c>
      <c r="AJ124" s="77">
        <f>Tabella34[[#This Row],[selected region rate data]]*NOT(ISBLANK(Tabella34[[#This Row],[selected region rate data]]))</f>
        <v>140</v>
      </c>
      <c r="AK124" s="77">
        <f>Tabella8[[#This Row],[region fit]]</f>
        <v>3938.9584177784354</v>
      </c>
      <c r="AL124" s="143">
        <f>(ATANH(alpha*Tabella34[[#This Row],[sel. region cumul. fit]]/Kl-(1-alpha*Tabella34[[#This Row],[sel. region cumul. fit]]/Kl)*TANH(phi_l))+phi_l)/psi_l-(Tabella34[[#This Row],[Day]]-pl)</f>
        <v>37.802167948024561</v>
      </c>
      <c r="AM124" s="77">
        <f>Tabella34[[#This Row],[sel. region cumul. fit]]/Kl</f>
        <v>0.43912579908343763</v>
      </c>
      <c r="AN124" s="143">
        <f>Tabella3[[#This Row],[region fit]]</f>
        <v>137.67747724954512</v>
      </c>
      <c r="AO124" s="186">
        <f>Tabella34[[#This Row],[sel. region velocity]]/Tabella34[[#This Row],[sel. region cumul. fit]]</f>
        <v>3.4952762290695862E-2</v>
      </c>
      <c r="AP124" s="241">
        <f>(LN(Tabella34[[#This Row],[Day]]-pr)-phi_r)/psi_r</f>
        <v>89.504558781571532</v>
      </c>
      <c r="AQ124" s="244">
        <f>EXP(phi_r+psi_r*Tabella34[[#This Row],[x_r_alpha©+plus]])-(Tabella34[[#This Row],[Day]]-pr)</f>
        <v>-38.064782284013155</v>
      </c>
      <c r="AR124" s="244">
        <f>EXP(phi_r+psi_r*Tabella34[[#This Row],[x_r_alpha©-minus]])-(Tabella34[[#This Row],[Day]]-pr)</f>
        <v>-38.735825369603852</v>
      </c>
      <c r="AS124" s="244">
        <f>-psi_r+SQRT(psi_r^2-2*Tabella34[[#This Row],[c_r]])</f>
        <v>3.5248472644273363</v>
      </c>
      <c r="AT124" s="244">
        <f>-psi_r-SQRT(psi_r^2-2*Tabella34[[#This Row],[c_r]])</f>
        <v>-3.5812555028459974</v>
      </c>
      <c r="AU124" s="244">
        <f>phi_r-LN(alpha*Kr/(Tabella34[[#This Row],[sel. region velocity]]*psi_r*SQRTPI(2)))</f>
        <v>-6.3116893312110296</v>
      </c>
      <c r="AV124" s="244">
        <f>(ACOSH(SQRT(alpha*Kl*psi_l/(Tabella34[[#This Row],[sel. region velocity]]*(1+TANH(phi_l)))))+phi_l)/psi_l-(Tabella34[[#This Row],[Day]]-pl)</f>
        <v>32.32640700804474</v>
      </c>
      <c r="AW124" s="72">
        <f>-2*$BY$22*TANH($BY$22*(Tabella34[[#This Row],[Day]]-$BY$31)-$BY$21)*Tabella34[[#This Row],[sel. region velocity]]</f>
        <v>0.23089010528064008</v>
      </c>
      <c r="AX124" s="77">
        <f>Tabella34[[#This Row],[sel. region acc. fit]]/y_l_peak</f>
        <v>1.6755538211909145E-3</v>
      </c>
      <c r="AY124" s="143">
        <f>Tabella34[[#This Row],[sel. region acc. fit]]*NOT(ISBLANK(Tabella34[[#This Row],[selected region rate data]]))</f>
        <v>0.23089010528064008</v>
      </c>
      <c r="AZ124" s="77">
        <f>Tabella34[[#This Row],[sel. region acc. fit]]+CIl</f>
        <v>53.995730514829098</v>
      </c>
      <c r="BA124" s="77">
        <f>MAX(Tabella34[[#This Row],[sel. region acc. fit]]-CIl,0)</f>
        <v>0</v>
      </c>
      <c r="BB124" s="10">
        <f>Tabella8[[#This Row],[rest of Italy ]]</f>
        <v>87564</v>
      </c>
      <c r="BC124" s="10">
        <f>(Tabella34[[#This Row],[rest of Italy cum. Data]]-BB123)</f>
        <v>1928</v>
      </c>
      <c r="BD124" s="10">
        <f>Tabella34[[#This Row],[rest of Italy rate data]]-BC123</f>
        <v>-977</v>
      </c>
      <c r="BE124" s="77">
        <f>Tabella34[[#This Row],[rest of Italy rate data]]*NOT(ISBLANK(Tabella34[[#This Row],[rest of Italy rate data]]))</f>
        <v>1928</v>
      </c>
      <c r="BF124" s="77">
        <f>Tabella8[[#This Row],[rest of Italy fit]]</f>
        <v>87853.588083586059</v>
      </c>
      <c r="BG124" s="78">
        <f>(ATANH(alpha*Tabella34[[#This Row],[rest of Italy cumul. fit]]/Ka-(1-alpha*Tabella34[[#This Row],[rest of Italy cumul. fit]]/Ka)*TANH(phi_a))+phi_a)/psi_a-(Tabella34[[#This Row],[Day]]-pa)</f>
        <v>35.962128138379271</v>
      </c>
      <c r="BH124" s="77">
        <f>Tabella34[[#This Row],[rest of Italy cumul. fit]]/Ka</f>
        <v>0.40667309208714558</v>
      </c>
      <c r="BI124" s="143">
        <f>Tabella3[[#This Row],[rest of Italy fit]]</f>
        <v>2834.3436313991633</v>
      </c>
      <c r="BJ124" s="183">
        <f>Tabella34[[#This Row],[rest of Italy velocity]]/Tabella34[[#This Row],[rest of Italy cumul. fit]]</f>
        <v>3.2262127173479802E-2</v>
      </c>
      <c r="BK124" s="236">
        <f>(LN(Tabella34[[#This Row],[Day]]-po)-phi_o)/psi_o</f>
        <v>106.01305003562017</v>
      </c>
      <c r="BL124" s="244">
        <f>EXP(phi_o+psi_o*Tabella34[[#This Row],[x_o_alpha©+plus]])-(Tabella34[[#This Row],[Day]]-po)</f>
        <v>-43.462398573927111</v>
      </c>
      <c r="BM124" s="244">
        <f>EXP(phi_o+psi_o*Tabella34[[#This Row],[x_o_alpha©-minus]])-(Tabella34[[#This Row],[Day]]-po)</f>
        <v>-44.08749978028294</v>
      </c>
      <c r="BN124" s="244">
        <f>-psi_o+SQRT(psi_o^2-2*Tabella34[[#This Row],[c_o]])</f>
        <v>3.5973076529026704</v>
      </c>
      <c r="BO124" s="244">
        <f>-psi_o-SQRT(psi_o^2-2*Tabella34[[#This Row],[c_o]])</f>
        <v>-3.6463347384722997</v>
      </c>
      <c r="BP124" s="244">
        <f>phi_o-LN(alpha*Ko/(Tabella34[[#This Row],[rest of Italy velocity]]*psi_o*SQRTPI(2)))</f>
        <v>-6.5584939298756302</v>
      </c>
      <c r="BQ124" s="244">
        <f>(ACOSH(SQRT(alpha*Ka*psi_a/(Tabella34[[#This Row],[rest of Italy velocity]]*(1+TANH(phi_a)))))+phi_a)/psi_a-(Tabella34[[#This Row],[Day]]-pa)</f>
        <v>40.239832688070891</v>
      </c>
      <c r="BR124" s="72">
        <f>-2*$BY$35*TANH($BY$35*(Tabella34[[#This Row],[Day]]-$BY$44)-$BY$34)*Tabella34[[#This Row],[rest of Italy velocity]]</f>
        <v>13.608871203091242</v>
      </c>
      <c r="BS124" s="77">
        <f>Tabella34[[#This Row],[rest of Italy acc. fit]]/y_a_peak</f>
        <v>4.7553681992070478E-3</v>
      </c>
      <c r="BT124" s="77">
        <f>Tabella34[[#This Row],[rest of Italy acc. fit]]*NOT(ISBLANK(Tabella34[[#This Row],[rest of Italy rate data]]))</f>
        <v>13.608871203091242</v>
      </c>
      <c r="BU124" s="77">
        <f>Tabella34[[#This Row],[rest of Italy acc. fit]]+CIa</f>
        <v>1708.1830661126739</v>
      </c>
      <c r="BV124" s="77">
        <f>MAX(Tabella34[[#This Row],[rest of Italy acc. fit]]-CIa,0)</f>
        <v>0</v>
      </c>
    </row>
    <row r="125" spans="2:74" x14ac:dyDescent="0.3">
      <c r="B125" s="262">
        <v>43948</v>
      </c>
      <c r="C125" s="4">
        <v>118</v>
      </c>
      <c r="D125" s="10">
        <f>Tabella8[[#This Row],[Italy cumulative]]</f>
        <v>93601</v>
      </c>
      <c r="E125" s="72">
        <f>(Tabella34[[#This Row],[Italy cumul. data]]-D124)</f>
        <v>2029</v>
      </c>
      <c r="F125" s="72">
        <f>Tabella34[[#This Row],[Italy rate data]]-E124</f>
        <v>-39</v>
      </c>
      <c r="G125" s="77">
        <f>Tabella34[[#This Row],[Italy rate data]]*NOT(ISBLANK(Tabella34[[#This Row],[Italy rate data]]))</f>
        <v>2029</v>
      </c>
      <c r="H125" s="143">
        <f>Tabella8[[#This Row],[Italy fit]]</f>
        <v>94756.320942036313</v>
      </c>
      <c r="I125" s="143">
        <f>(ATANH(alpha*Tabella34[[#This Row],[Italy cumul. Fit]]/Kf-(1-alpha*Tabella34[[#This Row],[Italy cumul. Fit]]/Kf)*TANH(phi_f))+phi_f)/psi_f-(Tabella34[[#This Row],[Day]]-pf)</f>
        <v>38.668287483994447</v>
      </c>
      <c r="J125" s="143">
        <f>Tabella34[[#This Row],[Italy d.t.]]/Italy_dt_at_lockdown</f>
        <v>35.069698119715312</v>
      </c>
      <c r="K125" s="77">
        <f>Tabella34[[#This Row],[Italy cumul. Fit]]/Kf</f>
        <v>0.42113920418682804</v>
      </c>
      <c r="L125" s="146">
        <f>Tabella34[[#This Row],[sel. region acc. fit]]+Tabella34[[#This Row],[rest of Italy acc. fit]]</f>
        <v>10.282743248763259</v>
      </c>
      <c r="M125" s="77">
        <f>Tabella34[[#This Row],[Italy (fit of selected region + fitted sum of the other regions)]]/(y_l_peak+y_a_peak)</f>
        <v>3.4280489566050018E-3</v>
      </c>
      <c r="N125" s="143">
        <f>Tabella3[[#This Row],[Italy remov. rate fit]]</f>
        <v>2985.9848698176015</v>
      </c>
      <c r="O125" s="143">
        <f>Kt*EXP(-0.5*Tabella34[[#This Row],[x_t]]^2)/(psi_t*SQRTPI(2)*(Tabella34[[#This Row],[Day]]-D_bk))</f>
        <v>0</v>
      </c>
      <c r="P125" s="183">
        <f>Tabella34[[#This Row],[Italy velocity]]/Tabella34[[#This Row],[Italy cumul. Fit]]</f>
        <v>3.1512249949469523E-2</v>
      </c>
      <c r="Q125" s="244">
        <f>(LN(Tabella34[[#This Row],[Day]]-D_bk)-phi_t)/psi_t</f>
        <v>105.81984918514419</v>
      </c>
      <c r="R125" s="244">
        <f>EXP(phi_t+psi_t*Tabella34[[#This Row],[x_t_alpha©+plus]])-(Tabella34[[#This Row],[Day]]-D_bk)</f>
        <v>-44.299209231646998</v>
      </c>
      <c r="S125" s="244">
        <f>EXP(phi_t+psi_t*Tabella34[[#This Row],[x_t_alpha©-minus]])-(Tabella34[[#This Row],[Day]]-D_bk)</f>
        <v>-44.92994456397156</v>
      </c>
      <c r="T125" s="244">
        <f>-psi_t+SQRT(psi_t^2-2*Tabella34[[#This Row],[c_t]])</f>
        <v>3.5910220211826385</v>
      </c>
      <c r="U125" s="244">
        <f>-psi_t-SQRT(psi_t^2-2*Tabella34[[#This Row],[c_t]])</f>
        <v>-3.6404147556024435</v>
      </c>
      <c r="V125" s="244">
        <f>phi_t-LN(alpha*Kt/(Tabella34[[#This Row],[Italy velocity]]*psi_t*SQRTPI(2)))</f>
        <v>-6.5364047768032929</v>
      </c>
      <c r="W125" s="244">
        <f>Tabella34[[#This Row],[Italy g.r.]]/Italy_gr_at_lockdown</f>
        <v>3.5553457090897848E-2</v>
      </c>
      <c r="X125" s="244">
        <f>(ACOSH(SQRT(alpha*Kf*psi_f/(Tabella34[[#This Row],[Italy velocity]]*(1+TANH(phi_f)))))+phi_f)/psi_f-(Tabella34[[#This Row],[Day]]-pf)</f>
        <v>38.743113728702625</v>
      </c>
      <c r="Y125" s="244">
        <f>Tabella34[[#This Row],[Italy h.t.]]/Italy_ht_at_lockdown</f>
        <v>0.33513758641378133</v>
      </c>
      <c r="Z125" s="72">
        <f>-2*$BY$48*TANH($BY$48*(Tabella34[[#This Row],[Day]]-$BY$57)-$BY$47)*Tabella34[[#This Row],[Italy velocity]]</f>
        <v>10.571741054641741</v>
      </c>
      <c r="AA125" s="72">
        <f>Tabella34[[#This Row],[Italy acc. fit]]/Itali_acc_at_lockdown</f>
        <v>0.29277652267441773</v>
      </c>
      <c r="AB125" s="77">
        <f>Tabella34[[#This Row],[Italy acc. fit]]/y_f_peak</f>
        <v>3.5222629079490991E-3</v>
      </c>
      <c r="AC125" s="143">
        <f>Tabella34[[#This Row],[Italy (fit of selected region + fitted sum of the other regions)]]*NOT(ISBLANK(Tabella34[[#This Row],[Italy rate data]]))</f>
        <v>10.282743248763259</v>
      </c>
      <c r="AD125" s="143">
        <f>Tabella34[[#This Row],[Italy acc. fit]]*NOT(ISBLANK(Tabella34[[#This Row],[Italy rate data]]))</f>
        <v>10.571741054641741</v>
      </c>
      <c r="AE125" s="77">
        <f>Tabella34[[#This Row],[Italy acc. fit]]+CIf</f>
        <v>1726.186600389193</v>
      </c>
      <c r="AF125" s="77">
        <f>MAX(Tabella34[[#This Row],[Italy acc. fit]]-CIf,0)</f>
        <v>0</v>
      </c>
      <c r="AG125" s="4">
        <f>Tabella8[[#This Row],[region data]]</f>
        <v>4062</v>
      </c>
      <c r="AH125" s="72">
        <f>(Tabella34[[#This Row],[selected region cumul. data]]-AG124)</f>
        <v>54</v>
      </c>
      <c r="AI125" s="72">
        <f>Tabella34[[#This Row],[selected region rate data]]-AH124</f>
        <v>-86</v>
      </c>
      <c r="AJ125" s="77">
        <f>Tabella34[[#This Row],[selected region rate data]]*NOT(ISBLANK(Tabella34[[#This Row],[selected region rate data]]))</f>
        <v>54</v>
      </c>
      <c r="AK125" s="77">
        <f>Tabella8[[#This Row],[region fit]]</f>
        <v>4076.7148810967178</v>
      </c>
      <c r="AL125" s="143">
        <f>(ATANH(alpha*Tabella34[[#This Row],[sel. region cumul. fit]]/Kl-(1-alpha*Tabella34[[#This Row],[sel. region cumul. fit]]/Kl)*TANH(phi_l))+phi_l)/psi_l-(Tabella34[[#This Row],[Day]]-pl)</f>
        <v>42.510181304113914</v>
      </c>
      <c r="AM125" s="77">
        <f>Tabella34[[#This Row],[sel. region cumul. fit]]/Kl</f>
        <v>0.45448326433631192</v>
      </c>
      <c r="AN125" s="143">
        <f>Tabella3[[#This Row],[region fit]]</f>
        <v>137.79895240762775</v>
      </c>
      <c r="AO125" s="186">
        <f>Tabella34[[#This Row],[sel. region velocity]]/Tabella34[[#This Row],[sel. region cumul. fit]]</f>
        <v>3.3801469179654056E-2</v>
      </c>
      <c r="AP125" s="241">
        <f>(LN(Tabella34[[#This Row],[Day]]-pr)-phi_r)/psi_r</f>
        <v>90.343596861168123</v>
      </c>
      <c r="AQ125" s="244">
        <f>EXP(phi_r+psi_r*Tabella34[[#This Row],[x_r_alpha©+plus]])-(Tabella34[[#This Row],[Day]]-pr)</f>
        <v>-39.064808151750853</v>
      </c>
      <c r="AR125" s="244">
        <f>EXP(phi_r+psi_r*Tabella34[[#This Row],[x_r_alpha©-minus]])-(Tabella34[[#This Row],[Day]]-pr)</f>
        <v>-39.735804199665459</v>
      </c>
      <c r="AS125" s="244">
        <f>-psi_r+SQRT(psi_r^2-2*Tabella34[[#This Row],[c_r]])</f>
        <v>3.5245990387333199</v>
      </c>
      <c r="AT125" s="244">
        <f>-psi_r-SQRT(psi_r^2-2*Tabella34[[#This Row],[c_r]])</f>
        <v>-3.581007277151981</v>
      </c>
      <c r="AU125" s="244">
        <f>phi_r-LN(alpha*Kr/(Tabella34[[#This Row],[sel. region velocity]]*psi_r*SQRTPI(2)))</f>
        <v>-6.3108074033734471</v>
      </c>
      <c r="AV125" s="244">
        <f>(ACOSH(SQRT(alpha*Kl*psi_l/(Tabella34[[#This Row],[sel. region velocity]]*(1+TANH(phi_l)))))+phi_l)/psi_l-(Tabella34[[#This Row],[Day]]-pl)</f>
        <v>31.304301051797168</v>
      </c>
      <c r="AW125" s="72">
        <f>-2*$BY$22*TANH($BY$22*(Tabella34[[#This Row],[Day]]-$BY$31)-$BY$21)*Tabella34[[#This Row],[sel. region velocity]]</f>
        <v>1.1931427342773292E-2</v>
      </c>
      <c r="AX125" s="77">
        <f>Tabella34[[#This Row],[sel. region acc. fit]]/y_l_peak</f>
        <v>8.6585558320683209E-5</v>
      </c>
      <c r="AY125" s="143">
        <f>Tabella34[[#This Row],[sel. region acc. fit]]*NOT(ISBLANK(Tabella34[[#This Row],[selected region rate data]]))</f>
        <v>1.1931427342773292E-2</v>
      </c>
      <c r="AZ125" s="77">
        <f>Tabella34[[#This Row],[sel. region acc. fit]]+CIl</f>
        <v>53.776771836891228</v>
      </c>
      <c r="BA125" s="77">
        <f>MAX(Tabella34[[#This Row],[sel. region acc. fit]]-CIl,0)</f>
        <v>0</v>
      </c>
      <c r="BB125" s="10">
        <f>Tabella8[[#This Row],[rest of Italy ]]</f>
        <v>89539</v>
      </c>
      <c r="BC125" s="10">
        <f>(Tabella34[[#This Row],[rest of Italy cum. Data]]-BB124)</f>
        <v>1975</v>
      </c>
      <c r="BD125" s="10">
        <f>Tabella34[[#This Row],[rest of Italy rate data]]-BC124</f>
        <v>47</v>
      </c>
      <c r="BE125" s="77">
        <f>Tabella34[[#This Row],[rest of Italy rate data]]*NOT(ISBLANK(Tabella34[[#This Row],[rest of Italy rate data]]))</f>
        <v>1975</v>
      </c>
      <c r="BF125" s="77">
        <f>Tabella8[[#This Row],[rest of Italy fit]]</f>
        <v>90694.18219491771</v>
      </c>
      <c r="BG125" s="78">
        <f>(ATANH(alpha*Tabella34[[#This Row],[rest of Italy cumul. fit]]/Ka-(1-alpha*Tabella34[[#This Row],[rest of Italy cumul. fit]]/Ka)*TANH(phi_a))+phi_a)/psi_a-(Tabella34[[#This Row],[Day]]-pa)</f>
        <v>38.650872830316217</v>
      </c>
      <c r="BH125" s="77">
        <f>Tabella34[[#This Row],[rest of Italy cumul. fit]]/Ka</f>
        <v>0.41982216449066201</v>
      </c>
      <c r="BI125" s="143">
        <f>Tabella3[[#This Row],[rest of Italy fit]]</f>
        <v>2846.2882049485584</v>
      </c>
      <c r="BJ125" s="183">
        <f>Tabella34[[#This Row],[rest of Italy velocity]]/Tabella34[[#This Row],[rest of Italy cumul. fit]]</f>
        <v>3.1383360388336549E-2</v>
      </c>
      <c r="BK125" s="236">
        <f>(LN(Tabella34[[#This Row],[Day]]-po)-phi_o)/psi_o</f>
        <v>106.86642612666662</v>
      </c>
      <c r="BL125" s="244">
        <f>EXP(phi_o+psi_o*Tabella34[[#This Row],[x_o_alpha©+plus]])-(Tabella34[[#This Row],[Day]]-po)</f>
        <v>-44.462507949986147</v>
      </c>
      <c r="BM125" s="244">
        <f>EXP(phi_o+psi_o*Tabella34[[#This Row],[x_o_alpha©-minus]])-(Tabella34[[#This Row],[Day]]-po)</f>
        <v>-45.087408196596762</v>
      </c>
      <c r="BN125" s="244">
        <f>-psi_o+SQRT(psi_o^2-2*Tabella34[[#This Row],[c_o]])</f>
        <v>3.5961463453049438</v>
      </c>
      <c r="BO125" s="244">
        <f>-psi_o-SQRT(psi_o^2-2*Tabella34[[#This Row],[c_o]])</f>
        <v>-3.6451734308745731</v>
      </c>
      <c r="BP125" s="244">
        <f>phi_o-LN(alpha*Ko/(Tabella34[[#This Row],[rest of Italy velocity]]*psi_o*SQRTPI(2)))</f>
        <v>-6.5542885557211399</v>
      </c>
      <c r="BQ125" s="244">
        <f>(ACOSH(SQRT(alpha*Ka*psi_a/(Tabella34[[#This Row],[rest of Italy velocity]]*(1+TANH(phi_a)))))+phi_a)/psi_a-(Tabella34[[#This Row],[Day]]-pa)</f>
        <v>39.118978959293585</v>
      </c>
      <c r="BR125" s="72">
        <f>-2*$BY$35*TANH($BY$35*(Tabella34[[#This Row],[Day]]-$BY$44)-$BY$34)*Tabella34[[#This Row],[rest of Italy velocity]]</f>
        <v>10.270811821420486</v>
      </c>
      <c r="BS125" s="77">
        <f>Tabella34[[#This Row],[rest of Italy acc. fit]]/y_a_peak</f>
        <v>3.588945121659208E-3</v>
      </c>
      <c r="BT125" s="77">
        <f>Tabella34[[#This Row],[rest of Italy acc. fit]]*NOT(ISBLANK(Tabella34[[#This Row],[rest of Italy rate data]]))</f>
        <v>10.270811821420486</v>
      </c>
      <c r="BU125" s="77">
        <f>Tabella34[[#This Row],[rest of Italy acc. fit]]+CIa</f>
        <v>1704.8450067310032</v>
      </c>
      <c r="BV125" s="77">
        <f>MAX(Tabella34[[#This Row],[rest of Italy acc. fit]]-CIa,0)</f>
        <v>0</v>
      </c>
    </row>
    <row r="126" spans="2:74" x14ac:dyDescent="0.3">
      <c r="B126" s="262">
        <v>43949</v>
      </c>
      <c r="C126" s="4">
        <v>119</v>
      </c>
      <c r="D126" s="10">
        <f>Tabella8[[#This Row],[Italy cumulative]]</f>
        <v>96300</v>
      </c>
      <c r="E126" s="72">
        <f>(Tabella34[[#This Row],[Italy cumul. data]]-D125)</f>
        <v>2699</v>
      </c>
      <c r="F126" s="72">
        <f>Tabella34[[#This Row],[Italy rate data]]-E125</f>
        <v>670</v>
      </c>
      <c r="G126" s="77">
        <f>Tabella34[[#This Row],[Italy rate data]]*NOT(ISBLANK(Tabella34[[#This Row],[Italy rate data]]))</f>
        <v>2699</v>
      </c>
      <c r="H126" s="143">
        <f>Tabella8[[#This Row],[Italy fit]]</f>
        <v>97746.991988753813</v>
      </c>
      <c r="I126" s="143">
        <f>(ATANH(alpha*Tabella34[[#This Row],[Italy cumul. Fit]]/Kf-(1-alpha*Tabella34[[#This Row],[Italy cumul. Fit]]/Kf)*TANH(phi_f))+phi_f)/psi_f-(Tabella34[[#This Row],[Day]]-pf)</f>
        <v>41.980460651078758</v>
      </c>
      <c r="J126" s="143">
        <f>Tabella34[[#This Row],[Italy d.t.]]/Italy_dt_at_lockdown</f>
        <v>38.073630298970677</v>
      </c>
      <c r="K126" s="77">
        <f>Tabella34[[#This Row],[Italy cumul. Fit]]/Kf</f>
        <v>0.43443107550557253</v>
      </c>
      <c r="L126" s="146">
        <f>Tabella34[[#This Row],[sel. region acc. fit]]+Tabella34[[#This Row],[rest of Italy acc. fit]]</f>
        <v>6.6767167912523719</v>
      </c>
      <c r="M126" s="77">
        <f>Tabella34[[#This Row],[Italy (fit of selected region + fitted sum of the other regions)]]/(y_l_peak+y_a_peak)</f>
        <v>2.2258760601216628E-3</v>
      </c>
      <c r="N126" s="143">
        <f>Tabella3[[#This Row],[Italy remov. rate fit]]</f>
        <v>2994.7556841800938</v>
      </c>
      <c r="O126" s="143">
        <f>Kt*EXP(-0.5*Tabella34[[#This Row],[x_t]]^2)/(psi_t*SQRTPI(2)*(Tabella34[[#This Row],[Day]]-D_bk))</f>
        <v>0</v>
      </c>
      <c r="P126" s="183">
        <f>Tabella34[[#This Row],[Italy velocity]]/Tabella34[[#This Row],[Italy cumul. Fit]]</f>
        <v>3.0637829597095455E-2</v>
      </c>
      <c r="Q126" s="244">
        <f>(LN(Tabella34[[#This Row],[Day]]-D_bk)-phi_t)/psi_t</f>
        <v>106.65208891338686</v>
      </c>
      <c r="R126" s="244">
        <f>EXP(phi_t+psi_t*Tabella34[[#This Row],[x_t_alpha©+plus]])-(Tabella34[[#This Row],[Day]]-D_bk)</f>
        <v>-45.29928649810121</v>
      </c>
      <c r="S126" s="244">
        <f>EXP(phi_t+psi_t*Tabella34[[#This Row],[x_t_alpha©-minus]])-(Tabella34[[#This Row],[Day]]-D_bk)</f>
        <v>-45.929879933259926</v>
      </c>
      <c r="T126" s="244">
        <f>-psi_t+SQRT(psi_t^2-2*Tabella34[[#This Row],[c_t]])</f>
        <v>3.5902107437593496</v>
      </c>
      <c r="U126" s="244">
        <f>-psi_t-SQRT(psi_t^2-2*Tabella34[[#This Row],[c_t]])</f>
        <v>-3.6396034781791546</v>
      </c>
      <c r="V126" s="244">
        <f>phi_t-LN(alpha*Kt/(Tabella34[[#This Row],[Italy velocity]]*psi_t*SQRTPI(2)))</f>
        <v>-6.533471755191349</v>
      </c>
      <c r="W126" s="244">
        <f>Tabella34[[#This Row],[Italy g.r.]]/Italy_gr_at_lockdown</f>
        <v>3.4566898957873696E-2</v>
      </c>
      <c r="X126" s="244">
        <f>(ACOSH(SQRT(alpha*Kf*psi_f/(Tabella34[[#This Row],[Italy velocity]]*(1+TANH(phi_f)))))+phi_f)/psi_f-(Tabella34[[#This Row],[Day]]-pf)</f>
        <v>37.659289378152778</v>
      </c>
      <c r="Y126" s="244">
        <f>Tabella34[[#This Row],[Italy h.t.]]/Italy_ht_at_lockdown</f>
        <v>0.32576223575189939</v>
      </c>
      <c r="Z126" s="72">
        <f>-2*$BY$48*TANH($BY$48*(Tabella34[[#This Row],[Day]]-$BY$57)-$BY$47)*Tabella34[[#This Row],[Italy velocity]]</f>
        <v>6.9627932415768132</v>
      </c>
      <c r="AA126" s="72">
        <f>Tabella34[[#This Row],[Italy acc. fit]]/Itali_acc_at_lockdown</f>
        <v>0.19282939137775537</v>
      </c>
      <c r="AB126" s="77">
        <f>Tabella34[[#This Row],[Italy acc. fit]]/y_f_peak</f>
        <v>2.3198438406469069E-3</v>
      </c>
      <c r="AC126" s="143">
        <f>Tabella34[[#This Row],[Italy (fit of selected region + fitted sum of the other regions)]]*NOT(ISBLANK(Tabella34[[#This Row],[Italy rate data]]))</f>
        <v>6.6767167912523719</v>
      </c>
      <c r="AD126" s="143">
        <f>Tabella34[[#This Row],[Italy acc. fit]]*NOT(ISBLANK(Tabella34[[#This Row],[Italy rate data]]))</f>
        <v>6.9627932415768132</v>
      </c>
      <c r="AE126" s="77">
        <f>Tabella34[[#This Row],[Italy acc. fit]]+CIf</f>
        <v>1722.577652576128</v>
      </c>
      <c r="AF126" s="77">
        <f>MAX(Tabella34[[#This Row],[Italy acc. fit]]-CIf,0)</f>
        <v>0</v>
      </c>
      <c r="AG126" s="4">
        <f>Tabella8[[#This Row],[region data]]</f>
        <v>4201</v>
      </c>
      <c r="AH126" s="72">
        <f>(Tabella34[[#This Row],[selected region cumul. data]]-AG125)</f>
        <v>139</v>
      </c>
      <c r="AI126" s="72">
        <f>Tabella34[[#This Row],[selected region rate data]]-AH125</f>
        <v>85</v>
      </c>
      <c r="AJ126" s="77">
        <f>Tabella34[[#This Row],[selected region rate data]]*NOT(ISBLANK(Tabella34[[#This Row],[selected region rate data]]))</f>
        <v>139</v>
      </c>
      <c r="AK126" s="77">
        <f>Tabella8[[#This Row],[region fit]]</f>
        <v>4214.483269517802</v>
      </c>
      <c r="AL126" s="143">
        <f>(ATANH(alpha*Tabella34[[#This Row],[sel. region cumul. fit]]/Kl-(1-alpha*Tabella34[[#This Row],[sel. region cumul. fit]]/Kl)*TANH(phi_l))+phi_l)/psi_l-(Tabella34[[#This Row],[Day]]-pl)</f>
        <v>49.344798752402511</v>
      </c>
      <c r="AM126" s="77">
        <f>Tabella34[[#This Row],[sel. region cumul. fit]]/Kl</f>
        <v>0.46984205903208492</v>
      </c>
      <c r="AN126" s="143">
        <f>Tabella3[[#This Row],[region fit]]</f>
        <v>137.70131481176921</v>
      </c>
      <c r="AO126" s="186">
        <f>Tabella34[[#This Row],[sel. region velocity]]/Tabella34[[#This Row],[sel. region cumul. fit]]</f>
        <v>3.2673356614730191E-2</v>
      </c>
      <c r="AP126" s="241">
        <f>(LN(Tabella34[[#This Row],[Day]]-pr)-phi_r)/psi_r</f>
        <v>91.163237802776408</v>
      </c>
      <c r="AQ126" s="244">
        <f>EXP(phi_r+psi_r*Tabella34[[#This Row],[x_r_alpha©+plus]])-(Tabella34[[#This Row],[Day]]-pr)</f>
        <v>-40.064787361815277</v>
      </c>
      <c r="AR126" s="244">
        <f>EXP(phi_r+psi_r*Tabella34[[#This Row],[x_r_alpha©-minus]])-(Tabella34[[#This Row],[Day]]-pr)</f>
        <v>-40.7358212139968</v>
      </c>
      <c r="AS126" s="244">
        <f>-psi_r+SQRT(psi_r^2-2*Tabella34[[#This Row],[c_r]])</f>
        <v>3.524798538194561</v>
      </c>
      <c r="AT126" s="244">
        <f>-psi_r-SQRT(psi_r^2-2*Tabella34[[#This Row],[c_r]])</f>
        <v>-3.5812067766132221</v>
      </c>
      <c r="AU126" s="244">
        <f>phi_r-LN(alpha*Kr/(Tabella34[[#This Row],[sel. region velocity]]*psi_r*SQRTPI(2)))</f>
        <v>-6.3115162055893705</v>
      </c>
      <c r="AV126" s="244">
        <f>(ACOSH(SQRT(alpha*Kl*psi_l/(Tabella34[[#This Row],[sel. region velocity]]*(1+TANH(phi_l)))))+phi_l)/psi_l-(Tabella34[[#This Row],[Day]]-pl)</f>
        <v>30.322068297051572</v>
      </c>
      <c r="AW126" s="72">
        <f>-2*$BY$22*TANH($BY$22*(Tabella34[[#This Row],[Day]]-$BY$31)-$BY$21)*Tabella34[[#This Row],[sel. region velocity]]</f>
        <v>-0.20710309379126185</v>
      </c>
      <c r="AX126" s="77">
        <f>Tabella34[[#This Row],[sel. region acc. fit]]/y_l_peak</f>
        <v>-1.5029330934759023E-3</v>
      </c>
      <c r="AY126" s="143">
        <f>Tabella34[[#This Row],[sel. region acc. fit]]*NOT(ISBLANK(Tabella34[[#This Row],[selected region rate data]]))</f>
        <v>-0.20710309379126185</v>
      </c>
      <c r="AZ126" s="77">
        <f>Tabella34[[#This Row],[sel. region acc. fit]]+CIl</f>
        <v>53.557737315757194</v>
      </c>
      <c r="BA126" s="77">
        <f>MAX(Tabella34[[#This Row],[sel. region acc. fit]]-CIl,0)</f>
        <v>0</v>
      </c>
      <c r="BB126" s="10">
        <f>Tabella8[[#This Row],[rest of Italy ]]</f>
        <v>92099</v>
      </c>
      <c r="BC126" s="10">
        <f>(Tabella34[[#This Row],[rest of Italy cum. Data]]-BB125)</f>
        <v>2560</v>
      </c>
      <c r="BD126" s="10">
        <f>Tabella34[[#This Row],[rest of Italy rate data]]-BC125</f>
        <v>585</v>
      </c>
      <c r="BE126" s="77">
        <f>Tabella34[[#This Row],[rest of Italy rate data]]*NOT(ISBLANK(Tabella34[[#This Row],[rest of Italy rate data]]))</f>
        <v>2560</v>
      </c>
      <c r="BF126" s="77">
        <f>Tabella8[[#This Row],[rest of Italy fit]]</f>
        <v>93545.043038297808</v>
      </c>
      <c r="BG126" s="78">
        <f>(ATANH(alpha*Tabella34[[#This Row],[rest of Italy cumul. fit]]/Ka-(1-alpha*Tabella34[[#This Row],[rest of Italy cumul. fit]]/Ka)*TANH(phi_a))+phi_a)/psi_a-(Tabella34[[#This Row],[Day]]-pa)</f>
        <v>41.895574573158441</v>
      </c>
      <c r="BH126" s="77">
        <f>Tabella34[[#This Row],[rest of Italy cumul. fit]]/Ka</f>
        <v>0.43301876146043516</v>
      </c>
      <c r="BI126" s="143">
        <f>Tabella3[[#This Row],[rest of Italy fit]]</f>
        <v>2854.8689386973233</v>
      </c>
      <c r="BJ126" s="183">
        <f>Tabella34[[#This Row],[rest of Italy velocity]]/Tabella34[[#This Row],[rest of Italy cumul. fit]]</f>
        <v>3.051865546235866E-2</v>
      </c>
      <c r="BK126" s="236">
        <f>(LN(Tabella34[[#This Row],[Day]]-po)-phi_o)/psi_o</f>
        <v>107.70231539861199</v>
      </c>
      <c r="BL126" s="244">
        <f>EXP(phi_o+psi_o*Tabella34[[#This Row],[x_o_alpha©+plus]])-(Tabella34[[#This Row],[Day]]-po)</f>
        <v>-45.462586260175534</v>
      </c>
      <c r="BM126" s="244">
        <f>EXP(phi_o+psi_o*Tabella34[[#This Row],[x_o_alpha©-minus]])-(Tabella34[[#This Row],[Day]]-po)</f>
        <v>-46.087342622043856</v>
      </c>
      <c r="BN126" s="244">
        <f>-psi_o+SQRT(psi_o^2-2*Tabella34[[#This Row],[c_o]])</f>
        <v>3.5953148613400852</v>
      </c>
      <c r="BO126" s="244">
        <f>-psi_o-SQRT(psi_o^2-2*Tabella34[[#This Row],[c_o]])</f>
        <v>-3.6443419469097145</v>
      </c>
      <c r="BP126" s="244">
        <f>phi_o-LN(alpha*Ko/(Tabella34[[#This Row],[rest of Italy velocity]]*psi_o*SQRTPI(2)))</f>
        <v>-6.5512783807647779</v>
      </c>
      <c r="BQ126" s="244">
        <f>(ACOSH(SQRT(alpha*Ka*psi_a/(Tabella34[[#This Row],[rest of Italy velocity]]*(1+TANH(phi_a)))))+phi_a)/psi_a-(Tabella34[[#This Row],[Day]]-pa)</f>
        <v>38.03231840121876</v>
      </c>
      <c r="BR126" s="72">
        <f>-2*$BY$35*TANH($BY$35*(Tabella34[[#This Row],[Day]]-$BY$44)-$BY$34)*Tabella34[[#This Row],[rest of Italy velocity]]</f>
        <v>6.8838198850436338</v>
      </c>
      <c r="BS126" s="77">
        <f>Tabella34[[#This Row],[rest of Italy acc. fit]]/y_a_peak</f>
        <v>2.4054234684041881E-3</v>
      </c>
      <c r="BT126" s="77">
        <f>Tabella34[[#This Row],[rest of Italy acc. fit]]*NOT(ISBLANK(Tabella34[[#This Row],[rest of Italy rate data]]))</f>
        <v>6.8838198850436338</v>
      </c>
      <c r="BU126" s="77">
        <f>Tabella34[[#This Row],[rest of Italy acc. fit]]+CIa</f>
        <v>1701.4580147946263</v>
      </c>
      <c r="BV126" s="77">
        <f>MAX(Tabella34[[#This Row],[rest of Italy acc. fit]]-CIa,0)</f>
        <v>0</v>
      </c>
    </row>
    <row r="127" spans="2:74" x14ac:dyDescent="0.3">
      <c r="B127" s="262">
        <v>43950</v>
      </c>
      <c r="C127" s="4">
        <v>120</v>
      </c>
      <c r="D127" s="10">
        <f>Tabella8[[#This Row],[Italy cumulative]]</f>
        <v>98934</v>
      </c>
      <c r="E127" s="72">
        <f>(Tabella34[[#This Row],[Italy cumul. data]]-D126)</f>
        <v>2634</v>
      </c>
      <c r="F127" s="72">
        <f>Tabella34[[#This Row],[Italy rate data]]-E126</f>
        <v>-65</v>
      </c>
      <c r="G127" s="77">
        <f>Tabella34[[#This Row],[Italy rate data]]*NOT(ISBLANK(Tabella34[[#This Row],[Italy rate data]]))</f>
        <v>2634</v>
      </c>
      <c r="H127" s="143">
        <f>Tabella8[[#This Row],[Italy fit]]</f>
        <v>100744.62300797222</v>
      </c>
      <c r="I127" s="143">
        <f>(ATANH(alpha*Tabella34[[#This Row],[Italy cumul. Fit]]/Kf-(1-alpha*Tabella34[[#This Row],[Italy cumul. Fit]]/Kf)*TANH(phi_f))+phi_f)/psi_f-(Tabella34[[#This Row],[Day]]-pf)</f>
        <v>46.139571000658549</v>
      </c>
      <c r="J127" s="143">
        <f>Tabella34[[#This Row],[Italy d.t.]]/Italy_dt_at_lockdown</f>
        <v>41.845681090377475</v>
      </c>
      <c r="K127" s="77">
        <f>Tabella34[[#This Row],[Italy cumul. Fit]]/Kf</f>
        <v>0.44775388003543209</v>
      </c>
      <c r="L127" s="146">
        <f>Tabella34[[#This Row],[sel. region acc. fit]]+Tabella34[[#This Row],[rest of Italy acc. fit]]</f>
        <v>3.0390607345182015</v>
      </c>
      <c r="M127" s="77">
        <f>Tabella34[[#This Row],[Italy (fit of selected region + fitted sum of the other regions)]]/(y_l_peak+y_a_peak)</f>
        <v>1.0131585247231925E-3</v>
      </c>
      <c r="N127" s="143">
        <f>Tabella3[[#This Row],[Italy remov. rate fit]]</f>
        <v>2999.8991752785728</v>
      </c>
      <c r="O127" s="143">
        <f>Kt*EXP(-0.5*Tabella34[[#This Row],[x_t]]^2)/(psi_t*SQRTPI(2)*(Tabella34[[#This Row],[Day]]-D_bk))</f>
        <v>0</v>
      </c>
      <c r="P127" s="183">
        <f>Tabella34[[#This Row],[Italy velocity]]/Tabella34[[#This Row],[Italy cumul. Fit]]</f>
        <v>2.9777263398376923E-2</v>
      </c>
      <c r="Q127" s="244">
        <f>(LN(Tabella34[[#This Row],[Day]]-D_bk)-phi_t)/psi_t</f>
        <v>107.46756729336896</v>
      </c>
      <c r="R127" s="244">
        <f>EXP(phi_t+psi_t*Tabella34[[#This Row],[x_t_alpha©+plus]])-(Tabella34[[#This Row],[Day]]-D_bk)</f>
        <v>-46.29933171179443</v>
      </c>
      <c r="S127" s="244">
        <f>EXP(phi_t+psi_t*Tabella34[[#This Row],[x_t_alpha©-minus]])-(Tabella34[[#This Row],[Day]]-D_bk)</f>
        <v>-46.929842112371048</v>
      </c>
      <c r="T127" s="244">
        <f>-psi_t+SQRT(psi_t^2-2*Tabella34[[#This Row],[c_t]])</f>
        <v>3.5897360043474773</v>
      </c>
      <c r="U127" s="244">
        <f>-psi_t-SQRT(psi_t^2-2*Tabella34[[#This Row],[c_t]])</f>
        <v>-3.6391287387672824</v>
      </c>
      <c r="V127" s="244">
        <f>phi_t-LN(alpha*Kt/(Tabella34[[#This Row],[Italy velocity]]*psi_t*SQRTPI(2)))</f>
        <v>-6.5317557290042689</v>
      </c>
      <c r="W127" s="244">
        <f>Tabella34[[#This Row],[Italy g.r.]]/Italy_gr_at_lockdown</f>
        <v>3.3595971668674167E-2</v>
      </c>
      <c r="X127" s="244">
        <f>(ACOSH(SQRT(alpha*Kf*psi_f/(Tabella34[[#This Row],[Italy velocity]]*(1+TANH(phi_f)))))+phi_f)/psi_f-(Tabella34[[#This Row],[Day]]-pf)</f>
        <v>36.610189439781905</v>
      </c>
      <c r="Y127" s="244">
        <f>Tabella34[[#This Row],[Italy h.t.]]/Italy_ht_at_lockdown</f>
        <v>0.31668725990678592</v>
      </c>
      <c r="Z127" s="72">
        <f>-2*$BY$48*TANH($BY$48*(Tabella34[[#This Row],[Day]]-$BY$57)-$BY$47)*Tabella34[[#This Row],[Italy velocity]]</f>
        <v>3.3200140022529814</v>
      </c>
      <c r="AA127" s="72">
        <f>Tabella34[[#This Row],[Italy acc. fit]]/Itali_acc_at_lockdown</f>
        <v>9.1945323838897669E-2</v>
      </c>
      <c r="AB127" s="77">
        <f>Tabella34[[#This Row],[Italy acc. fit]]/y_f_peak</f>
        <v>1.1061529140342344E-3</v>
      </c>
      <c r="AC127" s="143">
        <f>Tabella34[[#This Row],[Italy (fit of selected region + fitted sum of the other regions)]]*NOT(ISBLANK(Tabella34[[#This Row],[Italy rate data]]))</f>
        <v>3.0390607345182015</v>
      </c>
      <c r="AD127" s="143">
        <f>Tabella34[[#This Row],[Italy acc. fit]]*NOT(ISBLANK(Tabella34[[#This Row],[Italy rate data]]))</f>
        <v>3.3200140022529814</v>
      </c>
      <c r="AE127" s="77">
        <f>Tabella34[[#This Row],[Italy acc. fit]]+CIf</f>
        <v>1718.9348733368042</v>
      </c>
      <c r="AF127" s="77">
        <f>MAX(Tabella34[[#This Row],[Italy acc. fit]]-CIf,0)</f>
        <v>0</v>
      </c>
      <c r="AG127" s="4">
        <f>Tabella8[[#This Row],[region data]]</f>
        <v>4313</v>
      </c>
      <c r="AH127" s="72">
        <f>(Tabella34[[#This Row],[selected region cumul. data]]-AG126)</f>
        <v>112</v>
      </c>
      <c r="AI127" s="72">
        <f>Tabella34[[#This Row],[selected region rate data]]-AH126</f>
        <v>-27</v>
      </c>
      <c r="AJ127" s="77">
        <f>Tabella34[[#This Row],[selected region rate data]]*NOT(ISBLANK(Tabella34[[#This Row],[selected region rate data]]))</f>
        <v>112</v>
      </c>
      <c r="AK127" s="77">
        <f>Tabella8[[#This Row],[region fit]]</f>
        <v>4352.0446645084685</v>
      </c>
      <c r="AL127" s="143">
        <f>(ATANH(alpha*Tabella34[[#This Row],[sel. region cumul. fit]]/Kl-(1-alpha*Tabella34[[#This Row],[sel. region cumul. fit]]/Kl)*TANH(phi_l))+phi_l)/psi_l-(Tabella34[[#This Row],[Day]]-pl)</f>
        <v>61.457969434457283</v>
      </c>
      <c r="AM127" s="77">
        <f>Tabella34[[#This Row],[sel. region cumul. fit]]/Kl</f>
        <v>0.48517777753717595</v>
      </c>
      <c r="AN127" s="143">
        <f>Tabella3[[#This Row],[region fit]]</f>
        <v>137.38518477485567</v>
      </c>
      <c r="AO127" s="186">
        <f>Tabella34[[#This Row],[sel. region velocity]]/Tabella34[[#This Row],[sel. region cumul. fit]]</f>
        <v>3.156796296123774E-2</v>
      </c>
      <c r="AP127" s="241">
        <f>(LN(Tabella34[[#This Row],[Day]]-pr)-phi_r)/psi_r</f>
        <v>91.964358236249026</v>
      </c>
      <c r="AQ127" s="244">
        <f>EXP(phi_r+psi_r*Tabella34[[#This Row],[x_r_alpha©+plus]])-(Tabella34[[#This Row],[Day]]-pr)</f>
        <v>-41.064719954317049</v>
      </c>
      <c r="AR127" s="244">
        <f>EXP(phi_r+psi_r*Tabella34[[#This Row],[x_r_alpha©-minus]])-(Tabella34[[#This Row],[Day]]-pr)</f>
        <v>-41.73587637848393</v>
      </c>
      <c r="AS127" s="244">
        <f>-psi_r+SQRT(psi_r^2-2*Tabella34[[#This Row],[c_r]])</f>
        <v>3.5254453703614388</v>
      </c>
      <c r="AT127" s="244">
        <f>-psi_r-SQRT(psi_r^2-2*Tabella34[[#This Row],[c_r]])</f>
        <v>-3.5818536087800998</v>
      </c>
      <c r="AU127" s="244">
        <f>phi_r-LN(alpha*Kr/(Tabella34[[#This Row],[sel. region velocity]]*psi_r*SQRTPI(2)))</f>
        <v>-6.3138146111931066</v>
      </c>
      <c r="AV127" s="244">
        <f>(ACOSH(SQRT(alpha*Kl*psi_l/(Tabella34[[#This Row],[sel. region velocity]]*(1+TANH(phi_l)))))+phi_l)/psi_l-(Tabella34[[#This Row],[Day]]-pl)</f>
        <v>29.379638270479361</v>
      </c>
      <c r="AW127" s="72">
        <f>-2*$BY$22*TANH($BY$22*(Tabella34[[#This Row],[Day]]-$BY$31)-$BY$21)*Tabella34[[#This Row],[sel. region velocity]]</f>
        <v>-0.42482254244388157</v>
      </c>
      <c r="AX127" s="77">
        <f>Tabella34[[#This Row],[sel. region acc. fit]]/y_l_peak</f>
        <v>-3.0829083535420351E-3</v>
      </c>
      <c r="AY127" s="143">
        <f>Tabella34[[#This Row],[sel. region acc. fit]]*NOT(ISBLANK(Tabella34[[#This Row],[selected region rate data]]))</f>
        <v>-0.42482254244388157</v>
      </c>
      <c r="AZ127" s="77">
        <f>Tabella34[[#This Row],[sel. region acc. fit]]+CIl</f>
        <v>53.340017867104571</v>
      </c>
      <c r="BA127" s="77">
        <f>MAX(Tabella34[[#This Row],[sel. region acc. fit]]-CIl,0)</f>
        <v>0</v>
      </c>
      <c r="BB127" s="10">
        <f>Tabella8[[#This Row],[rest of Italy ]]</f>
        <v>94621</v>
      </c>
      <c r="BC127" s="10">
        <f>(Tabella34[[#This Row],[rest of Italy cum. Data]]-BB126)</f>
        <v>2522</v>
      </c>
      <c r="BD127" s="10">
        <f>Tabella34[[#This Row],[rest of Italy rate data]]-BC126</f>
        <v>-38</v>
      </c>
      <c r="BE127" s="77">
        <f>Tabella34[[#This Row],[rest of Italy rate data]]*NOT(ISBLANK(Tabella34[[#This Row],[rest of Italy rate data]]))</f>
        <v>2522</v>
      </c>
      <c r="BF127" s="77">
        <f>Tabella8[[#This Row],[rest of Italy fit]]</f>
        <v>96402.784954778152</v>
      </c>
      <c r="BG127" s="78">
        <f>(ATANH(alpha*Tabella34[[#This Row],[rest of Italy cumul. fit]]/Ka-(1-alpha*Tabella34[[#This Row],[rest of Italy cumul. fit]]/Ka)*TANH(phi_a))+phi_a)/psi_a-(Tabella34[[#This Row],[Day]]-pa)</f>
        <v>45.945353523931757</v>
      </c>
      <c r="BH127" s="77">
        <f>Tabella34[[#This Row],[rest of Italy cumul. fit]]/Ka</f>
        <v>0.44624721082617297</v>
      </c>
      <c r="BI127" s="143">
        <f>Tabella3[[#This Row],[rest of Italy fit]]</f>
        <v>2860.0448594402933</v>
      </c>
      <c r="BJ127" s="183">
        <f>Tabella34[[#This Row],[rest of Italy velocity]]/Tabella34[[#This Row],[rest of Italy cumul. fit]]</f>
        <v>2.9667658053467227E-2</v>
      </c>
      <c r="BK127" s="236">
        <f>(LN(Tabella34[[#This Row],[Day]]-po)-phi_o)/psi_o</f>
        <v>108.52142014136302</v>
      </c>
      <c r="BL127" s="244">
        <f>EXP(phi_o+psi_o*Tabella34[[#This Row],[x_o_alpha©+plus]])-(Tabella34[[#This Row],[Day]]-po)</f>
        <v>-46.462633391255565</v>
      </c>
      <c r="BM127" s="244">
        <f>EXP(phi_o+psi_o*Tabella34[[#This Row],[x_o_alpha©-minus]])-(Tabella34[[#This Row],[Day]]-po)</f>
        <v>-47.087303154633105</v>
      </c>
      <c r="BN127" s="244">
        <f>-psi_o+SQRT(psi_o^2-2*Tabella34[[#This Row],[c_o]])</f>
        <v>3.5948144235636041</v>
      </c>
      <c r="BO127" s="244">
        <f>-psi_o-SQRT(psi_o^2-2*Tabella34[[#This Row],[c_o]])</f>
        <v>-3.6438415091332335</v>
      </c>
      <c r="BP127" s="244">
        <f>phi_o-LN(alpha*Ko/(Tabella34[[#This Row],[rest of Italy velocity]]*psi_o*SQRTPI(2)))</f>
        <v>-6.5494670071059584</v>
      </c>
      <c r="BQ127" s="244">
        <f>(ACOSH(SQRT(alpha*Ka*psi_a/(Tabella34[[#This Row],[rest of Italy velocity]]*(1+TANH(phi_a)))))+phi_a)/psi_a-(Tabella34[[#This Row],[Day]]-pa)</f>
        <v>36.980107845170892</v>
      </c>
      <c r="BR127" s="72">
        <f>-2*$BY$35*TANH($BY$35*(Tabella34[[#This Row],[Day]]-$BY$44)-$BY$34)*Tabella34[[#This Row],[rest of Italy velocity]]</f>
        <v>3.4638832769620831</v>
      </c>
      <c r="BS127" s="77">
        <f>Tabella34[[#This Row],[rest of Italy acc. fit]]/y_a_peak</f>
        <v>1.2103899092886542E-3</v>
      </c>
      <c r="BT127" s="77">
        <f>Tabella34[[#This Row],[rest of Italy acc. fit]]*NOT(ISBLANK(Tabella34[[#This Row],[rest of Italy rate data]]))</f>
        <v>3.4638832769620831</v>
      </c>
      <c r="BU127" s="77">
        <f>Tabella34[[#This Row],[rest of Italy acc. fit]]+CIa</f>
        <v>1698.0380781865449</v>
      </c>
      <c r="BV127" s="77">
        <f>MAX(Tabella34[[#This Row],[rest of Italy acc. fit]]-CIa,0)</f>
        <v>0</v>
      </c>
    </row>
    <row r="128" spans="2:74" x14ac:dyDescent="0.3">
      <c r="B128" s="262">
        <v>43951</v>
      </c>
      <c r="C128" s="4">
        <v>121</v>
      </c>
      <c r="D128" s="10">
        <f>Tabella8[[#This Row],[Italy cumulative]]</f>
        <v>103912</v>
      </c>
      <c r="E128" s="72">
        <f>(Tabella34[[#This Row],[Italy cumul. data]]-D127)</f>
        <v>4978</v>
      </c>
      <c r="F128" s="72">
        <f>Tabella34[[#This Row],[Italy rate data]]-E127</f>
        <v>2344</v>
      </c>
      <c r="G128" s="77">
        <f>Tabella34[[#This Row],[Italy rate data]]*NOT(ISBLANK(Tabella34[[#This Row],[Italy rate data]]))</f>
        <v>4978</v>
      </c>
      <c r="H128" s="143">
        <f>Tabella8[[#This Row],[Italy fit]]</f>
        <v>103745.57269273401</v>
      </c>
      <c r="I128" s="143">
        <f>(ATANH(alpha*Tabella34[[#This Row],[Italy cumul. Fit]]/Kf-(1-alpha*Tabella34[[#This Row],[Italy cumul. Fit]]/Kf)*TANH(phi_f))+phi_f)/psi_f-(Tabella34[[#This Row],[Day]]-pf)</f>
        <v>51.653100375777001</v>
      </c>
      <c r="J128" s="143">
        <f>Tabella34[[#This Row],[Italy d.t.]]/Italy_dt_at_lockdown</f>
        <v>46.846104521066543</v>
      </c>
      <c r="K128" s="77">
        <f>Tabella34[[#This Row],[Italy cumul. Fit]]/Kf</f>
        <v>0.46109143418992893</v>
      </c>
      <c r="L128" s="146">
        <f>Tabella34[[#This Row],[sel. region acc. fit]]+Tabella34[[#This Row],[rest of Italy acc. fit]]</f>
        <v>-0.61252962545761691</v>
      </c>
      <c r="M128" s="77">
        <f>Tabella34[[#This Row],[Italy (fit of selected region + fitted sum of the other regions)]]/(y_l_peak+y_a_peak)</f>
        <v>-2.0420441244530581E-4</v>
      </c>
      <c r="N128" s="143">
        <f>Tabella3[[#This Row],[Italy remov. rate fit]]</f>
        <v>3001.3903192799853</v>
      </c>
      <c r="O128" s="143">
        <f>Kt*EXP(-0.5*Tabella34[[#This Row],[x_t]]^2)/(psi_t*SQRTPI(2)*(Tabella34[[#This Row],[Day]]-D_bk))</f>
        <v>0</v>
      </c>
      <c r="P128" s="183">
        <f>Tabella34[[#This Row],[Italy velocity]]/Tabella34[[#This Row],[Italy cumul. Fit]]</f>
        <v>2.8930297856365222E-2</v>
      </c>
      <c r="Q128" s="244">
        <f>(LN(Tabella34[[#This Row],[Day]]-D_bk)-phi_t)/psi_t</f>
        <v>108.26694616622991</v>
      </c>
      <c r="R128" s="244">
        <f>EXP(phi_t+psi_t*Tabella34[[#This Row],[x_t_alpha©+plus]])-(Tabella34[[#This Row],[Day]]-D_bk)</f>
        <v>-47.29934480616366</v>
      </c>
      <c r="S128" s="244">
        <f>EXP(phi_t+psi_t*Tabella34[[#This Row],[x_t_alpha©-minus]])-(Tabella34[[#This Row],[Day]]-D_bk)</f>
        <v>-47.929831158871423</v>
      </c>
      <c r="T128" s="244">
        <f>-psi_t+SQRT(psi_t^2-2*Tabella34[[#This Row],[c_t]])</f>
        <v>3.5895985136958464</v>
      </c>
      <c r="U128" s="244">
        <f>-psi_t-SQRT(psi_t^2-2*Tabella34[[#This Row],[c_t]])</f>
        <v>-3.6389912481156514</v>
      </c>
      <c r="V128" s="244">
        <f>phi_t-LN(alpha*Kt/(Tabella34[[#This Row],[Italy velocity]]*psi_t*SQRTPI(2)))</f>
        <v>-6.5312587877940675</v>
      </c>
      <c r="W128" s="244">
        <f>Tabella34[[#This Row],[Italy g.r.]]/Italy_gr_at_lockdown</f>
        <v>3.2640389217288818E-2</v>
      </c>
      <c r="X128" s="244">
        <f>(ACOSH(SQRT(alpha*Kf*psi_f/(Tabella34[[#This Row],[Italy velocity]]*(1+TANH(phi_f)))))+phi_f)/psi_f-(Tabella34[[#This Row],[Day]]-pf)</f>
        <v>35.595962815204274</v>
      </c>
      <c r="Y128" s="244">
        <f>Tabella34[[#This Row],[Italy h.t.]]/Italy_ht_at_lockdown</f>
        <v>0.30791394691450241</v>
      </c>
      <c r="Z128" s="72">
        <f>-2*$BY$48*TANH($BY$48*(Tabella34[[#This Row],[Day]]-$BY$57)-$BY$47)*Tabella34[[#This Row],[Italy velocity]]</f>
        <v>-0.3389383668211588</v>
      </c>
      <c r="AA128" s="72">
        <f>Tabella34[[#This Row],[Italy acc. fit]]/Itali_acc_at_lockdown</f>
        <v>-9.3866465254816983E-3</v>
      </c>
      <c r="AB128" s="77">
        <f>Tabella34[[#This Row],[Italy acc. fit]]/y_f_peak</f>
        <v>-1.1292653039499463E-4</v>
      </c>
      <c r="AC128" s="143">
        <f>Tabella34[[#This Row],[Italy (fit of selected region + fitted sum of the other regions)]]*NOT(ISBLANK(Tabella34[[#This Row],[Italy rate data]]))</f>
        <v>-0.61252962545761691</v>
      </c>
      <c r="AD128" s="143">
        <f>Tabella34[[#This Row],[Italy acc. fit]]*NOT(ISBLANK(Tabella34[[#This Row],[Italy rate data]]))</f>
        <v>-0.3389383668211588</v>
      </c>
      <c r="AE128" s="77">
        <f>Tabella34[[#This Row],[Italy acc. fit]]+CIf</f>
        <v>1715.2759209677301</v>
      </c>
      <c r="AF128" s="77">
        <f>MAX(Tabella34[[#This Row],[Italy acc. fit]]-CIf,0)</f>
        <v>0</v>
      </c>
      <c r="AG128" s="4">
        <f>Tabella8[[#This Row],[region data]]</f>
        <v>4442</v>
      </c>
      <c r="AH128" s="72">
        <f>(Tabella34[[#This Row],[selected region cumul. data]]-AG127)</f>
        <v>129</v>
      </c>
      <c r="AI128" s="72">
        <f>Tabella34[[#This Row],[selected region rate data]]-AH127</f>
        <v>17</v>
      </c>
      <c r="AJ128" s="77">
        <f>Tabella34[[#This Row],[selected region rate data]]*NOT(ISBLANK(Tabella34[[#This Row],[selected region rate data]]))</f>
        <v>129</v>
      </c>
      <c r="AK128" s="77">
        <f>Tabella8[[#This Row],[region fit]]</f>
        <v>4489.181461130469</v>
      </c>
      <c r="AL128" s="143" t="e">
        <f>(ATANH(alpha*Tabella34[[#This Row],[sel. region cumul. fit]]/Kl-(1-alpha*Tabella34[[#This Row],[sel. region cumul. fit]]/Kl)*TANH(phi_l))+phi_l)/psi_l-(Tabella34[[#This Row],[Day]]-pl)</f>
        <v>#NUM!</v>
      </c>
      <c r="AM128" s="77">
        <f>Tabella34[[#This Row],[sel. region cumul. fit]]/Kl</f>
        <v>0.5004661606611448</v>
      </c>
      <c r="AN128" s="143">
        <f>Tabella3[[#This Row],[region fit]]</f>
        <v>136.85256622119792</v>
      </c>
      <c r="AO128" s="186">
        <f>Tabella34[[#This Row],[sel. region velocity]]/Tabella34[[#This Row],[sel. region cumul. fit]]</f>
        <v>3.0484970903077641E-2</v>
      </c>
      <c r="AP128" s="241">
        <f>(LN(Tabella34[[#This Row],[Day]]-pr)-phi_r)/psi_r</f>
        <v>92.747776674956668</v>
      </c>
      <c r="AQ128" s="244">
        <f>EXP(phi_r+psi_r*Tabella34[[#This Row],[x_r_alpha©+plus]])-(Tabella34[[#This Row],[Day]]-pr)</f>
        <v>-42.064606059101031</v>
      </c>
      <c r="AR128" s="244">
        <f>EXP(phi_r+psi_r*Tabella34[[#This Row],[x_r_alpha©-minus]])-(Tabella34[[#This Row],[Day]]-pr)</f>
        <v>-42.735969582698011</v>
      </c>
      <c r="AS128" s="244">
        <f>-psi_r+SQRT(psi_r^2-2*Tabella34[[#This Row],[c_r]])</f>
        <v>3.5265382648301982</v>
      </c>
      <c r="AT128" s="244">
        <f>-psi_r-SQRT(psi_r^2-2*Tabella34[[#This Row],[c_r]])</f>
        <v>-3.5829465032488592</v>
      </c>
      <c r="AU128" s="244">
        <f>phi_r-LN(alpha*Kr/(Tabella34[[#This Row],[sel. region velocity]]*psi_r*SQRTPI(2)))</f>
        <v>-6.3176989722733286</v>
      </c>
      <c r="AV128" s="244">
        <f>(ACOSH(SQRT(alpha*Kl*psi_l/(Tabella34[[#This Row],[sel. region velocity]]*(1+TANH(phi_l)))))+phi_l)/psi_l-(Tabella34[[#This Row],[Day]]-pl)</f>
        <v>28.476783713017099</v>
      </c>
      <c r="AW128" s="72">
        <f>-2*$BY$22*TANH($BY$22*(Tabella34[[#This Row],[Day]]-$BY$31)-$BY$21)*Tabella34[[#This Row],[sel. region velocity]]</f>
        <v>-0.63985371256987456</v>
      </c>
      <c r="AX128" s="77">
        <f>Tabella34[[#This Row],[sel. region acc. fit]]/y_l_peak</f>
        <v>-4.6433749588209042E-3</v>
      </c>
      <c r="AY128" s="143">
        <f>Tabella34[[#This Row],[sel. region acc. fit]]*NOT(ISBLANK(Tabella34[[#This Row],[selected region rate data]]))</f>
        <v>-0.63985371256987456</v>
      </c>
      <c r="AZ128" s="77">
        <f>Tabella34[[#This Row],[sel. region acc. fit]]+CIl</f>
        <v>53.124986696978581</v>
      </c>
      <c r="BA128" s="77">
        <f>MAX(Tabella34[[#This Row],[sel. region acc. fit]]-CIl,0)</f>
        <v>0</v>
      </c>
      <c r="BB128" s="10">
        <f>Tabella8[[#This Row],[rest of Italy ]]</f>
        <v>99470</v>
      </c>
      <c r="BC128" s="10">
        <f>(Tabella34[[#This Row],[rest of Italy cum. Data]]-BB127)</f>
        <v>4849</v>
      </c>
      <c r="BD128" s="10">
        <f>Tabella34[[#This Row],[rest of Italy rate data]]-BC127</f>
        <v>2327</v>
      </c>
      <c r="BE128" s="77">
        <f>Tabella34[[#This Row],[rest of Italy rate data]]*NOT(ISBLANK(Tabella34[[#This Row],[rest of Italy rate data]]))</f>
        <v>4849</v>
      </c>
      <c r="BF128" s="77">
        <f>Tabella8[[#This Row],[rest of Italy fit]]</f>
        <v>99263.989368613577</v>
      </c>
      <c r="BG128" s="78">
        <f>(ATANH(alpha*Tabella34[[#This Row],[rest of Italy cumul. fit]]/Ka-(1-alpha*Tabella34[[#This Row],[rest of Italy cumul. fit]]/Ka)*TANH(phi_a))+phi_a)/psi_a-(Tabella34[[#This Row],[Day]]-pa)</f>
        <v>51.263090008174771</v>
      </c>
      <c r="BH128" s="77">
        <f>Tabella34[[#This Row],[rest of Italy cumul. fit]]/Ka</f>
        <v>0.45949168804616758</v>
      </c>
      <c r="BI128" s="143">
        <f>Tabella3[[#This Row],[rest of Italy fit]]</f>
        <v>2861.7911625062025</v>
      </c>
      <c r="BJ128" s="183">
        <f>Tabella34[[#This Row],[rest of Italy velocity]]/Tabella34[[#This Row],[rest of Italy cumul. fit]]</f>
        <v>2.8830104257436547E-2</v>
      </c>
      <c r="BK128" s="236">
        <f>(LN(Tabella34[[#This Row],[Day]]-po)-phi_o)/psi_o</f>
        <v>109.32440116921013</v>
      </c>
      <c r="BL128" s="244">
        <f>EXP(phi_o+psi_o*Tabella34[[#This Row],[x_o_alpha©+plus]])-(Tabella34[[#This Row],[Day]]-po)</f>
        <v>-47.462649274899498</v>
      </c>
      <c r="BM128" s="244">
        <f>EXP(phi_o+psi_o*Tabella34[[#This Row],[x_o_alpha©-minus]])-(Tabella34[[#This Row],[Day]]-po)</f>
        <v>-48.087289853503975</v>
      </c>
      <c r="BN128" s="244">
        <f>-psi_o+SQRT(psi_o^2-2*Tabella34[[#This Row],[c_o]])</f>
        <v>3.5946457696597589</v>
      </c>
      <c r="BO128" s="244">
        <f>-psi_o-SQRT(psi_o^2-2*Tabella34[[#This Row],[c_o]])</f>
        <v>-3.6436728552293882</v>
      </c>
      <c r="BP128" s="244">
        <f>phi_o-LN(alpha*Ko/(Tabella34[[#This Row],[rest of Italy velocity]]*psi_o*SQRTPI(2)))</f>
        <v>-6.5488566075372079</v>
      </c>
      <c r="BQ128" s="244">
        <f>(ACOSH(SQRT(alpha*Ka*psi_a/(Tabella34[[#This Row],[rest of Italy velocity]]*(1+TANH(phi_a)))))+phi_a)/psi_a-(Tabella34[[#This Row],[Day]]-pa)</f>
        <v>35.962503215820462</v>
      </c>
      <c r="BR128" s="72">
        <f>-2*$BY$35*TANH($BY$35*(Tabella34[[#This Row],[Day]]-$BY$44)-$BY$34)*Tabella34[[#This Row],[rest of Italy velocity]]</f>
        <v>2.7324087112257686E-2</v>
      </c>
      <c r="BS128" s="77">
        <f>Tabella34[[#This Row],[rest of Italy acc. fit]]/y_a_peak</f>
        <v>9.5478965879608353E-6</v>
      </c>
      <c r="BT128" s="77">
        <f>Tabella34[[#This Row],[rest of Italy acc. fit]]*NOT(ISBLANK(Tabella34[[#This Row],[rest of Italy rate data]]))</f>
        <v>2.7324087112257686E-2</v>
      </c>
      <c r="BU128" s="77">
        <f>Tabella34[[#This Row],[rest of Italy acc. fit]]+CIa</f>
        <v>1694.6015189966949</v>
      </c>
      <c r="BV128" s="77">
        <f>MAX(Tabella34[[#This Row],[rest of Italy acc. fit]]-CIa,0)</f>
        <v>0</v>
      </c>
    </row>
    <row r="129" spans="2:74" x14ac:dyDescent="0.3">
      <c r="B129" s="262">
        <v>43952</v>
      </c>
      <c r="C129" s="4">
        <v>122</v>
      </c>
      <c r="D129" s="10">
        <f>Tabella8[[#This Row],[Italy cumulative]]</f>
        <v>106485</v>
      </c>
      <c r="E129" s="72">
        <f>(Tabella34[[#This Row],[Italy cumul. data]]-D128)</f>
        <v>2573</v>
      </c>
      <c r="F129" s="72">
        <f>Tabella34[[#This Row],[Italy rate data]]-E128</f>
        <v>-2405</v>
      </c>
      <c r="G129" s="77">
        <f>Tabella34[[#This Row],[Italy rate data]]*NOT(ISBLANK(Tabella34[[#This Row],[Italy rate data]]))</f>
        <v>2573</v>
      </c>
      <c r="H129" s="143">
        <f>Tabella8[[#This Row],[Italy fit]]</f>
        <v>106746.18357689501</v>
      </c>
      <c r="I129" s="143">
        <f>(ATANH(alpha*Tabella34[[#This Row],[Italy cumul. Fit]]/Kf-(1-alpha*Tabella34[[#This Row],[Italy cumul. Fit]]/Kf)*TANH(phi_f))+phi_f)/psi_f-(Tabella34[[#This Row],[Day]]-pf)</f>
        <v>59.681852951979351</v>
      </c>
      <c r="J129" s="143">
        <f>Tabella34[[#This Row],[Italy d.t.]]/Italy_dt_at_lockdown</f>
        <v>54.127676771760306</v>
      </c>
      <c r="K129" s="77">
        <f>Tabella34[[#This Row],[Italy cumul. Fit]]/Kf</f>
        <v>0.47442748256397782</v>
      </c>
      <c r="L129" s="146">
        <f>Tabella34[[#This Row],[sel. region acc. fit]]+Tabella34[[#This Row],[rest of Italy acc. fit]]</f>
        <v>-4.2602257783081212</v>
      </c>
      <c r="M129" s="77">
        <f>Tabella34[[#This Row],[Italy (fit of selected region + fitted sum of the other regions)]]/(y_l_peak+y_a_peak)</f>
        <v>-1.4202691033822509E-3</v>
      </c>
      <c r="N129" s="143">
        <f>Tabella3[[#This Row],[Italy remov. rate fit]]</f>
        <v>2999.2218495138472</v>
      </c>
      <c r="O129" s="143">
        <f>Kt*EXP(-0.5*Tabella34[[#This Row],[x_t]]^2)/(psi_t*SQRTPI(2)*(Tabella34[[#This Row],[Day]]-D_bk))</f>
        <v>0</v>
      </c>
      <c r="P129" s="183">
        <f>Tabella34[[#This Row],[Italy velocity]]/Tabella34[[#This Row],[Italy cumul. Fit]]</f>
        <v>2.8096759518838877E-2</v>
      </c>
      <c r="Q129" s="244">
        <f>(LN(Tabella34[[#This Row],[Day]]-D_bk)-phi_t)/psi_t</f>
        <v>109.05084893052044</v>
      </c>
      <c r="R129" s="244">
        <f>EXP(phi_t+psi_t*Tabella34[[#This Row],[x_t_alpha©+plus]])-(Tabella34[[#This Row],[Day]]-D_bk)</f>
        <v>-48.29932576190906</v>
      </c>
      <c r="S129" s="244">
        <f>EXP(phi_t+psi_t*Tabella34[[#This Row],[x_t_alpha©-minus]])-(Tabella34[[#This Row],[Day]]-D_bk)</f>
        <v>-48.929847089452736</v>
      </c>
      <c r="T129" s="244">
        <f>-psi_t+SQRT(psi_t^2-2*Tabella34[[#This Row],[c_t]])</f>
        <v>3.5897984778872125</v>
      </c>
      <c r="U129" s="244">
        <f>-psi_t-SQRT(psi_t^2-2*Tabella34[[#This Row],[c_t]])</f>
        <v>-3.6391912123070176</v>
      </c>
      <c r="V129" s="244">
        <f>phi_t-LN(alpha*Kt/(Tabella34[[#This Row],[Italy velocity]]*psi_t*SQRTPI(2)))</f>
        <v>-6.5319815373401253</v>
      </c>
      <c r="W129" s="244">
        <f>Tabella34[[#This Row],[Italy g.r.]]/Italy_gr_at_lockdown</f>
        <v>3.1699955907563811E-2</v>
      </c>
      <c r="X129" s="244">
        <f>(ACOSH(SQRT(alpha*Kf*psi_f/(Tabella34[[#This Row],[Italy velocity]]*(1+TANH(phi_f)))))+phi_f)/psi_f-(Tabella34[[#This Row],[Day]]-pf)</f>
        <v>34.616652800883372</v>
      </c>
      <c r="Y129" s="244">
        <f>Tabella34[[#This Row],[Italy h.t.]]/Italy_ht_at_lockdown</f>
        <v>0.29944267130024521</v>
      </c>
      <c r="Z129" s="72">
        <f>-2*$BY$48*TANH($BY$48*(Tabella34[[#This Row],[Day]]-$BY$57)-$BY$47)*Tabella34[[#This Row],[Italy velocity]]</f>
        <v>-3.9962384002229969</v>
      </c>
      <c r="AA129" s="72">
        <f>Tabella34[[#This Row],[Italy acc. fit]]/Itali_acc_at_lockdown</f>
        <v>-0.11067285667970012</v>
      </c>
      <c r="AB129" s="77">
        <f>Tabella34[[#This Row],[Italy acc. fit]]/y_f_peak</f>
        <v>-1.331455454278937E-3</v>
      </c>
      <c r="AC129" s="143">
        <f>Tabella34[[#This Row],[Italy (fit of selected region + fitted sum of the other regions)]]*NOT(ISBLANK(Tabella34[[#This Row],[Italy rate data]]))</f>
        <v>-4.2602257783081212</v>
      </c>
      <c r="AD129" s="143">
        <f>Tabella34[[#This Row],[Italy acc. fit]]*NOT(ISBLANK(Tabella34[[#This Row],[Italy rate data]]))</f>
        <v>-3.9962384002229969</v>
      </c>
      <c r="AE129" s="77">
        <f>Tabella34[[#This Row],[Italy acc. fit]]+CIf</f>
        <v>1711.6186209343282</v>
      </c>
      <c r="AF129" s="77">
        <f>MAX(Tabella34[[#This Row],[Italy acc. fit]]-CIf,0)</f>
        <v>0</v>
      </c>
      <c r="AG129" s="4">
        <f>Tabella8[[#This Row],[region data]]</f>
        <v>4608</v>
      </c>
      <c r="AH129" s="72">
        <f>(Tabella34[[#This Row],[selected region cumul. data]]-AG128)</f>
        <v>166</v>
      </c>
      <c r="AI129" s="72">
        <f>Tabella34[[#This Row],[selected region rate data]]-AH128</f>
        <v>37</v>
      </c>
      <c r="AJ129" s="77">
        <f>Tabella34[[#This Row],[selected region rate data]]*NOT(ISBLANK(Tabella34[[#This Row],[selected region rate data]]))</f>
        <v>166</v>
      </c>
      <c r="AK129" s="77">
        <f>Tabella8[[#This Row],[region fit]]</f>
        <v>4625.6787397178032</v>
      </c>
      <c r="AL129" s="143" t="e">
        <f>(ATANH(alpha*Tabella34[[#This Row],[sel. region cumul. fit]]/Kl-(1-alpha*Tabella34[[#This Row],[sel. region cumul. fit]]/Kl)*TANH(phi_l))+phi_l)/psi_l-(Tabella34[[#This Row],[Day]]-pl)</f>
        <v>#NUM!</v>
      </c>
      <c r="AM129" s="77">
        <f>Tabella34[[#This Row],[sel. region cumul. fit]]/Kl</f>
        <v>0.51568324857500591</v>
      </c>
      <c r="AN129" s="143">
        <f>Tabella3[[#This Row],[region fit]]</f>
        <v>136.10681976304252</v>
      </c>
      <c r="AO129" s="186">
        <f>Tabella34[[#This Row],[sel. region velocity]]/Tabella34[[#This Row],[sel. region cumul. fit]]</f>
        <v>2.9424183438071173E-2</v>
      </c>
      <c r="AP129" s="241">
        <f>(LN(Tabella34[[#This Row],[Day]]-pr)-phi_r)/psi_r</f>
        <v>93.514258542051977</v>
      </c>
      <c r="AQ129" s="244">
        <f>EXP(phi_r+psi_r*Tabella34[[#This Row],[x_r_alpha©+plus]])-(Tabella34[[#This Row],[Day]]-pr)</f>
        <v>-43.064445894844539</v>
      </c>
      <c r="AR129" s="244">
        <f>EXP(phi_r+psi_r*Tabella34[[#This Row],[x_r_alpha©-minus]])-(Tabella34[[#This Row],[Day]]-pr)</f>
        <v>-43.736100640674145</v>
      </c>
      <c r="AS129" s="244">
        <f>-psi_r+SQRT(psi_r^2-2*Tabella34[[#This Row],[c_r]])</f>
        <v>3.5280750821339457</v>
      </c>
      <c r="AT129" s="244">
        <f>-psi_r-SQRT(psi_r^2-2*Tabella34[[#This Row],[c_r]])</f>
        <v>-3.5844833205526068</v>
      </c>
      <c r="AU129" s="244">
        <f>phi_r-LN(alpha*Kr/(Tabella34[[#This Row],[sel. region velocity]]*psi_r*SQRTPI(2)))</f>
        <v>-6.3231631427831987</v>
      </c>
      <c r="AV129" s="244">
        <f>(ACOSH(SQRT(alpha*Kl*psi_l/(Tabella34[[#This Row],[sel. region velocity]]*(1+TANH(phi_l)))))+phi_l)/psi_l-(Tabella34[[#This Row],[Day]]-pl)</f>
        <v>27.613124886058145</v>
      </c>
      <c r="AW129" s="72">
        <f>-2*$BY$22*TANH($BY$22*(Tabella34[[#This Row],[Day]]-$BY$31)-$BY$21)*Tabella34[[#This Row],[sel. region velocity]]</f>
        <v>-0.85085943197104918</v>
      </c>
      <c r="AX129" s="77">
        <f>Tabella34[[#This Row],[sel. region acc. fit]]/y_l_peak</f>
        <v>-6.1746291414375423E-3</v>
      </c>
      <c r="AY129" s="143">
        <f>Tabella34[[#This Row],[sel. region acc. fit]]*NOT(ISBLANK(Tabella34[[#This Row],[selected region rate data]]))</f>
        <v>-0.85085943197104918</v>
      </c>
      <c r="AZ129" s="77">
        <f>Tabella34[[#This Row],[sel. region acc. fit]]+CIl</f>
        <v>52.913980977577403</v>
      </c>
      <c r="BA129" s="77">
        <f>MAX(Tabella34[[#This Row],[sel. region acc. fit]]-CIl,0)</f>
        <v>0</v>
      </c>
      <c r="BB129" s="10">
        <f>Tabella8[[#This Row],[rest of Italy ]]</f>
        <v>101877</v>
      </c>
      <c r="BC129" s="10">
        <f>(Tabella34[[#This Row],[rest of Italy cum. Data]]-BB128)</f>
        <v>2407</v>
      </c>
      <c r="BD129" s="10">
        <f>Tabella34[[#This Row],[rest of Italy rate data]]-BC128</f>
        <v>-2442</v>
      </c>
      <c r="BE129" s="77">
        <f>Tabella34[[#This Row],[rest of Italy rate data]]*NOT(ISBLANK(Tabella34[[#This Row],[rest of Italy rate data]]))</f>
        <v>2407</v>
      </c>
      <c r="BF129" s="77">
        <f>Tabella8[[#This Row],[rest of Italy fit]]</f>
        <v>102125.22109559356</v>
      </c>
      <c r="BG129" s="78">
        <f>(ATANH(alpha*Tabella34[[#This Row],[rest of Italy cumul. fit]]/Ka-(1-alpha*Tabella34[[#This Row],[rest of Italy cumul. fit]]/Ka)*TANH(phi_a))+phi_a)/psi_a-(Tabella34[[#This Row],[Day]]-pa)</f>
        <v>58.872629126693596</v>
      </c>
      <c r="BH129" s="77">
        <f>Tabella34[[#This Row],[rest of Italy cumul. fit]]/Ka</f>
        <v>0.47273629169834541</v>
      </c>
      <c r="BI129" s="143">
        <f>Tabella3[[#This Row],[rest of Italy fit]]</f>
        <v>2860.099463851755</v>
      </c>
      <c r="BJ129" s="183">
        <f>Tabella34[[#This Row],[rest of Italy velocity]]/Tabella34[[#This Row],[rest of Italy cumul. fit]]</f>
        <v>2.8005809271879862E-2</v>
      </c>
      <c r="BK129" s="236">
        <f>(LN(Tabella34[[#This Row],[Day]]-po)-phi_o)/psi_o</f>
        <v>110.11188102381344</v>
      </c>
      <c r="BL129" s="244">
        <f>EXP(phi_o+psi_o*Tabella34[[#This Row],[x_o_alpha©+plus]])-(Tabella34[[#This Row],[Day]]-po)</f>
        <v>-48.462633888051151</v>
      </c>
      <c r="BM129" s="244">
        <f>EXP(phi_o+psi_o*Tabella34[[#This Row],[x_o_alpha©-minus]])-(Tabella34[[#This Row],[Day]]-po)</f>
        <v>-49.087302738612962</v>
      </c>
      <c r="BN129" s="244">
        <f>-psi_o+SQRT(psi_o^2-2*Tabella34[[#This Row],[c_o]])</f>
        <v>3.5948091485556648</v>
      </c>
      <c r="BO129" s="244">
        <f>-psi_o-SQRT(psi_o^2-2*Tabella34[[#This Row],[c_o]])</f>
        <v>-3.6438362341252941</v>
      </c>
      <c r="BP129" s="244">
        <f>phi_o-LN(alpha*Ko/(Tabella34[[#This Row],[rest of Italy velocity]]*psi_o*SQRTPI(2)))</f>
        <v>-6.5494479151361142</v>
      </c>
      <c r="BQ129" s="244">
        <f>(ACOSH(SQRT(alpha*Ka*psi_a/(Tabella34[[#This Row],[rest of Italy velocity]]*(1+TANH(phi_a)))))+phi_a)/psi_a-(Tabella34[[#This Row],[Day]]-pa)</f>
        <v>34.979557292014604</v>
      </c>
      <c r="BR129" s="72">
        <f>-2*$BY$35*TANH($BY$35*(Tabella34[[#This Row],[Day]]-$BY$44)-$BY$34)*Tabella34[[#This Row],[rest of Italy velocity]]</f>
        <v>-3.4093663463370718</v>
      </c>
      <c r="BS129" s="77">
        <f>Tabella34[[#This Row],[rest of Italy acc. fit]]/y_a_peak</f>
        <v>-1.1913399767598148E-3</v>
      </c>
      <c r="BT129" s="77">
        <f>Tabella34[[#This Row],[rest of Italy acc. fit]]*NOT(ISBLANK(Tabella34[[#This Row],[rest of Italy rate data]]))</f>
        <v>-3.4093663463370718</v>
      </c>
      <c r="BU129" s="77">
        <f>Tabella34[[#This Row],[rest of Italy acc. fit]]+CIa</f>
        <v>1691.1648285632457</v>
      </c>
      <c r="BV129" s="77">
        <f>MAX(Tabella34[[#This Row],[rest of Italy acc. fit]]-CIa,0)</f>
        <v>0</v>
      </c>
    </row>
    <row r="130" spans="2:74" x14ac:dyDescent="0.3">
      <c r="B130" s="262">
        <v>43953</v>
      </c>
      <c r="C130" s="4">
        <v>123</v>
      </c>
      <c r="D130" s="10">
        <f>Tabella8[[#This Row],[Italy cumulative]]</f>
        <v>108624</v>
      </c>
      <c r="E130" s="72">
        <f>(Tabella34[[#This Row],[Italy cumul. data]]-D129)</f>
        <v>2139</v>
      </c>
      <c r="F130" s="72">
        <f>Tabella34[[#This Row],[Italy rate data]]-E129</f>
        <v>-434</v>
      </c>
      <c r="G130" s="77">
        <f>Tabella34[[#This Row],[Italy rate data]]*NOT(ISBLANK(Tabella34[[#This Row],[Italy rate data]]))</f>
        <v>2139</v>
      </c>
      <c r="H130" s="143">
        <f>Tabella8[[#This Row],[Italy fit]]</f>
        <v>109742.79984522074</v>
      </c>
      <c r="I130" s="143">
        <f>(ATANH(alpha*Tabella34[[#This Row],[Italy cumul. Fit]]/Kf-(1-alpha*Tabella34[[#This Row],[Italy cumul. Fit]]/Kf)*TANH(phi_f))+phi_f)/psi_f-(Tabella34[[#This Row],[Day]]-pf)</f>
        <v>74.093040253305716</v>
      </c>
      <c r="J130" s="143">
        <f>Tabella34[[#This Row],[Italy d.t.]]/Italy_dt_at_lockdown</f>
        <v>67.197714807796515</v>
      </c>
      <c r="K130" s="77">
        <f>Tabella34[[#This Row],[Italy cumul. Fit]]/Kf</f>
        <v>0.48774577708986994</v>
      </c>
      <c r="L130" s="146">
        <f>Tabella34[[#This Row],[sel. region acc. fit]]+Tabella34[[#This Row],[rest of Italy acc. fit]]</f>
        <v>-7.8862514080127628</v>
      </c>
      <c r="M130" s="77">
        <f>Tabella34[[#This Row],[Italy (fit of selected region + fitted sum of the other regions)]]/(y_l_peak+y_a_peak)</f>
        <v>-2.6291093005764202E-3</v>
      </c>
      <c r="N130" s="143">
        <f>Tabella3[[#This Row],[Italy remov. rate fit]]</f>
        <v>2993.4043316199136</v>
      </c>
      <c r="O130" s="143">
        <f>Kt*EXP(-0.5*Tabella34[[#This Row],[x_t]]^2)/(psi_t*SQRTPI(2)*(Tabella34[[#This Row],[Day]]-D_bk))</f>
        <v>0</v>
      </c>
      <c r="P130" s="183">
        <f>Tabella34[[#This Row],[Italy velocity]]/Tabella34[[#This Row],[Italy cumul. Fit]]</f>
        <v>2.7276544209203311E-2</v>
      </c>
      <c r="Q130" s="244">
        <f>(LN(Tabella34[[#This Row],[Day]]-D_bk)-phi_t)/psi_t</f>
        <v>109.81986346295713</v>
      </c>
      <c r="R130" s="244">
        <f>EXP(phi_t+psi_t*Tabella34[[#This Row],[x_t_alpha©+plus]])-(Tabella34[[#This Row],[Day]]-D_bk)</f>
        <v>-49.299274607096692</v>
      </c>
      <c r="S130" s="244">
        <f>EXP(phi_t+psi_t*Tabella34[[#This Row],[x_t_alpha©-minus]])-(Tabella34[[#This Row],[Day]]-D_bk)</f>
        <v>-49.929889879841788</v>
      </c>
      <c r="T130" s="244">
        <f>-psi_t+SQRT(psi_t^2-2*Tabella34[[#This Row],[c_t]])</f>
        <v>3.5903355972338766</v>
      </c>
      <c r="U130" s="244">
        <f>-psi_t-SQRT(psi_t^2-2*Tabella34[[#This Row],[c_t]])</f>
        <v>-3.6397283316536817</v>
      </c>
      <c r="V130" s="244">
        <f>phi_t-LN(alpha*Kt/(Tabella34[[#This Row],[Italy velocity]]*psi_t*SQRTPI(2)))</f>
        <v>-6.533923096698441</v>
      </c>
      <c r="W130" s="244">
        <f>Tabella34[[#This Row],[Italy g.r.]]/Italy_gr_at_lockdown</f>
        <v>3.0774554203046152E-2</v>
      </c>
      <c r="X130" s="244">
        <f>(ACOSH(SQRT(alpha*Kf*psi_f/(Tabella34[[#This Row],[Italy velocity]]*(1+TANH(phi_f)))))+phi_f)/psi_f-(Tabella34[[#This Row],[Day]]-pf)</f>
        <v>33.672196452823314</v>
      </c>
      <c r="Y130" s="244">
        <f>Tabella34[[#This Row],[Italy h.t.]]/Italy_ht_at_lockdown</f>
        <v>0.29127288858276762</v>
      </c>
      <c r="Z130" s="72">
        <f>-2*$BY$48*TANH($BY$48*(Tabella34[[#This Row],[Day]]-$BY$57)-$BY$47)*Tabella34[[#This Row],[Italy velocity]]</f>
        <v>-7.634077728612497</v>
      </c>
      <c r="AA130" s="72">
        <f>Tabella34[[#This Row],[Italy acc. fit]]/Itali_acc_at_lockdown</f>
        <v>-0.21142011705139399</v>
      </c>
      <c r="AB130" s="77">
        <f>Tabella34[[#This Row],[Italy acc. fit]]/y_f_peak</f>
        <v>-2.5435005152803884E-3</v>
      </c>
      <c r="AC130" s="143">
        <f>Tabella34[[#This Row],[Italy (fit of selected region + fitted sum of the other regions)]]*NOT(ISBLANK(Tabella34[[#This Row],[Italy rate data]]))</f>
        <v>-7.8862514080127628</v>
      </c>
      <c r="AD130" s="143">
        <f>Tabella34[[#This Row],[Italy acc. fit]]*NOT(ISBLANK(Tabella34[[#This Row],[Italy rate data]]))</f>
        <v>-7.634077728612497</v>
      </c>
      <c r="AE130" s="77">
        <f>Tabella34[[#This Row],[Italy acc. fit]]+CIf</f>
        <v>1707.9807816059388</v>
      </c>
      <c r="AF130" s="77">
        <f>MAX(Tabella34[[#This Row],[Italy acc. fit]]-CIf,0)</f>
        <v>0</v>
      </c>
      <c r="AG130" s="4">
        <f>Tabella8[[#This Row],[region data]]</f>
        <v>4714</v>
      </c>
      <c r="AH130" s="72">
        <f>(Tabella34[[#This Row],[selected region cumul. data]]-AG129)</f>
        <v>106</v>
      </c>
      <c r="AI130" s="72">
        <f>Tabella34[[#This Row],[selected region rate data]]-AH129</f>
        <v>-60</v>
      </c>
      <c r="AJ130" s="77">
        <f>Tabella34[[#This Row],[selected region rate data]]*NOT(ISBLANK(Tabella34[[#This Row],[selected region rate data]]))</f>
        <v>106</v>
      </c>
      <c r="AK130" s="77">
        <f>Tabella8[[#This Row],[region fit]]</f>
        <v>4761.3256015890902</v>
      </c>
      <c r="AL130" s="143" t="e">
        <f>(ATANH(alpha*Tabella34[[#This Row],[sel. region cumul. fit]]/Kl-(1-alpha*Tabella34[[#This Row],[sel. region cumul. fit]]/Kl)*TANH(phi_l))+phi_l)/psi_l-(Tabella34[[#This Row],[Day]]-pl)</f>
        <v>#NUM!</v>
      </c>
      <c r="AM130" s="77">
        <f>Tabella34[[#This Row],[sel. region cumul. fit]]/Kl</f>
        <v>0.530805529720077</v>
      </c>
      <c r="AN130" s="143">
        <f>Tabella3[[#This Row],[region fit]]</f>
        <v>135.15261783194293</v>
      </c>
      <c r="AO130" s="186">
        <f>Tabella34[[#This Row],[sel. region velocity]]/Tabella34[[#This Row],[sel. region cumul. fit]]</f>
        <v>2.8385502093542146E-2</v>
      </c>
      <c r="AP130" s="241">
        <f>(LN(Tabella34[[#This Row],[Day]]-pr)-phi_r)/psi_r</f>
        <v>94.264520664836724</v>
      </c>
      <c r="AQ130" s="244">
        <f>EXP(phi_r+psi_r*Tabella34[[#This Row],[x_r_alpha©+plus]])-(Tabella34[[#This Row],[Day]]-pr)</f>
        <v>-44.064239767546049</v>
      </c>
      <c r="AR130" s="244">
        <f>EXP(phi_r+psi_r*Tabella34[[#This Row],[x_r_alpha©-minus]])-(Tabella34[[#This Row],[Day]]-pr)</f>
        <v>-44.736269292216392</v>
      </c>
      <c r="AS130" s="244">
        <f>-psi_r+SQRT(psi_r^2-2*Tabella34[[#This Row],[c_r]])</f>
        <v>3.5300528286422104</v>
      </c>
      <c r="AT130" s="244">
        <f>-psi_r-SQRT(psi_r^2-2*Tabella34[[#This Row],[c_r]])</f>
        <v>-3.5864610670608714</v>
      </c>
      <c r="AU130" s="244">
        <f>phi_r-LN(alpha*Kr/(Tabella34[[#This Row],[sel. region velocity]]*psi_r*SQRTPI(2)))</f>
        <v>-6.3301985172966946</v>
      </c>
      <c r="AV130" s="244">
        <f>(ACOSH(SQRT(alpha*Kl*psi_l/(Tabella34[[#This Row],[sel. region velocity]]*(1+TANH(phi_l)))))+phi_l)/psi_l-(Tabella34[[#This Row],[Day]]-pl)</f>
        <v>26.7881366490125</v>
      </c>
      <c r="AW130" s="72">
        <f>-2*$BY$22*TANH($BY$22*(Tabella34[[#This Row],[Day]]-$BY$31)-$BY$21)*Tabella34[[#This Row],[sel. region velocity]]</f>
        <v>-1.0565560607475155</v>
      </c>
      <c r="AX130" s="77">
        <f>Tabella34[[#This Row],[sel. region acc. fit]]/y_l_peak</f>
        <v>-7.6673556137719819E-3</v>
      </c>
      <c r="AY130" s="143">
        <f>Tabella34[[#This Row],[sel. region acc. fit]]*NOT(ISBLANK(Tabella34[[#This Row],[selected region rate data]]))</f>
        <v>-1.0565560607475155</v>
      </c>
      <c r="AZ130" s="77">
        <f>Tabella34[[#This Row],[sel. region acc. fit]]+CIl</f>
        <v>52.708284348800937</v>
      </c>
      <c r="BA130" s="77">
        <f>MAX(Tabella34[[#This Row],[sel. region acc. fit]]-CIl,0)</f>
        <v>0</v>
      </c>
      <c r="BB130" s="10">
        <f>Tabella8[[#This Row],[rest of Italy ]]</f>
        <v>103910</v>
      </c>
      <c r="BC130" s="10">
        <f>(Tabella34[[#This Row],[rest of Italy cum. Data]]-BB129)</f>
        <v>2033</v>
      </c>
      <c r="BD130" s="10">
        <f>Tabella34[[#This Row],[rest of Italy rate data]]-BC129</f>
        <v>-374</v>
      </c>
      <c r="BE130" s="77">
        <f>Tabella34[[#This Row],[rest of Italy rate data]]*NOT(ISBLANK(Tabella34[[#This Row],[rest of Italy rate data]]))</f>
        <v>2033</v>
      </c>
      <c r="BF130" s="77">
        <f>Tabella8[[#This Row],[rest of Italy fit]]</f>
        <v>104983.04482037554</v>
      </c>
      <c r="BG130" s="78">
        <f>(ATANH(alpha*Tabella34[[#This Row],[rest of Italy cumul. fit]]/Ka-(1-alpha*Tabella34[[#This Row],[rest of Italy cumul. fit]]/Ka)*TANH(phi_a))+phi_a)/psi_a-(Tabella34[[#This Row],[Day]]-pa)</f>
        <v>71.935554673966465</v>
      </c>
      <c r="BH130" s="77">
        <f>Tabella34[[#This Row],[rest of Italy cumul. fit]]/Ka</f>
        <v>0.48596511975362466</v>
      </c>
      <c r="BI130" s="143">
        <f>Tabella3[[#This Row],[rest of Italy fit]]</f>
        <v>2854.9778854792903</v>
      </c>
      <c r="BJ130" s="183">
        <f>Tabella34[[#This Row],[rest of Italy velocity]]/Tabella34[[#This Row],[rest of Italy cumul. fit]]</f>
        <v>2.7194656912114864E-2</v>
      </c>
      <c r="BK130" s="236">
        <f>(LN(Tabella34[[#This Row],[Day]]-po)-phi_o)/psi_o</f>
        <v>110.88444687384526</v>
      </c>
      <c r="BL130" s="244">
        <f>EXP(phi_o+psi_o*Tabella34[[#This Row],[x_o_alpha©+plus]])-(Tabella34[[#This Row],[Day]]-po)</f>
        <v>-49.462587253045811</v>
      </c>
      <c r="BM130" s="244">
        <f>EXP(phi_o+psi_o*Tabella34[[#This Row],[x_o_alpha©-minus]])-(Tabella34[[#This Row],[Day]]-po)</f>
        <v>-50.087341790627555</v>
      </c>
      <c r="BN130" s="244">
        <f>-psi_o+SQRT(psi_o^2-2*Tabella34[[#This Row],[c_o]])</f>
        <v>3.5953043191074983</v>
      </c>
      <c r="BO130" s="244">
        <f>-psi_o-SQRT(psi_o^2-2*Tabella34[[#This Row],[c_o]])</f>
        <v>-3.6443314046771276</v>
      </c>
      <c r="BP130" s="244">
        <f>phi_o-LN(alpha*Ko/(Tabella34[[#This Row],[rest of Italy velocity]]*psi_o*SQRTPI(2)))</f>
        <v>-6.5512402197473865</v>
      </c>
      <c r="BQ130" s="244">
        <f>(ACOSH(SQRT(alpha*Ka*psi_a/(Tabella34[[#This Row],[rest of Italy velocity]]*(1+TANH(phi_a)))))+phi_a)/psi_a-(Tabella34[[#This Row],[Day]]-pa)</f>
        <v>34.031218943912663</v>
      </c>
      <c r="BR130" s="72">
        <f>-2*$BY$35*TANH($BY$35*(Tabella34[[#This Row],[Day]]-$BY$44)-$BY$34)*Tabella34[[#This Row],[rest of Italy velocity]]</f>
        <v>-6.8296953472652477</v>
      </c>
      <c r="BS130" s="77">
        <f>Tabella34[[#This Row],[rest of Italy acc. fit]]/y_a_peak</f>
        <v>-2.3865106502940678E-3</v>
      </c>
      <c r="BT130" s="77">
        <f>Tabella34[[#This Row],[rest of Italy acc. fit]]*NOT(ISBLANK(Tabella34[[#This Row],[rest of Italy rate data]]))</f>
        <v>-6.8296953472652477</v>
      </c>
      <c r="BU130" s="77">
        <f>Tabella34[[#This Row],[rest of Italy acc. fit]]+CIa</f>
        <v>1687.7444995623175</v>
      </c>
      <c r="BV130" s="77">
        <f>MAX(Tabella34[[#This Row],[rest of Italy acc. fit]]-CIa,0)</f>
        <v>0</v>
      </c>
    </row>
    <row r="131" spans="2:74" x14ac:dyDescent="0.3">
      <c r="B131" s="262">
        <v>43954</v>
      </c>
      <c r="C131" s="4">
        <v>124</v>
      </c>
      <c r="D131" s="10">
        <f>Tabella8[[#This Row],[Italy cumulative]]</f>
        <v>110538</v>
      </c>
      <c r="E131" s="72">
        <f>(Tabella34[[#This Row],[Italy cumul. data]]-D130)</f>
        <v>1914</v>
      </c>
      <c r="F131" s="72">
        <f>Tabella34[[#This Row],[Italy rate data]]-E130</f>
        <v>-225</v>
      </c>
      <c r="G131" s="77">
        <f>Tabella34[[#This Row],[Italy rate data]]*NOT(ISBLANK(Tabella34[[#This Row],[Italy rate data]]))</f>
        <v>1914</v>
      </c>
      <c r="H131" s="143">
        <f>Tabella8[[#This Row],[Italy fit]]</f>
        <v>112731.78512641216</v>
      </c>
      <c r="I131" s="143" t="e">
        <f>(ATANH(alpha*Tabella34[[#This Row],[Italy cumul. Fit]]/Kf-(1-alpha*Tabella34[[#This Row],[Italy cumul. Fit]]/Kf)*TANH(phi_f))+phi_f)/psi_f-(Tabella34[[#This Row],[Day]]-pf)</f>
        <v>#NUM!</v>
      </c>
      <c r="J131" s="143" t="e">
        <f>Tabella34[[#This Row],[Italy d.t.]]/Italy_dt_at_lockdown</f>
        <v>#NUM!</v>
      </c>
      <c r="K131" s="77">
        <f>Tabella34[[#This Row],[Italy cumul. Fit]]/Kf</f>
        <v>0.50103015611738733</v>
      </c>
      <c r="L131" s="146">
        <f>Tabella34[[#This Row],[sel. region acc. fit]]+Tabella34[[#This Row],[rest of Italy acc. fit]]</f>
        <v>-11.473066610494287</v>
      </c>
      <c r="M131" s="77">
        <f>Tabella34[[#This Row],[Italy (fit of selected region + fitted sum of the other regions)]]/(y_l_peak+y_a_peak)</f>
        <v>-3.8248775712546369E-3</v>
      </c>
      <c r="N131" s="143">
        <f>Tabella3[[#This Row],[Italy remov. rate fit]]</f>
        <v>2983.9660543094578</v>
      </c>
      <c r="O131" s="143">
        <f>Kt*EXP(-0.5*Tabella34[[#This Row],[x_t]]^2)/(psi_t*SQRTPI(2)*(Tabella34[[#This Row],[Day]]-D_bk))</f>
        <v>0</v>
      </c>
      <c r="P131" s="183">
        <f>Tabella34[[#This Row],[Italy velocity]]/Tabella34[[#This Row],[Italy cumul. Fit]]</f>
        <v>2.6469607049718742E-2</v>
      </c>
      <c r="Q131" s="244">
        <f>(LN(Tabella34[[#This Row],[Day]]-D_bk)-phi_t)/psi_t</f>
        <v>110.57454476695212</v>
      </c>
      <c r="R131" s="244">
        <f>EXP(phi_t+psi_t*Tabella34[[#This Row],[x_t_alpha©+plus]])-(Tabella34[[#This Row],[Day]]-D_bk)</f>
        <v>-50.299191417009133</v>
      </c>
      <c r="S131" s="244">
        <f>EXP(phi_t+psi_t*Tabella34[[#This Row],[x_t_alpha©-minus]])-(Tabella34[[#This Row],[Day]]-D_bk)</f>
        <v>-50.929959464931464</v>
      </c>
      <c r="T131" s="244">
        <f>-psi_t+SQRT(psi_t^2-2*Tabella34[[#This Row],[c_t]])</f>
        <v>3.5912090678834061</v>
      </c>
      <c r="U131" s="244">
        <f>-psi_t-SQRT(psi_t^2-2*Tabella34[[#This Row],[c_t]])</f>
        <v>-3.6406018023032112</v>
      </c>
      <c r="V131" s="244">
        <f>phi_t-LN(alpha*Kt/(Tabella34[[#This Row],[Italy velocity]]*psi_t*SQRTPI(2)))</f>
        <v>-6.5370811024919817</v>
      </c>
      <c r="W131" s="244">
        <f>Tabella34[[#This Row],[Italy g.r.]]/Italy_gr_at_lockdown</f>
        <v>2.9864133470766177E-2</v>
      </c>
      <c r="X131" s="244">
        <f>(ACOSH(SQRT(alpha*Kf*psi_f/(Tabella34[[#This Row],[Italy velocity]]*(1+TANH(phi_f)))))+phi_f)/psi_f-(Tabella34[[#This Row],[Day]]-pf)</f>
        <v>32.762425509616619</v>
      </c>
      <c r="Y131" s="244">
        <f>Tabella34[[#This Row],[Italy h.t.]]/Italy_ht_at_lockdown</f>
        <v>0.28340314325897353</v>
      </c>
      <c r="Z131" s="72">
        <f>-2*$BY$48*TANH($BY$48*(Tabella34[[#This Row],[Day]]-$BY$57)-$BY$47)*Tabella34[[#This Row],[Italy velocity]]</f>
        <v>-11.234849040669621</v>
      </c>
      <c r="AA131" s="72">
        <f>Tabella34[[#This Row],[Italy acc. fit]]/Itali_acc_at_lockdown</f>
        <v>-0.31114080622084805</v>
      </c>
      <c r="AB131" s="77">
        <f>Tabella34[[#This Row],[Italy acc. fit]]/y_f_peak</f>
        <v>-3.7431953590069426E-3</v>
      </c>
      <c r="AC131" s="143">
        <f>Tabella34[[#This Row],[Italy (fit of selected region + fitted sum of the other regions)]]*NOT(ISBLANK(Tabella34[[#This Row],[Italy rate data]]))</f>
        <v>-11.473066610494287</v>
      </c>
      <c r="AD131" s="143">
        <f>Tabella34[[#This Row],[Italy acc. fit]]*NOT(ISBLANK(Tabella34[[#This Row],[Italy rate data]]))</f>
        <v>-11.234849040669621</v>
      </c>
      <c r="AE131" s="77">
        <f>Tabella34[[#This Row],[Italy acc. fit]]+CIf</f>
        <v>1704.3800102938817</v>
      </c>
      <c r="AF131" s="77">
        <f>MAX(Tabella34[[#This Row],[Italy acc. fit]]-CIf,0)</f>
        <v>0</v>
      </c>
      <c r="AG131" s="4">
        <f>Tabella8[[#This Row],[region data]]</f>
        <v>4808</v>
      </c>
      <c r="AH131" s="72">
        <f>(Tabella34[[#This Row],[selected region cumul. data]]-AG130)</f>
        <v>94</v>
      </c>
      <c r="AI131" s="72">
        <f>Tabella34[[#This Row],[selected region rate data]]-AH130</f>
        <v>-12</v>
      </c>
      <c r="AJ131" s="77">
        <f>Tabella34[[#This Row],[selected region rate data]]*NOT(ISBLANK(Tabella34[[#This Row],[selected region rate data]]))</f>
        <v>94</v>
      </c>
      <c r="AK131" s="77">
        <f>Tabella8[[#This Row],[region fit]]</f>
        <v>4895.9164513290225</v>
      </c>
      <c r="AL131" s="143" t="e">
        <f>(ATANH(alpha*Tabella34[[#This Row],[sel. region cumul. fit]]/Kl-(1-alpha*Tabella34[[#This Row],[sel. region cumul. fit]]/Kl)*TANH(phi_l))+phi_l)/psi_l-(Tabella34[[#This Row],[Day]]-pl)</f>
        <v>#NUM!</v>
      </c>
      <c r="AM131" s="77">
        <f>Tabella34[[#This Row],[sel. region cumul. fit]]/Kl</f>
        <v>0.54581008376020312</v>
      </c>
      <c r="AN131" s="143">
        <f>Tabella3[[#This Row],[region fit]]</f>
        <v>133.99588288809386</v>
      </c>
      <c r="AO131" s="186">
        <f>Tabella34[[#This Row],[sel. region velocity]]/Tabella34[[#This Row],[sel. region cumul. fit]]</f>
        <v>2.7368907174002116E-2</v>
      </c>
      <c r="AP131" s="241">
        <f>(LN(Tabella34[[#This Row],[Day]]-pr)-phi_r)/psi_r</f>
        <v>94.999235303379081</v>
      </c>
      <c r="AQ131" s="244">
        <f>EXP(phi_r+psi_r*Tabella34[[#This Row],[x_r_alpha©+plus]])-(Tabella34[[#This Row],[Day]]-pr)</f>
        <v>-45.063988068426148</v>
      </c>
      <c r="AR131" s="244">
        <f>EXP(phi_r+psi_r*Tabella34[[#This Row],[x_r_alpha©-minus]])-(Tabella34[[#This Row],[Day]]-pr)</f>
        <v>-45.736475204710068</v>
      </c>
      <c r="AS131" s="244">
        <f>-psi_r+SQRT(psi_r^2-2*Tabella34[[#This Row],[c_r]])</f>
        <v>3.532467677253877</v>
      </c>
      <c r="AT131" s="244">
        <f>-psi_r-SQRT(psi_r^2-2*Tabella34[[#This Row],[c_r]])</f>
        <v>-3.5888759156725381</v>
      </c>
      <c r="AU131" s="244">
        <f>phi_r-LN(alpha*Kr/(Tabella34[[#This Row],[sel. region velocity]]*psi_r*SQRTPI(2)))</f>
        <v>-6.3387940848940758</v>
      </c>
      <c r="AV131" s="244">
        <f>(ACOSH(SQRT(alpha*Kl*psi_l/(Tabella34[[#This Row],[sel. region velocity]]*(1+TANH(phi_l)))))+phi_l)/psi_l-(Tabella34[[#This Row],[Day]]-pl)</f>
        <v>26.001158005196302</v>
      </c>
      <c r="AW131" s="72">
        <f>-2*$BY$22*TANH($BY$22*(Tabella34[[#This Row],[Day]]-$BY$31)-$BY$21)*Tabella34[[#This Row],[sel. region velocity]]</f>
        <v>-1.2557297752444989</v>
      </c>
      <c r="AX131" s="77">
        <f>Tabella34[[#This Row],[sel. region acc. fit]]/y_l_peak</f>
        <v>-9.1127457399559266E-3</v>
      </c>
      <c r="AY131" s="143">
        <f>Tabella34[[#This Row],[sel. region acc. fit]]*NOT(ISBLANK(Tabella34[[#This Row],[selected region rate data]]))</f>
        <v>-1.2557297752444989</v>
      </c>
      <c r="AZ131" s="77">
        <f>Tabella34[[#This Row],[sel. region acc. fit]]+CIl</f>
        <v>52.509110634303958</v>
      </c>
      <c r="BA131" s="77">
        <f>MAX(Tabella34[[#This Row],[sel. region acc. fit]]-CIl,0)</f>
        <v>0</v>
      </c>
      <c r="BB131" s="10">
        <f>Tabella8[[#This Row],[rest of Italy ]]</f>
        <v>105730</v>
      </c>
      <c r="BC131" s="10">
        <f>(Tabella34[[#This Row],[rest of Italy cum. Data]]-BB130)</f>
        <v>1820</v>
      </c>
      <c r="BD131" s="10">
        <f>Tabella34[[#This Row],[rest of Italy rate data]]-BC130</f>
        <v>-213</v>
      </c>
      <c r="BE131" s="77">
        <f>Tabella34[[#This Row],[rest of Italy rate data]]*NOT(ISBLANK(Tabella34[[#This Row],[rest of Italy rate data]]))</f>
        <v>1820</v>
      </c>
      <c r="BF131" s="77">
        <f>Tabella8[[#This Row],[rest of Italy fit]]</f>
        <v>107834.04157515442</v>
      </c>
      <c r="BG131" s="78">
        <f>(ATANH(alpha*Tabella34[[#This Row],[rest of Italy cumul. fit]]/Ka-(1-alpha*Tabella34[[#This Row],[rest of Italy cumul. fit]]/Ka)*TANH(phi_a))+phi_a)/psi_a-(Tabella34[[#This Row],[Day]]-pa)</f>
        <v>128.93326563284921</v>
      </c>
      <c r="BH131" s="77">
        <f>Tabella34[[#This Row],[rest of Italy cumul. fit]]/Ka</f>
        <v>0.49916234585545721</v>
      </c>
      <c r="BI131" s="143">
        <f>Tabella3[[#This Row],[rest of Italy fit]]</f>
        <v>2846.4509726872284</v>
      </c>
      <c r="BJ131" s="183">
        <f>Tabella34[[#This Row],[rest of Italy velocity]]/Tabella34[[#This Row],[rest of Italy cumul. fit]]</f>
        <v>2.639658989970628E-2</v>
      </c>
      <c r="BK131" s="236">
        <f>(LN(Tabella34[[#This Row],[Day]]-po)-phi_o)/psi_o</f>
        <v>111.64265314512259</v>
      </c>
      <c r="BL131" s="244">
        <f>EXP(phi_o+psi_o*Tabella34[[#This Row],[x_o_alpha©+plus]])-(Tabella34[[#This Row],[Day]]-po)</f>
        <v>-50.462509437493061</v>
      </c>
      <c r="BM131" s="244">
        <f>EXP(phi_o+psi_o*Tabella34[[#This Row],[x_o_alpha©-minus]])-(Tabella34[[#This Row],[Day]]-po)</f>
        <v>-51.08740695102896</v>
      </c>
      <c r="BN131" s="244">
        <f>-psi_o+SQRT(psi_o^2-2*Tabella34[[#This Row],[c_o]])</f>
        <v>3.5961305513732329</v>
      </c>
      <c r="BO131" s="244">
        <f>-psi_o-SQRT(psi_o^2-2*Tabella34[[#This Row],[c_o]])</f>
        <v>-3.6451576369428622</v>
      </c>
      <c r="BP131" s="244">
        <f>phi_o-LN(alpha*Ko/(Tabella34[[#This Row],[rest of Italy velocity]]*psi_o*SQRTPI(2)))</f>
        <v>-6.5542313713908422</v>
      </c>
      <c r="BQ131" s="244">
        <f>(ACOSH(SQRT(alpha*Ka*psi_a/(Tabella34[[#This Row],[rest of Italy velocity]]*(1+TANH(phi_a)))))+phi_a)/psi_a-(Tabella34[[#This Row],[Day]]-pa)</f>
        <v>33.117333872053536</v>
      </c>
      <c r="BR131" s="72">
        <f>-2*$BY$35*TANH($BY$35*(Tabella34[[#This Row],[Day]]-$BY$44)-$BY$34)*Tabella34[[#This Row],[rest of Italy velocity]]</f>
        <v>-10.217336835249789</v>
      </c>
      <c r="BS131" s="77">
        <f>Tabella34[[#This Row],[rest of Italy acc. fit]]/y_a_peak</f>
        <v>-3.5702592773379387E-3</v>
      </c>
      <c r="BT131" s="77">
        <f>Tabella34[[#This Row],[rest of Italy acc. fit]]*NOT(ISBLANK(Tabella34[[#This Row],[rest of Italy rate data]]))</f>
        <v>-10.217336835249789</v>
      </c>
      <c r="BU131" s="77">
        <f>Tabella34[[#This Row],[rest of Italy acc. fit]]+CIa</f>
        <v>1684.3568580743329</v>
      </c>
      <c r="BV131" s="77">
        <f>MAX(Tabella34[[#This Row],[rest of Italy acc. fit]]-CIa,0)</f>
        <v>0</v>
      </c>
    </row>
    <row r="132" spans="2:74" x14ac:dyDescent="0.3">
      <c r="B132" s="262">
        <v>43955</v>
      </c>
      <c r="C132" s="4">
        <v>125</v>
      </c>
      <c r="D132" s="10">
        <f>Tabella8[[#This Row],[Italy cumulative]]</f>
        <v>111958</v>
      </c>
      <c r="E132" s="72">
        <f>(Tabella34[[#This Row],[Italy cumul. data]]-D131)</f>
        <v>1420</v>
      </c>
      <c r="F132" s="72">
        <f>Tabella34[[#This Row],[Italy rate data]]-E131</f>
        <v>-494</v>
      </c>
      <c r="G132" s="77">
        <f>Tabella34[[#This Row],[Italy rate data]]*NOT(ISBLANK(Tabella34[[#This Row],[Italy rate data]]))</f>
        <v>1420</v>
      </c>
      <c r="H132" s="143">
        <f>Tabella8[[#This Row],[Italy fit]]</f>
        <v>115709.54008536975</v>
      </c>
      <c r="I132" s="143" t="e">
        <f>(ATANH(alpha*Tabella34[[#This Row],[Italy cumul. Fit]]/Kf-(1-alpha*Tabella34[[#This Row],[Italy cumul. Fit]]/Kf)*TANH(phi_f))+phi_f)/psi_f-(Tabella34[[#This Row],[Day]]-pf)</f>
        <v>#NUM!</v>
      </c>
      <c r="J132" s="143" t="e">
        <f>Tabella34[[#This Row],[Italy d.t.]]/Italy_dt_at_lockdown</f>
        <v>#NUM!</v>
      </c>
      <c r="K132" s="77">
        <f>Tabella34[[#This Row],[Italy cumul. Fit]]/Kf</f>
        <v>0.5142646226016433</v>
      </c>
      <c r="L132" s="146">
        <f>Tabella34[[#This Row],[sel. region acc. fit]]+Tabella34[[#This Row],[rest of Italy acc. fit]]</f>
        <v>-15.003547644330078</v>
      </c>
      <c r="M132" s="77">
        <f>Tabella34[[#This Row],[Italy (fit of selected region + fitted sum of the other regions)]]/(y_l_peak+y_a_peak)</f>
        <v>-5.0018652224643623E-3</v>
      </c>
      <c r="N132" s="143">
        <f>Tabella3[[#This Row],[Italy remov. rate fit]]</f>
        <v>2970.9527376748715</v>
      </c>
      <c r="O132" s="143">
        <f>Kt*EXP(-0.5*Tabella34[[#This Row],[x_t]]^2)/(psi_t*SQRTPI(2)*(Tabella34[[#This Row],[Day]]-D_bk))</f>
        <v>0</v>
      </c>
      <c r="P132" s="183">
        <f>Tabella34[[#This Row],[Italy velocity]]/Tabella34[[#This Row],[Italy cumul. Fit]]</f>
        <v>2.5675953214254605E-2</v>
      </c>
      <c r="Q132" s="244">
        <f>(LN(Tabella34[[#This Row],[Day]]-D_bk)-phi_t)/psi_t</f>
        <v>111.31541737880755</v>
      </c>
      <c r="R132" s="244">
        <f>EXP(phi_t+psi_t*Tabella34[[#This Row],[x_t_alpha©+plus]])-(Tabella34[[#This Row],[Day]]-D_bk)</f>
        <v>-51.299076313745616</v>
      </c>
      <c r="S132" s="244">
        <f>EXP(phi_t+psi_t*Tabella34[[#This Row],[x_t_alpha©-minus]])-(Tabella34[[#This Row],[Day]]-D_bk)</f>
        <v>-51.930055739131085</v>
      </c>
      <c r="T132" s="244">
        <f>-psi_t+SQRT(psi_t^2-2*Tabella34[[#This Row],[c_t]])</f>
        <v>3.5924175861165537</v>
      </c>
      <c r="U132" s="244">
        <f>-psi_t-SQRT(psi_t^2-2*Tabella34[[#This Row],[c_t]])</f>
        <v>-3.6418103205363588</v>
      </c>
      <c r="V132" s="244">
        <f>phi_t-LN(alpha*Kt/(Tabella34[[#This Row],[Italy velocity]]*psi_t*SQRTPI(2)))</f>
        <v>-6.5414517203977889</v>
      </c>
      <c r="W132" s="244">
        <f>Tabella34[[#This Row],[Italy g.r.]]/Italy_gr_at_lockdown</f>
        <v>2.8968699548102852E-2</v>
      </c>
      <c r="X132" s="244">
        <f>(ACOSH(SQRT(alpha*Kf*psi_f/(Tabella34[[#This Row],[Italy velocity]]*(1+TANH(phi_f)))))+phi_f)/psi_f-(Tabella34[[#This Row],[Day]]-pf)</f>
        <v>31.887068842396516</v>
      </c>
      <c r="Y132" s="244">
        <f>Tabella34[[#This Row],[Italy h.t.]]/Italy_ht_at_lockdown</f>
        <v>0.27583108999661482</v>
      </c>
      <c r="Z132" s="72">
        <f>-2*$BY$48*TANH($BY$48*(Tabella34[[#This Row],[Day]]-$BY$57)-$BY$47)*Tabella34[[#This Row],[Italy velocity]]</f>
        <v>-14.781326487485538</v>
      </c>
      <c r="AA132" s="72">
        <f>Tabella34[[#This Row],[Italy acc. fit]]/Itali_acc_at_lockdown</f>
        <v>-0.4093578670867225</v>
      </c>
      <c r="AB132" s="77">
        <f>Tabella34[[#This Row],[Italy acc. fit]]/y_f_peak</f>
        <v>-4.9248007256379213E-3</v>
      </c>
      <c r="AC132" s="143">
        <f>Tabella34[[#This Row],[Italy (fit of selected region + fitted sum of the other regions)]]*NOT(ISBLANK(Tabella34[[#This Row],[Italy rate data]]))</f>
        <v>-15.003547644330078</v>
      </c>
      <c r="AD132" s="143">
        <f>Tabella34[[#This Row],[Italy acc. fit]]*NOT(ISBLANK(Tabella34[[#This Row],[Italy rate data]]))</f>
        <v>-14.781326487485538</v>
      </c>
      <c r="AE132" s="77">
        <f>Tabella34[[#This Row],[Italy acc. fit]]+CIf</f>
        <v>1700.8335328470657</v>
      </c>
      <c r="AF132" s="77">
        <f>MAX(Tabella34[[#This Row],[Italy acc. fit]]-CIf,0)</f>
        <v>0</v>
      </c>
      <c r="AG132" s="4">
        <f>Tabella8[[#This Row],[region data]]</f>
        <v>4904</v>
      </c>
      <c r="AH132" s="72">
        <f>(Tabella34[[#This Row],[selected region cumul. data]]-AG131)</f>
        <v>96</v>
      </c>
      <c r="AI132" s="72">
        <f>Tabella34[[#This Row],[selected region rate data]]-AH131</f>
        <v>2</v>
      </c>
      <c r="AJ132" s="77">
        <f>Tabella34[[#This Row],[selected region rate data]]*NOT(ISBLANK(Tabella34[[#This Row],[selected region rate data]]))</f>
        <v>96</v>
      </c>
      <c r="AK132" s="77">
        <f>Tabella8[[#This Row],[region fit]]</f>
        <v>5029.2522093839034</v>
      </c>
      <c r="AL132" s="143" t="e">
        <f>(ATANH(alpha*Tabella34[[#This Row],[sel. region cumul. fit]]/Kl-(1-alpha*Tabella34[[#This Row],[sel. region cumul. fit]]/Kl)*TANH(phi_l))+phi_l)/psi_l-(Tabella34[[#This Row],[Day]]-pl)</f>
        <v>#NUM!</v>
      </c>
      <c r="AM132" s="77">
        <f>Tabella34[[#This Row],[sel. region cumul. fit]]/Kl</f>
        <v>0.56067471676520664</v>
      </c>
      <c r="AN132" s="143">
        <f>Tabella3[[#This Row],[region fit]]</f>
        <v>132.64371009957173</v>
      </c>
      <c r="AO132" s="186">
        <f>Tabella34[[#This Row],[sel. region velocity]]/Tabella34[[#This Row],[sel. region cumul. fit]]</f>
        <v>2.6374439892291848E-2</v>
      </c>
      <c r="AP132" s="241">
        <f>(LN(Tabella34[[#This Row],[Day]]-pr)-phi_r)/psi_r</f>
        <v>95.719033770125463</v>
      </c>
      <c r="AQ132" s="244">
        <f>EXP(phi_r+psi_r*Tabella34[[#This Row],[x_r_alpha©+plus]])-(Tabella34[[#This Row],[Day]]-pr)</f>
        <v>-46.063691271270486</v>
      </c>
      <c r="AR132" s="244">
        <f>EXP(phi_r+psi_r*Tabella34[[#This Row],[x_r_alpha©-minus]])-(Tabella34[[#This Row],[Day]]-pr)</f>
        <v>-46.736717975415353</v>
      </c>
      <c r="AS132" s="244">
        <f>-psi_r+SQRT(psi_r^2-2*Tabella34[[#This Row],[c_r]])</f>
        <v>3.535314993587634</v>
      </c>
      <c r="AT132" s="244">
        <f>-psi_r-SQRT(psi_r^2-2*Tabella34[[#This Row],[c_r]])</f>
        <v>-3.5917232320062951</v>
      </c>
      <c r="AU132" s="244">
        <f>phi_r-LN(alpha*Kr/(Tabella34[[#This Row],[sel. region velocity]]*psi_r*SQRTPI(2)))</f>
        <v>-6.3489364974644449</v>
      </c>
      <c r="AV132" s="244">
        <f>(ACOSH(SQRT(alpha*Kl*psi_l/(Tabella34[[#This Row],[sel. region velocity]]*(1+TANH(phi_l)))))+phi_l)/psi_l-(Tabella34[[#This Row],[Day]]-pl)</f>
        <v>25.251403721613059</v>
      </c>
      <c r="AW132" s="72">
        <f>-2*$BY$22*TANH($BY$22*(Tabella34[[#This Row],[Day]]-$BY$31)-$BY$21)*Tabella34[[#This Row],[sel. region velocity]]</f>
        <v>-1.4472512905752037</v>
      </c>
      <c r="AX132" s="77">
        <f>Tabella34[[#This Row],[sel. region acc. fit]]/y_l_peak</f>
        <v>-1.0502604376221811E-2</v>
      </c>
      <c r="AY132" s="143">
        <f>Tabella34[[#This Row],[sel. region acc. fit]]*NOT(ISBLANK(Tabella34[[#This Row],[selected region rate data]]))</f>
        <v>-1.4472512905752037</v>
      </c>
      <c r="AZ132" s="77">
        <f>Tabella34[[#This Row],[sel. region acc. fit]]+CIl</f>
        <v>52.317589118973252</v>
      </c>
      <c r="BA132" s="77">
        <f>MAX(Tabella34[[#This Row],[sel. region acc. fit]]-CIl,0)</f>
        <v>0</v>
      </c>
      <c r="BB132" s="10">
        <f>Tabella8[[#This Row],[rest of Italy ]]</f>
        <v>107054</v>
      </c>
      <c r="BC132" s="10">
        <f>(Tabella34[[#This Row],[rest of Italy cum. Data]]-BB131)</f>
        <v>1324</v>
      </c>
      <c r="BD132" s="10">
        <f>Tabella34[[#This Row],[rest of Italy rate data]]-BC131</f>
        <v>-496</v>
      </c>
      <c r="BE132" s="77">
        <f>Tabella34[[#This Row],[rest of Italy rate data]]*NOT(ISBLANK(Tabella34[[#This Row],[rest of Italy rate data]]))</f>
        <v>1324</v>
      </c>
      <c r="BF132" s="77">
        <f>Tabella8[[#This Row],[rest of Italy fit]]</f>
        <v>110674.82505197858</v>
      </c>
      <c r="BG132" s="78" t="e">
        <f>(ATANH(alpha*Tabella34[[#This Row],[rest of Italy cumul. fit]]/Ka-(1-alpha*Tabella34[[#This Row],[rest of Italy cumul. fit]]/Ka)*TANH(phi_a))+phi_a)/psi_a-(Tabella34[[#This Row],[Day]]-pa)</f>
        <v>#NUM!</v>
      </c>
      <c r="BH132" s="77">
        <f>Tabella34[[#This Row],[rest of Italy cumul. fit]]/Ka</f>
        <v>0.51231229482932272</v>
      </c>
      <c r="BI132" s="143">
        <f>Tabella3[[#This Row],[rest of Italy fit]]</f>
        <v>2834.5594445975712</v>
      </c>
      <c r="BJ132" s="183">
        <f>Tabella34[[#This Row],[rest of Italy velocity]]/Tabella34[[#This Row],[rest of Italy cumul. fit]]</f>
        <v>2.5611600861047818E-2</v>
      </c>
      <c r="BK132" s="236">
        <f>(LN(Tabella34[[#This Row],[Day]]-po)-phi_o)/psi_o</f>
        <v>112.38702391074236</v>
      </c>
      <c r="BL132" s="244">
        <f>EXP(phi_o+psi_o*Tabella34[[#This Row],[x_o_alpha©+plus]])-(Tabella34[[#This Row],[Day]]-po)</f>
        <v>-51.462400553923025</v>
      </c>
      <c r="BM132" s="244">
        <f>EXP(phi_o+psi_o*Tabella34[[#This Row],[x_o_alpha©-minus]])-(Tabella34[[#This Row],[Day]]-po)</f>
        <v>-52.087498122422375</v>
      </c>
      <c r="BN132" s="244">
        <f>-psi_o+SQRT(psi_o^2-2*Tabella34[[#This Row],[c_o]])</f>
        <v>3.5972866304579219</v>
      </c>
      <c r="BO132" s="244">
        <f>-psi_o-SQRT(psi_o^2-2*Tabella34[[#This Row],[c_o]])</f>
        <v>-3.6463137160275512</v>
      </c>
      <c r="BP132" s="244">
        <f>phi_o-LN(alpha*Ko/(Tabella34[[#This Row],[rest of Italy velocity]]*psi_o*SQRTPI(2)))</f>
        <v>-6.5584177905606271</v>
      </c>
      <c r="BQ132" s="244">
        <f>(ACOSH(SQRT(alpha*Ka*psi_a/(Tabella34[[#This Row],[rest of Italy velocity]]*(1+TANH(phi_a)))))+phi_a)/psi_a-(Tabella34[[#This Row],[Day]]-pa)</f>
        <v>32.237646823526035</v>
      </c>
      <c r="BR132" s="72">
        <f>-2*$BY$35*TANH($BY$35*(Tabella34[[#This Row],[Day]]-$BY$44)-$BY$34)*Tabella34[[#This Row],[rest of Italy velocity]]</f>
        <v>-13.556296353754874</v>
      </c>
      <c r="BS132" s="77">
        <f>Tabella34[[#This Row],[rest of Italy acc. fit]]/y_a_peak</f>
        <v>-4.7369968910448042E-3</v>
      </c>
      <c r="BT132" s="77">
        <f>Tabella34[[#This Row],[rest of Italy acc. fit]]*NOT(ISBLANK(Tabella34[[#This Row],[rest of Italy rate data]]))</f>
        <v>-13.556296353754874</v>
      </c>
      <c r="BU132" s="77">
        <f>Tabella34[[#This Row],[rest of Italy acc. fit]]+CIa</f>
        <v>1681.0178985558277</v>
      </c>
      <c r="BV132" s="77">
        <f>MAX(Tabella34[[#This Row],[rest of Italy acc. fit]]-CIa,0)</f>
        <v>0</v>
      </c>
    </row>
    <row r="133" spans="2:74" x14ac:dyDescent="0.3">
      <c r="B133" s="262">
        <v>43956</v>
      </c>
      <c r="C133" s="4">
        <v>126</v>
      </c>
      <c r="D133" s="10">
        <f>Tabella8[[#This Row],[Italy cumulative]]</f>
        <v>114546</v>
      </c>
      <c r="E133" s="72">
        <f>(Tabella34[[#This Row],[Italy cumul. data]]-D132)</f>
        <v>2588</v>
      </c>
      <c r="F133" s="72">
        <f>Tabella34[[#This Row],[Italy rate data]]-E132</f>
        <v>1168</v>
      </c>
      <c r="G133" s="121">
        <f>Tabella34[[#This Row],[Italy rate data]]*NOT(ISBLANK(Tabella34[[#This Row],[Italy rate data]]))</f>
        <v>2588</v>
      </c>
      <c r="H133" s="143">
        <f>Tabella8[[#This Row],[Italy fit]]</f>
        <v>118672.51963455633</v>
      </c>
      <c r="I133" s="143" t="e">
        <f>(ATANH(alpha*Tabella34[[#This Row],[Italy cumul. Fit]]/Kf-(1-alpha*Tabella34[[#This Row],[Italy cumul. Fit]]/Kf)*TANH(phi_f))+phi_f)/psi_f-(Tabella34[[#This Row],[Day]]-pf)</f>
        <v>#NUM!</v>
      </c>
      <c r="J133" s="143" t="e">
        <f>Tabella34[[#This Row],[Italy d.t.]]/Italy_dt_at_lockdown</f>
        <v>#NUM!</v>
      </c>
      <c r="K133" s="77">
        <f>Tabella34[[#This Row],[Italy cumul. Fit]]/Kf</f>
        <v>0.52743342059802811</v>
      </c>
      <c r="L133" s="146">
        <f>Tabella34[[#This Row],[sel. region acc. fit]]+Tabella34[[#This Row],[rest of Italy acc. fit]]</f>
        <v>-18.461159068890137</v>
      </c>
      <c r="M133" s="77">
        <f>Tabella34[[#This Row],[Italy (fit of selected region + fitted sum of the other regions)]]/(y_l_peak+y_a_peak)</f>
        <v>-6.1545596882854586E-3</v>
      </c>
      <c r="N133" s="143">
        <f>Tabella3[[#This Row],[Italy remov. rate fit]]</f>
        <v>2954.427064195952</v>
      </c>
      <c r="O133" s="143">
        <f>Kt*EXP(-0.5*Tabella34[[#This Row],[x_t]]^2)/(psi_t*SQRTPI(2)*(Tabella34[[#This Row],[Day]]-D_bk))</f>
        <v>0</v>
      </c>
      <c r="P133" s="183">
        <f>Tabella34[[#This Row],[Italy velocity]]/Tabella34[[#This Row],[Italy cumul. Fit]]</f>
        <v>2.4895629361320566E-2</v>
      </c>
      <c r="Q133" s="244">
        <f>(LN(Tabella34[[#This Row],[Day]]-D_bk)-phi_t)/psi_t</f>
        <v>112.04297755770615</v>
      </c>
      <c r="R133" s="244">
        <f>EXP(phi_t+psi_t*Tabella34[[#This Row],[x_t_alpha©+plus]])-(Tabella34[[#This Row],[Day]]-D_bk)</f>
        <v>-52.29892946557613</v>
      </c>
      <c r="S133" s="244">
        <f>EXP(phi_t+psi_t*Tabella34[[#This Row],[x_t_alpha©-minus]])-(Tabella34[[#This Row],[Day]]-D_bk)</f>
        <v>-52.930178556932439</v>
      </c>
      <c r="T133" s="244">
        <f>-psi_t+SQRT(psi_t^2-2*Tabella34[[#This Row],[c_t]])</f>
        <v>3.5939593552895932</v>
      </c>
      <c r="U133" s="244">
        <f>-psi_t-SQRT(psi_t^2-2*Tabella34[[#This Row],[c_t]])</f>
        <v>-3.6433520897093983</v>
      </c>
      <c r="V133" s="244">
        <f>phi_t-LN(alpha*Kt/(Tabella34[[#This Row],[Italy velocity]]*psi_t*SQRTPI(2)))</f>
        <v>-6.5470296637124905</v>
      </c>
      <c r="W133" s="244">
        <f>Tabella34[[#This Row],[Italy g.r.]]/Italy_gr_at_lockdown</f>
        <v>2.8088305077165955E-2</v>
      </c>
      <c r="X133" s="244">
        <f>(ACOSH(SQRT(alpha*Kf*psi_f/(Tabella34[[#This Row],[Italy velocity]]*(1+TANH(phi_f)))))+phi_f)/psi_f-(Tabella34[[#This Row],[Day]]-pf)</f>
        <v>31.045756349039422</v>
      </c>
      <c r="Y133" s="244">
        <f>Tabella34[[#This Row],[Italy h.t.]]/Italy_ht_at_lockdown</f>
        <v>0.26855352732011339</v>
      </c>
      <c r="Z133" s="72">
        <f>-2*$BY$48*TANH($BY$48*(Tabella34[[#This Row],[Day]]-$BY$57)-$BY$47)*Tabella34[[#This Row],[Italy velocity]]</f>
        <v>-18.256839370854635</v>
      </c>
      <c r="AA133" s="72">
        <f>Tabella34[[#This Row],[Italy acc. fit]]/Itali_acc_at_lockdown</f>
        <v>-0.50560961703439722</v>
      </c>
      <c r="AB133" s="77">
        <f>Tabella34[[#This Row],[Italy acc. fit]]/y_f_peak</f>
        <v>-6.0827623189002953E-3</v>
      </c>
      <c r="AC133" s="143">
        <f>Tabella34[[#This Row],[Italy (fit of selected region + fitted sum of the other regions)]]*NOT(ISBLANK(Tabella34[[#This Row],[Italy rate data]]))</f>
        <v>-18.461159068890137</v>
      </c>
      <c r="AD133" s="143">
        <f>Tabella34[[#This Row],[Italy acc. fit]]*NOT(ISBLANK(Tabella34[[#This Row],[Italy rate data]]))</f>
        <v>-18.256839370854635</v>
      </c>
      <c r="AE133" s="77">
        <f>Tabella34[[#This Row],[Italy acc. fit]]+CIf</f>
        <v>1697.3580199636967</v>
      </c>
      <c r="AF133" s="77">
        <f>MAX(Tabella34[[#This Row],[Italy acc. fit]]-CIf,0)</f>
        <v>0</v>
      </c>
      <c r="AG133" s="4">
        <f>Tabella8[[#This Row],[region data]]</f>
        <v>5048</v>
      </c>
      <c r="AH133" s="72">
        <f>(Tabella34[[#This Row],[selected region cumul. data]]-AG132)</f>
        <v>144</v>
      </c>
      <c r="AI133" s="72">
        <f>Tabella34[[#This Row],[selected region rate data]]-AH132</f>
        <v>48</v>
      </c>
      <c r="AJ133" s="121">
        <f>Tabella34[[#This Row],[selected region rate data]]*NOT(ISBLANK(Tabella34[[#This Row],[selected region rate data]]))</f>
        <v>144</v>
      </c>
      <c r="AK133" s="77">
        <f>Tabella8[[#This Row],[region fit]]</f>
        <v>5161.1414402733317</v>
      </c>
      <c r="AL133" s="143" t="e">
        <f>(ATANH(alpha*Tabella34[[#This Row],[sel. region cumul. fit]]/Kl-(1-alpha*Tabella34[[#This Row],[sel. region cumul. fit]]/Kl)*TANH(phi_l))+phi_l)/psi_l-(Tabella34[[#This Row],[Day]]-pl)</f>
        <v>#NUM!</v>
      </c>
      <c r="AM133" s="77">
        <f>Tabella34[[#This Row],[sel. region cumul. fit]]/Kl</f>
        <v>0.57537808698699355</v>
      </c>
      <c r="AN133" s="143">
        <f>Tabella3[[#This Row],[region fit]]</f>
        <v>131.1042762047478</v>
      </c>
      <c r="AO133" s="186">
        <f>Tabella34[[#This Row],[sel. region velocity]]/Tabella34[[#This Row],[sel. region cumul. fit]]</f>
        <v>2.5402186264789631E-2</v>
      </c>
      <c r="AP133" s="241">
        <f>(LN(Tabella34[[#This Row],[Day]]-pr)-phi_r)/psi_r</f>
        <v>96.424509689346323</v>
      </c>
      <c r="AQ133" s="244">
        <f>EXP(phi_r+psi_r*Tabella34[[#This Row],[x_r_alpha©+plus]])-(Tabella34[[#This Row],[Day]]-pr)</f>
        <v>-47.063349929252098</v>
      </c>
      <c r="AR133" s="244">
        <f>EXP(phi_r+psi_r*Tabella34[[#This Row],[x_r_alpha©-minus]])-(Tabella34[[#This Row],[Day]]-pr)</f>
        <v>-47.736997134209496</v>
      </c>
      <c r="AS133" s="244">
        <f>-psi_r+SQRT(psi_r^2-2*Tabella34[[#This Row],[c_r]])</f>
        <v>3.538589367300522</v>
      </c>
      <c r="AT133" s="244">
        <f>-psi_r-SQRT(psi_r^2-2*Tabella34[[#This Row],[c_r]])</f>
        <v>-3.594997605719183</v>
      </c>
      <c r="AU133" s="244">
        <f>phi_r-LN(alpha*Kr/(Tabella34[[#This Row],[sel. region velocity]]*psi_r*SQRTPI(2)))</f>
        <v>-6.3606101515343676</v>
      </c>
      <c r="AV133" s="244">
        <f>(ACOSH(SQRT(alpha*Kl*psi_l/(Tabella34[[#This Row],[sel. region velocity]]*(1+TANH(phi_l)))))+phi_l)/psi_l-(Tabella34[[#This Row],[Day]]-pl)</f>
        <v>24.537977565275455</v>
      </c>
      <c r="AW133" s="72">
        <f>-2*$BY$22*TANH($BY$22*(Tabella34[[#This Row],[Day]]-$BY$31)-$BY$21)*Tabella34[[#This Row],[sel. region velocity]]</f>
        <v>-1.6300887276309644</v>
      </c>
      <c r="AX133" s="77">
        <f>Tabella34[[#This Row],[sel. region acc. fit]]/y_l_peak</f>
        <v>-1.1829443245922047E-2</v>
      </c>
      <c r="AY133" s="143">
        <f>Tabella34[[#This Row],[sel. region acc. fit]]*NOT(ISBLANK(Tabella34[[#This Row],[selected region rate data]]))</f>
        <v>-1.6300887276309644</v>
      </c>
      <c r="AZ133" s="77">
        <f>Tabella34[[#This Row],[sel. region acc. fit]]+CIl</f>
        <v>52.134751681917493</v>
      </c>
      <c r="BA133" s="77">
        <f>MAX(Tabella34[[#This Row],[sel. region acc. fit]]-CIl,0)</f>
        <v>0</v>
      </c>
      <c r="BB133" s="10">
        <f>Tabella8[[#This Row],[rest of Italy ]]</f>
        <v>109498</v>
      </c>
      <c r="BC133" s="10">
        <f>(Tabella34[[#This Row],[rest of Italy cum. Data]]-BB132)</f>
        <v>2444</v>
      </c>
      <c r="BD133" s="10">
        <f>Tabella34[[#This Row],[rest of Italy rate data]]-BC132</f>
        <v>1120</v>
      </c>
      <c r="BE133" s="77">
        <f>Tabella34[[#This Row],[rest of Italy rate data]]*NOT(ISBLANK(Tabella34[[#This Row],[rest of Italy rate data]]))</f>
        <v>2444</v>
      </c>
      <c r="BF133" s="77">
        <f>Tabella8[[#This Row],[rest of Italy fit]]</f>
        <v>113502.05758392267</v>
      </c>
      <c r="BG133" s="78" t="e">
        <f>(ATANH(alpha*Tabella34[[#This Row],[rest of Italy cumul. fit]]/Ka-(1-alpha*Tabella34[[#This Row],[rest of Italy cumul. fit]]/Ka)*TANH(phi_a))+phi_a)/psi_a-(Tabella34[[#This Row],[Day]]-pa)</f>
        <v>#NUM!</v>
      </c>
      <c r="BH133" s="77">
        <f>Tabella34[[#This Row],[rest of Italy cumul. fit]]/Ka</f>
        <v>0.52539951665936524</v>
      </c>
      <c r="BI133" s="143">
        <f>Tabella3[[#This Row],[rest of Italy fit]]</f>
        <v>2819.359782301347</v>
      </c>
      <c r="BJ133" s="183">
        <f>Tabella34[[#This Row],[rest of Italy velocity]]/Tabella34[[#This Row],[rest of Italy cumul. fit]]</f>
        <v>2.4839723986648712E-2</v>
      </c>
      <c r="BK133" s="236">
        <f>(LN(Tabella34[[#This Row],[Day]]-po)-phi_o)/psi_o</f>
        <v>113.11805506702802</v>
      </c>
      <c r="BL133" s="244">
        <f>EXP(phi_o+psi_o*Tabella34[[#This Row],[x_o_alpha©+plus]])-(Tabella34[[#This Row],[Day]]-po)</f>
        <v>-52.46226075919958</v>
      </c>
      <c r="BM133" s="244">
        <f>EXP(phi_o+psi_o*Tabella34[[#This Row],[x_o_alpha©-minus]])-(Tabella34[[#This Row],[Day]]-po)</f>
        <v>-53.087615169051467</v>
      </c>
      <c r="BN133" s="244">
        <f>-psi_o+SQRT(psi_o^2-2*Tabella34[[#This Row],[c_o]])</f>
        <v>3.5987708628893995</v>
      </c>
      <c r="BO133" s="244">
        <f>-psi_o-SQRT(psi_o^2-2*Tabella34[[#This Row],[c_o]])</f>
        <v>-3.6477979484590288</v>
      </c>
      <c r="BP133" s="244">
        <f>phi_o-LN(alpha*Ko/(Tabella34[[#This Row],[rest of Italy velocity]]*psi_o*SQRTPI(2)))</f>
        <v>-6.5637944853110408</v>
      </c>
      <c r="BQ133" s="244">
        <f>(ACOSH(SQRT(alpha*Ka*psi_a/(Tabella34[[#This Row],[rest of Italy velocity]]*(1+TANH(phi_a)))))+phi_a)/psi_a-(Tabella34[[#This Row],[Day]]-pa)</f>
        <v>31.391805211451327</v>
      </c>
      <c r="BR133" s="72">
        <f>-2*$BY$35*TANH($BY$35*(Tabella34[[#This Row],[Day]]-$BY$44)-$BY$34)*Tabella34[[#This Row],[rest of Italy velocity]]</f>
        <v>-16.831070341259171</v>
      </c>
      <c r="BS133" s="77">
        <f>Tabella34[[#This Row],[rest of Italy acc. fit]]/y_a_peak</f>
        <v>-5.8813060587464619E-3</v>
      </c>
      <c r="BT133" s="121">
        <f>Tabella34[[#This Row],[rest of Italy acc. fit]]*NOT(ISBLANK(Tabella34[[#This Row],[rest of Italy rate data]]))</f>
        <v>-16.831070341259171</v>
      </c>
      <c r="BU133" s="77">
        <f>Tabella34[[#This Row],[rest of Italy acc. fit]]+CIa</f>
        <v>1677.7431245683235</v>
      </c>
      <c r="BV133" s="77">
        <f>MAX(Tabella34[[#This Row],[rest of Italy acc. fit]]-CIa,0)</f>
        <v>0</v>
      </c>
    </row>
    <row r="134" spans="2:74" x14ac:dyDescent="0.3">
      <c r="B134" s="262">
        <v>43957</v>
      </c>
      <c r="C134" s="4">
        <v>127</v>
      </c>
      <c r="D134" s="10">
        <f>Tabella8[[#This Row],[Italy cumulative]]</f>
        <v>122929</v>
      </c>
      <c r="E134" s="72">
        <f>(Tabella34[[#This Row],[Italy cumul. data]]-D133)</f>
        <v>8383</v>
      </c>
      <c r="F134" s="72">
        <f>Tabella34[[#This Row],[Italy rate data]]-E133</f>
        <v>5795</v>
      </c>
      <c r="G134" s="121">
        <f>Tabella34[[#This Row],[Italy rate data]]*NOT(ISBLANK(Tabella34[[#This Row],[Italy rate data]]))</f>
        <v>8383</v>
      </c>
      <c r="H134" s="143">
        <f>Tabella8[[#This Row],[Italy fit]]</f>
        <v>121617.24959101743</v>
      </c>
      <c r="I134" s="143" t="e">
        <f>(ATANH(alpha*Tabella34[[#This Row],[Italy cumul. Fit]]/Kf-(1-alpha*Tabella34[[#This Row],[Italy cumul. Fit]]/Kf)*TANH(phi_f))+phi_f)/psi_f-(Tabella34[[#This Row],[Day]]-pf)</f>
        <v>#NUM!</v>
      </c>
      <c r="J134" s="143" t="e">
        <f>Tabella34[[#This Row],[Italy d.t.]]/Italy_dt_at_lockdown</f>
        <v>#NUM!</v>
      </c>
      <c r="K134" s="77">
        <f>Tabella34[[#This Row],[Italy cumul. Fit]]/Kf</f>
        <v>0.5405211092934108</v>
      </c>
      <c r="L134" s="146">
        <f>Tabella34[[#This Row],[sel. region acc. fit]]+Tabella34[[#This Row],[rest of Italy acc. fit]]</f>
        <v>-21.830115337728962</v>
      </c>
      <c r="M134" s="77">
        <f>Tabella34[[#This Row],[Italy (fit of selected region + fitted sum of the other regions)]]/(y_l_peak+y_a_peak)</f>
        <v>-7.2776984016467835E-3</v>
      </c>
      <c r="N134" s="143">
        <f>Tabella3[[#This Row],[Italy remov. rate fit]]</f>
        <v>2934.4680406666221</v>
      </c>
      <c r="O134" s="143">
        <f>Kt*EXP(-0.5*Tabella34[[#This Row],[x_t]]^2)/(psi_t*SQRTPI(2)*(Tabella34[[#This Row],[Day]]-D_bk))</f>
        <v>0</v>
      </c>
      <c r="P134" s="183">
        <f>Tabella34[[#This Row],[Italy velocity]]/Tabella34[[#This Row],[Italy cumul. Fit]]</f>
        <v>2.4128715708790046E-2</v>
      </c>
      <c r="Q134" s="244">
        <f>(LN(Tabella34[[#This Row],[Day]]-D_bk)-phi_t)/psi_t</f>
        <v>112.75769528239807</v>
      </c>
      <c r="R134" s="244">
        <f>EXP(phi_t+psi_t*Tabella34[[#This Row],[x_t_alpha©+plus]])-(Tabella34[[#This Row],[Day]]-D_bk)</f>
        <v>-53.298751086056555</v>
      </c>
      <c r="S134" s="244">
        <f>EXP(phi_t+psi_t*Tabella34[[#This Row],[x_t_alpha©-minus]])-(Tabella34[[#This Row],[Day]]-D_bk)</f>
        <v>-53.930327733685054</v>
      </c>
      <c r="T134" s="244">
        <f>-psi_t+SQRT(psi_t^2-2*Tabella34[[#This Row],[c_t]])</f>
        <v>3.595832095344301</v>
      </c>
      <c r="U134" s="244">
        <f>-psi_t-SQRT(psi_t^2-2*Tabella34[[#This Row],[c_t]])</f>
        <v>-3.6452248297641061</v>
      </c>
      <c r="V134" s="244">
        <f>phi_t-LN(alpha*Kt/(Tabella34[[#This Row],[Italy velocity]]*psi_t*SQRTPI(2)))</f>
        <v>-6.5538082188058695</v>
      </c>
      <c r="W134" s="244">
        <f>Tabella34[[#This Row],[Italy g.r.]]/Italy_gr_at_lockdown</f>
        <v>2.7223040563162996E-2</v>
      </c>
      <c r="X134" s="244">
        <f>(ACOSH(SQRT(alpha*Kf*psi_f/(Tabella34[[#This Row],[Italy velocity]]*(1+TANH(phi_f)))))+phi_f)/psi_f-(Tabella34[[#This Row],[Day]]-pf)</f>
        <v>30.238024163737009</v>
      </c>
      <c r="Y134" s="244">
        <f>Tabella34[[#This Row],[Italy h.t.]]/Italy_ht_at_lockdown</f>
        <v>0.26156644267465723</v>
      </c>
      <c r="Z134" s="72">
        <f>-2*$BY$48*TANH($BY$48*(Tabella34[[#This Row],[Day]]-$BY$57)-$BY$47)*Tabella34[[#This Row],[Italy velocity]]</f>
        <v>-21.645436136928435</v>
      </c>
      <c r="AA134" s="72">
        <f>Tabella34[[#This Row],[Italy acc. fit]]/Itali_acc_at_lockdown</f>
        <v>-0.59945428961850877</v>
      </c>
      <c r="AB134" s="77">
        <f>Tabella34[[#This Row],[Italy acc. fit]]/y_f_peak</f>
        <v>-7.2117654450123813E-3</v>
      </c>
      <c r="AC134" s="143">
        <f>Tabella34[[#This Row],[Italy (fit of selected region + fitted sum of the other regions)]]*NOT(ISBLANK(Tabella34[[#This Row],[Italy rate data]]))</f>
        <v>-21.830115337728962</v>
      </c>
      <c r="AD134" s="143">
        <f>Tabella34[[#This Row],[Italy acc. fit]]*NOT(ISBLANK(Tabella34[[#This Row],[Italy rate data]]))</f>
        <v>-21.645436136928435</v>
      </c>
      <c r="AE134" s="77">
        <f>Tabella34[[#This Row],[Italy acc. fit]]+CIf</f>
        <v>1693.9694231976227</v>
      </c>
      <c r="AF134" s="77">
        <f>MAX(Tabella34[[#This Row],[Italy acc. fit]]-CIf,0)</f>
        <v>0</v>
      </c>
      <c r="AG134" s="4">
        <f>Tabella8[[#This Row],[region data]]</f>
        <v>5245</v>
      </c>
      <c r="AH134" s="72">
        <f>(Tabella34[[#This Row],[selected region cumul. data]]-AG133)</f>
        <v>197</v>
      </c>
      <c r="AI134" s="72">
        <f>Tabella34[[#This Row],[selected region rate data]]-AH133</f>
        <v>53</v>
      </c>
      <c r="AJ134" s="121">
        <f>Tabella34[[#This Row],[selected region rate data]]*NOT(ISBLANK(Tabella34[[#This Row],[selected region rate data]]))</f>
        <v>197</v>
      </c>
      <c r="AK134" s="77">
        <f>Tabella8[[#This Row],[region fit]]</f>
        <v>5291.4013835703663</v>
      </c>
      <c r="AL134" s="143" t="e">
        <f>(ATANH(alpha*Tabella34[[#This Row],[sel. region cumul. fit]]/Kl-(1-alpha*Tabella34[[#This Row],[sel. region cumul. fit]]/Kl)*TANH(phi_l))+phi_l)/psi_l-(Tabella34[[#This Row],[Day]]-pl)</f>
        <v>#NUM!</v>
      </c>
      <c r="AM134" s="77">
        <f>Tabella34[[#This Row],[sel. region cumul. fit]]/Kl</f>
        <v>0.58989981979602746</v>
      </c>
      <c r="AN134" s="143">
        <f>Tabella3[[#This Row],[region fit]]</f>
        <v>129.3867365351567</v>
      </c>
      <c r="AO134" s="186">
        <f>Tabella34[[#This Row],[sel. region velocity]]/Tabella34[[#This Row],[sel. region cumul. fit]]</f>
        <v>2.4452262672209752E-2</v>
      </c>
      <c r="AP134" s="241">
        <f>(LN(Tabella34[[#This Row],[Day]]-pr)-phi_r)/psi_r</f>
        <v>97.116221938583308</v>
      </c>
      <c r="AQ134" s="244">
        <f>EXP(phi_r+psi_r*Tabella34[[#This Row],[x_r_alpha©+plus]])-(Tabella34[[#This Row],[Day]]-pr)</f>
        <v>-48.062964671276774</v>
      </c>
      <c r="AR134" s="244">
        <f>EXP(phi_r+psi_r*Tabella34[[#This Row],[x_r_alpha©-minus]])-(Tabella34[[#This Row],[Day]]-pr)</f>
        <v>-48.737312146739605</v>
      </c>
      <c r="AS134" s="244">
        <f>-psi_r+SQRT(psi_r^2-2*Tabella34[[#This Row],[c_r]])</f>
        <v>3.54228464810038</v>
      </c>
      <c r="AT134" s="244">
        <f>-psi_r-SQRT(psi_r^2-2*Tabella34[[#This Row],[c_r]])</f>
        <v>-3.5986928865190411</v>
      </c>
      <c r="AU134" s="244">
        <f>phi_r-LN(alpha*Kr/(Tabella34[[#This Row],[sel. region velocity]]*psi_r*SQRTPI(2)))</f>
        <v>-6.3737972825722213</v>
      </c>
      <c r="AV134" s="244">
        <f>(ACOSH(SQRT(alpha*Kl*psi_l/(Tabella34[[#This Row],[sel. region velocity]]*(1+TANH(phi_l)))))+phi_l)/psi_l-(Tabella34[[#This Row],[Day]]-pl)</f>
        <v>23.859886666715269</v>
      </c>
      <c r="AW134" s="72">
        <f>-2*$BY$22*TANH($BY$22*(Tabella34[[#This Row],[Day]]-$BY$31)-$BY$21)*Tabella34[[#This Row],[sel. region velocity]]</f>
        <v>-1.8033183918221578</v>
      </c>
      <c r="AX134" s="77">
        <f>Tabella34[[#This Row],[sel. region acc. fit]]/y_l_peak</f>
        <v>-1.3086559160120172E-2</v>
      </c>
      <c r="AY134" s="143">
        <f>Tabella34[[#This Row],[sel. region acc. fit]]*NOT(ISBLANK(Tabella34[[#This Row],[selected region rate data]]))</f>
        <v>-1.8033183918221578</v>
      </c>
      <c r="AZ134" s="77">
        <f>Tabella34[[#This Row],[sel. region acc. fit]]+CIl</f>
        <v>51.961522017726296</v>
      </c>
      <c r="BA134" s="77">
        <f>MAX(Tabella34[[#This Row],[sel. region acc. fit]]-CIl,0)</f>
        <v>0</v>
      </c>
      <c r="BB134" s="10">
        <f>Tabella8[[#This Row],[rest of Italy ]]</f>
        <v>117684</v>
      </c>
      <c r="BC134" s="10">
        <f>(Tabella34[[#This Row],[rest of Italy cum. Data]]-BB133)</f>
        <v>8186</v>
      </c>
      <c r="BD134" s="10">
        <f>Tabella34[[#This Row],[rest of Italy rate data]]-BC133</f>
        <v>5742</v>
      </c>
      <c r="BE134" s="77">
        <f>Tabella34[[#This Row],[rest of Italy rate data]]*NOT(ISBLANK(Tabella34[[#This Row],[rest of Italy rate data]]))</f>
        <v>8186</v>
      </c>
      <c r="BF134" s="77">
        <f>Tabella8[[#This Row],[rest of Italy fit]]</f>
        <v>116312.46563607077</v>
      </c>
      <c r="BG134" s="78" t="e">
        <f>(ATANH(alpha*Tabella34[[#This Row],[rest of Italy cumul. fit]]/Ka-(1-alpha*Tabella34[[#This Row],[rest of Italy cumul. fit]]/Ka)*TANH(phi_a))+phi_a)/psi_a-(Tabella34[[#This Row],[Day]]-pa)</f>
        <v>#NUM!</v>
      </c>
      <c r="BH134" s="77">
        <f>Tabella34[[#This Row],[rest of Italy cumul. fit]]/Ka</f>
        <v>0.53840885819594864</v>
      </c>
      <c r="BI134" s="143">
        <f>Tabella3[[#This Row],[rest of Italy fit]]</f>
        <v>2800.9236617444394</v>
      </c>
      <c r="BJ134" s="183">
        <f>Tabella34[[#This Row],[rest of Italy velocity]]/Tabella34[[#This Row],[rest of Italy cumul. fit]]</f>
        <v>2.4081027312310866E-2</v>
      </c>
      <c r="BK134" s="236">
        <f>(LN(Tabella34[[#This Row],[Day]]-po)-phi_o)/psi_o</f>
        <v>113.8362163179162</v>
      </c>
      <c r="BL134" s="244">
        <f>EXP(phi_o+psi_o*Tabella34[[#This Row],[x_o_alpha©+plus]])-(Tabella34[[#This Row],[Day]]-po)</f>
        <v>-53.462090253707217</v>
      </c>
      <c r="BM134" s="244">
        <f>EXP(phi_o+psi_o*Tabella34[[#This Row],[x_o_alpha©-minus]])-(Tabella34[[#This Row],[Day]]-po)</f>
        <v>-54.087757917511404</v>
      </c>
      <c r="BN134" s="244">
        <f>-psi_o+SQRT(psi_o^2-2*Tabella34[[#This Row],[c_o]])</f>
        <v>3.6005810854548956</v>
      </c>
      <c r="BO134" s="244">
        <f>-psi_o-SQRT(psi_o^2-2*Tabella34[[#This Row],[c_o]])</f>
        <v>-3.6496081710245249</v>
      </c>
      <c r="BP134" s="244">
        <f>phi_o-LN(alpha*Ko/(Tabella34[[#This Row],[rest of Italy velocity]]*psi_o*SQRTPI(2)))</f>
        <v>-6.5703550749562707</v>
      </c>
      <c r="BQ134" s="244">
        <f>(ACOSH(SQRT(alpha*Ka*psi_a/(Tabella34[[#This Row],[rest of Italy velocity]]*(1+TANH(phi_a)))))+phi_a)/psi_a-(Tabella34[[#This Row],[Day]]-pa)</f>
        <v>30.579364019409326</v>
      </c>
      <c r="BR134" s="72">
        <f>-2*$BY$35*TANH($BY$35*(Tabella34[[#This Row],[Day]]-$BY$44)-$BY$34)*Tabella34[[#This Row],[rest of Italy velocity]]</f>
        <v>-20.026796945906806</v>
      </c>
      <c r="BS134" s="77">
        <f>Tabella34[[#This Row],[rest of Italy acc. fit]]/y_a_peak</f>
        <v>-6.9979935813419677E-3</v>
      </c>
      <c r="BT134" s="121">
        <f>Tabella34[[#This Row],[rest of Italy acc. fit]]*NOT(ISBLANK(Tabella34[[#This Row],[rest of Italy rate data]]))</f>
        <v>-20.026796945906806</v>
      </c>
      <c r="BU134" s="77">
        <f>Tabella34[[#This Row],[rest of Italy acc. fit]]+CIa</f>
        <v>1674.5473979636758</v>
      </c>
      <c r="BV134" s="77">
        <f>MAX(Tabella34[[#This Row],[rest of Italy acc. fit]]-CIa,0)</f>
        <v>0</v>
      </c>
    </row>
    <row r="135" spans="2:74" x14ac:dyDescent="0.3">
      <c r="B135" s="262">
        <v>43958</v>
      </c>
      <c r="C135" s="4">
        <v>128</v>
      </c>
      <c r="D135" s="10">
        <f>Tabella8[[#This Row],[Italy cumulative]]</f>
        <v>126234</v>
      </c>
      <c r="E135" s="72">
        <f>(Tabella34[[#This Row],[Italy cumul. data]]-D134)</f>
        <v>3305</v>
      </c>
      <c r="F135" s="72">
        <f>Tabella34[[#This Row],[Italy rate data]]-E134</f>
        <v>-5078</v>
      </c>
      <c r="G135" s="121">
        <f>Tabella34[[#This Row],[Italy rate data]]*NOT(ISBLANK(Tabella34[[#This Row],[Italy rate data]]))</f>
        <v>3305</v>
      </c>
      <c r="H135" s="143">
        <f>Tabella8[[#This Row],[Italy fit]]</f>
        <v>124540.34261529395</v>
      </c>
      <c r="I135" s="143" t="e">
        <f>(ATANH(alpha*Tabella34[[#This Row],[Italy cumul. Fit]]/Kf-(1-alpha*Tabella34[[#This Row],[Italy cumul. Fit]]/Kf)*TANH(phi_f))+phi_f)/psi_f-(Tabella34[[#This Row],[Day]]-pf)</f>
        <v>#NUM!</v>
      </c>
      <c r="J135" s="143" t="e">
        <f>Tabella34[[#This Row],[Italy d.t.]]/Italy_dt_at_lockdown</f>
        <v>#NUM!</v>
      </c>
      <c r="K135" s="77">
        <f>Tabella34[[#This Row],[Italy cumul. Fit]]/Kf</f>
        <v>0.55351263384575089</v>
      </c>
      <c r="L135" s="146">
        <f>Tabella34[[#This Row],[sel. region acc. fit]]+Tabella34[[#This Row],[rest of Italy acc. fit]]</f>
        <v>-25.095529203514413</v>
      </c>
      <c r="M135" s="77">
        <f>Tabella34[[#This Row],[Italy (fit of selected region + fitted sum of the other regions)]]/(y_l_peak+y_a_peak)</f>
        <v>-8.3663182693883668E-3</v>
      </c>
      <c r="N135" s="143">
        <f>Tabella3[[#This Row],[Italy remov. rate fit]]</f>
        <v>2911.1702021217552</v>
      </c>
      <c r="O135" s="143">
        <f>Kt*EXP(-0.5*Tabella34[[#This Row],[x_t]]^2)/(psi_t*SQRTPI(2)*(Tabella34[[#This Row],[Day]]-D_bk))</f>
        <v>0</v>
      </c>
      <c r="P135" s="183">
        <f>Tabella34[[#This Row],[Italy velocity]]/Tabella34[[#This Row],[Italy cumul. Fit]]</f>
        <v>2.3375318719929827E-2</v>
      </c>
      <c r="Q135" s="244">
        <f>(LN(Tabella34[[#This Row],[Day]]-D_bk)-phi_t)/psi_t</f>
        <v>113.46001607470463</v>
      </c>
      <c r="R135" s="244">
        <f>EXP(phi_t+psi_t*Tabella34[[#This Row],[x_t_alpha©+plus]])-(Tabella34[[#This Row],[Day]]-D_bk)</f>
        <v>-54.298541432914533</v>
      </c>
      <c r="S135" s="244">
        <f>EXP(phi_t+psi_t*Tabella34[[#This Row],[x_t_alpha©-minus]])-(Tabella34[[#This Row],[Day]]-D_bk)</f>
        <v>-54.930503046572191</v>
      </c>
      <c r="T135" s="244">
        <f>-psi_t+SQRT(psi_t^2-2*Tabella34[[#This Row],[c_t]])</f>
        <v>3.5980330547812636</v>
      </c>
      <c r="U135" s="244">
        <f>-psi_t-SQRT(psi_t^2-2*Tabella34[[#This Row],[c_t]])</f>
        <v>-3.6474257892010686</v>
      </c>
      <c r="V135" s="244">
        <f>phi_t-LN(alpha*Kt/(Tabella34[[#This Row],[Italy velocity]]*psi_t*SQRTPI(2)))</f>
        <v>-6.5617792772035415</v>
      </c>
      <c r="W135" s="244">
        <f>Tabella34[[#This Row],[Italy g.r.]]/Italy_gr_at_lockdown</f>
        <v>2.6373026122467547E-2</v>
      </c>
      <c r="X135" s="244">
        <f>(ACOSH(SQRT(alpha*Kf*psi_f/(Tabella34[[#This Row],[Italy velocity]]*(1+TANH(phi_f)))))+phi_f)/psi_f-(Tabella34[[#This Row],[Day]]-pf)</f>
        <v>29.463321014396115</v>
      </c>
      <c r="Y135" s="244">
        <f>Tabella34[[#This Row],[Italy h.t.]]/Italy_ht_at_lockdown</f>
        <v>0.25486506741929371</v>
      </c>
      <c r="Z135" s="72">
        <f>-2*$BY$48*TANH($BY$48*(Tabella34[[#This Row],[Day]]-$BY$57)-$BY$47)*Tabella34[[#This Row],[Italy velocity]]</f>
        <v>-24.932035953980186</v>
      </c>
      <c r="AA135" s="72">
        <f>Tabella34[[#This Row],[Italy acc. fit]]/Itali_acc_at_lockdown</f>
        <v>-0.69047423239664729</v>
      </c>
      <c r="AB135" s="77">
        <f>Tabella34[[#This Row],[Italy acc. fit]]/y_f_peak</f>
        <v>-8.3067855149365193E-3</v>
      </c>
      <c r="AC135" s="143">
        <f>Tabella34[[#This Row],[Italy (fit of selected region + fitted sum of the other regions)]]*NOT(ISBLANK(Tabella34[[#This Row],[Italy rate data]]))</f>
        <v>-25.095529203514413</v>
      </c>
      <c r="AD135" s="143">
        <f>Tabella34[[#This Row],[Italy acc. fit]]*NOT(ISBLANK(Tabella34[[#This Row],[Italy rate data]]))</f>
        <v>-24.932035953980186</v>
      </c>
      <c r="AE135" s="77">
        <f>Tabella34[[#This Row],[Italy acc. fit]]+CIf</f>
        <v>1690.6828233805711</v>
      </c>
      <c r="AF135" s="77">
        <f>MAX(Tabella34[[#This Row],[Italy acc. fit]]-CIf,0)</f>
        <v>0</v>
      </c>
      <c r="AG135" s="4">
        <f>Tabella8[[#This Row],[region data]]</f>
        <v>5397</v>
      </c>
      <c r="AH135" s="72">
        <f>(Tabella34[[#This Row],[selected region cumul. data]]-AG134)</f>
        <v>152</v>
      </c>
      <c r="AI135" s="72">
        <f>Tabella34[[#This Row],[selected region rate data]]-AH134</f>
        <v>-45</v>
      </c>
      <c r="AJ135" s="121">
        <f>Tabella34[[#This Row],[selected region rate data]]*NOT(ISBLANK(Tabella34[[#This Row],[selected region rate data]]))</f>
        <v>152</v>
      </c>
      <c r="AK135" s="77">
        <f>Tabella8[[#This Row],[region fit]]</f>
        <v>5419.858876885336</v>
      </c>
      <c r="AL135" s="143" t="e">
        <f>(ATANH(alpha*Tabella34[[#This Row],[sel. region cumul. fit]]/Kl-(1-alpha*Tabella34[[#This Row],[sel. region cumul. fit]]/Kl)*TANH(phi_l))+phi_l)/psi_l-(Tabella34[[#This Row],[Day]]-pl)</f>
        <v>#NUM!</v>
      </c>
      <c r="AM135" s="77">
        <f>Tabella34[[#This Row],[sel. region cumul. fit]]/Kl</f>
        <v>0.60422061057807541</v>
      </c>
      <c r="AN135" s="143">
        <f>Tabella3[[#This Row],[region fit]]</f>
        <v>127.50111237570927</v>
      </c>
      <c r="AO135" s="186">
        <f>Tabella34[[#This Row],[sel. region velocity]]/Tabella34[[#This Row],[sel. region cumul. fit]]</f>
        <v>2.3524803001693861E-2</v>
      </c>
      <c r="AP135" s="241">
        <f>(LN(Tabella34[[#This Row],[Day]]-pr)-phi_r)/psi_r</f>
        <v>97.794697308616449</v>
      </c>
      <c r="AQ135" s="244">
        <f>EXP(phi_r+psi_r*Tabella34[[#This Row],[x_r_alpha©+plus]])-(Tabella34[[#This Row],[Day]]-pr)</f>
        <v>-49.062536197901018</v>
      </c>
      <c r="AR135" s="244">
        <f>EXP(phi_r+psi_r*Tabella34[[#This Row],[x_r_alpha©-minus]])-(Tabella34[[#This Row],[Day]]-pr)</f>
        <v>-49.737662417942765</v>
      </c>
      <c r="AS135" s="244">
        <f>-psi_r+SQRT(psi_r^2-2*Tabella34[[#This Row],[c_r]])</f>
        <v>3.5463939859632365</v>
      </c>
      <c r="AT135" s="244">
        <f>-psi_r-SQRT(psi_r^2-2*Tabella34[[#This Row],[c_r]])</f>
        <v>-3.6028022243818976</v>
      </c>
      <c r="AU135" s="244">
        <f>phi_r-LN(alpha*Kr/(Tabella34[[#This Row],[sel. region velocity]]*psi_r*SQRTPI(2)))</f>
        <v>-6.3884780705814661</v>
      </c>
      <c r="AV135" s="244">
        <f>(ACOSH(SQRT(alpha*Kl*psi_l/(Tabella34[[#This Row],[sel. region velocity]]*(1+TANH(phi_l)))))+phi_l)/psi_l-(Tabella34[[#This Row],[Day]]-pl)</f>
        <v>23.216056519563068</v>
      </c>
      <c r="AW135" s="72">
        <f>-2*$BY$22*TANH($BY$22*(Tabella34[[#This Row],[Day]]-$BY$31)-$BY$21)*Tabella34[[#This Row],[sel. region velocity]]</f>
        <v>-1.96613329779704</v>
      </c>
      <c r="AX135" s="77">
        <f>Tabella34[[#This Row],[sel. region acc. fit]]/y_l_peak</f>
        <v>-1.4268095880896781E-2</v>
      </c>
      <c r="AY135" s="143">
        <f>Tabella34[[#This Row],[sel. region acc. fit]]*NOT(ISBLANK(Tabella34[[#This Row],[selected region rate data]]))</f>
        <v>-1.96613329779704</v>
      </c>
      <c r="AZ135" s="77">
        <f>Tabella34[[#This Row],[sel. region acc. fit]]+CIl</f>
        <v>51.798707111751412</v>
      </c>
      <c r="BA135" s="77">
        <f>MAX(Tabella34[[#This Row],[sel. region acc. fit]]-CIl,0)</f>
        <v>0</v>
      </c>
      <c r="BB135" s="10">
        <f>Tabella8[[#This Row],[rest of Italy ]]</f>
        <v>120837</v>
      </c>
      <c r="BC135" s="10">
        <f>(Tabella34[[#This Row],[rest of Italy cum. Data]]-BB134)</f>
        <v>3153</v>
      </c>
      <c r="BD135" s="10">
        <f>Tabella34[[#This Row],[rest of Italy rate data]]-BC134</f>
        <v>-5033</v>
      </c>
      <c r="BE135" s="77">
        <f>Tabella34[[#This Row],[rest of Italy rate data]]*NOT(ISBLANK(Tabella34[[#This Row],[rest of Italy rate data]]))</f>
        <v>3153</v>
      </c>
      <c r="BF135" s="77">
        <f>Tabella8[[#This Row],[rest of Italy fit]]</f>
        <v>119102.85465570248</v>
      </c>
      <c r="BG135" s="78" t="e">
        <f>(ATANH(alpha*Tabella34[[#This Row],[rest of Italy cumul. fit]]/Ka-(1-alpha*Tabella34[[#This Row],[rest of Italy cumul. fit]]/Ka)*TANH(phi_a))+phi_a)/psi_a-(Tabella34[[#This Row],[Day]]-pa)</f>
        <v>#NUM!</v>
      </c>
      <c r="BH135" s="77">
        <f>Tabella34[[#This Row],[rest of Italy cumul. fit]]/Ka</f>
        <v>0.5513255318969702</v>
      </c>
      <c r="BI135" s="143">
        <f>Tabella3[[#This Row],[rest of Italy fit]]</f>
        <v>2779.3372410703887</v>
      </c>
      <c r="BJ135" s="183">
        <f>Tabella34[[#This Row],[rest of Italy velocity]]/Tabella34[[#This Row],[rest of Italy cumul. fit]]</f>
        <v>2.3335605591526584E-2</v>
      </c>
      <c r="BK135" s="236">
        <f>(LN(Tabella34[[#This Row],[Day]]-po)-phi_o)/psi_o</f>
        <v>114.54195298766994</v>
      </c>
      <c r="BL135" s="244">
        <f>EXP(phi_o+psi_o*Tabella34[[#This Row],[x_o_alpha©+plus]])-(Tabella34[[#This Row],[Day]]-po)</f>
        <v>-54.461889280320037</v>
      </c>
      <c r="BM135" s="244">
        <f>EXP(phi_o+psi_o*Tabella34[[#This Row],[x_o_alpha©-minus]])-(Tabella34[[#This Row],[Day]]-po)</f>
        <v>-55.087926157652618</v>
      </c>
      <c r="BN135" s="244">
        <f>-psi_o+SQRT(psi_o^2-2*Tabella34[[#This Row],[c_o]])</f>
        <v>3.6027146764029818</v>
      </c>
      <c r="BO135" s="244">
        <f>-psi_o-SQRT(psi_o^2-2*Tabella34[[#This Row],[c_o]])</f>
        <v>-3.6517417619726111</v>
      </c>
      <c r="BP135" s="244">
        <f>phi_o-LN(alpha*Ko/(Tabella34[[#This Row],[rest of Italy velocity]]*psi_o*SQRTPI(2)))</f>
        <v>-6.5780918201462049</v>
      </c>
      <c r="BQ135" s="244">
        <f>(ACOSH(SQRT(alpha*Ka*psi_a/(Tabella34[[#This Row],[rest of Italy velocity]]*(1+TANH(phi_a)))))+phi_a)/psi_a-(Tabella34[[#This Row],[Day]]-pa)</f>
        <v>29.79979183473823</v>
      </c>
      <c r="BR135" s="72">
        <f>-2*$BY$35*TANH($BY$35*(Tabella34[[#This Row],[Day]]-$BY$44)-$BY$34)*Tabella34[[#This Row],[rest of Italy velocity]]</f>
        <v>-23.129395905717374</v>
      </c>
      <c r="BS135" s="77">
        <f>Tabella34[[#This Row],[rest of Italy acc. fit]]/y_a_peak</f>
        <v>-8.0821393718484343E-3</v>
      </c>
      <c r="BT135" s="121">
        <f>Tabella34[[#This Row],[rest of Italy acc. fit]]*NOT(ISBLANK(Tabella34[[#This Row],[rest of Italy rate data]]))</f>
        <v>-23.129395905717374</v>
      </c>
      <c r="BU135" s="77">
        <f>Tabella34[[#This Row],[rest of Italy acc. fit]]+CIa</f>
        <v>1671.4447990038655</v>
      </c>
      <c r="BV135" s="77">
        <f>MAX(Tabella34[[#This Row],[rest of Italy acc. fit]]-CIa,0)</f>
        <v>0</v>
      </c>
    </row>
    <row r="136" spans="2:74" x14ac:dyDescent="0.3">
      <c r="B136" s="262">
        <v>43959</v>
      </c>
      <c r="C136" s="4">
        <v>129</v>
      </c>
      <c r="D136" s="10">
        <f>Tabella8[[#This Row],[Italy cumulative]]</f>
        <v>129224</v>
      </c>
      <c r="E136" s="72">
        <f>(Tabella34[[#This Row],[Italy cumul. data]]-D135)</f>
        <v>2990</v>
      </c>
      <c r="F136" s="72">
        <f>Tabella34[[#This Row],[Italy rate data]]-E135</f>
        <v>-315</v>
      </c>
      <c r="G136" s="121">
        <f>Tabella34[[#This Row],[Italy rate data]]*NOT(ISBLANK(Tabella34[[#This Row],[Italy rate data]]))</f>
        <v>2990</v>
      </c>
      <c r="H136" s="143">
        <f>Tabella8[[#This Row],[Italy fit]]</f>
        <v>127438.51328084791</v>
      </c>
      <c r="I136" s="143" t="e">
        <f>(ATANH(alpha*Tabella34[[#This Row],[Italy cumul. Fit]]/Kf-(1-alpha*Tabella34[[#This Row],[Italy cumul. Fit]]/Kf)*TANH(phi_f))+phi_f)/psi_f-(Tabella34[[#This Row],[Day]]-pf)</f>
        <v>#NUM!</v>
      </c>
      <c r="J136" s="143" t="e">
        <f>Tabella34[[#This Row],[Italy d.t.]]/Italy_dt_at_lockdown</f>
        <v>#NUM!</v>
      </c>
      <c r="K136" s="77">
        <f>Tabella34[[#This Row],[Italy cumul. Fit]]/Kf</f>
        <v>0.56639339235932407</v>
      </c>
      <c r="L136" s="146">
        <f>Tabella34[[#This Row],[sel. region acc. fit]]+Tabella34[[#This Row],[rest of Italy acc. fit]]</f>
        <v>-28.243544643013482</v>
      </c>
      <c r="M136" s="77">
        <f>Tabella34[[#This Row],[Italy (fit of selected region + fitted sum of the other regions)]]/(y_l_peak+y_a_peak)</f>
        <v>-9.4157999866382024E-3</v>
      </c>
      <c r="N136" s="143">
        <f>Tabella3[[#This Row],[Italy remov. rate fit]]</f>
        <v>2884.6426714077602</v>
      </c>
      <c r="O136" s="143">
        <f>Kt*EXP(-0.5*Tabella34[[#This Row],[x_t]]^2)/(psi_t*SQRTPI(2)*(Tabella34[[#This Row],[Day]]-D_bk))</f>
        <v>0</v>
      </c>
      <c r="P136" s="183">
        <f>Tabella34[[#This Row],[Italy velocity]]/Tabella34[[#This Row],[Italy cumul. Fit]]</f>
        <v>2.2635564376450385E-2</v>
      </c>
      <c r="Q136" s="244">
        <f>(LN(Tabella34[[#This Row],[Day]]-D_bk)-phi_t)/psi_t</f>
        <v>114.150362667557</v>
      </c>
      <c r="R136" s="244">
        <f>EXP(phi_t+psi_t*Tabella34[[#This Row],[x_t_alpha©+plus]])-(Tabella34[[#This Row],[Day]]-D_bk)</f>
        <v>-55.298300806718082</v>
      </c>
      <c r="S136" s="244">
        <f>EXP(phi_t+psi_t*Tabella34[[#This Row],[x_t_alpha©-minus]])-(Tabella34[[#This Row],[Day]]-D_bk)</f>
        <v>-55.930704235777007</v>
      </c>
      <c r="T136" s="244">
        <f>-psi_t+SQRT(psi_t^2-2*Tabella34[[#This Row],[c_t]])</f>
        <v>3.6005590249665911</v>
      </c>
      <c r="U136" s="244">
        <f>-psi_t-SQRT(psi_t^2-2*Tabella34[[#This Row],[c_t]])</f>
        <v>-3.6499517593863962</v>
      </c>
      <c r="V136" s="244">
        <f>phi_t-LN(alpha*Kt/(Tabella34[[#This Row],[Italy velocity]]*psi_t*SQRTPI(2)))</f>
        <v>-6.5709333739756879</v>
      </c>
      <c r="W136" s="244">
        <f>Tabella34[[#This Row],[Italy g.r.]]/Italy_gr_at_lockdown</f>
        <v>2.5538403892989312E-2</v>
      </c>
      <c r="X136" s="244">
        <f>(ACOSH(SQRT(alpha*Kf*psi_f/(Tabella34[[#This Row],[Italy velocity]]*(1+TANH(phi_f)))))+phi_f)/psi_f-(Tabella34[[#This Row],[Day]]-pf)</f>
        <v>28.721015531137198</v>
      </c>
      <c r="Y136" s="244">
        <f>Tabella34[[#This Row],[Italy h.t.]]/Italy_ht_at_lockdown</f>
        <v>0.248443940047262</v>
      </c>
      <c r="Z136" s="72">
        <f>-2*$BY$48*TANH($BY$48*(Tabella34[[#This Row],[Day]]-$BY$57)-$BY$47)*Tabella34[[#This Row],[Italy velocity]]</f>
        <v>-28.102565477955313</v>
      </c>
      <c r="AA136" s="72">
        <f>Tabella34[[#This Row],[Italy acc. fit]]/Itali_acc_at_lockdown</f>
        <v>-0.77827969454977519</v>
      </c>
      <c r="AB136" s="77">
        <f>Tabella34[[#This Row],[Italy acc. fit]]/y_f_peak</f>
        <v>-9.3631336115399463E-3</v>
      </c>
      <c r="AC136" s="143">
        <f>Tabella34[[#This Row],[Italy (fit of selected region + fitted sum of the other regions)]]*NOT(ISBLANK(Tabella34[[#This Row],[Italy rate data]]))</f>
        <v>-28.243544643013482</v>
      </c>
      <c r="AD136" s="143">
        <f>Tabella34[[#This Row],[Italy acc. fit]]*NOT(ISBLANK(Tabella34[[#This Row],[Italy rate data]]))</f>
        <v>-28.102565477955313</v>
      </c>
      <c r="AE136" s="77">
        <f>Tabella34[[#This Row],[Italy acc. fit]]+CIf</f>
        <v>1687.512293856596</v>
      </c>
      <c r="AF136" s="77">
        <f>MAX(Tabella34[[#This Row],[Italy acc. fit]]-CIf,0)</f>
        <v>0</v>
      </c>
      <c r="AG136" s="4">
        <f>Tabella8[[#This Row],[region data]]</f>
        <v>5547</v>
      </c>
      <c r="AH136" s="72">
        <f>(Tabella34[[#This Row],[selected region cumul. data]]-AG135)</f>
        <v>150</v>
      </c>
      <c r="AI136" s="72">
        <f>Tabella34[[#This Row],[selected region rate data]]-AH135</f>
        <v>-2</v>
      </c>
      <c r="AJ136" s="121">
        <f>Tabella34[[#This Row],[selected region rate data]]*NOT(ISBLANK(Tabella34[[#This Row],[selected region rate data]]))</f>
        <v>150</v>
      </c>
      <c r="AK136" s="77">
        <f>Tabella8[[#This Row],[region fit]]</f>
        <v>5546.3511623365266</v>
      </c>
      <c r="AL136" s="143" t="e">
        <f>(ATANH(alpha*Tabella34[[#This Row],[sel. region cumul. fit]]/Kl-(1-alpha*Tabella34[[#This Row],[sel. region cumul. fit]]/Kl)*TANH(phi_l))+phi_l)/psi_l-(Tabella34[[#This Row],[Day]]-pl)</f>
        <v>#NUM!</v>
      </c>
      <c r="AM136" s="77">
        <f>Tabella34[[#This Row],[sel. region cumul. fit]]/Kl</f>
        <v>0.61832231464175325</v>
      </c>
      <c r="AN136" s="143">
        <f>Tabella3[[#This Row],[region fit]]</f>
        <v>125.45817097013882</v>
      </c>
      <c r="AO136" s="186">
        <f>Tabella34[[#This Row],[sel. region velocity]]/Tabella34[[#This Row],[sel. region cumul. fit]]</f>
        <v>2.2619947294733989E-2</v>
      </c>
      <c r="AP136" s="241">
        <f>(LN(Tabella34[[#This Row],[Day]]-pr)-phi_r)/psi_r</f>
        <v>98.460432913667717</v>
      </c>
      <c r="AQ136" s="244">
        <f>EXP(phi_r+psi_r*Tabella34[[#This Row],[x_r_alpha©+plus]])-(Tabella34[[#This Row],[Day]]-pr)</f>
        <v>-50.062065276876197</v>
      </c>
      <c r="AR136" s="244">
        <f>EXP(phi_r+psi_r*Tabella34[[#This Row],[x_r_alpha©-minus]])-(Tabella34[[#This Row],[Day]]-pr)</f>
        <v>-50.738047295886815</v>
      </c>
      <c r="AS136" s="244">
        <f>-psi_r+SQRT(psi_r^2-2*Tabella34[[#This Row],[c_r]])</f>
        <v>3.5509098750229833</v>
      </c>
      <c r="AT136" s="244">
        <f>-psi_r-SQRT(psi_r^2-2*Tabella34[[#This Row],[c_r]])</f>
        <v>-3.6073181134416443</v>
      </c>
      <c r="AU136" s="244">
        <f>phi_r-LN(alpha*Kr/(Tabella34[[#This Row],[sel. region velocity]]*psi_r*SQRTPI(2)))</f>
        <v>-6.4046307556846065</v>
      </c>
      <c r="AV136" s="244">
        <f>(ACOSH(SQRT(alpha*Kl*psi_l/(Tabella34[[#This Row],[sel. region velocity]]*(1+TANH(phi_l)))))+phi_l)/psi_l-(Tabella34[[#This Row],[Day]]-pl)</f>
        <v>22.605346150211773</v>
      </c>
      <c r="AW136" s="72">
        <f>-2*$BY$22*TANH($BY$22*(Tabella34[[#This Row],[Day]]-$BY$31)-$BY$21)*Tabella34[[#This Row],[sel. region velocity]]</f>
        <v>-2.1178493440813924</v>
      </c>
      <c r="AX136" s="77">
        <f>Tabella34[[#This Row],[sel. region acc. fit]]/y_l_peak</f>
        <v>-1.5369088930290306E-2</v>
      </c>
      <c r="AY136" s="143">
        <f>Tabella34[[#This Row],[sel. region acc. fit]]*NOT(ISBLANK(Tabella34[[#This Row],[selected region rate data]]))</f>
        <v>-2.1178493440813924</v>
      </c>
      <c r="AZ136" s="77">
        <f>Tabella34[[#This Row],[sel. region acc. fit]]+CIl</f>
        <v>51.646991065467063</v>
      </c>
      <c r="BA136" s="77">
        <f>MAX(Tabella34[[#This Row],[sel. region acc. fit]]-CIl,0)</f>
        <v>0</v>
      </c>
      <c r="BB136" s="10">
        <f>Tabella8[[#This Row],[rest of Italy ]]</f>
        <v>123677</v>
      </c>
      <c r="BC136" s="10">
        <f>(Tabella34[[#This Row],[rest of Italy cum. Data]]-BB135)</f>
        <v>2840</v>
      </c>
      <c r="BD136" s="10">
        <f>Tabella34[[#This Row],[rest of Italy rate data]]-BC135</f>
        <v>-313</v>
      </c>
      <c r="BE136" s="77">
        <f>Tabella34[[#This Row],[rest of Italy rate data]]*NOT(ISBLANK(Tabella34[[#This Row],[rest of Italy rate data]]))</f>
        <v>2840</v>
      </c>
      <c r="BF136" s="77">
        <f>Tabella8[[#This Row],[rest of Italy fit]]</f>
        <v>121870.12314198462</v>
      </c>
      <c r="BG136" s="78" t="e">
        <f>(ATANH(alpha*Tabella34[[#This Row],[rest of Italy cumul. fit]]/Ka-(1-alpha*Tabella34[[#This Row],[rest of Italy cumul. fit]]/Ka)*TANH(phi_a))+phi_a)/psi_a-(Tabella34[[#This Row],[Day]]-pa)</f>
        <v>#NUM!</v>
      </c>
      <c r="BH136" s="77">
        <f>Tabella34[[#This Row],[rest of Italy cumul. fit]]/Ka</f>
        <v>0.56413518095627746</v>
      </c>
      <c r="BI136" s="143">
        <f>Tabella3[[#This Row],[rest of Italy fit]]</f>
        <v>2754.700314478182</v>
      </c>
      <c r="BJ136" s="183">
        <f>Tabella34[[#This Row],[rest of Italy velocity]]/Tabella34[[#This Row],[rest of Italy cumul. fit]]</f>
        <v>2.2603573734547081E-2</v>
      </c>
      <c r="BK136" s="236">
        <f>(LN(Tabella34[[#This Row],[Day]]-po)-phi_o)/psi_o</f>
        <v>115.23568767943841</v>
      </c>
      <c r="BL136" s="244">
        <f>EXP(phi_o+psi_o*Tabella34[[#This Row],[x_o_alpha©+plus]])-(Tabella34[[#This Row],[Day]]-po)</f>
        <v>-55.461658123164078</v>
      </c>
      <c r="BM136" s="244">
        <f>EXP(phi_o+psi_o*Tabella34[[#This Row],[x_o_alpha©-minus]])-(Tabella34[[#This Row],[Day]]-po)</f>
        <v>-56.088119643665721</v>
      </c>
      <c r="BN136" s="244">
        <f>-psi_o+SQRT(psi_o^2-2*Tabella34[[#This Row],[c_o]])</f>
        <v>3.6051685688909134</v>
      </c>
      <c r="BO136" s="244">
        <f>-psi_o-SQRT(psi_o^2-2*Tabella34[[#This Row],[c_o]])</f>
        <v>-3.6541956544605427</v>
      </c>
      <c r="BP136" s="244">
        <f>phi_o-LN(alpha*Ko/(Tabella34[[#This Row],[rest of Italy velocity]]*psi_o*SQRTPI(2)))</f>
        <v>-6.5869956590194549</v>
      </c>
      <c r="BQ136" s="244">
        <f>(ACOSH(SQRT(alpha*Ka*psi_a/(Tabella34[[#This Row],[rest of Italy velocity]]*(1+TANH(phi_a)))))+phi_a)/psi_a-(Tabella34[[#This Row],[Day]]-pa)</f>
        <v>29.052477825674771</v>
      </c>
      <c r="BR136" s="72">
        <f>-2*$BY$35*TANH($BY$35*(Tabella34[[#This Row],[Day]]-$BY$44)-$BY$34)*Tabella34[[#This Row],[rest of Italy velocity]]</f>
        <v>-26.12569529893209</v>
      </c>
      <c r="BS136" s="77">
        <f>Tabella34[[#This Row],[rest of Italy acc. fit]]/y_a_peak</f>
        <v>-9.1291407459638783E-3</v>
      </c>
      <c r="BT136" s="121">
        <f>Tabella34[[#This Row],[rest of Italy acc. fit]]*NOT(ISBLANK(Tabella34[[#This Row],[rest of Italy rate data]]))</f>
        <v>-26.12569529893209</v>
      </c>
      <c r="BU136" s="77">
        <f>Tabella34[[#This Row],[rest of Italy acc. fit]]+CIa</f>
        <v>1668.4484996106507</v>
      </c>
      <c r="BV136" s="77">
        <f>MAX(Tabella34[[#This Row],[rest of Italy acc. fit]]-CIa,0)</f>
        <v>0</v>
      </c>
    </row>
    <row r="137" spans="2:74" x14ac:dyDescent="0.3">
      <c r="B137" s="262">
        <v>43960</v>
      </c>
      <c r="C137" s="4">
        <v>130</v>
      </c>
      <c r="D137" s="10">
        <f>Tabella8[[#This Row],[Italy cumulative]]</f>
        <v>133426</v>
      </c>
      <c r="E137" s="72">
        <f>(Tabella34[[#This Row],[Italy cumul. data]]-D136)</f>
        <v>4202</v>
      </c>
      <c r="F137" s="72">
        <f>Tabella34[[#This Row],[Italy rate data]]-E136</f>
        <v>1212</v>
      </c>
      <c r="G137" s="121">
        <f>Tabella34[[#This Row],[Italy rate data]]*NOT(ISBLANK(Tabella34[[#This Row],[Italy rate data]]))</f>
        <v>4202</v>
      </c>
      <c r="H137" s="143">
        <f>Tabella8[[#This Row],[Italy fit]]</f>
        <v>130308.59213740559</v>
      </c>
      <c r="I137" s="143" t="e">
        <f>(ATANH(alpha*Tabella34[[#This Row],[Italy cumul. Fit]]/Kf-(1-alpha*Tabella34[[#This Row],[Italy cumul. Fit]]/Kf)*TANH(phi_f))+phi_f)/psi_f-(Tabella34[[#This Row],[Day]]-pf)</f>
        <v>#NUM!</v>
      </c>
      <c r="J137" s="143" t="e">
        <f>Tabella34[[#This Row],[Italy d.t.]]/Italy_dt_at_lockdown</f>
        <v>#NUM!</v>
      </c>
      <c r="K137" s="77">
        <f>Tabella34[[#This Row],[Italy cumul. Fit]]/Kf</f>
        <v>0.57914929838846929</v>
      </c>
      <c r="L137" s="146">
        <f>Tabella34[[#This Row],[sel. region acc. fit]]+Tabella34[[#This Row],[rest of Italy acc. fit]]</f>
        <v>-31.261452413451185</v>
      </c>
      <c r="M137" s="77">
        <f>Tabella34[[#This Row],[Italy (fit of selected region + fitted sum of the other regions)]]/(y_l_peak+y_a_peak)</f>
        <v>-1.0421906560856458E-2</v>
      </c>
      <c r="N137" s="143">
        <f>Tabella3[[#This Row],[Italy remov. rate fit]]</f>
        <v>2855.0080902506706</v>
      </c>
      <c r="O137" s="143">
        <f>Kt*EXP(-0.5*Tabella34[[#This Row],[x_t]]^2)/(psi_t*SQRTPI(2)*(Tabella34[[#This Row],[Day]]-D_bk))</f>
        <v>0</v>
      </c>
      <c r="P137" s="183">
        <f>Tabella34[[#This Row],[Italy velocity]]/Tabella34[[#This Row],[Italy cumul. Fit]]</f>
        <v>2.1909592018615091E-2</v>
      </c>
      <c r="Q137" s="244">
        <f>(LN(Tabella34[[#This Row],[Day]]-D_bk)-phi_t)/psi_t</f>
        <v>114.82913653320915</v>
      </c>
      <c r="R137" s="244">
        <f>EXP(phi_t+psi_t*Tabella34[[#This Row],[x_t_alpha©+plus]])-(Tabella34[[#This Row],[Day]]-D_bk)</f>
        <v>-56.29802954934118</v>
      </c>
      <c r="S137" s="244">
        <f>EXP(phi_t+psi_t*Tabella34[[#This Row],[x_t_alpha©-minus]])-(Tabella34[[#This Row],[Day]]-D_bk)</f>
        <v>-56.930931005826203</v>
      </c>
      <c r="T137" s="244">
        <f>-psi_t+SQRT(psi_t^2-2*Tabella34[[#This Row],[c_t]])</f>
        <v>3.603406356618859</v>
      </c>
      <c r="U137" s="244">
        <f>-psi_t-SQRT(psi_t^2-2*Tabella34[[#This Row],[c_t]])</f>
        <v>-3.6527990910386641</v>
      </c>
      <c r="V137" s="244">
        <f>phi_t-LN(alpha*Kt/(Tabella34[[#This Row],[Italy velocity]]*psi_t*SQRTPI(2)))</f>
        <v>-6.5812597320501558</v>
      </c>
      <c r="W137" s="244">
        <f>Tabella34[[#This Row],[Italy g.r.]]/Italy_gr_at_lockdown</f>
        <v>2.471933108432401E-2</v>
      </c>
      <c r="X137" s="244">
        <f>(ACOSH(SQRT(alpha*Kf*psi_f/(Tabella34[[#This Row],[Italy velocity]]*(1+TANH(phi_f)))))+phi_f)/psi_f-(Tabella34[[#This Row],[Day]]-pf)</f>
        <v>28.010404290534524</v>
      </c>
      <c r="Y137" s="244">
        <f>Tabella34[[#This Row],[Italy h.t.]]/Italy_ht_at_lockdown</f>
        <v>0.24229697577067499</v>
      </c>
      <c r="Z137" s="72">
        <f>-2*$BY$48*TANH($BY$48*(Tabella34[[#This Row],[Day]]-$BY$57)-$BY$47)*Tabella34[[#This Row],[Italy velocity]]</f>
        <v>-31.144078790100281</v>
      </c>
      <c r="AA137" s="72">
        <f>Tabella34[[#This Row],[Italy acc. fit]]/Itali_acc_at_lockdown</f>
        <v>-0.86251214846584701</v>
      </c>
      <c r="AB137" s="77">
        <f>Tabella34[[#This Row],[Italy acc. fit]]/y_f_peak</f>
        <v>-1.0376496450076165E-2</v>
      </c>
      <c r="AC137" s="143">
        <f>Tabella34[[#This Row],[Italy (fit of selected region + fitted sum of the other regions)]]*NOT(ISBLANK(Tabella34[[#This Row],[Italy rate data]]))</f>
        <v>-31.261452413451185</v>
      </c>
      <c r="AD137" s="143">
        <f>Tabella34[[#This Row],[Italy acc. fit]]*NOT(ISBLANK(Tabella34[[#This Row],[Italy rate data]]))</f>
        <v>-31.144078790100281</v>
      </c>
      <c r="AE137" s="77">
        <f>Tabella34[[#This Row],[Italy acc. fit]]+CIf</f>
        <v>1684.4707805444509</v>
      </c>
      <c r="AF137" s="77">
        <f>MAX(Tabella34[[#This Row],[Italy acc. fit]]-CIf,0)</f>
        <v>0</v>
      </c>
      <c r="AG137" s="4">
        <f>Tabella8[[#This Row],[region data]]</f>
        <v>5756</v>
      </c>
      <c r="AH137" s="72">
        <f>(Tabella34[[#This Row],[selected region cumul. data]]-AG136)</f>
        <v>209</v>
      </c>
      <c r="AI137" s="72">
        <f>Tabella34[[#This Row],[selected region rate data]]-AH136</f>
        <v>59</v>
      </c>
      <c r="AJ137" s="121">
        <f>Tabella34[[#This Row],[selected region rate data]]*NOT(ISBLANK(Tabella34[[#This Row],[selected region rate data]]))</f>
        <v>209</v>
      </c>
      <c r="AK137" s="77">
        <f>Tabella8[[#This Row],[region fit]]</f>
        <v>5670.726570335326</v>
      </c>
      <c r="AL137" s="143" t="e">
        <f>(ATANH(alpha*Tabella34[[#This Row],[sel. region cumul. fit]]/Kl-(1-alpha*Tabella34[[#This Row],[sel. region cumul. fit]]/Kl)*TANH(phi_l))+phi_l)/psi_l-(Tabella34[[#This Row],[Day]]-pl)</f>
        <v>#NUM!</v>
      </c>
      <c r="AM137" s="77">
        <f>Tabella34[[#This Row],[sel. region cumul. fit]]/Kl</f>
        <v>0.63218802344875424</v>
      </c>
      <c r="AN137" s="143">
        <f>Tabella3[[#This Row],[region fit]]</f>
        <v>123.26930054077478</v>
      </c>
      <c r="AO137" s="186">
        <f>Tabella34[[#This Row],[sel. region velocity]]/Tabella34[[#This Row],[sel. region cumul. fit]]</f>
        <v>2.1737831830160967E-2</v>
      </c>
      <c r="AP137" s="241">
        <f>(LN(Tabella34[[#This Row],[Day]]-pr)-phi_r)/psi_r</f>
        <v>99.113898379466576</v>
      </c>
      <c r="AQ137" s="244">
        <f>EXP(phi_r+psi_r*Tabella34[[#This Row],[x_r_alpha©+plus]])-(Tabella34[[#This Row],[Day]]-pr)</f>
        <v>-51.06155273837598</v>
      </c>
      <c r="AR137" s="244">
        <f>EXP(phi_r+psi_r*Tabella34[[#This Row],[x_r_alpha©-minus]])-(Tabella34[[#This Row],[Day]]-pr)</f>
        <v>-51.738466075881981</v>
      </c>
      <c r="AS137" s="244">
        <f>-psi_r+SQRT(psi_r^2-2*Tabella34[[#This Row],[c_r]])</f>
        <v>3.5558242005685448</v>
      </c>
      <c r="AT137" s="244">
        <f>-psi_r-SQRT(psi_r^2-2*Tabella34[[#This Row],[c_r]])</f>
        <v>-3.6122324389872058</v>
      </c>
      <c r="AU137" s="244">
        <f>phi_r-LN(alpha*Kr/(Tabella34[[#This Row],[sel. region velocity]]*psi_r*SQRTPI(2)))</f>
        <v>-6.4222317623147225</v>
      </c>
      <c r="AV137" s="244">
        <f>(ACOSH(SQRT(alpha*Kl*psi_l/(Tabella34[[#This Row],[sel. region velocity]]*(1+TANH(phi_l)))))+phi_l)/psi_l-(Tabella34[[#This Row],[Day]]-pl)</f>
        <v>22.026563038336732</v>
      </c>
      <c r="AW137" s="72">
        <f>-2*$BY$22*TANH($BY$22*(Tabella34[[#This Row],[Day]]-$BY$31)-$BY$21)*Tabella34[[#This Row],[sel. region velocity]]</f>
        <v>-2.2579091110150622</v>
      </c>
      <c r="AX137" s="77">
        <f>Tabella34[[#This Row],[sel. region acc. fit]]/y_l_peak</f>
        <v>-1.6385493151664696E-2</v>
      </c>
      <c r="AY137" s="143">
        <f>Tabella34[[#This Row],[sel. region acc. fit]]*NOT(ISBLANK(Tabella34[[#This Row],[selected region rate data]]))</f>
        <v>-2.2579091110150622</v>
      </c>
      <c r="AZ137" s="77">
        <f>Tabella34[[#This Row],[sel. region acc. fit]]+CIl</f>
        <v>51.506931298533395</v>
      </c>
      <c r="BA137" s="77">
        <f>MAX(Tabella34[[#This Row],[sel. region acc. fit]]-CIl,0)</f>
        <v>0</v>
      </c>
      <c r="BB137" s="10">
        <f>Tabella8[[#This Row],[rest of Italy ]]</f>
        <v>127670</v>
      </c>
      <c r="BC137" s="10">
        <f>(Tabella34[[#This Row],[rest of Italy cum. Data]]-BB136)</f>
        <v>3993</v>
      </c>
      <c r="BD137" s="10">
        <f>Tabella34[[#This Row],[rest of Italy rate data]]-BC136</f>
        <v>1153</v>
      </c>
      <c r="BE137" s="77">
        <f>Tabella34[[#This Row],[rest of Italy rate data]]*NOT(ISBLANK(Tabella34[[#This Row],[rest of Italy rate data]]))</f>
        <v>3993</v>
      </c>
      <c r="BF137" s="77">
        <f>Tabella8[[#This Row],[rest of Italy fit]]</f>
        <v>124611.27580857338</v>
      </c>
      <c r="BG137" s="78" t="e">
        <f>(ATANH(alpha*Tabella34[[#This Row],[rest of Italy cumul. fit]]/Ka-(1-alpha*Tabella34[[#This Row],[rest of Italy cumul. fit]]/Ka)*TANH(phi_a))+phi_a)/psi_a-(Tabella34[[#This Row],[Day]]-pa)</f>
        <v>#NUM!</v>
      </c>
      <c r="BH137" s="77">
        <f>Tabella34[[#This Row],[rest of Italy cumul. fit]]/Ka</f>
        <v>0.57682394023317773</v>
      </c>
      <c r="BI137" s="143">
        <f>Tabella3[[#This Row],[rest of Italy fit]]</f>
        <v>2727.1253466854846</v>
      </c>
      <c r="BJ137" s="183">
        <f>Tabella34[[#This Row],[rest of Italy velocity]]/Tabella34[[#This Row],[rest of Italy cumul. fit]]</f>
        <v>2.188506079397556E-2</v>
      </c>
      <c r="BK137" s="236">
        <f>(LN(Tabella34[[#This Row],[Day]]-po)-phi_o)/psi_o</f>
        <v>115.91782179513132</v>
      </c>
      <c r="BL137" s="244">
        <f>EXP(phi_o+psi_o*Tabella34[[#This Row],[x_o_alpha©+plus]])-(Tabella34[[#This Row],[Day]]-po)</f>
        <v>-56.461397106185835</v>
      </c>
      <c r="BM137" s="244">
        <f>EXP(phi_o+psi_o*Tabella34[[#This Row],[x_o_alpha©-minus]])-(Tabella34[[#This Row],[Day]]-po)</f>
        <v>-57.088338095335878</v>
      </c>
      <c r="BN137" s="244">
        <f>-psi_o+SQRT(psi_o^2-2*Tabella34[[#This Row],[c_o]])</f>
        <v>3.607939266535269</v>
      </c>
      <c r="BO137" s="244">
        <f>-psi_o-SQRT(psi_o^2-2*Tabella34[[#This Row],[c_o]])</f>
        <v>-3.6569663521048983</v>
      </c>
      <c r="BP137" s="244">
        <f>phi_o-LN(alpha*Ko/(Tabella34[[#This Row],[rest of Italy velocity]]*psi_o*SQRTPI(2)))</f>
        <v>-6.5970562490787525</v>
      </c>
      <c r="BQ137" s="244">
        <f>(ACOSH(SQRT(alpha*Ka*psi_a/(Tabella34[[#This Row],[rest of Italy velocity]]*(1+TANH(phi_a)))))+phi_a)/psi_a-(Tabella34[[#This Row],[Day]]-pa)</f>
        <v>28.3367394582109</v>
      </c>
      <c r="BR137" s="72">
        <f>-2*$BY$35*TANH($BY$35*(Tabella34[[#This Row],[Day]]-$BY$44)-$BY$34)*Tabella34[[#This Row],[rest of Italy velocity]]</f>
        <v>-29.003543302436121</v>
      </c>
      <c r="BS137" s="77">
        <f>Tabella34[[#This Row],[rest of Italy acc. fit]]/y_a_peak</f>
        <v>-1.0134751473979731E-2</v>
      </c>
      <c r="BT137" s="121">
        <f>Tabella34[[#This Row],[rest of Italy acc. fit]]*NOT(ISBLANK(Tabella34[[#This Row],[rest of Italy rate data]]))</f>
        <v>-29.003543302436121</v>
      </c>
      <c r="BU137" s="77">
        <f>Tabella34[[#This Row],[rest of Italy acc. fit]]+CIa</f>
        <v>1665.5706516071466</v>
      </c>
      <c r="BV137" s="77">
        <f>MAX(Tabella34[[#This Row],[rest of Italy acc. fit]]-CIa,0)</f>
        <v>0</v>
      </c>
    </row>
    <row r="138" spans="2:74" x14ac:dyDescent="0.3">
      <c r="B138" s="262">
        <v>43961</v>
      </c>
      <c r="C138" s="4">
        <v>131</v>
      </c>
      <c r="D138" s="10">
        <f>Tabella8[[#This Row],[Italy cumulative]]</f>
        <v>135746</v>
      </c>
      <c r="E138" s="72">
        <f>(Tabella34[[#This Row],[Italy cumul. data]]-D137)</f>
        <v>2320</v>
      </c>
      <c r="F138" s="72">
        <f>Tabella34[[#This Row],[Italy rate data]]-E137</f>
        <v>-1882</v>
      </c>
      <c r="G138" s="121">
        <f>Tabella34[[#This Row],[Italy rate data]]*NOT(ISBLANK(Tabella34[[#This Row],[Italy rate data]]))</f>
        <v>2320</v>
      </c>
      <c r="H138" s="143">
        <f>Tabella8[[#This Row],[Italy fit]]</f>
        <v>133147.5386484114</v>
      </c>
      <c r="I138" s="143" t="e">
        <f>(ATANH(alpha*Tabella34[[#This Row],[Italy cumul. Fit]]/Kf-(1-alpha*Tabella34[[#This Row],[Italy cumul. Fit]]/Kf)*TANH(phi_f))+phi_f)/psi_f-(Tabella34[[#This Row],[Day]]-pf)</f>
        <v>#NUM!</v>
      </c>
      <c r="J138" s="143" t="e">
        <f>Tabella34[[#This Row],[Italy d.t.]]/Italy_dt_at_lockdown</f>
        <v>#NUM!</v>
      </c>
      <c r="K138" s="77">
        <f>Tabella34[[#This Row],[Italy cumul. Fit]]/Kf</f>
        <v>0.59176683843738398</v>
      </c>
      <c r="L138" s="146">
        <f>Tabella34[[#This Row],[sel. region acc. fit]]+Tabella34[[#This Row],[rest of Italy acc. fit]]</f>
        <v>-34.13778679028033</v>
      </c>
      <c r="M138" s="77">
        <f>Tabella34[[#This Row],[Italy (fit of selected region + fitted sum of the other regions)]]/(y_l_peak+y_a_peak)</f>
        <v>-1.1380815562160383E-2</v>
      </c>
      <c r="N138" s="143">
        <f>Tabella3[[#This Row],[Italy remov. rate fit]]</f>
        <v>2822.4014394828178</v>
      </c>
      <c r="O138" s="143">
        <f>Kt*EXP(-0.5*Tabella34[[#This Row],[x_t]]^2)/(psi_t*SQRTPI(2)*(Tabella34[[#This Row],[Day]]-D_bk))</f>
        <v>0</v>
      </c>
      <c r="P138" s="183">
        <f>Tabella34[[#This Row],[Italy velocity]]/Tabella34[[#This Row],[Italy cumul. Fit]]</f>
        <v>2.1197548735284052E-2</v>
      </c>
      <c r="Q138" s="244">
        <f>(LN(Tabella34[[#This Row],[Day]]-D_bk)-phi_t)/psi_t</f>
        <v>115.49671928545813</v>
      </c>
      <c r="R138" s="244">
        <f>EXP(phi_t+psi_t*Tabella34[[#This Row],[x_t_alpha©+plus]])-(Tabella34[[#This Row],[Day]]-D_bk)</f>
        <v>-57.297728042242298</v>
      </c>
      <c r="S138" s="244">
        <f>EXP(phi_t+psi_t*Tabella34[[#This Row],[x_t_alpha©-minus]])-(Tabella34[[#This Row],[Day]]-D_bk)</f>
        <v>-57.93118302709707</v>
      </c>
      <c r="T138" s="244">
        <f>-psi_t+SQRT(psi_t^2-2*Tabella34[[#This Row],[c_t]])</f>
        <v>3.6065709783026176</v>
      </c>
      <c r="U138" s="244">
        <f>-psi_t-SQRT(psi_t^2-2*Tabella34[[#This Row],[c_t]])</f>
        <v>-3.6559637127224227</v>
      </c>
      <c r="V138" s="244">
        <f>phi_t-LN(alpha*Kt/(Tabella34[[#This Row],[Italy velocity]]*psi_t*SQRTPI(2)))</f>
        <v>-6.5927463120160885</v>
      </c>
      <c r="W138" s="244">
        <f>Tabella34[[#This Row],[Italy g.r.]]/Italy_gr_at_lockdown</f>
        <v>2.3915973648362877E-2</v>
      </c>
      <c r="X138" s="244">
        <f>(ACOSH(SQRT(alpha*Kf*psi_f/(Tabella34[[#This Row],[Italy velocity]]*(1+TANH(phi_f)))))+phi_f)/psi_f-(Tabella34[[#This Row],[Day]]-pf)</f>
        <v>27.330720372408138</v>
      </c>
      <c r="Y138" s="244">
        <f>Tabella34[[#This Row],[Italy h.t.]]/Italy_ht_at_lockdown</f>
        <v>0.23641754053890154</v>
      </c>
      <c r="Z138" s="72">
        <f>-2*$BY$48*TANH($BY$48*(Tabella34[[#This Row],[Day]]-$BY$57)-$BY$47)*Tabella34[[#This Row],[Italy velocity]]</f>
        <v>-34.044858913563623</v>
      </c>
      <c r="AA138" s="72">
        <f>Tabella34[[#This Row],[Italy acc. fit]]/Itali_acc_at_lockdown</f>
        <v>-0.94284710116673365</v>
      </c>
      <c r="AB138" s="77">
        <f>Tabella34[[#This Row],[Italy acc. fit]]/y_f_peak</f>
        <v>-1.1342970201200139E-2</v>
      </c>
      <c r="AC138" s="143">
        <f>Tabella34[[#This Row],[Italy (fit of selected region + fitted sum of the other regions)]]*NOT(ISBLANK(Tabella34[[#This Row],[Italy rate data]]))</f>
        <v>-34.13778679028033</v>
      </c>
      <c r="AD138" s="143">
        <f>Tabella34[[#This Row],[Italy acc. fit]]*NOT(ISBLANK(Tabella34[[#This Row],[Italy rate data]]))</f>
        <v>-34.044858913563623</v>
      </c>
      <c r="AE138" s="77">
        <f>Tabella34[[#This Row],[Italy acc. fit]]+CIf</f>
        <v>1681.5700004209878</v>
      </c>
      <c r="AF138" s="77">
        <f>MAX(Tabella34[[#This Row],[Italy acc. fit]]-CIf,0)</f>
        <v>0</v>
      </c>
      <c r="AG138" s="4">
        <f>Tabella8[[#This Row],[region data]]</f>
        <v>5888</v>
      </c>
      <c r="AH138" s="72">
        <f>(Tabella34[[#This Row],[selected region cumul. data]]-AG137)</f>
        <v>132</v>
      </c>
      <c r="AI138" s="72">
        <f>Tabella34[[#This Row],[selected region rate data]]-AH137</f>
        <v>-77</v>
      </c>
      <c r="AJ138" s="121">
        <f>Tabella34[[#This Row],[selected region rate data]]*NOT(ISBLANK(Tabella34[[#This Row],[selected region rate data]]))</f>
        <v>132</v>
      </c>
      <c r="AK138" s="77">
        <f>Tabella8[[#This Row],[region fit]]</f>
        <v>5792.8450768845623</v>
      </c>
      <c r="AL138" s="143" t="e">
        <f>(ATANH(alpha*Tabella34[[#This Row],[sel. region cumul. fit]]/Kl-(1-alpha*Tabella34[[#This Row],[sel. region cumul. fit]]/Kl)*TANH(phi_l))+phi_l)/psi_l-(Tabella34[[#This Row],[Day]]-pl)</f>
        <v>#NUM!</v>
      </c>
      <c r="AM138" s="77">
        <f>Tabella34[[#This Row],[sel. region cumul. fit]]/Kl</f>
        <v>0.64580212674298354</v>
      </c>
      <c r="AN138" s="143">
        <f>Tabella3[[#This Row],[region fit]]</f>
        <v>120.94638268479598</v>
      </c>
      <c r="AO138" s="186">
        <f>Tabella34[[#This Row],[sel. region velocity]]/Tabella34[[#This Row],[sel. region cumul. fit]]</f>
        <v>2.0878580573026804E-2</v>
      </c>
      <c r="AP138" s="241">
        <f>(LN(Tabella34[[#This Row],[Day]]-pr)-phi_r)/psi_r</f>
        <v>99.755537833300764</v>
      </c>
      <c r="AQ138" s="244">
        <f>EXP(phi_r+psi_r*Tabella34[[#This Row],[x_r_alpha©+plus]])-(Tabella34[[#This Row],[Day]]-pr)</f>
        <v>-52.060999469966291</v>
      </c>
      <c r="AR138" s="244">
        <f>EXP(phi_r+psi_r*Tabella34[[#This Row],[x_r_alpha©-minus]])-(Tabella34[[#This Row],[Day]]-pr)</f>
        <v>-52.738918004811921</v>
      </c>
      <c r="AS138" s="244">
        <f>-psi_r+SQRT(psi_r^2-2*Tabella34[[#This Row],[c_r]])</f>
        <v>3.5611282885634861</v>
      </c>
      <c r="AT138" s="244">
        <f>-psi_r-SQRT(psi_r^2-2*Tabella34[[#This Row],[c_r]])</f>
        <v>-3.6175365269821471</v>
      </c>
      <c r="AU138" s="244">
        <f>phi_r-LN(alpha*Kr/(Tabella34[[#This Row],[sel. region velocity]]*psi_r*SQRTPI(2)))</f>
        <v>-6.4412558305739154</v>
      </c>
      <c r="AV138" s="244">
        <f>(ACOSH(SQRT(alpha*Kl*psi_l/(Tabella34[[#This Row],[sel. region velocity]]*(1+TANH(phi_l)))))+phi_l)/psi_l-(Tabella34[[#This Row],[Day]]-pl)</f>
        <v>21.478477431106768</v>
      </c>
      <c r="AW138" s="72">
        <f>-2*$BY$22*TANH($BY$22*(Tabella34[[#This Row],[Day]]-$BY$31)-$BY$21)*Tabella34[[#This Row],[sel. region velocity]]</f>
        <v>-2.385883321763373</v>
      </c>
      <c r="AX138" s="77">
        <f>Tabella34[[#This Row],[sel. region acc. fit]]/y_l_peak</f>
        <v>-1.7314193312170028E-2</v>
      </c>
      <c r="AY138" s="143">
        <f>Tabella34[[#This Row],[sel. region acc. fit]]*NOT(ISBLANK(Tabella34[[#This Row],[selected region rate data]]))</f>
        <v>-2.385883321763373</v>
      </c>
      <c r="AZ138" s="77">
        <f>Tabella34[[#This Row],[sel. region acc. fit]]+CIl</f>
        <v>51.378957087785082</v>
      </c>
      <c r="BA138" s="77">
        <f>MAX(Tabella34[[#This Row],[sel. region acc. fit]]-CIl,0)</f>
        <v>0</v>
      </c>
      <c r="BB138" s="10">
        <f>Tabella8[[#This Row],[rest of Italy ]]</f>
        <v>129858</v>
      </c>
      <c r="BC138" s="10">
        <f>(Tabella34[[#This Row],[rest of Italy cum. Data]]-BB137)</f>
        <v>2188</v>
      </c>
      <c r="BD138" s="10">
        <f>Tabella34[[#This Row],[rest of Italy rate data]]-BC137</f>
        <v>-1805</v>
      </c>
      <c r="BE138" s="77">
        <f>Tabella34[[#This Row],[rest of Italy rate data]]*NOT(ISBLANK(Tabella34[[#This Row],[rest of Italy rate data]]))</f>
        <v>2188</v>
      </c>
      <c r="BF138" s="77">
        <f>Tabella8[[#This Row],[rest of Italy fit]]</f>
        <v>127323.43572749342</v>
      </c>
      <c r="BG138" s="78" t="e">
        <f>(ATANH(alpha*Tabella34[[#This Row],[rest of Italy cumul. fit]]/Ka-(1-alpha*Tabella34[[#This Row],[rest of Italy cumul. fit]]/Ka)*TANH(phi_a))+phi_a)/psi_a-(Tabella34[[#This Row],[Day]]-pa)</f>
        <v>#NUM!</v>
      </c>
      <c r="BH138" s="77">
        <f>Tabella34[[#This Row],[rest of Italy cumul. fit]]/Ka</f>
        <v>0.58937849246629359</v>
      </c>
      <c r="BI138" s="143">
        <f>Tabella3[[#This Row],[rest of Italy fit]]</f>
        <v>2696.7364037664474</v>
      </c>
      <c r="BJ138" s="183">
        <f>Tabella34[[#This Row],[rest of Italy velocity]]/Tabella34[[#This Row],[rest of Italy cumul. fit]]</f>
        <v>2.1180204479701543E-2</v>
      </c>
      <c r="BK138" s="236">
        <f>(LN(Tabella34[[#This Row],[Day]]-po)-phi_o)/psi_o</f>
        <v>116.58873693029564</v>
      </c>
      <c r="BL138" s="244">
        <f>EXP(phi_o+psi_o*Tabella34[[#This Row],[x_o_alpha©+plus]])-(Tabella34[[#This Row],[Day]]-po)</f>
        <v>-57.461106591541885</v>
      </c>
      <c r="BM138" s="244">
        <f>EXP(phi_o+psi_o*Tabella34[[#This Row],[x_o_alpha©-minus]])-(Tabella34[[#This Row],[Day]]-po)</f>
        <v>-58.088581199453699</v>
      </c>
      <c r="BN138" s="244">
        <f>-psi_o+SQRT(psi_o^2-2*Tabella34[[#This Row],[c_o]])</f>
        <v>3.6110228609041144</v>
      </c>
      <c r="BO138" s="244">
        <f>-psi_o-SQRT(psi_o^2-2*Tabella34[[#This Row],[c_o]])</f>
        <v>-3.6600499464737437</v>
      </c>
      <c r="BP138" s="244">
        <f>phi_o-LN(alpha*Ko/(Tabella34[[#This Row],[rest of Italy velocity]]*psi_o*SQRTPI(2)))</f>
        <v>-6.6082620143837838</v>
      </c>
      <c r="BQ138" s="244">
        <f>(ACOSH(SQRT(alpha*Ka*psi_a/(Tabella34[[#This Row],[rest of Italy velocity]]*(1+TANH(phi_a)))))+phi_a)/psi_a-(Tabella34[[#This Row],[Day]]-pa)</f>
        <v>27.651830739638044</v>
      </c>
      <c r="BR138" s="72">
        <f>-2*$BY$35*TANH($BY$35*(Tabella34[[#This Row],[Day]]-$BY$44)-$BY$34)*Tabella34[[#This Row],[rest of Italy velocity]]</f>
        <v>-31.751903468516961</v>
      </c>
      <c r="BS138" s="77">
        <f>Tabella34[[#This Row],[rest of Italy acc. fit]]/y_a_peak</f>
        <v>-1.109511507348088E-2</v>
      </c>
      <c r="BT138" s="121">
        <f>Tabella34[[#This Row],[rest of Italy acc. fit]]*NOT(ISBLANK(Tabella34[[#This Row],[rest of Italy rate data]]))</f>
        <v>-31.751903468516961</v>
      </c>
      <c r="BU138" s="77">
        <f>Tabella34[[#This Row],[rest of Italy acc. fit]]+CIa</f>
        <v>1662.8222914410658</v>
      </c>
      <c r="BV138" s="77">
        <f>MAX(Tabella34[[#This Row],[rest of Italy acc. fit]]-CIa,0)</f>
        <v>0</v>
      </c>
    </row>
    <row r="139" spans="2:74" x14ac:dyDescent="0.3">
      <c r="B139" s="262">
        <v>43962</v>
      </c>
      <c r="C139" s="4">
        <v>132</v>
      </c>
      <c r="D139" s="10">
        <f>Tabella8[[#This Row],[Italy cumulative]]</f>
        <v>137326</v>
      </c>
      <c r="E139" s="72">
        <f>(Tabella34[[#This Row],[Italy cumul. data]]-D138)</f>
        <v>1580</v>
      </c>
      <c r="F139" s="72">
        <f>Tabella34[[#This Row],[Italy rate data]]-E138</f>
        <v>-740</v>
      </c>
      <c r="G139" s="121">
        <f>Tabella34[[#This Row],[Italy rate data]]*NOT(ISBLANK(Tabella34[[#This Row],[Italy rate data]]))</f>
        <v>1580</v>
      </c>
      <c r="H139" s="143">
        <f>Tabella8[[#This Row],[Italy fit]]</f>
        <v>135952.45290117257</v>
      </c>
      <c r="I139" s="143" t="e">
        <f>(ATANH(alpha*Tabella34[[#This Row],[Italy cumul. Fit]]/Kf-(1-alpha*Tabella34[[#This Row],[Italy cumul. Fit]]/Kf)*TANH(phi_f))+phi_f)/psi_f-(Tabella34[[#This Row],[Day]]-pf)</f>
        <v>#NUM!</v>
      </c>
      <c r="J139" s="143" t="e">
        <f>Tabella34[[#This Row],[Italy d.t.]]/Italy_dt_at_lockdown</f>
        <v>#NUM!</v>
      </c>
      <c r="K139" s="77">
        <f>Tabella34[[#This Row],[Italy cumul. Fit]]/Kf</f>
        <v>0.60423312400521145</v>
      </c>
      <c r="L139" s="146">
        <f>Tabella34[[#This Row],[sel. region acc. fit]]+Tabella34[[#This Row],[rest of Italy acc. fit]]</f>
        <v>-36.862402495709524</v>
      </c>
      <c r="M139" s="77">
        <f>Tabella34[[#This Row],[Italy (fit of selected region + fitted sum of the other regions)]]/(y_l_peak+y_a_peak)</f>
        <v>-1.2289144769667292E-2</v>
      </c>
      <c r="N139" s="143">
        <f>Tabella3[[#This Row],[Italy remov. rate fit]]</f>
        <v>2786.9687674589477</v>
      </c>
      <c r="O139" s="143">
        <f>Kt*EXP(-0.5*Tabella34[[#This Row],[x_t]]^2)/(psi_t*SQRTPI(2)*(Tabella34[[#This Row],[Day]]-D_bk))</f>
        <v>0</v>
      </c>
      <c r="P139" s="183">
        <f>Tabella34[[#This Row],[Italy velocity]]/Tabella34[[#This Row],[Italy cumul. Fit]]</f>
        <v>2.0499584288375207E-2</v>
      </c>
      <c r="Q139" s="244">
        <f>(LN(Tabella34[[#This Row],[Day]]-D_bk)-phi_t)/psi_t</f>
        <v>116.15347396813542</v>
      </c>
      <c r="R139" s="244">
        <f>EXP(phi_t+psi_t*Tabella34[[#This Row],[x_t_alpha©+plus]])-(Tabella34[[#This Row],[Day]]-D_bk)</f>
        <v>-58.29739670457375</v>
      </c>
      <c r="S139" s="244">
        <f>EXP(phi_t+psi_t*Tabella34[[#This Row],[x_t_alpha©-minus]])-(Tabella34[[#This Row],[Day]]-D_bk)</f>
        <v>-58.931459937472205</v>
      </c>
      <c r="T139" s="244">
        <f>-psi_t+SQRT(psi_t^2-2*Tabella34[[#This Row],[c_t]])</f>
        <v>3.6100484167373743</v>
      </c>
      <c r="U139" s="244">
        <f>-psi_t-SQRT(psi_t^2-2*Tabella34[[#This Row],[c_t]])</f>
        <v>-3.6594411511571794</v>
      </c>
      <c r="V139" s="244">
        <f>phi_t-LN(alpha*Kt/(Tabella34[[#This Row],[Italy velocity]]*psi_t*SQRTPI(2)))</f>
        <v>-6.605379866939284</v>
      </c>
      <c r="W139" s="244">
        <f>Tabella34[[#This Row],[Italy g.r.]]/Italy_gr_at_lockdown</f>
        <v>2.3128500552854394E-2</v>
      </c>
      <c r="X139" s="244">
        <f>(ACOSH(SQRT(alpha*Kf*psi_f/(Tabella34[[#This Row],[Italy velocity]]*(1+TANH(phi_f)))))+phi_f)/psi_f-(Tabella34[[#This Row],[Day]]-pf)</f>
        <v>26.681142208383093</v>
      </c>
      <c r="Y139" s="244">
        <f>Tabella34[[#This Row],[Italy h.t.]]/Italy_ht_at_lockdown</f>
        <v>0.2307985275808086</v>
      </c>
      <c r="Z139" s="72">
        <f>-2*$BY$48*TANH($BY$48*(Tabella34[[#This Row],[Day]]-$BY$57)-$BY$47)*Tabella34[[#This Row],[Italy velocity]]</f>
        <v>-36.794499765666522</v>
      </c>
      <c r="AA139" s="72">
        <f>Tabella34[[#This Row],[Italy acc. fit]]/Itali_acc_at_lockdown</f>
        <v>-1.0189963639155355</v>
      </c>
      <c r="AB139" s="77">
        <f>Tabella34[[#This Row],[Italy acc. fit]]/y_f_peak</f>
        <v>-1.2259087795594984E-2</v>
      </c>
      <c r="AC139" s="143">
        <f>Tabella34[[#This Row],[Italy (fit of selected region + fitted sum of the other regions)]]*NOT(ISBLANK(Tabella34[[#This Row],[Italy rate data]]))</f>
        <v>-36.862402495709524</v>
      </c>
      <c r="AD139" s="143">
        <f>Tabella34[[#This Row],[Italy acc. fit]]*NOT(ISBLANK(Tabella34[[#This Row],[Italy rate data]]))</f>
        <v>-36.794499765666522</v>
      </c>
      <c r="AE139" s="77">
        <f>Tabella34[[#This Row],[Italy acc. fit]]+CIf</f>
        <v>1678.8203595688847</v>
      </c>
      <c r="AF139" s="77">
        <f>MAX(Tabella34[[#This Row],[Italy acc. fit]]-CIf,0)</f>
        <v>0</v>
      </c>
      <c r="AG139" s="4">
        <f>Tabella8[[#This Row],[region data]]</f>
        <v>5988</v>
      </c>
      <c r="AH139" s="72">
        <f>(Tabella34[[#This Row],[selected region cumul. data]]-AG138)</f>
        <v>100</v>
      </c>
      <c r="AI139" s="72">
        <f>Tabella34[[#This Row],[selected region rate data]]-AH138</f>
        <v>-32</v>
      </c>
      <c r="AJ139" s="121">
        <f>Tabella34[[#This Row],[selected region rate data]]*NOT(ISBLANK(Tabella34[[#This Row],[selected region rate data]]))</f>
        <v>100</v>
      </c>
      <c r="AK139" s="77">
        <f>Tabella8[[#This Row],[region fit]]</f>
        <v>5912.5787329205805</v>
      </c>
      <c r="AL139" s="143" t="e">
        <f>(ATANH(alpha*Tabella34[[#This Row],[sel. region cumul. fit]]/Kl-(1-alpha*Tabella34[[#This Row],[sel. region cumul. fit]]/Kl)*TANH(phi_l))+phi_l)/psi_l-(Tabella34[[#This Row],[Day]]-pl)</f>
        <v>#NUM!</v>
      </c>
      <c r="AM139" s="77">
        <f>Tabella34[[#This Row],[sel. region cumul. fit]]/Kl</f>
        <v>0.65915036041478048</v>
      </c>
      <c r="AN139" s="143">
        <f>Tabella3[[#This Row],[region fit]]</f>
        <v>118.50166443832879</v>
      </c>
      <c r="AO139" s="186">
        <f>Tabella34[[#This Row],[sel. region velocity]]/Tabella34[[#This Row],[sel. region cumul. fit]]</f>
        <v>2.0042297919607346E-2</v>
      </c>
      <c r="AP139" s="241">
        <f>(LN(Tabella34[[#This Row],[Day]]-pr)-phi_r)/psi_r</f>
        <v>100.38577171717492</v>
      </c>
      <c r="AQ139" s="244">
        <f>EXP(phi_r+psi_r*Tabella34[[#This Row],[x_r_alpha©+plus]])-(Tabella34[[#This Row],[Day]]-pr)</f>
        <v>-53.060406411377542</v>
      </c>
      <c r="AR139" s="244">
        <f>EXP(phi_r+psi_r*Tabella34[[#This Row],[x_r_alpha©-minus]])-(Tabella34[[#This Row],[Day]]-pr)</f>
        <v>-53.739402285632089</v>
      </c>
      <c r="AS139" s="244">
        <f>-psi_r+SQRT(psi_r^2-2*Tabella34[[#This Row],[c_r]])</f>
        <v>3.5668129570944331</v>
      </c>
      <c r="AT139" s="244">
        <f>-psi_r-SQRT(psi_r^2-2*Tabella34[[#This Row],[c_r]])</f>
        <v>-3.6232211955130942</v>
      </c>
      <c r="AU139" s="244">
        <f>phi_r-LN(alpha*Kr/(Tabella34[[#This Row],[sel. region velocity]]*psi_r*SQRTPI(2)))</f>
        <v>-6.4616761532876428</v>
      </c>
      <c r="AV139" s="244">
        <f>(ACOSH(SQRT(alpha*Kl*psi_l/(Tabella34[[#This Row],[sel. region velocity]]*(1+TANH(phi_l)))))+phi_l)/psi_l-(Tabella34[[#This Row],[Day]]-pl)</f>
        <v>20.959835764727913</v>
      </c>
      <c r="AW139" s="72">
        <f>-2*$BY$22*TANH($BY$22*(Tabella34[[#This Row],[Day]]-$BY$31)-$BY$21)*Tabella34[[#This Row],[sel. region velocity]]</f>
        <v>-2.5014700671090577</v>
      </c>
      <c r="AX139" s="77">
        <f>Tabella34[[#This Row],[sel. region acc. fit]]/y_l_peak</f>
        <v>-1.8152998477110209E-2</v>
      </c>
      <c r="AY139" s="143">
        <f>Tabella34[[#This Row],[sel. region acc. fit]]*NOT(ISBLANK(Tabella34[[#This Row],[selected region rate data]]))</f>
        <v>-2.5014700671090577</v>
      </c>
      <c r="AZ139" s="77">
        <f>Tabella34[[#This Row],[sel. region acc. fit]]+CIl</f>
        <v>51.263370342439394</v>
      </c>
      <c r="BA139" s="77">
        <f>MAX(Tabella34[[#This Row],[sel. region acc. fit]]-CIl,0)</f>
        <v>0</v>
      </c>
      <c r="BB139" s="10">
        <f>Tabella8[[#This Row],[rest of Italy ]]</f>
        <v>131338</v>
      </c>
      <c r="BC139" s="10">
        <f>(Tabella34[[#This Row],[rest of Italy cum. Data]]-BB138)</f>
        <v>1480</v>
      </c>
      <c r="BD139" s="10">
        <f>Tabella34[[#This Row],[rest of Italy rate data]]-BC138</f>
        <v>-708</v>
      </c>
      <c r="BE139" s="77">
        <f>Tabella34[[#This Row],[rest of Italy rate data]]*NOT(ISBLANK(Tabella34[[#This Row],[rest of Italy rate data]]))</f>
        <v>1480</v>
      </c>
      <c r="BF139" s="77">
        <f>Tabella8[[#This Row],[rest of Italy fit]]</f>
        <v>130003.85535910711</v>
      </c>
      <c r="BG139" s="78" t="e">
        <f>(ATANH(alpha*Tabella34[[#This Row],[rest of Italy cumul. fit]]/Ka-(1-alpha*Tabella34[[#This Row],[rest of Italy cumul. fit]]/Ka)*TANH(phi_a))+phi_a)/psi_a-(Tabella34[[#This Row],[Day]]-pa)</f>
        <v>#NUM!</v>
      </c>
      <c r="BH139" s="77">
        <f>Tabella34[[#This Row],[rest of Italy cumul. fit]]/Ka</f>
        <v>0.60178611933114434</v>
      </c>
      <c r="BI139" s="143">
        <f>Tabella3[[#This Row],[rest of Italy fit]]</f>
        <v>2663.6679974253593</v>
      </c>
      <c r="BJ139" s="183">
        <f>Tabella34[[#This Row],[rest of Italy velocity]]/Tabella34[[#This Row],[rest of Italy cumul. fit]]</f>
        <v>2.0489146187761594E-2</v>
      </c>
      <c r="BK139" s="236">
        <f>(LN(Tabella34[[#This Row],[Day]]-po)-phi_o)/psi_o</f>
        <v>117.24879615613062</v>
      </c>
      <c r="BL139" s="244">
        <f>EXP(phi_o+psi_o*Tabella34[[#This Row],[x_o_alpha©+plus]])-(Tabella34[[#This Row],[Day]]-po)</f>
        <v>-58.460786977825954</v>
      </c>
      <c r="BM139" s="244">
        <f>EXP(phi_o+psi_o*Tabella34[[#This Row],[x_o_alpha©-minus]])-(Tabella34[[#This Row],[Day]]-po)</f>
        <v>-59.088848611368043</v>
      </c>
      <c r="BN139" s="244">
        <f>-psi_o+SQRT(psi_o^2-2*Tabella34[[#This Row],[c_o]])</f>
        <v>3.6144150507720796</v>
      </c>
      <c r="BO139" s="244">
        <f>-psi_o-SQRT(psi_o^2-2*Tabella34[[#This Row],[c_o]])</f>
        <v>-3.6634421363417089</v>
      </c>
      <c r="BP139" s="244">
        <f>phi_o-LN(alpha*Ko/(Tabella34[[#This Row],[rest of Italy velocity]]*psi_o*SQRTPI(2)))</f>
        <v>-6.6206001976130464</v>
      </c>
      <c r="BQ139" s="244">
        <f>(ACOSH(SQRT(alpha*Ka*psi_a/(Tabella34[[#This Row],[rest of Italy velocity]]*(1+TANH(phi_a)))))+phi_a)/psi_a-(Tabella34[[#This Row],[Day]]-pa)</f>
        <v>26.996950776620906</v>
      </c>
      <c r="BR139" s="72">
        <f>-2*$BY$35*TANH($BY$35*(Tabella34[[#This Row],[Day]]-$BY$44)-$BY$34)*Tabella34[[#This Row],[rest of Italy velocity]]</f>
        <v>-34.360932428600464</v>
      </c>
      <c r="BS139" s="77">
        <f>Tabella34[[#This Row],[rest of Italy acc. fit]]/y_a_peak</f>
        <v>-1.2006791961478256E-2</v>
      </c>
      <c r="BT139" s="121">
        <f>Tabella34[[#This Row],[rest of Italy acc. fit]]*NOT(ISBLANK(Tabella34[[#This Row],[rest of Italy rate data]]))</f>
        <v>-34.360932428600464</v>
      </c>
      <c r="BU139" s="77">
        <f>Tabella34[[#This Row],[rest of Italy acc. fit]]+CIa</f>
        <v>1660.2132624809822</v>
      </c>
      <c r="BV139" s="77">
        <f>MAX(Tabella34[[#This Row],[rest of Italy acc. fit]]-CIa,0)</f>
        <v>0</v>
      </c>
    </row>
    <row r="140" spans="2:74" x14ac:dyDescent="0.3">
      <c r="B140" s="262">
        <v>43963</v>
      </c>
      <c r="C140" s="4">
        <v>133</v>
      </c>
      <c r="D140" s="10">
        <f>Tabella8[[#This Row],[Italy cumulative]]</f>
        <v>139950</v>
      </c>
      <c r="E140" s="72">
        <f>(Tabella34[[#This Row],[Italy cumul. data]]-D139)</f>
        <v>2624</v>
      </c>
      <c r="F140" s="72">
        <f>Tabella34[[#This Row],[Italy rate data]]-E139</f>
        <v>1044</v>
      </c>
      <c r="G140" s="121">
        <f>Tabella34[[#This Row],[Italy rate data]]*NOT(ISBLANK(Tabella34[[#This Row],[Italy rate data]]))</f>
        <v>2624</v>
      </c>
      <c r="H140" s="143">
        <f>Tabella8[[#This Row],[Italy fit]]</f>
        <v>138720.58600779896</v>
      </c>
      <c r="I140" s="143" t="e">
        <f>(ATANH(alpha*Tabella34[[#This Row],[Italy cumul. Fit]]/Kf-(1-alpha*Tabella34[[#This Row],[Italy cumul. Fit]]/Kf)*TANH(phi_f))+phi_f)/psi_f-(Tabella34[[#This Row],[Day]]-pf)</f>
        <v>#NUM!</v>
      </c>
      <c r="J140" s="143" t="e">
        <f>Tabella34[[#This Row],[Italy d.t.]]/Italy_dt_at_lockdown</f>
        <v>#NUM!</v>
      </c>
      <c r="K140" s="77">
        <f>Tabella34[[#This Row],[Italy cumul. Fit]]/Kf</f>
        <v>0.61653593781243987</v>
      </c>
      <c r="L140" s="146">
        <f>Tabella34[[#This Row],[sel. region acc. fit]]+Tabella34[[#This Row],[rest of Italy acc. fit]]</f>
        <v>-39.426531291888693</v>
      </c>
      <c r="M140" s="77">
        <f>Tabella34[[#This Row],[Italy (fit of selected region + fitted sum of the other regions)]]/(y_l_peak+y_a_peak)</f>
        <v>-1.3143971038464777E-2</v>
      </c>
      <c r="N140" s="143">
        <f>Tabella3[[#This Row],[Italy remov. rate fit]]</f>
        <v>2748.8658466054785</v>
      </c>
      <c r="O140" s="143">
        <f>Kt*EXP(-0.5*Tabella34[[#This Row],[x_t]]^2)/(psi_t*SQRTPI(2)*(Tabella34[[#This Row],[Day]]-D_bk))</f>
        <v>0</v>
      </c>
      <c r="P140" s="183">
        <f>Tabella34[[#This Row],[Italy velocity]]/Tabella34[[#This Row],[Italy cumul. Fit]]</f>
        <v>1.9815846556840062E-2</v>
      </c>
      <c r="Q140" s="244">
        <f>(LN(Tabella34[[#This Row],[Day]]-D_bk)-phi_t)/psi_t</f>
        <v>116.79974624076125</v>
      </c>
      <c r="R140" s="244">
        <f>EXP(phi_t+psi_t*Tabella34[[#This Row],[x_t_alpha©+plus]])-(Tabella34[[#This Row],[Day]]-D_bk)</f>
        <v>-59.297035991140724</v>
      </c>
      <c r="S140" s="244">
        <f>EXP(phi_t+psi_t*Tabella34[[#This Row],[x_t_alpha©-minus]])-(Tabella34[[#This Row],[Day]]-D_bk)</f>
        <v>-59.931761344125107</v>
      </c>
      <c r="T140" s="244">
        <f>-psi_t+SQRT(psi_t^2-2*Tabella34[[#This Row],[c_t]])</f>
        <v>3.6138338187167731</v>
      </c>
      <c r="U140" s="244">
        <f>-psi_t-SQRT(psi_t^2-2*Tabella34[[#This Row],[c_t]])</f>
        <v>-3.6632265531365782</v>
      </c>
      <c r="V140" s="244">
        <f>phi_t-LN(alpha*Kt/(Tabella34[[#This Row],[Italy velocity]]*psi_t*SQRTPI(2)))</f>
        <v>-6.6191460016731209</v>
      </c>
      <c r="W140" s="244">
        <f>Tabella34[[#This Row],[Italy g.r.]]/Italy_gr_at_lockdown</f>
        <v>2.2357078641104425E-2</v>
      </c>
      <c r="X140" s="244">
        <f>(ACOSH(SQRT(alpha*Kf*psi_f/(Tabella34[[#This Row],[Italy velocity]]*(1+TANH(phi_f)))))+phi_f)/psi_f-(Tabella34[[#This Row],[Day]]-pf)</f>
        <v>26.060802512859368</v>
      </c>
      <c r="Y140" s="244">
        <f>Tabella34[[#This Row],[Italy h.t.]]/Italy_ht_at_lockdown</f>
        <v>0.22543243465987592</v>
      </c>
      <c r="Z140" s="72">
        <f>-2*$BY$48*TANH($BY$48*(Tabella34[[#This Row],[Day]]-$BY$57)-$BY$47)*Tabella34[[#This Row],[Italy velocity]]</f>
        <v>-39.383967864349884</v>
      </c>
      <c r="AA140" s="72">
        <f>Tabella34[[#This Row],[Italy acc. fit]]/Itali_acc_at_lockdown</f>
        <v>-1.0907097611308387</v>
      </c>
      <c r="AB140" s="77">
        <f>Tabella34[[#This Row],[Italy acc. fit]]/y_f_peak</f>
        <v>-1.3121839483152183E-2</v>
      </c>
      <c r="AC140" s="143">
        <f>Tabella34[[#This Row],[Italy (fit of selected region + fitted sum of the other regions)]]*NOT(ISBLANK(Tabella34[[#This Row],[Italy rate data]]))</f>
        <v>-39.426531291888693</v>
      </c>
      <c r="AD140" s="143">
        <f>Tabella34[[#This Row],[Italy acc. fit]]*NOT(ISBLANK(Tabella34[[#This Row],[Italy rate data]]))</f>
        <v>-39.383967864349884</v>
      </c>
      <c r="AE140" s="77">
        <f>Tabella34[[#This Row],[Italy acc. fit]]+CIf</f>
        <v>1676.2308914702014</v>
      </c>
      <c r="AF140" s="77">
        <f>MAX(Tabella34[[#This Row],[Italy acc. fit]]-CIf,0)</f>
        <v>0</v>
      </c>
      <c r="AG140" s="4">
        <f>Tabella8[[#This Row],[region data]]</f>
        <v>6084</v>
      </c>
      <c r="AH140" s="72">
        <f>(Tabella34[[#This Row],[selected region cumul. data]]-AG139)</f>
        <v>96</v>
      </c>
      <c r="AI140" s="72">
        <f>Tabella34[[#This Row],[selected region rate data]]-AH139</f>
        <v>-4</v>
      </c>
      <c r="AJ140" s="121">
        <f>Tabella34[[#This Row],[selected region rate data]]*NOT(ISBLANK(Tabella34[[#This Row],[selected region rate data]]))</f>
        <v>96</v>
      </c>
      <c r="AK140" s="77">
        <f>Tabella8[[#This Row],[region fit]]</f>
        <v>6029.8119664614005</v>
      </c>
      <c r="AL140" s="143" t="e">
        <f>(ATANH(alpha*Tabella34[[#This Row],[sel. region cumul. fit]]/Kl-(1-alpha*Tabella34[[#This Row],[sel. region cumul. fit]]/Kl)*TANH(phi_l))+phi_l)/psi_l-(Tabella34[[#This Row],[Day]]-pl)</f>
        <v>#NUM!</v>
      </c>
      <c r="AM140" s="77">
        <f>Tabella34[[#This Row],[sel. region cumul. fit]]/Kl</f>
        <v>0.67221984018521741</v>
      </c>
      <c r="AN140" s="143">
        <f>Tabella3[[#This Row],[region fit]]</f>
        <v>115.94763217163239</v>
      </c>
      <c r="AO140" s="186">
        <f>Tabella34[[#This Row],[sel. region velocity]]/Tabella34[[#This Row],[sel. region cumul. fit]]</f>
        <v>1.9229062666721322E-2</v>
      </c>
      <c r="AP140" s="241">
        <f>(LN(Tabella34[[#This Row],[Day]]-pr)-phi_r)/psi_r</f>
        <v>101.00499844261635</v>
      </c>
      <c r="AQ140" s="244">
        <f>EXP(phi_r+psi_r*Tabella34[[#This Row],[x_r_alpha©+plus]])-(Tabella34[[#This Row],[Day]]-pr)</f>
        <v>-54.059774549139142</v>
      </c>
      <c r="AR140" s="244">
        <f>EXP(phi_r+psi_r*Tabella34[[#This Row],[x_r_alpha©-minus]])-(Tabella34[[#This Row],[Day]]-pr)</f>
        <v>-54.739918081983411</v>
      </c>
      <c r="AS140" s="244">
        <f>-psi_r+SQRT(psi_r^2-2*Tabella34[[#This Row],[c_r]])</f>
        <v>3.5728685691573276</v>
      </c>
      <c r="AT140" s="244">
        <f>-psi_r-SQRT(psi_r^2-2*Tabella34[[#This Row],[c_r]])</f>
        <v>-3.6292768075759887</v>
      </c>
      <c r="AU140" s="244">
        <f>phi_r-LN(alpha*Kr/(Tabella34[[#This Row],[sel. region velocity]]*psi_r*SQRTPI(2)))</f>
        <v>-6.4834645172799483</v>
      </c>
      <c r="AV140" s="244">
        <f>(ACOSH(SQRT(alpha*Kl*psi_l/(Tabella34[[#This Row],[sel. region velocity]]*(1+TANH(phi_l)))))+phi_l)/psi_l-(Tabella34[[#This Row],[Day]]-pl)</f>
        <v>20.469372980457862</v>
      </c>
      <c r="AW140" s="72">
        <f>-2*$BY$22*TANH($BY$22*(Tabella34[[#This Row],[Day]]-$BY$31)-$BY$21)*Tabella34[[#This Row],[sel. region velocity]]</f>
        <v>-2.6044919481749416</v>
      </c>
      <c r="AX140" s="77">
        <f>Tabella34[[#This Row],[sel. region acc. fit]]/y_l_peak</f>
        <v>-1.8900621274875424E-2</v>
      </c>
      <c r="AY140" s="143">
        <f>Tabella34[[#This Row],[sel. region acc. fit]]*NOT(ISBLANK(Tabella34[[#This Row],[selected region rate data]]))</f>
        <v>-2.6044919481749416</v>
      </c>
      <c r="AZ140" s="77">
        <f>Tabella34[[#This Row],[sel. region acc. fit]]+CIl</f>
        <v>51.160348461373516</v>
      </c>
      <c r="BA140" s="77">
        <f>MAX(Tabella34[[#This Row],[sel. region acc. fit]]-CIl,0)</f>
        <v>0</v>
      </c>
      <c r="BB140" s="10">
        <f>Tabella8[[#This Row],[rest of Italy ]]</f>
        <v>133866</v>
      </c>
      <c r="BC140" s="10">
        <f>(Tabella34[[#This Row],[rest of Italy cum. Data]]-BB139)</f>
        <v>2528</v>
      </c>
      <c r="BD140" s="10">
        <f>Tabella34[[#This Row],[rest of Italy rate data]]-BC139</f>
        <v>1048</v>
      </c>
      <c r="BE140" s="77">
        <f>Tabella34[[#This Row],[rest of Italy rate data]]*NOT(ISBLANK(Tabella34[[#This Row],[rest of Italy rate data]]))</f>
        <v>2528</v>
      </c>
      <c r="BF140" s="77">
        <f>Tabella8[[#This Row],[rest of Italy fit]]</f>
        <v>132649.92639052818</v>
      </c>
      <c r="BG140" s="78" t="e">
        <f>(ATANH(alpha*Tabella34[[#This Row],[rest of Italy cumul. fit]]/Ka-(1-alpha*Tabella34[[#This Row],[rest of Italy cumul. fit]]/Ka)*TANH(phi_a))+phi_a)/psi_a-(Tabella34[[#This Row],[Day]]-pa)</f>
        <v>#NUM!</v>
      </c>
      <c r="BH140" s="77">
        <f>Tabella34[[#This Row],[rest of Italy cumul. fit]]/Ka</f>
        <v>0.61403474698203109</v>
      </c>
      <c r="BI140" s="143">
        <f>Tabella3[[#This Row],[rest of Italy fit]]</f>
        <v>2628.0638606537232</v>
      </c>
      <c r="BJ140" s="183">
        <f>Tabella34[[#This Row],[rest of Italy velocity]]/Tabella34[[#This Row],[rest of Italy cumul. fit]]</f>
        <v>1.9812026528507588E-2</v>
      </c>
      <c r="BK140" s="236">
        <f>(LN(Tabella34[[#This Row],[Day]]-po)-phi_o)/psi_o</f>
        <v>117.8983451994261</v>
      </c>
      <c r="BL140" s="244">
        <f>EXP(phi_o+psi_o*Tabella34[[#This Row],[x_o_alpha©+plus]])-(Tabella34[[#This Row],[Day]]-po)</f>
        <v>-59.460438698151073</v>
      </c>
      <c r="BM140" s="244">
        <f>EXP(phi_o+psi_o*Tabella34[[#This Row],[x_o_alpha©-minus]])-(Tabella34[[#This Row],[Day]]-po)</f>
        <v>-60.089139956665264</v>
      </c>
      <c r="BN140" s="244">
        <f>-psi_o+SQRT(psi_o^2-2*Tabella34[[#This Row],[c_o]])</f>
        <v>3.6181111629459188</v>
      </c>
      <c r="BO140" s="244">
        <f>-psi_o-SQRT(psi_o^2-2*Tabella34[[#This Row],[c_o]])</f>
        <v>-3.6671382485155481</v>
      </c>
      <c r="BP140" s="244">
        <f>phi_o-LN(alpha*Ko/(Tabella34[[#This Row],[rest of Italy velocity]]*psi_o*SQRTPI(2)))</f>
        <v>-6.6340569165100254</v>
      </c>
      <c r="BQ140" s="244">
        <f>(ACOSH(SQRT(alpha*Ka*psi_a/(Tabella34[[#This Row],[rest of Italy velocity]]*(1+TANH(phi_a)))))+phi_a)/psi_a-(Tabella34[[#This Row],[Day]]-pa)</f>
        <v>26.371252445228791</v>
      </c>
      <c r="BR140" s="72">
        <f>-2*$BY$35*TANH($BY$35*(Tabella34[[#This Row],[Day]]-$BY$44)-$BY$34)*Tabella34[[#This Row],[rest of Italy velocity]]</f>
        <v>-36.822039343713755</v>
      </c>
      <c r="BS140" s="77">
        <f>Tabella34[[#This Row],[rest of Italy acc. fit]]/y_a_peak</f>
        <v>-1.2866780228272923E-2</v>
      </c>
      <c r="BT140" s="121">
        <f>Tabella34[[#This Row],[rest of Italy acc. fit]]*NOT(ISBLANK(Tabella34[[#This Row],[rest of Italy rate data]]))</f>
        <v>-36.822039343713755</v>
      </c>
      <c r="BU140" s="77">
        <f>Tabella34[[#This Row],[rest of Italy acc. fit]]+CIa</f>
        <v>1657.7521555658691</v>
      </c>
      <c r="BV140" s="77">
        <f>MAX(Tabella34[[#This Row],[rest of Italy acc. fit]]-CIa,0)</f>
        <v>0</v>
      </c>
    </row>
    <row r="141" spans="2:74" x14ac:dyDescent="0.3">
      <c r="B141" s="262">
        <v>43964</v>
      </c>
      <c r="C141" s="4">
        <v>134</v>
      </c>
      <c r="D141" s="10">
        <f>Tabella8[[#This Row],[Italy cumulative]]</f>
        <v>143647</v>
      </c>
      <c r="E141" s="72">
        <f>(Tabella34[[#This Row],[Italy cumul. data]]-D140)</f>
        <v>3697</v>
      </c>
      <c r="F141" s="72">
        <f>Tabella34[[#This Row],[Italy rate data]]-E140</f>
        <v>1073</v>
      </c>
      <c r="G141" s="121">
        <f>Tabella34[[#This Row],[Italy rate data]]*NOT(ISBLANK(Tabella34[[#This Row],[Italy rate data]]))</f>
        <v>3697</v>
      </c>
      <c r="H141" s="143">
        <f>Tabella8[[#This Row],[Italy fit]]</f>
        <v>141449.34913524927</v>
      </c>
      <c r="I141" s="143" t="e">
        <f>(ATANH(alpha*Tabella34[[#This Row],[Italy cumul. Fit]]/Kf-(1-alpha*Tabella34[[#This Row],[Italy cumul. Fit]]/Kf)*TANH(phi_f))+phi_f)/psi_f-(Tabella34[[#This Row],[Day]]-pf)</f>
        <v>#NUM!</v>
      </c>
      <c r="J141" s="143" t="e">
        <f>Tabella34[[#This Row],[Italy d.t.]]/Italy_dt_at_lockdown</f>
        <v>#NUM!</v>
      </c>
      <c r="K141" s="77">
        <f>Tabella34[[#This Row],[Italy cumul. Fit]]/Kf</f>
        <v>0.62866377393444117</v>
      </c>
      <c r="L141" s="146">
        <f>Tabella34[[#This Row],[sel. region acc. fit]]+Tabella34[[#This Row],[rest of Italy acc. fit]]</f>
        <v>-41.822818167746426</v>
      </c>
      <c r="M141" s="77">
        <f>Tabella34[[#This Row],[Italy (fit of selected region + fitted sum of the other regions)]]/(y_l_peak+y_a_peak)</f>
        <v>-1.3942842363536359E-2</v>
      </c>
      <c r="N141" s="143">
        <f>Tabella3[[#This Row],[Italy remov. rate fit]]</f>
        <v>2708.2567784977473</v>
      </c>
      <c r="O141" s="143">
        <f>Kt*EXP(-0.5*Tabella34[[#This Row],[x_t]]^2)/(psi_t*SQRTPI(2)*(Tabella34[[#This Row],[Day]]-D_bk))</f>
        <v>0</v>
      </c>
      <c r="P141" s="183">
        <f>Tabella34[[#This Row],[Italy velocity]]/Tabella34[[#This Row],[Italy cumul. Fit]]</f>
        <v>1.9146477485083371E-2</v>
      </c>
      <c r="Q141" s="244">
        <f>(LN(Tabella34[[#This Row],[Day]]-D_bk)-phi_t)/psi_t</f>
        <v>117.43586547105679</v>
      </c>
      <c r="R141" s="244">
        <f>EXP(phi_t+psi_t*Tabella34[[#This Row],[x_t_alpha©+plus]])-(Tabella34[[#This Row],[Day]]-D_bk)</f>
        <v>-60.296646390230158</v>
      </c>
      <c r="S141" s="244">
        <f>EXP(phi_t+psi_t*Tabella34[[#This Row],[x_t_alpha©-minus]])-(Tabella34[[#This Row],[Day]]-D_bk)</f>
        <v>-60.932086825419013</v>
      </c>
      <c r="T141" s="244">
        <f>-psi_t+SQRT(psi_t^2-2*Tabella34[[#This Row],[c_t]])</f>
        <v>3.6179219744219679</v>
      </c>
      <c r="U141" s="244">
        <f>-psi_t-SQRT(psi_t^2-2*Tabella34[[#This Row],[c_t]])</f>
        <v>-3.667314708841773</v>
      </c>
      <c r="V141" s="244">
        <f>phi_t-LN(alpha*Kt/(Tabella34[[#This Row],[Italy velocity]]*psi_t*SQRTPI(2)))</f>
        <v>-6.6340292361197761</v>
      </c>
      <c r="W141" s="244">
        <f>Tabella34[[#This Row],[Italy g.r.]]/Italy_gr_at_lockdown</f>
        <v>2.1601868060811467E-2</v>
      </c>
      <c r="X141" s="244">
        <f>(ACOSH(SQRT(alpha*Kf*psi_f/(Tabella34[[#This Row],[Italy velocity]]*(1+TANH(phi_f)))))+phi_f)/psi_f-(Tabella34[[#This Row],[Day]]-pf)</f>
        <v>25.46879710580798</v>
      </c>
      <c r="Y141" s="244">
        <f>Tabella34[[#This Row],[Italy h.t.]]/Italy_ht_at_lockdown</f>
        <v>0.22031144039358069</v>
      </c>
      <c r="Z141" s="72">
        <f>-2*$BY$48*TANH($BY$48*(Tabella34[[#This Row],[Day]]-$BY$57)-$BY$47)*Tabella34[[#This Row],[Italy velocity]]</f>
        <v>-41.805643566193574</v>
      </c>
      <c r="AA141" s="72">
        <f>Tabella34[[#This Row],[Italy acc. fit]]/Itali_acc_at_lockdown</f>
        <v>-1.1577762724430525</v>
      </c>
      <c r="AB141" s="77">
        <f>Tabella34[[#This Row],[Italy acc. fit]]/y_f_peak</f>
        <v>-1.3928686572538698E-2</v>
      </c>
      <c r="AC141" s="143">
        <f>Tabella34[[#This Row],[Italy (fit of selected region + fitted sum of the other regions)]]*NOT(ISBLANK(Tabella34[[#This Row],[Italy rate data]]))</f>
        <v>-41.822818167746426</v>
      </c>
      <c r="AD141" s="143">
        <f>Tabella34[[#This Row],[Italy acc. fit]]*NOT(ISBLANK(Tabella34[[#This Row],[Italy rate data]]))</f>
        <v>-41.805643566193574</v>
      </c>
      <c r="AE141" s="77">
        <f>Tabella34[[#This Row],[Italy acc. fit]]+CIf</f>
        <v>1673.8092157683577</v>
      </c>
      <c r="AF141" s="77">
        <f>MAX(Tabella34[[#This Row],[Italy acc. fit]]-CIf,0)</f>
        <v>0</v>
      </c>
      <c r="AG141" s="4">
        <f>Tabella8[[#This Row],[region data]]</f>
        <v>6212</v>
      </c>
      <c r="AH141" s="72">
        <f>(Tabella34[[#This Row],[selected region cumul. data]]-AG140)</f>
        <v>128</v>
      </c>
      <c r="AI141" s="72">
        <f>Tabella34[[#This Row],[selected region rate data]]-AH140</f>
        <v>32</v>
      </c>
      <c r="AJ141" s="121">
        <f>Tabella34[[#This Row],[selected region rate data]]*NOT(ISBLANK(Tabella34[[#This Row],[selected region rate data]]))</f>
        <v>128</v>
      </c>
      <c r="AK141" s="77">
        <f>Tabella8[[#This Row],[region fit]]</f>
        <v>6144.4417604016344</v>
      </c>
      <c r="AL141" s="143" t="e">
        <f>(ATANH(alpha*Tabella34[[#This Row],[sel. region cumul. fit]]/Kl-(1-alpha*Tabella34[[#This Row],[sel. region cumul. fit]]/Kl)*TANH(phi_l))+phi_l)/psi_l-(Tabella34[[#This Row],[Day]]-pl)</f>
        <v>#NUM!</v>
      </c>
      <c r="AM141" s="77">
        <f>Tabella34[[#This Row],[sel. region cumul. fit]]/Kl</f>
        <v>0.68499908142716104</v>
      </c>
      <c r="AN141" s="143">
        <f>Tabella3[[#This Row],[region fit]]</f>
        <v>113.29688930143743</v>
      </c>
      <c r="AO141" s="186">
        <f>Tabella34[[#This Row],[sel. region velocity]]/Tabella34[[#This Row],[sel. region cumul. fit]]</f>
        <v>1.8438923130753498E-2</v>
      </c>
      <c r="AP141" s="241">
        <f>(LN(Tabella34[[#This Row],[Day]]-pr)-phi_r)/psi_r</f>
        <v>101.61359590343889</v>
      </c>
      <c r="AQ141" s="244">
        <f>EXP(phi_r+psi_r*Tabella34[[#This Row],[x_r_alpha©+plus]])-(Tabella34[[#This Row],[Day]]-pr)</f>
        <v>-55.059104911134639</v>
      </c>
      <c r="AR141" s="244">
        <f>EXP(phi_r+psi_r*Tabella34[[#This Row],[x_r_alpha©-minus]])-(Tabella34[[#This Row],[Day]]-pr)</f>
        <v>-55.74046452287061</v>
      </c>
      <c r="AS141" s="244">
        <f>-psi_r+SQRT(psi_r^2-2*Tabella34[[#This Row],[c_r]])</f>
        <v>3.5792850862037002</v>
      </c>
      <c r="AT141" s="244">
        <f>-psi_r-SQRT(psi_r^2-2*Tabella34[[#This Row],[c_r]])</f>
        <v>-3.6356933246223613</v>
      </c>
      <c r="AU141" s="244">
        <f>phi_r-LN(alpha*Kr/(Tabella34[[#This Row],[sel. region velocity]]*psi_r*SQRTPI(2)))</f>
        <v>-6.5065914474155822</v>
      </c>
      <c r="AV141" s="244">
        <f>(ACOSH(SQRT(alpha*Kl*psi_l/(Tabella34[[#This Row],[sel. region velocity]]*(1+TANH(phi_l)))))+phi_l)/psi_l-(Tabella34[[#This Row],[Day]]-pl)</f>
        <v>20.005823593324124</v>
      </c>
      <c r="AW141" s="72">
        <f>-2*$BY$22*TANH($BY$22*(Tabella34[[#This Row],[Day]]-$BY$31)-$BY$21)*Tabella34[[#This Row],[sel. region velocity]]</f>
        <v>-2.6948913356859658</v>
      </c>
      <c r="AX141" s="77">
        <f>Tabella34[[#This Row],[sel. region acc. fit]]/y_l_peak</f>
        <v>-1.9556643493728456E-2</v>
      </c>
      <c r="AY141" s="143">
        <f>Tabella34[[#This Row],[sel. region acc. fit]]*NOT(ISBLANK(Tabella34[[#This Row],[selected region rate data]]))</f>
        <v>-2.6948913356859658</v>
      </c>
      <c r="AZ141" s="77">
        <f>Tabella34[[#This Row],[sel. region acc. fit]]+CIl</f>
        <v>51.069949073862489</v>
      </c>
      <c r="BA141" s="77">
        <f>MAX(Tabella34[[#This Row],[sel. region acc. fit]]-CIl,0)</f>
        <v>0</v>
      </c>
      <c r="BB141" s="10">
        <f>Tabella8[[#This Row],[rest of Italy ]]</f>
        <v>137435</v>
      </c>
      <c r="BC141" s="10">
        <f>(Tabella34[[#This Row],[rest of Italy cum. Data]]-BB140)</f>
        <v>3569</v>
      </c>
      <c r="BD141" s="10">
        <f>Tabella34[[#This Row],[rest of Italy rate data]]-BC140</f>
        <v>1041</v>
      </c>
      <c r="BE141" s="77">
        <f>Tabella34[[#This Row],[rest of Italy rate data]]*NOT(ISBLANK(Tabella34[[#This Row],[rest of Italy rate data]]))</f>
        <v>3569</v>
      </c>
      <c r="BF141" s="77">
        <f>Tabella8[[#This Row],[rest of Italy fit]]</f>
        <v>135259.18832305024</v>
      </c>
      <c r="BG141" s="78" t="e">
        <f>(ATANH(alpha*Tabella34[[#This Row],[rest of Italy cumul. fit]]/Ka-(1-alpha*Tabella34[[#This Row],[rest of Italy cumul. fit]]/Ka)*TANH(phi_a))+phi_a)/psi_a-(Tabella34[[#This Row],[Day]]-pa)</f>
        <v>#NUM!</v>
      </c>
      <c r="BH141" s="77">
        <f>Tabella34[[#This Row],[rest of Italy cumul. fit]]/Ka</f>
        <v>0.62611298580313035</v>
      </c>
      <c r="BI141" s="143">
        <f>Tabella3[[#This Row],[rest of Italy fit]]</f>
        <v>2590.0756731927027</v>
      </c>
      <c r="BJ141" s="183">
        <f>Tabella34[[#This Row],[rest of Italy velocity]]/Tabella34[[#This Row],[rest of Italy cumul. fit]]</f>
        <v>1.9148981339490369E-2</v>
      </c>
      <c r="BK141" s="236">
        <f>(LN(Tabella34[[#This Row],[Day]]-po)-phi_o)/psi_o</f>
        <v>118.53771353002335</v>
      </c>
      <c r="BL141" s="244">
        <f>EXP(phi_o+psi_o*Tabella34[[#This Row],[x_o_alpha©+plus]])-(Tabella34[[#This Row],[Day]]-po)</f>
        <v>-60.460062218105449</v>
      </c>
      <c r="BM141" s="244">
        <f>EXP(phi_o+psi_o*Tabella34[[#This Row],[x_o_alpha©-minus]])-(Tabella34[[#This Row],[Day]]-po)</f>
        <v>-61.089454832958289</v>
      </c>
      <c r="BN141" s="244">
        <f>-psi_o+SQRT(psi_o^2-2*Tabella34[[#This Row],[c_o]])</f>
        <v>3.6221061744574645</v>
      </c>
      <c r="BO141" s="244">
        <f>-psi_o-SQRT(psi_o^2-2*Tabella34[[#This Row],[c_o]])</f>
        <v>-3.6711332600270938</v>
      </c>
      <c r="BP141" s="244">
        <f>phi_o-LN(alpha*Ko/(Tabella34[[#This Row],[rest of Italy velocity]]*psi_o*SQRTPI(2)))</f>
        <v>-6.648617224200148</v>
      </c>
      <c r="BQ141" s="244">
        <f>(ACOSH(SQRT(alpha*Ka*psi_a/(Tabella34[[#This Row],[rest of Italy velocity]]*(1+TANH(phi_a)))))+phi_a)/psi_a-(Tabella34[[#This Row],[Day]]-pa)</f>
        <v>25.773850987141515</v>
      </c>
      <c r="BR141" s="72">
        <f>-2*$BY$35*TANH($BY$35*(Tabella34[[#This Row],[Day]]-$BY$44)-$BY$34)*Tabella34[[#This Row],[rest of Italy velocity]]</f>
        <v>-39.12792683206046</v>
      </c>
      <c r="BS141" s="77">
        <f>Tabella34[[#This Row],[rest of Italy acc. fit]]/y_a_peak</f>
        <v>-1.3672529938839849E-2</v>
      </c>
      <c r="BT141" s="121">
        <f>Tabella34[[#This Row],[rest of Italy acc. fit]]*NOT(ISBLANK(Tabella34[[#This Row],[rest of Italy rate data]]))</f>
        <v>-39.12792683206046</v>
      </c>
      <c r="BU141" s="77">
        <f>Tabella34[[#This Row],[rest of Italy acc. fit]]+CIa</f>
        <v>1655.4462680775223</v>
      </c>
      <c r="BV141" s="77">
        <f>MAX(Tabella34[[#This Row],[rest of Italy acc. fit]]-CIa,0)</f>
        <v>0</v>
      </c>
    </row>
    <row r="142" spans="2:74" x14ac:dyDescent="0.3">
      <c r="B142" s="262">
        <v>43965</v>
      </c>
      <c r="C142" s="4">
        <v>135</v>
      </c>
      <c r="E142" s="10"/>
      <c r="F142" s="10"/>
      <c r="G142" s="121">
        <f>Tabella34[[#This Row],[Italy rate data]]*NOT(ISBLANK(Tabella34[[#This Row],[Italy rate data]]))</f>
        <v>0</v>
      </c>
      <c r="H142" s="143">
        <f>Tabella8[[#This Row],[Italy fit]]</f>
        <v>144136.32112322818</v>
      </c>
      <c r="I142" s="143" t="e">
        <f>(ATANH(alpha*Tabella34[[#This Row],[Italy cumul. Fit]]/Kf-(1-alpha*Tabella34[[#This Row],[Italy cumul. Fit]]/Kf)*TANH(phi_f))+phi_f)/psi_f-(Tabella34[[#This Row],[Day]]-pf)</f>
        <v>#NUM!</v>
      </c>
      <c r="J142" s="143" t="e">
        <f>Tabella34[[#This Row],[Italy d.t.]]/Italy_dt_at_lockdown</f>
        <v>#NUM!</v>
      </c>
      <c r="K142" s="77">
        <f>Tabella34[[#This Row],[Italy cumul. Fit]]/Kf</f>
        <v>0.6406058716587919</v>
      </c>
      <c r="L142" s="146">
        <f>Tabella34[[#This Row],[sel. region acc. fit]]+Tabella34[[#This Row],[rest of Italy acc. fit]]</f>
        <v>-44.045337480648286</v>
      </c>
      <c r="M142" s="77">
        <f>Tabella34[[#This Row],[Italy (fit of selected region + fitted sum of the other regions)]]/(y_l_peak+y_a_peak)</f>
        <v>-1.4683783261048708E-2</v>
      </c>
      <c r="N142" s="143">
        <f>Tabella3[[#This Row],[Italy remov. rate fit]]</f>
        <v>2665.3125678597785</v>
      </c>
      <c r="O142" s="143">
        <f>Kt*EXP(-0.5*Tabella34[[#This Row],[x_t]]^2)/(psi_t*SQRTPI(2)*(Tabella34[[#This Row],[Day]]-D_bk))</f>
        <v>0</v>
      </c>
      <c r="P142" s="183">
        <f>Tabella34[[#This Row],[Italy velocity]]/Tabella34[[#This Row],[Italy cumul. Fit]]</f>
        <v>1.8491609519998023E-2</v>
      </c>
      <c r="Q142" s="244">
        <f>(LN(Tabella34[[#This Row],[Day]]-D_bk)-phi_t)/psi_t</f>
        <v>118.06214574295883</v>
      </c>
      <c r="R142" s="244">
        <f>EXP(phi_t+psi_t*Tabella34[[#This Row],[x_t_alpha©+plus]])-(Tabella34[[#This Row],[Day]]-D_bk)</f>
        <v>-61.296228421330014</v>
      </c>
      <c r="S142" s="244">
        <f>EXP(phi_t+psi_t*Tabella34[[#This Row],[x_t_alpha©-minus]])-(Tabella34[[#This Row],[Day]]-D_bk)</f>
        <v>-61.932435932900681</v>
      </c>
      <c r="T142" s="244">
        <f>-psi_t+SQRT(psi_t^2-2*Tabella34[[#This Row],[c_t]])</f>
        <v>3.6223073419058913</v>
      </c>
      <c r="U142" s="244">
        <f>-psi_t-SQRT(psi_t^2-2*Tabella34[[#This Row],[c_t]])</f>
        <v>-3.6717000763256964</v>
      </c>
      <c r="V142" s="244">
        <f>phi_t-LN(alpha*Kt/(Tabella34[[#This Row],[Italy velocity]]*psi_t*SQRTPI(2)))</f>
        <v>-6.6500130718754962</v>
      </c>
      <c r="W142" s="244">
        <f>Tabella34[[#This Row],[Italy g.r.]]/Italy_gr_at_lockdown</f>
        <v>2.0863018244178255E-2</v>
      </c>
      <c r="X142" s="244">
        <f>(ACOSH(SQRT(alpha*Kf*psi_f/(Tabella34[[#This Row],[Italy velocity]]*(1+TANH(phi_f)))))+phi_f)/psi_f-(Tabella34[[#This Row],[Day]]-pf)</f>
        <v>24.904193460980025</v>
      </c>
      <c r="Y142" s="244">
        <f>Tabella34[[#This Row],[Italy h.t.]]/Italy_ht_at_lockdown</f>
        <v>0.21542747819753544</v>
      </c>
      <c r="Z142" s="72">
        <f>-2*$BY$48*TANH($BY$48*(Tabella34[[#This Row],[Day]]-$BY$57)-$BY$47)*Tabella34[[#This Row],[Italy velocity]]</f>
        <v>-44.053342055336778</v>
      </c>
      <c r="AA142" s="72">
        <f>Tabella34[[#This Row],[Italy acc. fit]]/Itali_acc_at_lockdown</f>
        <v>-1.2200246139669824</v>
      </c>
      <c r="AB142" s="77">
        <f>Tabella34[[#This Row],[Italy acc. fit]]/y_f_peak</f>
        <v>-1.4677568424226337E-2</v>
      </c>
      <c r="AC142" s="143">
        <f>Tabella34[[#This Row],[Italy (fit of selected region + fitted sum of the other regions)]]*NOT(ISBLANK(Tabella34[[#This Row],[Italy rate data]]))</f>
        <v>0</v>
      </c>
      <c r="AD142" s="143">
        <f>Tabella34[[#This Row],[Italy acc. fit]]*NOT(ISBLANK(Tabella34[[#This Row],[Italy rate data]]))</f>
        <v>0</v>
      </c>
      <c r="AE142" s="77">
        <f>Tabella34[[#This Row],[Italy acc. fit]]+CIf</f>
        <v>1671.5615172792145</v>
      </c>
      <c r="AF142" s="77">
        <f>MAX(Tabella34[[#This Row],[Italy acc. fit]]-CIf,0)</f>
        <v>0</v>
      </c>
      <c r="AH142" s="10"/>
      <c r="AI142" s="10"/>
      <c r="AJ142" s="121">
        <f>Tabella34[[#This Row],[selected region rate data]]*NOT(ISBLANK(Tabella34[[#This Row],[selected region rate data]]))</f>
        <v>0</v>
      </c>
      <c r="AK142" s="77">
        <f>Tabella8[[#This Row],[region fit]]</f>
        <v>6256.3777106754269</v>
      </c>
      <c r="AL142" s="143" t="e">
        <f>(ATANH(alpha*Tabella34[[#This Row],[sel. region cumul. fit]]/Kl-(1-alpha*Tabella34[[#This Row],[sel. region cumul. fit]]/Kl)*TANH(phi_l))+phi_l)/psi_l-(Tabella34[[#This Row],[Day]]-pl)</f>
        <v>#NUM!</v>
      </c>
      <c r="AM142" s="77">
        <f>Tabella34[[#This Row],[sel. region cumul. fit]]/Kl</f>
        <v>0.69747800564943441</v>
      </c>
      <c r="AN142" s="143">
        <f>Tabella3[[#This Row],[region fit]]</f>
        <v>110.56203958978521</v>
      </c>
      <c r="AO142" s="186">
        <f>Tabella34[[#This Row],[sel. region velocity]]/Tabella34[[#This Row],[sel. region cumul. fit]]</f>
        <v>1.767189333871742E-2</v>
      </c>
      <c r="AP142" s="241">
        <f>(LN(Tabella34[[#This Row],[Day]]-pr)-phi_r)/psi_r</f>
        <v>102.21192286084919</v>
      </c>
      <c r="AQ142" s="244">
        <f>EXP(phi_r+psi_r*Tabella34[[#This Row],[x_r_alpha©+plus]])-(Tabella34[[#This Row],[Day]]-pr)</f>
        <v>-56.058398561133679</v>
      </c>
      <c r="AR142" s="244">
        <f>EXP(phi_r+psi_r*Tabella34[[#This Row],[x_r_alpha©-minus]])-(Tabella34[[#This Row],[Day]]-pr)</f>
        <v>-56.741040707356397</v>
      </c>
      <c r="AS142" s="244">
        <f>-psi_r+SQRT(psi_r^2-2*Tabella34[[#This Row],[c_r]])</f>
        <v>3.586052121891746</v>
      </c>
      <c r="AT142" s="244">
        <f>-psi_r-SQRT(psi_r^2-2*Tabella34[[#This Row],[c_r]])</f>
        <v>-3.6424603603104071</v>
      </c>
      <c r="AU142" s="244">
        <f>phi_r-LN(alpha*Kr/(Tabella34[[#This Row],[sel. region velocity]]*psi_r*SQRTPI(2)))</f>
        <v>-6.5310263519988538</v>
      </c>
      <c r="AV142" s="244">
        <f>(ACOSH(SQRT(alpha*Kl*psi_l/(Tabella34[[#This Row],[sel. region velocity]]*(1+TANH(phi_l)))))+phi_l)/psi_l-(Tabella34[[#This Row],[Day]]-pl)</f>
        <v>19.567931436639554</v>
      </c>
      <c r="AW142" s="72">
        <f>-2*$BY$22*TANH($BY$22*(Tabella34[[#This Row],[Day]]-$BY$31)-$BY$21)*Tabella34[[#This Row],[sel. region velocity]]</f>
        <v>-2.7727239788893381</v>
      </c>
      <c r="AX142" s="77">
        <f>Tabella34[[#This Row],[sel. region acc. fit]]/y_l_peak</f>
        <v>-2.0121469702172018E-2</v>
      </c>
      <c r="AY142" s="143">
        <f>Tabella34[[#This Row],[sel. region acc. fit]]*NOT(ISBLANK(Tabella34[[#This Row],[selected region rate data]]))</f>
        <v>0</v>
      </c>
      <c r="AZ142" s="77">
        <f>Tabella34[[#This Row],[sel. region acc. fit]]+CIl</f>
        <v>50.992116430659117</v>
      </c>
      <c r="BA142" s="77">
        <f>MAX(Tabella34[[#This Row],[sel. region acc. fit]]-CIl,0)</f>
        <v>0</v>
      </c>
      <c r="BC142" s="10"/>
      <c r="BD142" s="10"/>
      <c r="BE142" s="77">
        <f>Tabella34[[#This Row],[rest of Italy rate data]]*NOT(ISBLANK(Tabella34[[#This Row],[rest of Italy rate data]]))</f>
        <v>0</v>
      </c>
      <c r="BF142" s="77">
        <f>Tabella8[[#This Row],[rest of Italy fit]]</f>
        <v>137829.33576765319</v>
      </c>
      <c r="BG142" s="78" t="e">
        <f>(ATANH(alpha*Tabella34[[#This Row],[rest of Italy cumul. fit]]/Ka-(1-alpha*Tabella34[[#This Row],[rest of Italy cumul. fit]]/Ka)*TANH(phi_a))+phi_a)/psi_a-(Tabella34[[#This Row],[Day]]-pa)</f>
        <v>#NUM!</v>
      </c>
      <c r="BH142" s="77">
        <f>Tabella34[[#This Row],[rest of Italy cumul. fit]]/Ka</f>
        <v>0.63801016417929546</v>
      </c>
      <c r="BI142" s="143">
        <f>Tabella3[[#This Row],[rest of Italy fit]]</f>
        <v>2549.8617552920941</v>
      </c>
      <c r="BJ142" s="183">
        <f>Tabella34[[#This Row],[rest of Italy velocity]]/Tabella34[[#This Row],[rest of Italy cumul. fit]]</f>
        <v>1.8500138167904561E-2</v>
      </c>
      <c r="BK142" s="236">
        <f>(LN(Tabella34[[#This Row],[Day]]-po)-phi_o)/psi_o</f>
        <v>119.16721536436276</v>
      </c>
      <c r="BL142" s="244">
        <f>EXP(phi_o+psi_o*Tabella34[[#This Row],[x_o_alpha©+plus]])-(Tabella34[[#This Row],[Day]]-po)</f>
        <v>-61.459658033601293</v>
      </c>
      <c r="BM142" s="244">
        <f>EXP(phi_o+psi_o*Tabella34[[#This Row],[x_o_alpha©-minus]])-(Tabella34[[#This Row],[Day]]-po)</f>
        <v>-62.089792811768689</v>
      </c>
      <c r="BN142" s="244">
        <f>-psi_o+SQRT(psi_o^2-2*Tabella34[[#This Row],[c_o]])</f>
        <v>3.6263947359134723</v>
      </c>
      <c r="BO142" s="244">
        <f>-psi_o-SQRT(psi_o^2-2*Tabella34[[#This Row],[c_o]])</f>
        <v>-3.6754218214831016</v>
      </c>
      <c r="BP142" s="244">
        <f>phi_o-LN(alpha*Ko/(Tabella34[[#This Row],[rest of Italy velocity]]*psi_o*SQRTPI(2)))</f>
        <v>-6.6642651728439128</v>
      </c>
      <c r="BQ142" s="244">
        <f>(ACOSH(SQRT(alpha*Ka*psi_a/(Tabella34[[#This Row],[rest of Italy velocity]]*(1+TANH(phi_a)))))+phi_a)/psi_a-(Tabella34[[#This Row],[Day]]-pa)</f>
        <v>25.203832368445219</v>
      </c>
      <c r="BR142" s="72">
        <f>-2*$BY$35*TANH($BY$35*(Tabella34[[#This Row],[Day]]-$BY$44)-$BY$34)*Tabella34[[#This Row],[rest of Italy velocity]]</f>
        <v>-41.272613501758947</v>
      </c>
      <c r="BS142" s="77">
        <f>Tabella34[[#This Row],[rest of Italy acc. fit]]/y_a_peak</f>
        <v>-1.4421951006476289E-2</v>
      </c>
      <c r="BT142" s="121">
        <f>Tabella34[[#This Row],[rest of Italy acc. fit]]*NOT(ISBLANK(Tabella34[[#This Row],[rest of Italy rate data]]))</f>
        <v>0</v>
      </c>
      <c r="BU142" s="189"/>
      <c r="BV142" s="122"/>
    </row>
    <row r="143" spans="2:74" x14ac:dyDescent="0.3">
      <c r="B143" s="262">
        <v>43966</v>
      </c>
      <c r="C143" s="4">
        <v>136</v>
      </c>
      <c r="E143" s="10"/>
      <c r="F143" s="10"/>
      <c r="G143" s="121">
        <f>Tabella34[[#This Row],[Italy rate data]]*NOT(ISBLANK(Tabella34[[#This Row],[Italy rate data]]))</f>
        <v>0</v>
      </c>
      <c r="H143" s="143">
        <f>Tabella8[[#This Row],[Italy fit]]</f>
        <v>146779.25466889204</v>
      </c>
      <c r="I143" s="143" t="e">
        <f>(ATANH(alpha*Tabella34[[#This Row],[Italy cumul. Fit]]/Kf-(1-alpha*Tabella34[[#This Row],[Italy cumul. Fit]]/Kf)*TANH(phi_f))+phi_f)/psi_f-(Tabella34[[#This Row],[Day]]-pf)</f>
        <v>#NUM!</v>
      </c>
      <c r="J143" s="143" t="e">
        <f>Tabella34[[#This Row],[Italy d.t.]]/Italy_dt_at_lockdown</f>
        <v>#NUM!</v>
      </c>
      <c r="K143" s="77">
        <f>Tabella34[[#This Row],[Italy cumul. Fit]]/Kf</f>
        <v>0.65235224297285355</v>
      </c>
      <c r="L143" s="146">
        <f>Tabella34[[#This Row],[sel. region acc. fit]]+Tabella34[[#This Row],[rest of Italy acc. fit]]</f>
        <v>-46.089589811544315</v>
      </c>
      <c r="M143" s="77">
        <f>Tabella34[[#This Row],[Italy (fit of selected region + fitted sum of the other regions)]]/(y_l_peak+y_a_peak)</f>
        <v>-1.536529371992439E-2</v>
      </c>
      <c r="N143" s="143">
        <f>Tabella3[[#This Row],[Italy remov. rate fit]]</f>
        <v>2620.2096854526785</v>
      </c>
      <c r="O143" s="143">
        <f>Kt*EXP(-0.5*Tabella34[[#This Row],[x_t]]^2)/(psi_t*SQRTPI(2)*(Tabella34[[#This Row],[Day]]-D_bk))</f>
        <v>0</v>
      </c>
      <c r="P143" s="183">
        <f>Tabella34[[#This Row],[Italy velocity]]/Tabella34[[#This Row],[Italy cumul. Fit]]</f>
        <v>1.7851362519610871E-2</v>
      </c>
      <c r="Q143" s="244">
        <f>(LN(Tabella34[[#This Row],[Day]]-D_bk)-phi_t)/psi_t</f>
        <v>118.67888678786007</v>
      </c>
      <c r="R143" s="244">
        <f>EXP(phi_t+psi_t*Tabella34[[#This Row],[x_t_alpha©+plus]])-(Tabella34[[#This Row],[Day]]-D_bk)</f>
        <v>-62.295782632760172</v>
      </c>
      <c r="S143" s="244">
        <f>EXP(phi_t+psi_t*Tabella34[[#This Row],[x_t_alpha©-minus]])-(Tabella34[[#This Row],[Day]]-D_bk)</f>
        <v>-62.932808193370555</v>
      </c>
      <c r="T143" s="244">
        <f>-psi_t+SQRT(psi_t^2-2*Tabella34[[#This Row],[c_t]])</f>
        <v>3.6269840725212972</v>
      </c>
      <c r="U143" s="244">
        <f>-psi_t-SQRT(psi_t^2-2*Tabella34[[#This Row],[c_t]])</f>
        <v>-3.6763768069411022</v>
      </c>
      <c r="V143" s="244">
        <f>phi_t-LN(alpha*Kt/(Tabella34[[#This Row],[Italy velocity]]*psi_t*SQRTPI(2)))</f>
        <v>-6.6670800616810411</v>
      </c>
      <c r="W143" s="244">
        <f>Tabella34[[#This Row],[Italy g.r.]]/Italy_gr_at_lockdown</f>
        <v>2.0140664420114866E-2</v>
      </c>
      <c r="X143" s="244">
        <f>(ACOSH(SQRT(alpha*Kf*psi_f/(Tabella34[[#This Row],[Italy velocity]]*(1+TANH(phi_f)))))+phi_f)/psi_f-(Tabella34[[#This Row],[Day]]-pf)</f>
        <v>24.366038840675046</v>
      </c>
      <c r="Y143" s="244">
        <f>Tabella34[[#This Row],[Italy h.t.]]/Italy_ht_at_lockdown</f>
        <v>0.21077230665326124</v>
      </c>
      <c r="Z143" s="72">
        <f>-2*$BY$48*TANH($BY$48*(Tabella34[[#This Row],[Day]]-$BY$57)-$BY$47)*Tabella34[[#This Row],[Italy velocity]]</f>
        <v>-46.122314714990651</v>
      </c>
      <c r="AA143" s="72">
        <f>Tabella34[[#This Row],[Italy acc. fit]]/Itali_acc_at_lockdown</f>
        <v>-1.2773232762848545</v>
      </c>
      <c r="AB143" s="77">
        <f>Tabella34[[#This Row],[Italy acc. fit]]/y_f_peak</f>
        <v>-1.5366902907448467E-2</v>
      </c>
      <c r="AC143" s="143">
        <f>Tabella34[[#This Row],[Italy (fit of selected region + fitted sum of the other regions)]]*NOT(ISBLANK(Tabella34[[#This Row],[Italy rate data]]))</f>
        <v>0</v>
      </c>
      <c r="AD143" s="143">
        <f>Tabella34[[#This Row],[Italy acc. fit]]*NOT(ISBLANK(Tabella34[[#This Row],[Italy rate data]]))</f>
        <v>0</v>
      </c>
      <c r="AE143" s="77">
        <f>Tabella34[[#This Row],[Italy acc. fit]]+CIf</f>
        <v>1669.4925446195607</v>
      </c>
      <c r="AF143" s="77">
        <f>MAX(Tabella34[[#This Row],[Italy acc. fit]]-CIf,0)</f>
        <v>0</v>
      </c>
      <c r="AH143" s="10"/>
      <c r="AI143" s="10"/>
      <c r="AJ143" s="121">
        <f>Tabella34[[#This Row],[selected region rate data]]*NOT(ISBLANK(Tabella34[[#This Row],[selected region rate data]]))</f>
        <v>0</v>
      </c>
      <c r="AK143" s="77">
        <f>Tabella8[[#This Row],[region fit]]</f>
        <v>6365.5419711570212</v>
      </c>
      <c r="AL143" s="143" t="e">
        <f>(ATANH(alpha*Tabella34[[#This Row],[sel. region cumul. fit]]/Kl-(1-alpha*Tabella34[[#This Row],[sel. region cumul. fit]]/Kl)*TANH(phi_l))+phi_l)/psi_l-(Tabella34[[#This Row],[Day]]-pl)</f>
        <v>#NUM!</v>
      </c>
      <c r="AM143" s="77">
        <f>Tabella34[[#This Row],[sel. region cumul. fit]]/Kl</f>
        <v>0.70964793435418294</v>
      </c>
      <c r="AN143" s="143">
        <f>Tabella3[[#This Row],[region fit]]</f>
        <v>107.75557755265866</v>
      </c>
      <c r="AO143" s="186">
        <f>Tabella34[[#This Row],[sel. region velocity]]/Tabella34[[#This Row],[sel. region cumul. fit]]</f>
        <v>1.6927950210824338E-2</v>
      </c>
      <c r="AP143" s="241">
        <f>(LN(Tabella34[[#This Row],[Day]]-pr)-phi_r)/psi_r</f>
        <v>102.80032021360844</v>
      </c>
      <c r="AQ143" s="244">
        <f>EXP(phi_r+psi_r*Tabella34[[#This Row],[x_r_alpha©+plus]])-(Tabella34[[#This Row],[Day]]-pr)</f>
        <v>-57.057656593354018</v>
      </c>
      <c r="AR143" s="244">
        <f>EXP(phi_r+psi_r*Tabella34[[#This Row],[x_r_alpha©-minus]])-(Tabella34[[#This Row],[Day]]-pr)</f>
        <v>-57.741645709225665</v>
      </c>
      <c r="AS143" s="244">
        <f>-psi_r+SQRT(psi_r^2-2*Tabella34[[#This Row],[c_r]])</f>
        <v>3.5931589955179146</v>
      </c>
      <c r="AT143" s="244">
        <f>-psi_r-SQRT(psi_r^2-2*Tabella34[[#This Row],[c_r]])</f>
        <v>-3.6495672339365757</v>
      </c>
      <c r="AU143" s="244">
        <f>phi_r-LN(alpha*Kr/(Tabella34[[#This Row],[sel. region velocity]]*psi_r*SQRTPI(2)))</f>
        <v>-6.5567376681833203</v>
      </c>
      <c r="AV143" s="244">
        <f>(ACOSH(SQRT(alpha*Kl*psi_l/(Tabella34[[#This Row],[sel. region velocity]]*(1+TANH(phi_l)))))+phi_l)/psi_l-(Tabella34[[#This Row],[Day]]-pl)</f>
        <v>19.154458061506062</v>
      </c>
      <c r="AW143" s="72">
        <f>-2*$BY$22*TANH($BY$22*(Tabella34[[#This Row],[Day]]-$BY$31)-$BY$21)*Tabella34[[#This Row],[sel. region velocity]]</f>
        <v>-2.8381512213906799</v>
      </c>
      <c r="AX143" s="77">
        <f>Tabella34[[#This Row],[sel. region acc. fit]]/y_l_peak</f>
        <v>-2.0596270759800105E-2</v>
      </c>
      <c r="AY143" s="143">
        <f>Tabella34[[#This Row],[sel. region acc. fit]]*NOT(ISBLANK(Tabella34[[#This Row],[selected region rate data]]))</f>
        <v>0</v>
      </c>
      <c r="AZ143" s="77">
        <f>Tabella34[[#This Row],[sel. region acc. fit]]+CIl</f>
        <v>50.926689188157773</v>
      </c>
      <c r="BA143" s="77">
        <f>MAX(Tabella34[[#This Row],[sel. region acc. fit]]-CIl,0)</f>
        <v>0</v>
      </c>
      <c r="BC143" s="10"/>
      <c r="BD143" s="10"/>
      <c r="BE143" s="77">
        <f>Tabella34[[#This Row],[rest of Italy rate data]]*NOT(ISBLANK(Tabella34[[#This Row],[rest of Italy rate data]]))</f>
        <v>0</v>
      </c>
      <c r="BF143" s="77">
        <f>Tabella8[[#This Row],[rest of Italy fit]]</f>
        <v>140358.2244260119</v>
      </c>
      <c r="BG143" s="78" t="e">
        <f>(ATANH(alpha*Tabella34[[#This Row],[rest of Italy cumul. fit]]/Ka-(1-alpha*Tabella34[[#This Row],[rest of Italy cumul. fit]]/Ka)*TANH(phi_a))+phi_a)/psi_a-(Tabella34[[#This Row],[Day]]-pa)</f>
        <v>#NUM!</v>
      </c>
      <c r="BH143" s="77">
        <f>Tabella34[[#This Row],[rest of Italy cumul. fit]]/Ka</f>
        <v>0.64971635618206691</v>
      </c>
      <c r="BI143" s="143">
        <f>Tabella3[[#This Row],[rest of Italy fit]]</f>
        <v>2507.5857479397855</v>
      </c>
      <c r="BJ143" s="183">
        <f>Tabella34[[#This Row],[rest of Italy velocity]]/Tabella34[[#This Row],[rest of Italy cumul. fit]]</f>
        <v>1.786561320645395E-2</v>
      </c>
      <c r="BK143" s="236">
        <f>(LN(Tabella34[[#This Row],[Day]]-po)-phi_o)/psi_o</f>
        <v>119.7871505927702</v>
      </c>
      <c r="BL143" s="244">
        <f>EXP(phi_o+psi_o*Tabella34[[#This Row],[x_o_alpha©+plus]])-(Tabella34[[#This Row],[Day]]-po)</f>
        <v>-62.459226668636433</v>
      </c>
      <c r="BM143" s="244">
        <f>EXP(phi_o+psi_o*Tabella34[[#This Row],[x_o_alpha©-minus]])-(Tabella34[[#This Row],[Day]]-po)</f>
        <v>-63.090153440484201</v>
      </c>
      <c r="BN143" s="244">
        <f>-psi_o+SQRT(psi_o^2-2*Tabella34[[#This Row],[c_o]])</f>
        <v>3.6309711957876787</v>
      </c>
      <c r="BO143" s="244">
        <f>-psi_o-SQRT(psi_o^2-2*Tabella34[[#This Row],[c_o]])</f>
        <v>-3.679998281357308</v>
      </c>
      <c r="BP143" s="244">
        <f>phi_o-LN(alpha*Ko/(Tabella34[[#This Row],[rest of Italy velocity]]*psi_o*SQRTPI(2)))</f>
        <v>-6.6809838800782737</v>
      </c>
      <c r="BQ143" s="244">
        <f>(ACOSH(SQRT(alpha*Ka*psi_a/(Tabella34[[#This Row],[rest of Italy velocity]]*(1+TANH(phi_a)))))+phi_a)/psi_a-(Tabella34[[#This Row],[Day]]-pa)</f>
        <v>24.660261263161289</v>
      </c>
      <c r="BR143" s="72">
        <f>-2*$BY$35*TANH($BY$35*(Tabella34[[#This Row],[Day]]-$BY$44)-$BY$34)*Tabella34[[#This Row],[rest of Italy velocity]]</f>
        <v>-43.251438590153633</v>
      </c>
      <c r="BS143" s="77">
        <f>Tabella34[[#This Row],[rest of Italy acc. fit]]/y_a_peak</f>
        <v>-1.5113414813923278E-2</v>
      </c>
      <c r="BT143" s="121">
        <f>Tabella34[[#This Row],[rest of Italy acc. fit]]*NOT(ISBLANK(Tabella34[[#This Row],[rest of Italy rate data]]))</f>
        <v>0</v>
      </c>
      <c r="BU143" s="189"/>
      <c r="BV143" s="122"/>
    </row>
    <row r="144" spans="2:74" x14ac:dyDescent="0.3">
      <c r="B144" s="262">
        <v>43967</v>
      </c>
      <c r="C144" s="4">
        <v>137</v>
      </c>
      <c r="E144" s="10"/>
      <c r="F144" s="10"/>
      <c r="G144" s="121">
        <f>Tabella34[[#This Row],[Italy rate data]]*NOT(ISBLANK(Tabella34[[#This Row],[Italy rate data]]))</f>
        <v>0</v>
      </c>
      <c r="H144" s="143">
        <f>Tabella8[[#This Row],[Italy fit]]</f>
        <v>149376.08107690827</v>
      </c>
      <c r="I144" s="143" t="e">
        <f>(ATANH(alpha*Tabella34[[#This Row],[Italy cumul. Fit]]/Kf-(1-alpha*Tabella34[[#This Row],[Italy cumul. Fit]]/Kf)*TANH(phi_f))+phi_f)/psi_f-(Tabella34[[#This Row],[Day]]-pf)</f>
        <v>#NUM!</v>
      </c>
      <c r="J144" s="143" t="e">
        <f>Tabella34[[#This Row],[Italy d.t.]]/Italy_dt_at_lockdown</f>
        <v>#NUM!</v>
      </c>
      <c r="K144" s="77">
        <f>Tabella34[[#This Row],[Italy cumul. Fit]]/Kf</f>
        <v>0.66389369367514783</v>
      </c>
      <c r="L144" s="146">
        <f>Tabella34[[#This Row],[sel. region acc. fit]]+Tabella34[[#This Row],[rest of Italy acc. fit]]</f>
        <v>-47.952480645415896</v>
      </c>
      <c r="M144" s="77">
        <f>Tabella34[[#This Row],[Italy (fit of selected region + fitted sum of the other regions)]]/(y_l_peak+y_a_peak)</f>
        <v>-1.5986342094354098E-2</v>
      </c>
      <c r="N144" s="143">
        <f>Tabella3[[#This Row],[Italy remov. rate fit]]</f>
        <v>2573.1286389962479</v>
      </c>
      <c r="O144" s="143">
        <f>Kt*EXP(-0.5*Tabella34[[#This Row],[x_t]]^2)/(psi_t*SQRTPI(2)*(Tabella34[[#This Row],[Day]]-D_bk))</f>
        <v>0</v>
      </c>
      <c r="P144" s="183">
        <f>Tabella34[[#This Row],[Italy velocity]]/Tabella34[[#This Row],[Italy cumul. Fit]]</f>
        <v>1.7225841114893344E-2</v>
      </c>
      <c r="Q144" s="244">
        <f>(LN(Tabella34[[#This Row],[Day]]-D_bk)-phi_t)/psi_t</f>
        <v>119.28637484598661</v>
      </c>
      <c r="R144" s="244">
        <f>EXP(phi_t+psi_t*Tabella34[[#This Row],[x_t_alpha©+plus]])-(Tabella34[[#This Row],[Day]]-D_bk)</f>
        <v>-63.295309599235935</v>
      </c>
      <c r="S144" s="244">
        <f>EXP(phi_t+psi_t*Tabella34[[#This Row],[x_t_alpha©-minus]])-(Tabella34[[#This Row],[Day]]-D_bk)</f>
        <v>-63.933203111010663</v>
      </c>
      <c r="T144" s="244">
        <f>-psi_t+SQRT(psi_t^2-2*Tabella34[[#This Row],[c_t]])</f>
        <v>3.6319460370649748</v>
      </c>
      <c r="U144" s="244">
        <f>-psi_t-SQRT(psi_t^2-2*Tabella34[[#This Row],[c_t]])</f>
        <v>-3.6813387714847798</v>
      </c>
      <c r="V144" s="244">
        <f>phi_t-LN(alpha*Kt/(Tabella34[[#This Row],[Italy velocity]]*psi_t*SQRTPI(2)))</f>
        <v>-6.6852118810938945</v>
      </c>
      <c r="W144" s="244">
        <f>Tabella34[[#This Row],[Italy g.r.]]/Italy_gr_at_lockdown</f>
        <v>1.9434924637721538E-2</v>
      </c>
      <c r="X144" s="244">
        <f>(ACOSH(SQRT(alpha*Kf*psi_f/(Tabella34[[#This Row],[Italy velocity]]*(1+TANH(phi_f)))))+phi_f)/psi_f-(Tabella34[[#This Row],[Day]]-pf)</f>
        <v>23.853367907269217</v>
      </c>
      <c r="Y144" s="244">
        <f>Tabella34[[#This Row],[Italy h.t.]]/Italy_ht_at_lockdown</f>
        <v>0.20633757534980277</v>
      </c>
      <c r="Z144" s="72">
        <f>-2*$BY$48*TANH($BY$48*(Tabella34[[#This Row],[Day]]-$BY$57)-$BY$47)*Tabella34[[#This Row],[Italy velocity]]</f>
        <v>-48.009231885290994</v>
      </c>
      <c r="AA144" s="72">
        <f>Tabella34[[#This Row],[Italy acc. fit]]/Itali_acc_at_lockdown</f>
        <v>-1.329580046937842</v>
      </c>
      <c r="AB144" s="77">
        <f>Tabella34[[#This Row],[Italy acc. fit]]/y_f_peak</f>
        <v>-1.5995580655509937E-2</v>
      </c>
      <c r="AC144" s="143">
        <f>Tabella34[[#This Row],[Italy (fit of selected region + fitted sum of the other regions)]]*NOT(ISBLANK(Tabella34[[#This Row],[Italy rate data]]))</f>
        <v>0</v>
      </c>
      <c r="AD144" s="143">
        <f>Tabella34[[#This Row],[Italy acc. fit]]*NOT(ISBLANK(Tabella34[[#This Row],[Italy rate data]]))</f>
        <v>0</v>
      </c>
      <c r="AE144" s="77">
        <f>Tabella34[[#This Row],[Italy acc. fit]]+CIf</f>
        <v>1667.6056274492603</v>
      </c>
      <c r="AF144" s="77">
        <f>MAX(Tabella34[[#This Row],[Italy acc. fit]]-CIf,0)</f>
        <v>0</v>
      </c>
      <c r="AH144" s="10"/>
      <c r="AI144" s="10"/>
      <c r="AJ144" s="121">
        <f>Tabella34[[#This Row],[selected region rate data]]*NOT(ISBLANK(Tabella34[[#This Row],[selected region rate data]]))</f>
        <v>0</v>
      </c>
      <c r="AK144" s="77">
        <f>Tabella8[[#This Row],[region fit]]</f>
        <v>6471.8690930604926</v>
      </c>
      <c r="AL144" s="143" t="e">
        <f>(ATANH(alpha*Tabella34[[#This Row],[sel. region cumul. fit]]/Kl-(1-alpha*Tabella34[[#This Row],[sel. region cumul. fit]]/Kl)*TANH(phi_l))+phi_l)/psi_l-(Tabella34[[#This Row],[Day]]-pl)</f>
        <v>#NUM!</v>
      </c>
      <c r="AM144" s="77">
        <f>Tabella34[[#This Row],[sel. region cumul. fit]]/Kl</f>
        <v>0.7215015711327194</v>
      </c>
      <c r="AN144" s="143">
        <f>Tabella3[[#This Row],[region fit]]</f>
        <v>104.8897872366708</v>
      </c>
      <c r="AO144" s="186">
        <f>Tabella34[[#This Row],[sel. region velocity]]/Tabella34[[#This Row],[sel. region cumul. fit]]</f>
        <v>1.6207031651666072E-2</v>
      </c>
      <c r="AP144" s="241">
        <f>(LN(Tabella34[[#This Row],[Day]]-pr)-phi_r)/psi_r</f>
        <v>103.37911216450937</v>
      </c>
      <c r="AQ144" s="244">
        <f>EXP(phi_r+psi_r*Tabella34[[#This Row],[x_r_alpha©+plus]])-(Tabella34[[#This Row],[Day]]-pr)</f>
        <v>-58.056880127102829</v>
      </c>
      <c r="AR144" s="244">
        <f>EXP(phi_r+psi_r*Tabella34[[#This Row],[x_r_alpha©-minus]])-(Tabella34[[#This Row],[Day]]-pr)</f>
        <v>-58.742278581576933</v>
      </c>
      <c r="AS144" s="244">
        <f>-psi_r+SQRT(psi_r^2-2*Tabella34[[#This Row],[c_r]])</f>
        <v>3.6005947846425883</v>
      </c>
      <c r="AT144" s="244">
        <f>-psi_r-SQRT(psi_r^2-2*Tabella34[[#This Row],[c_r]])</f>
        <v>-3.6570030230612494</v>
      </c>
      <c r="AU144" s="244">
        <f>phi_r-LN(alpha*Kr/(Tabella34[[#This Row],[sel. region velocity]]*psi_r*SQRTPI(2)))</f>
        <v>-6.5836930061282564</v>
      </c>
      <c r="AV144" s="244">
        <f>(ACOSH(SQRT(alpha*Kl*psi_l/(Tabella34[[#This Row],[sel. region velocity]]*(1+TANH(phi_l)))))+phi_l)/psi_l-(Tabella34[[#This Row],[Day]]-pl)</f>
        <v>18.764189816519888</v>
      </c>
      <c r="AW144" s="72">
        <f>-2*$BY$22*TANH($BY$22*(Tabella34[[#This Row],[Day]]-$BY$31)-$BY$21)*Tabella34[[#This Row],[sel. region velocity]]</f>
        <v>-2.8914310950138722</v>
      </c>
      <c r="AX144" s="77">
        <f>Tabella34[[#This Row],[sel. region acc. fit]]/y_l_peak</f>
        <v>-2.0982919186043402E-2</v>
      </c>
      <c r="AY144" s="143">
        <f>Tabella34[[#This Row],[sel. region acc. fit]]*NOT(ISBLANK(Tabella34[[#This Row],[selected region rate data]]))</f>
        <v>0</v>
      </c>
      <c r="AZ144" s="77">
        <f>Tabella34[[#This Row],[sel. region acc. fit]]+CIl</f>
        <v>50.873409314534584</v>
      </c>
      <c r="BA144" s="77">
        <f>MAX(Tabella34[[#This Row],[sel. region acc. fit]]-CIl,0)</f>
        <v>0</v>
      </c>
      <c r="BC144" s="10"/>
      <c r="BD144" s="10"/>
      <c r="BE144" s="77">
        <f>Tabella34[[#This Row],[rest of Italy rate data]]*NOT(ISBLANK(Tabella34[[#This Row],[rest of Italy rate data]]))</f>
        <v>0</v>
      </c>
      <c r="BF144" s="77">
        <f>Tabella8[[#This Row],[rest of Italy fit]]</f>
        <v>142843.87575229816</v>
      </c>
      <c r="BG144" s="78" t="e">
        <f>(ATANH(alpha*Tabella34[[#This Row],[rest of Italy cumul. fit]]/Ka-(1-alpha*Tabella34[[#This Row],[rest of Italy cumul. fit]]/Ka)*TANH(phi_a))+phi_a)/psi_a-(Tabella34[[#This Row],[Day]]-pa)</f>
        <v>#NUM!</v>
      </c>
      <c r="BH144" s="77">
        <f>Tabella34[[#This Row],[rest of Italy cumul. fit]]/Ka</f>
        <v>0.6612224031490912</v>
      </c>
      <c r="BI144" s="143">
        <f>Tabella3[[#This Row],[rest of Italy fit]]</f>
        <v>2463.4152970613991</v>
      </c>
      <c r="BJ144" s="183">
        <f>Tabella34[[#This Row],[rest of Italy velocity]]/Tabella34[[#This Row],[rest of Italy cumul. fit]]</f>
        <v>1.7245508665230724E-2</v>
      </c>
      <c r="BK144" s="236">
        <f>(LN(Tabella34[[#This Row],[Day]]-po)-phi_o)/psi_o</f>
        <v>120.39780563733214</v>
      </c>
      <c r="BL144" s="244">
        <f>EXP(phi_o+psi_o*Tabella34[[#This Row],[x_o_alpha©+plus]])-(Tabella34[[#This Row],[Day]]-po)</f>
        <v>-63.458768672988334</v>
      </c>
      <c r="BM144" s="244">
        <f>EXP(phi_o+psi_o*Tabella34[[#This Row],[x_o_alpha©-minus]])-(Tabella34[[#This Row],[Day]]-po)</f>
        <v>-64.090536244374277</v>
      </c>
      <c r="BN144" s="244">
        <f>-psi_o+SQRT(psi_o^2-2*Tabella34[[#This Row],[c_o]])</f>
        <v>3.6358296254393281</v>
      </c>
      <c r="BO144" s="244">
        <f>-psi_o-SQRT(psi_o^2-2*Tabella34[[#This Row],[c_o]])</f>
        <v>-3.6848567110089574</v>
      </c>
      <c r="BP144" s="244">
        <f>phi_o-LN(alpha*Ko/(Tabella34[[#This Row],[rest of Italy velocity]]*psi_o*SQRTPI(2)))</f>
        <v>-6.6987555976926458</v>
      </c>
      <c r="BQ144" s="244">
        <f>(ACOSH(SQRT(alpha*Ka*psi_a/(Tabella34[[#This Row],[rest of Italy velocity]]*(1+TANH(phi_a)))))+phi_a)/psi_a-(Tabella34[[#This Row],[Day]]-pa)</f>
        <v>24.142188551099608</v>
      </c>
      <c r="BR144" s="72">
        <f>-2*$BY$35*TANH($BY$35*(Tabella34[[#This Row],[Day]]-$BY$44)-$BY$34)*Tabella34[[#This Row],[rest of Italy velocity]]</f>
        <v>-45.061049550402025</v>
      </c>
      <c r="BS144" s="77">
        <f>Tabella34[[#This Row],[rest of Italy acc. fit]]/y_a_peak</f>
        <v>-1.5745749875728188E-2</v>
      </c>
      <c r="BT144" s="121">
        <f>Tabella34[[#This Row],[rest of Italy acc. fit]]*NOT(ISBLANK(Tabella34[[#This Row],[rest of Italy rate data]]))</f>
        <v>0</v>
      </c>
      <c r="BU144" s="189"/>
      <c r="BV144" s="122"/>
    </row>
    <row r="145" spans="2:74" x14ac:dyDescent="0.3">
      <c r="B145" s="262">
        <v>43968</v>
      </c>
      <c r="C145" s="4">
        <v>138</v>
      </c>
      <c r="E145" s="10"/>
      <c r="F145" s="10"/>
      <c r="G145" s="121">
        <f>Tabella34[[#This Row],[Italy rate data]]*NOT(ISBLANK(Tabella34[[#This Row],[Italy rate data]]))</f>
        <v>0</v>
      </c>
      <c r="H145" s="143">
        <f>Tabella8[[#This Row],[Italy fit]]</f>
        <v>151924.91359199889</v>
      </c>
      <c r="I145" s="143" t="e">
        <f>(ATANH(alpha*Tabella34[[#This Row],[Italy cumul. Fit]]/Kf-(1-alpha*Tabella34[[#This Row],[Italy cumul. Fit]]/Kf)*TANH(phi_f))+phi_f)/psi_f-(Tabella34[[#This Row],[Day]]-pf)</f>
        <v>#NUM!</v>
      </c>
      <c r="J145" s="143" t="e">
        <f>Tabella34[[#This Row],[Italy d.t.]]/Italy_dt_at_lockdown</f>
        <v>#NUM!</v>
      </c>
      <c r="K145" s="77">
        <f>Tabella34[[#This Row],[Italy cumul. Fit]]/Kf</f>
        <v>0.6752218381866617</v>
      </c>
      <c r="L145" s="146">
        <f>Tabella34[[#This Row],[sel. region acc. fit]]+Tabella34[[#This Row],[rest of Italy acc. fit]]</f>
        <v>-49.632282290245136</v>
      </c>
      <c r="M145" s="77">
        <f>Tabella34[[#This Row],[Italy (fit of selected region + fitted sum of the other regions)]]/(y_l_peak+y_a_peak)</f>
        <v>-1.6546352408387064E-2</v>
      </c>
      <c r="N145" s="143">
        <f>Tabella3[[#This Row],[Italy remov. rate fit]]</f>
        <v>2524.2525700987471</v>
      </c>
      <c r="O145" s="143">
        <f>Kt*EXP(-0.5*Tabella34[[#This Row],[x_t]]^2)/(psi_t*SQRTPI(2)*(Tabella34[[#This Row],[Day]]-D_bk))</f>
        <v>0</v>
      </c>
      <c r="P145" s="183">
        <f>Tabella34[[#This Row],[Italy velocity]]/Tabella34[[#This Row],[Italy cumul. Fit]]</f>
        <v>1.6615132504717033E-2</v>
      </c>
      <c r="Q145" s="244">
        <f>(LN(Tabella34[[#This Row],[Day]]-D_bk)-phi_t)/psi_t</f>
        <v>119.88488346410961</v>
      </c>
      <c r="R145" s="244">
        <f>EXP(phi_t+psi_t*Tabella34[[#This Row],[x_t_alpha©+plus]])-(Tabella34[[#This Row],[Day]]-D_bk)</f>
        <v>-64.294809919385116</v>
      </c>
      <c r="S145" s="244">
        <f>EXP(phi_t+psi_t*Tabella34[[#This Row],[x_t_alpha©-minus]])-(Tabella34[[#This Row],[Day]]-D_bk)</f>
        <v>-64.933620169551958</v>
      </c>
      <c r="T145" s="244">
        <f>-psi_t+SQRT(psi_t^2-2*Tabella34[[#This Row],[c_t]])</f>
        <v>3.6371868524132265</v>
      </c>
      <c r="U145" s="244">
        <f>-psi_t-SQRT(psi_t^2-2*Tabella34[[#This Row],[c_t]])</f>
        <v>-3.6865795868330316</v>
      </c>
      <c r="V145" s="244">
        <f>phi_t-LN(alpha*Kt/(Tabella34[[#This Row],[Italy velocity]]*psi_t*SQRTPI(2)))</f>
        <v>-6.704389401802044</v>
      </c>
      <c r="W145" s="244">
        <f>Tabella34[[#This Row],[Italy g.r.]]/Italy_gr_at_lockdown</f>
        <v>1.8745897278464037E-2</v>
      </c>
      <c r="X145" s="244">
        <f>(ACOSH(SQRT(alpha*Kf*psi_f/(Tabella34[[#This Row],[Italy velocity]]*(1+TANH(phi_f)))))+phi_f)/psi_f-(Tabella34[[#This Row],[Day]]-pf)</f>
        <v>23.36520973057543</v>
      </c>
      <c r="Y145" s="244">
        <f>Tabella34[[#This Row],[Italy h.t.]]/Italy_ht_at_lockdown</f>
        <v>0.20211488549913889</v>
      </c>
      <c r="Z145" s="72">
        <f>-2*$BY$48*TANH($BY$48*(Tabella34[[#This Row],[Day]]-$BY$57)-$BY$47)*Tabella34[[#This Row],[Italy velocity]]</f>
        <v>-49.712148334420725</v>
      </c>
      <c r="AA145" s="72">
        <f>Tabella34[[#This Row],[Italy acc. fit]]/Itali_acc_at_lockdown</f>
        <v>-1.3767410541744278</v>
      </c>
      <c r="AB145" s="77">
        <f>Tabella34[[#This Row],[Italy acc. fit]]/y_f_peak</f>
        <v>-1.6562953561552924E-2</v>
      </c>
      <c r="AC145" s="143">
        <f>Tabella34[[#This Row],[Italy (fit of selected region + fitted sum of the other regions)]]*NOT(ISBLANK(Tabella34[[#This Row],[Italy rate data]]))</f>
        <v>0</v>
      </c>
      <c r="AD145" s="143">
        <f>Tabella34[[#This Row],[Italy acc. fit]]*NOT(ISBLANK(Tabella34[[#This Row],[Italy rate data]]))</f>
        <v>0</v>
      </c>
      <c r="AE145" s="77">
        <f>Tabella34[[#This Row],[Italy acc. fit]]+CIf</f>
        <v>1665.9027110001305</v>
      </c>
      <c r="AF145" s="77">
        <f>MAX(Tabella34[[#This Row],[Italy acc. fit]]-CIf,0)</f>
        <v>0</v>
      </c>
      <c r="AH145" s="10"/>
      <c r="AI145" s="10"/>
      <c r="AJ145" s="121">
        <f>Tabella34[[#This Row],[selected region rate data]]*NOT(ISBLANK(Tabella34[[#This Row],[selected region rate data]]))</f>
        <v>0</v>
      </c>
      <c r="AK145" s="77">
        <f>Tabella8[[#This Row],[region fit]]</f>
        <v>6575.3057677217812</v>
      </c>
      <c r="AL145" s="143" t="e">
        <f>(ATANH(alpha*Tabella34[[#This Row],[sel. region cumul. fit]]/Kl-(1-alpha*Tabella34[[#This Row],[sel. region cumul. fit]]/Kl)*TANH(phi_l))+phi_l)/psi_l-(Tabella34[[#This Row],[Day]]-pl)</f>
        <v>#NUM!</v>
      </c>
      <c r="AM145" s="77">
        <f>Tabella34[[#This Row],[sel. region cumul. fit]]/Kl</f>
        <v>0.73303297299016512</v>
      </c>
      <c r="AN145" s="143">
        <f>Tabella3[[#This Row],[region fit]]</f>
        <v>101.97665034814506</v>
      </c>
      <c r="AO145" s="186">
        <f>Tabella34[[#This Row],[sel. region velocity]]/Tabella34[[#This Row],[sel. region cumul. fit]]</f>
        <v>1.5509035465506273E-2</v>
      </c>
      <c r="AP145" s="241">
        <f>(LN(Tabella34[[#This Row],[Day]]-pr)-phi_r)/psi_r</f>
        <v>103.9486072931622</v>
      </c>
      <c r="AQ145" s="244">
        <f>EXP(phi_r+psi_r*Tabella34[[#This Row],[x_r_alpha©+plus]])-(Tabella34[[#This Row],[Day]]-pr)</f>
        <v>-59.056070301542334</v>
      </c>
      <c r="AR145" s="244">
        <f>EXP(phi_r+psi_r*Tabella34[[#This Row],[x_r_alpha©-minus]])-(Tabella34[[#This Row],[Day]]-pr)</f>
        <v>-59.74293836130245</v>
      </c>
      <c r="AS145" s="244">
        <f>-psi_r+SQRT(psi_r^2-2*Tabella34[[#This Row],[c_r]])</f>
        <v>3.6083483764668625</v>
      </c>
      <c r="AT145" s="244">
        <f>-psi_r-SQRT(psi_r^2-2*Tabella34[[#This Row],[c_r]])</f>
        <v>-3.6647566148855235</v>
      </c>
      <c r="AU145" s="244">
        <f>phi_r-LN(alpha*Kr/(Tabella34[[#This Row],[sel. region velocity]]*psi_r*SQRTPI(2)))</f>
        <v>-6.611859290734186</v>
      </c>
      <c r="AV145" s="244">
        <f>(ACOSH(SQRT(alpha*Kl*psi_l/(Tabella34[[#This Row],[sel. region velocity]]*(1+TANH(phi_l)))))+phi_l)/psi_l-(Tabella34[[#This Row],[Day]]-pl)</f>
        <v>18.395943668542103</v>
      </c>
      <c r="AW145" s="72">
        <f>-2*$BY$22*TANH($BY$22*(Tabella34[[#This Row],[Day]]-$BY$31)-$BY$21)*Tabella34[[#This Row],[sel. region velocity]]</f>
        <v>-2.9329085668804824</v>
      </c>
      <c r="AX145" s="77">
        <f>Tabella34[[#This Row],[sel. region acc. fit]]/y_l_peak</f>
        <v>-2.1283918383886744E-2</v>
      </c>
      <c r="AY145" s="143">
        <f>Tabella34[[#This Row],[sel. region acc. fit]]*NOT(ISBLANK(Tabella34[[#This Row],[selected region rate data]]))</f>
        <v>0</v>
      </c>
      <c r="AZ145" s="77">
        <f>Tabella34[[#This Row],[sel. region acc. fit]]+CIl</f>
        <v>50.83193184266797</v>
      </c>
      <c r="BA145" s="77">
        <f>MAX(Tabella34[[#This Row],[sel. region acc. fit]]-CIl,0)</f>
        <v>0</v>
      </c>
      <c r="BC145" s="10"/>
      <c r="BD145" s="10"/>
      <c r="BE145" s="77">
        <f>Tabella34[[#This Row],[rest of Italy rate data]]*NOT(ISBLANK(Tabella34[[#This Row],[rest of Italy rate data]]))</f>
        <v>0</v>
      </c>
      <c r="BF145" s="77">
        <f>Tabella8[[#This Row],[rest of Italy fit]]</f>
        <v>145284.48030809383</v>
      </c>
      <c r="BG145" s="78" t="e">
        <f>(ATANH(alpha*Tabella34[[#This Row],[rest of Italy cumul. fit]]/Ka-(1-alpha*Tabella34[[#This Row],[rest of Italy cumul. fit]]/Ka)*TANH(phi_a))+phi_a)/psi_a-(Tabella34[[#This Row],[Day]]-pa)</f>
        <v>#NUM!</v>
      </c>
      <c r="BH145" s="77">
        <f>Tabella34[[#This Row],[rest of Italy cumul. fit]]/Ka</f>
        <v>0.67251992921396953</v>
      </c>
      <c r="BI145" s="143">
        <f>Tabella3[[#This Row],[rest of Italy fit]]</f>
        <v>2417.5207581966961</v>
      </c>
      <c r="BJ145" s="183">
        <f>Tabella34[[#This Row],[rest of Italy velocity]]/Tabella34[[#This Row],[rest of Italy cumul. fit]]</f>
        <v>1.6639910560784212E-2</v>
      </c>
      <c r="BK145" s="236">
        <f>(LN(Tabella34[[#This Row],[Day]]-po)-phi_o)/psi_o</f>
        <v>120.99945424650301</v>
      </c>
      <c r="BL145" s="244">
        <f>EXP(phi_o+psi_o*Tabella34[[#This Row],[x_o_alpha©+plus]])-(Tabella34[[#This Row],[Day]]-po)</f>
        <v>-64.458284619860322</v>
      </c>
      <c r="BM145" s="244">
        <f>EXP(phi_o+psi_o*Tabella34[[#This Row],[x_o_alpha©-minus]])-(Tabella34[[#This Row],[Day]]-po)</f>
        <v>-65.090940728646487</v>
      </c>
      <c r="BN145" s="244">
        <f>-psi_o+SQRT(psi_o^2-2*Tabella34[[#This Row],[c_o]])</f>
        <v>3.6409638446444008</v>
      </c>
      <c r="BO145" s="244">
        <f>-psi_o-SQRT(psi_o^2-2*Tabella34[[#This Row],[c_o]])</f>
        <v>-3.6899909302140301</v>
      </c>
      <c r="BP145" s="244">
        <f>phi_o-LN(alpha*Ko/(Tabella34[[#This Row],[rest of Italy velocity]]*psi_o*SQRTPI(2)))</f>
        <v>-6.7175617819875226</v>
      </c>
      <c r="BQ145" s="244">
        <f>(ACOSH(SQRT(alpha*Ka*psi_a/(Tabella34[[#This Row],[rest of Italy velocity]]*(1+TANH(phi_a)))))+phi_a)/psi_a-(Tabella34[[#This Row],[Day]]-pa)</f>
        <v>23.648658247190269</v>
      </c>
      <c r="BR145" s="72">
        <f>-2*$BY$35*TANH($BY$35*(Tabella34[[#This Row],[Day]]-$BY$44)-$BY$34)*Tabella34[[#This Row],[rest of Italy velocity]]</f>
        <v>-46.699373723364651</v>
      </c>
      <c r="BS145" s="77">
        <f>Tabella34[[#This Row],[rest of Italy acc. fit]]/y_a_peak</f>
        <v>-1.6318231939510888E-2</v>
      </c>
      <c r="BT145" s="121">
        <f>Tabella34[[#This Row],[rest of Italy acc. fit]]*NOT(ISBLANK(Tabella34[[#This Row],[rest of Italy rate data]]))</f>
        <v>0</v>
      </c>
      <c r="BU145" s="189"/>
      <c r="BV145" s="122"/>
    </row>
    <row r="146" spans="2:74" x14ac:dyDescent="0.3">
      <c r="B146" s="262">
        <v>43969</v>
      </c>
      <c r="C146" s="4">
        <v>139</v>
      </c>
      <c r="E146" s="10"/>
      <c r="F146" s="10"/>
      <c r="G146" s="121">
        <f>Tabella34[[#This Row],[Italy rate data]]*NOT(ISBLANK(Tabella34[[#This Row],[Italy rate data]]))</f>
        <v>0</v>
      </c>
      <c r="H146" s="143">
        <f>Tabella8[[#This Row],[Italy fit]]</f>
        <v>154424.04934836543</v>
      </c>
      <c r="I146" s="143" t="e">
        <f>(ATANH(alpha*Tabella34[[#This Row],[Italy cumul. Fit]]/Kf-(1-alpha*Tabella34[[#This Row],[Italy cumul. Fit]]/Kf)*TANH(phi_f))+phi_f)/psi_f-(Tabella34[[#This Row],[Day]]-pf)</f>
        <v>#NUM!</v>
      </c>
      <c r="J146" s="143" t="e">
        <f>Tabella34[[#This Row],[Italy d.t.]]/Italy_dt_at_lockdown</f>
        <v>#NUM!</v>
      </c>
      <c r="K146" s="77">
        <f>Tabella34[[#This Row],[Italy cumul. Fit]]/Kf</f>
        <v>0.68632910821495741</v>
      </c>
      <c r="L146" s="146">
        <f>Tabella34[[#This Row],[sel. region acc. fit]]+Tabella34[[#This Row],[rest of Italy acc. fit]]</f>
        <v>-51.128580692442675</v>
      </c>
      <c r="M146" s="77">
        <f>Tabella34[[#This Row],[Italy (fit of selected region + fitted sum of the other regions)]]/(y_l_peak+y_a_peak)</f>
        <v>-1.7045186625320362E-2</v>
      </c>
      <c r="N146" s="143">
        <f>Tabella3[[#This Row],[Italy remov. rate fit]]</f>
        <v>2473.7658937039268</v>
      </c>
      <c r="O146" s="143">
        <f>Kt*EXP(-0.5*Tabella34[[#This Row],[x_t]]^2)/(psi_t*SQRTPI(2)*(Tabella34[[#This Row],[Day]]-D_bk))</f>
        <v>0</v>
      </c>
      <c r="P146" s="183">
        <f>Tabella34[[#This Row],[Italy velocity]]/Tabella34[[#This Row],[Italy cumul. Fit]]</f>
        <v>1.6019304662341517E-2</v>
      </c>
      <c r="Q146" s="244">
        <f>(LN(Tabella34[[#This Row],[Day]]-D_bk)-phi_t)/psi_t</f>
        <v>120.47467423515506</v>
      </c>
      <c r="R146" s="244">
        <f>EXP(phi_t+psi_t*Tabella34[[#This Row],[x_t_alpha©+plus]])-(Tabella34[[#This Row],[Day]]-D_bk)</f>
        <v>-65.294284213238981</v>
      </c>
      <c r="S146" s="244">
        <f>EXP(phi_t+psi_t*Tabella34[[#This Row],[x_t_alpha©-minus]])-(Tabella34[[#This Row],[Day]]-D_bk)</f>
        <v>-65.934058834463116</v>
      </c>
      <c r="T146" s="244">
        <f>-psi_t+SQRT(psi_t^2-2*Tabella34[[#This Row],[c_t]])</f>
        <v>3.642699908429353</v>
      </c>
      <c r="U146" s="244">
        <f>-psi_t-SQRT(psi_t^2-2*Tabella34[[#This Row],[c_t]])</f>
        <v>-3.6920926428491581</v>
      </c>
      <c r="V146" s="244">
        <f>phi_t-LN(alpha*Kt/(Tabella34[[#This Row],[Italy velocity]]*psi_t*SQRTPI(2)))</f>
        <v>-6.7245927660096578</v>
      </c>
      <c r="W146" s="244">
        <f>Tabella34[[#This Row],[Italy g.r.]]/Italy_gr_at_lockdown</f>
        <v>1.8073659032657129E-2</v>
      </c>
      <c r="X146" s="244">
        <f>(ACOSH(SQRT(alpha*Kf*psi_f/(Tabella34[[#This Row],[Italy velocity]]*(1+TANH(phi_f)))))+phi_f)/psi_f-(Tabella34[[#This Row],[Day]]-pf)</f>
        <v>22.900594137452458</v>
      </c>
      <c r="Y146" s="244">
        <f>Tabella34[[#This Row],[Italy h.t.]]/Italy_ht_at_lockdown</f>
        <v>0.19809584486188411</v>
      </c>
      <c r="Z146" s="72">
        <f>-2*$BY$48*TANH($BY$48*(Tabella34[[#This Row],[Day]]-$BY$57)-$BY$47)*Tabella34[[#This Row],[Italy velocity]]</f>
        <v>-51.23045303805101</v>
      </c>
      <c r="AA146" s="72">
        <f>Tabella34[[#This Row],[Italy acc. fit]]/Itali_acc_at_lockdown</f>
        <v>-1.4187893761292973</v>
      </c>
      <c r="AB146" s="77">
        <f>Tabella34[[#This Row],[Italy acc. fit]]/y_f_peak</f>
        <v>-1.7068818046212575E-2</v>
      </c>
      <c r="AC146" s="143">
        <f>Tabella34[[#This Row],[Italy (fit of selected region + fitted sum of the other regions)]]*NOT(ISBLANK(Tabella34[[#This Row],[Italy rate data]]))</f>
        <v>0</v>
      </c>
      <c r="AD146" s="143">
        <f>Tabella34[[#This Row],[Italy acc. fit]]*NOT(ISBLANK(Tabella34[[#This Row],[Italy rate data]]))</f>
        <v>0</v>
      </c>
      <c r="AE146" s="77">
        <f>Tabella34[[#This Row],[Italy acc. fit]]+CIf</f>
        <v>1664.3844062965002</v>
      </c>
      <c r="AF146" s="77">
        <f>MAX(Tabella34[[#This Row],[Italy acc. fit]]-CIf,0)</f>
        <v>0</v>
      </c>
      <c r="AH146" s="10"/>
      <c r="AI146" s="10"/>
      <c r="AJ146" s="121">
        <f>Tabella34[[#This Row],[selected region rate data]]*NOT(ISBLANK(Tabella34[[#This Row],[selected region rate data]]))</f>
        <v>0</v>
      </c>
      <c r="AK146" s="77">
        <f>Tabella8[[#This Row],[region fit]]</f>
        <v>6675.8104824934389</v>
      </c>
      <c r="AL146" s="143" t="e">
        <f>(ATANH(alpha*Tabella34[[#This Row],[sel. region cumul. fit]]/Kl-(1-alpha*Tabella34[[#This Row],[sel. region cumul. fit]]/Kl)*TANH(phi_l))+phi_l)/psi_l-(Tabella34[[#This Row],[Day]]-pl)</f>
        <v>#NUM!</v>
      </c>
      <c r="AM146" s="77">
        <f>Tabella34[[#This Row],[sel. region cumul. fit]]/Kl</f>
        <v>0.74423751198366095</v>
      </c>
      <c r="AN146" s="143">
        <f>Tabella3[[#This Row],[region fit]]</f>
        <v>99.027764445420772</v>
      </c>
      <c r="AO146" s="186">
        <f>Tabella34[[#This Row],[sel. region velocity]]/Tabella34[[#This Row],[sel. region cumul. fit]]</f>
        <v>1.4833819010457222E-2</v>
      </c>
      <c r="AP146" s="241">
        <f>(LN(Tabella34[[#This Row],[Day]]-pr)-phi_r)/psi_r</f>
        <v>104.50909954397719</v>
      </c>
      <c r="AQ146" s="244">
        <f>EXP(phi_r+psi_r*Tabella34[[#This Row],[x_r_alpha©+plus]])-(Tabella34[[#This Row],[Day]]-pr)</f>
        <v>-60.055228270619871</v>
      </c>
      <c r="AR146" s="244">
        <f>EXP(phi_r+psi_r*Tabella34[[#This Row],[x_r_alpha©-minus]])-(Tabella34[[#This Row],[Day]]-pr)</f>
        <v>-60.743624073422247</v>
      </c>
      <c r="AS146" s="244">
        <f>-psi_r+SQRT(psi_r^2-2*Tabella34[[#This Row],[c_r]])</f>
        <v>3.6164085175650258</v>
      </c>
      <c r="AT146" s="244">
        <f>-psi_r-SQRT(psi_r^2-2*Tabella34[[#This Row],[c_r]])</f>
        <v>-3.6728167559836868</v>
      </c>
      <c r="AU146" s="244">
        <f>phi_r-LN(alpha*Kr/(Tabella34[[#This Row],[sel. region velocity]]*psi_r*SQRTPI(2)))</f>
        <v>-6.6412028998974755</v>
      </c>
      <c r="AV146" s="244">
        <f>(ACOSH(SQRT(alpha*Kl*psi_l/(Tabella34[[#This Row],[sel. region velocity]]*(1+TANH(phi_l)))))+phi_l)/psi_l-(Tabella34[[#This Row],[Day]]-pl)</f>
        <v>18.04857185115975</v>
      </c>
      <c r="AW146" s="72">
        <f>-2*$BY$22*TANH($BY$22*(Tabella34[[#This Row],[Day]]-$BY$31)-$BY$21)*Tabella34[[#This Row],[sel. region velocity]]</f>
        <v>-2.9630052101243458</v>
      </c>
      <c r="AX146" s="77">
        <f>Tabella34[[#This Row],[sel. region acc. fit]]/y_l_peak</f>
        <v>-2.1502327680945968E-2</v>
      </c>
      <c r="AY146" s="143">
        <f>Tabella34[[#This Row],[sel. region acc. fit]]*NOT(ISBLANK(Tabella34[[#This Row],[selected region rate data]]))</f>
        <v>0</v>
      </c>
      <c r="AZ146" s="77">
        <f>Tabella34[[#This Row],[sel. region acc. fit]]+CIl</f>
        <v>50.801835199424112</v>
      </c>
      <c r="BA146" s="77">
        <f>MAX(Tabella34[[#This Row],[sel. region acc. fit]]-CIl,0)</f>
        <v>0</v>
      </c>
      <c r="BC146" s="10"/>
      <c r="BD146" s="10"/>
      <c r="BE146" s="77">
        <f>Tabella34[[#This Row],[rest of Italy rate data]]*NOT(ISBLANK(Tabella34[[#This Row],[rest of Italy rate data]]))</f>
        <v>0</v>
      </c>
      <c r="BF146" s="77">
        <f>Tabella8[[#This Row],[rest of Italy fit]]</f>
        <v>147678.39983862825</v>
      </c>
      <c r="BG146" s="78" t="e">
        <f>(ATANH(alpha*Tabella34[[#This Row],[rest of Italy cumul. fit]]/Ka-(1-alpha*Tabella34[[#This Row],[rest of Italy cumul. fit]]/Ka)*TANH(phi_a))+phi_a)/psi_a-(Tabella34[[#This Row],[Day]]-pa)</f>
        <v>#NUM!</v>
      </c>
      <c r="BH146" s="77">
        <f>Tabella34[[#This Row],[rest of Italy cumul. fit]]/Ka</f>
        <v>0.68360135091713303</v>
      </c>
      <c r="BI146" s="143">
        <f>Tabella3[[#This Row],[rest of Italy fit]]</f>
        <v>2370.0739368923601</v>
      </c>
      <c r="BJ146" s="183">
        <f>Tabella34[[#This Row],[rest of Italy velocity]]/Tabella34[[#This Row],[rest of Italy cumul. fit]]</f>
        <v>1.6048886902093988E-2</v>
      </c>
      <c r="BK146" s="236">
        <f>(LN(Tabella34[[#This Row],[Day]]-po)-phi_o)/psi_o</f>
        <v>121.59235823196218</v>
      </c>
      <c r="BL146" s="244">
        <f>EXP(phi_o+psi_o*Tabella34[[#This Row],[x_o_alpha©+plus]])-(Tabella34[[#This Row],[Day]]-po)</f>
        <v>-65.457775103499088</v>
      </c>
      <c r="BM146" s="244">
        <f>EXP(phi_o+psi_o*Tabella34[[#This Row],[x_o_alpha©-minus]])-(Tabella34[[#This Row],[Day]]-po)</f>
        <v>-66.091366380526665</v>
      </c>
      <c r="BN146" s="244">
        <f>-psi_o+SQRT(psi_o^2-2*Tabella34[[#This Row],[c_o]])</f>
        <v>3.6463674474305328</v>
      </c>
      <c r="BO146" s="244">
        <f>-psi_o-SQRT(psi_o^2-2*Tabella34[[#This Row],[c_o]])</f>
        <v>-3.6953945330001621</v>
      </c>
      <c r="BP146" s="244">
        <f>phi_o-LN(alpha*Ko/(Tabella34[[#This Row],[rest of Italy velocity]]*psi_o*SQRTPI(2)))</f>
        <v>-6.7373831652722735</v>
      </c>
      <c r="BQ146" s="244">
        <f>(ACOSH(SQRT(alpha*Ka*psi_a/(Tabella34[[#This Row],[rest of Italy velocity]]*(1+TANH(phi_a)))))+phi_a)/psi_a-(Tabella34[[#This Row],[Day]]-pa)</f>
        <v>23.178713805794601</v>
      </c>
      <c r="BR146" s="72">
        <f>-2*$BY$35*TANH($BY$35*(Tabella34[[#This Row],[Day]]-$BY$44)-$BY$34)*Tabella34[[#This Row],[rest of Italy velocity]]</f>
        <v>-48.165575482318332</v>
      </c>
      <c r="BS146" s="77">
        <f>Tabella34[[#This Row],[rest of Italy acc. fit]]/y_a_peak</f>
        <v>-1.683056901097689E-2</v>
      </c>
      <c r="BT146" s="121">
        <f>Tabella34[[#This Row],[rest of Italy acc. fit]]*NOT(ISBLANK(Tabella34[[#This Row],[rest of Italy rate data]]))</f>
        <v>0</v>
      </c>
      <c r="BU146" s="189"/>
      <c r="BV146" s="122"/>
    </row>
    <row r="147" spans="2:74" x14ac:dyDescent="0.3">
      <c r="B147" s="262">
        <v>43970</v>
      </c>
      <c r="C147" s="4">
        <v>140</v>
      </c>
      <c r="E147" s="10"/>
      <c r="F147" s="10"/>
      <c r="G147" s="121">
        <f>Tabella34[[#This Row],[Italy rate data]]*NOT(ISBLANK(Tabella34[[#This Row],[Italy rate data]]))</f>
        <v>0</v>
      </c>
      <c r="H147" s="143">
        <f>Tabella8[[#This Row],[Italy fit]]</f>
        <v>156871.96998606343</v>
      </c>
      <c r="I147" s="143" t="e">
        <f>(ATANH(alpha*Tabella34[[#This Row],[Italy cumul. Fit]]/Kf-(1-alpha*Tabella34[[#This Row],[Italy cumul. Fit]]/Kf)*TANH(phi_f))+phi_f)/psi_f-(Tabella34[[#This Row],[Day]]-pf)</f>
        <v>#NUM!</v>
      </c>
      <c r="J147" s="143" t="e">
        <f>Tabella34[[#This Row],[Italy d.t.]]/Italy_dt_at_lockdown</f>
        <v>#NUM!</v>
      </c>
      <c r="K147" s="77">
        <f>Tabella34[[#This Row],[Italy cumul. Fit]]/Kf</f>
        <v>0.69720875549361527</v>
      </c>
      <c r="L147" s="146">
        <f>Tabella34[[#This Row],[sel. region acc. fit]]+Tabella34[[#This Row],[rest of Italy acc. fit]]</f>
        <v>-52.442208992109954</v>
      </c>
      <c r="M147" s="77">
        <f>Tabella34[[#This Row],[Italy (fit of selected region + fitted sum of the other regions)]]/(y_l_peak+y_a_peak)</f>
        <v>-1.7483122496429741E-2</v>
      </c>
      <c r="N147" s="143">
        <f>Tabella3[[#This Row],[Italy remov. rate fit]]</f>
        <v>2421.8529948597934</v>
      </c>
      <c r="O147" s="143">
        <f>Kt*EXP(-0.5*Tabella34[[#This Row],[x_t]]^2)/(psi_t*SQRTPI(2)*(Tabella34[[#This Row],[Day]]-D_bk))</f>
        <v>0</v>
      </c>
      <c r="P147" s="183">
        <f>Tabella34[[#This Row],[Italy velocity]]/Tabella34[[#This Row],[Italy cumul. Fit]]</f>
        <v>1.5438404930306873E-2</v>
      </c>
      <c r="Q147" s="244">
        <f>(LN(Tabella34[[#This Row],[Day]]-D_bk)-phi_t)/psi_t</f>
        <v>121.05599748471775</v>
      </c>
      <c r="R147" s="244">
        <f>EXP(phi_t+psi_t*Tabella34[[#This Row],[x_t_alpha©+plus]])-(Tabella34[[#This Row],[Day]]-D_bk)</f>
        <v>-66.293733119716748</v>
      </c>
      <c r="S147" s="244">
        <f>EXP(phi_t+psi_t*Tabella34[[#This Row],[x_t_alpha©-minus]])-(Tabella34[[#This Row],[Day]]-D_bk)</f>
        <v>-66.934518555143597</v>
      </c>
      <c r="T147" s="244">
        <f>-psi_t+SQRT(psi_t^2-2*Tabella34[[#This Row],[c_t]])</f>
        <v>3.6484783949322135</v>
      </c>
      <c r="U147" s="244">
        <f>-psi_t-SQRT(psi_t^2-2*Tabella34[[#This Row],[c_t]])</f>
        <v>-3.6978711293520186</v>
      </c>
      <c r="V147" s="244">
        <f>phi_t-LN(alpha*Kt/(Tabella34[[#This Row],[Italy velocity]]*psi_t*SQRTPI(2)))</f>
        <v>-6.7458014613422117</v>
      </c>
      <c r="W147" s="244">
        <f>Tabella34[[#This Row],[Italy g.r.]]/Italy_gr_at_lockdown</f>
        <v>1.7418263314162727E-2</v>
      </c>
      <c r="X147" s="244">
        <f>(ACOSH(SQRT(alpha*Kf*psi_f/(Tabella34[[#This Row],[Italy velocity]]*(1+TANH(phi_f)))))+phi_f)/psi_f-(Tabella34[[#This Row],[Day]]-pf)</f>
        <v>22.458557374888485</v>
      </c>
      <c r="Y147" s="244">
        <f>Tabella34[[#This Row],[Italy h.t.]]/Italy_ht_at_lockdown</f>
        <v>0.19427211673437172</v>
      </c>
      <c r="Z147" s="72">
        <f>-2*$BY$48*TANH($BY$48*(Tabella34[[#This Row],[Day]]-$BY$57)-$BY$47)*Tabella34[[#This Row],[Italy velocity]]</f>
        <v>-52.564805071430541</v>
      </c>
      <c r="AA147" s="72">
        <f>Tabella34[[#This Row],[Italy acc. fit]]/Itali_acc_at_lockdown</f>
        <v>-1.4557432654023292</v>
      </c>
      <c r="AB147" s="77">
        <f>Tabella34[[#This Row],[Italy acc. fit]]/y_f_peak</f>
        <v>-1.7513393698323877E-2</v>
      </c>
      <c r="AC147" s="143">
        <f>Tabella34[[#This Row],[Italy (fit of selected region + fitted sum of the other regions)]]*NOT(ISBLANK(Tabella34[[#This Row],[Italy rate data]]))</f>
        <v>0</v>
      </c>
      <c r="AD147" s="143">
        <f>Tabella34[[#This Row],[Italy acc. fit]]*NOT(ISBLANK(Tabella34[[#This Row],[Italy rate data]]))</f>
        <v>0</v>
      </c>
      <c r="AE147" s="77">
        <f>Tabella34[[#This Row],[Italy acc. fit]]+CIf</f>
        <v>1663.0500542631207</v>
      </c>
      <c r="AF147" s="77">
        <f>MAX(Tabella34[[#This Row],[Italy acc. fit]]-CIf,0)</f>
        <v>0</v>
      </c>
      <c r="AH147" s="10"/>
      <c r="AI147" s="10"/>
      <c r="AJ147" s="121">
        <f>Tabella34[[#This Row],[selected region rate data]]*NOT(ISBLANK(Tabella34[[#This Row],[selected region rate data]]))</f>
        <v>0</v>
      </c>
      <c r="AK147" s="77">
        <f>Tabella8[[#This Row],[region fit]]</f>
        <v>6773.3531000597977</v>
      </c>
      <c r="AL147" s="143" t="e">
        <f>(ATANH(alpha*Tabella34[[#This Row],[sel. region cumul. fit]]/Kl-(1-alpha*Tabella34[[#This Row],[sel. region cumul. fit]]/Kl)*TANH(phi_l))+phi_l)/psi_l-(Tabella34[[#This Row],[Day]]-pl)</f>
        <v>#NUM!</v>
      </c>
      <c r="AM147" s="77">
        <f>Tabella34[[#This Row],[sel. region cumul. fit]]/Kl</f>
        <v>0.75511182832327739</v>
      </c>
      <c r="AN147" s="143">
        <f>Tabella3[[#This Row],[region fit]]</f>
        <v>96.054271640455042</v>
      </c>
      <c r="AO147" s="186">
        <f>Tabella34[[#This Row],[sel. region velocity]]/Tabella34[[#This Row],[sel. region cumul. fit]]</f>
        <v>1.4181199506579251E-2</v>
      </c>
      <c r="AP147" s="241">
        <f>(LN(Tabella34[[#This Row],[Day]]-pr)-phi_r)/psi_r</f>
        <v>105.06086913726357</v>
      </c>
      <c r="AQ147" s="244">
        <f>EXP(phi_r+psi_r*Tabella34[[#This Row],[x_r_alpha©+plus]])-(Tabella34[[#This Row],[Day]]-pr)</f>
        <v>-61.054355198197719</v>
      </c>
      <c r="AR147" s="244">
        <f>EXP(phi_r+psi_r*Tabella34[[#This Row],[x_r_alpha©-minus]])-(Tabella34[[#This Row],[Day]]-pr)</f>
        <v>-61.744334735242106</v>
      </c>
      <c r="AS147" s="244">
        <f>-psi_r+SQRT(psi_r^2-2*Tabella34[[#This Row],[c_r]])</f>
        <v>3.6247638616276503</v>
      </c>
      <c r="AT147" s="244">
        <f>-psi_r-SQRT(psi_r^2-2*Tabella34[[#This Row],[c_r]])</f>
        <v>-3.6811721000463113</v>
      </c>
      <c r="AU147" s="244">
        <f>phi_r-LN(alpha*Kr/(Tabella34[[#This Row],[sel. region velocity]]*psi_r*SQRTPI(2)))</f>
        <v>-6.6716897983399175</v>
      </c>
      <c r="AV147" s="244">
        <f>(ACOSH(SQRT(alpha*Kl*psi_l/(Tabella34[[#This Row],[sel. region velocity]]*(1+TANH(phi_l)))))+phi_l)/psi_l-(Tabella34[[#This Row],[Day]]-pl)</f>
        <v>17.720965444331242</v>
      </c>
      <c r="AW147" s="72">
        <f>-2*$BY$22*TANH($BY$22*(Tabella34[[#This Row],[Day]]-$BY$31)-$BY$21)*Tabella34[[#This Row],[sel. region velocity]]</f>
        <v>-2.9822085561778575</v>
      </c>
      <c r="AX147" s="77">
        <f>Tabella34[[#This Row],[sel. region acc. fit]]/y_l_peak</f>
        <v>-2.1641685059732314E-2</v>
      </c>
      <c r="AY147" s="143">
        <f>Tabella34[[#This Row],[sel. region acc. fit]]*NOT(ISBLANK(Tabella34[[#This Row],[selected region rate data]]))</f>
        <v>0</v>
      </c>
      <c r="AZ147" s="77">
        <f>Tabella34[[#This Row],[sel. region acc. fit]]+CIl</f>
        <v>50.782631853370596</v>
      </c>
      <c r="BA147" s="77">
        <f>MAX(Tabella34[[#This Row],[sel. region acc. fit]]-CIl,0)</f>
        <v>0</v>
      </c>
      <c r="BC147" s="10"/>
      <c r="BD147" s="10"/>
      <c r="BE147" s="77">
        <f>Tabella34[[#This Row],[rest of Italy rate data]]*NOT(ISBLANK(Tabella34[[#This Row],[rest of Italy rate data]]))</f>
        <v>0</v>
      </c>
      <c r="BF147" s="77">
        <f>Tabella8[[#This Row],[rest of Italy fit]]</f>
        <v>150024.16811306158</v>
      </c>
      <c r="BG147" s="78" t="e">
        <f>(ATANH(alpha*Tabella34[[#This Row],[rest of Italy cumul. fit]]/Ka-(1-alpha*Tabella34[[#This Row],[rest of Italy cumul. fit]]/Ka)*TANH(phi_a))+phi_a)/psi_a-(Tabella34[[#This Row],[Day]]-pa)</f>
        <v>#NUM!</v>
      </c>
      <c r="BH147" s="77">
        <f>Tabella34[[#This Row],[rest of Italy cumul. fit]]/Ka</f>
        <v>0.69445988109550327</v>
      </c>
      <c r="BI147" s="143">
        <f>Tabella3[[#This Row],[rest of Italy fit]]</f>
        <v>2321.246878559899</v>
      </c>
      <c r="BJ147" s="183">
        <f>Tabella34[[#This Row],[rest of Italy velocity]]/Tabella34[[#This Row],[rest of Italy cumul. fit]]</f>
        <v>1.5472486251752153E-2</v>
      </c>
      <c r="BK147" s="236">
        <f>(LN(Tabella34[[#This Row],[Day]]-po)-phi_o)/psi_o</f>
        <v>122.17676815268567</v>
      </c>
      <c r="BL147" s="244">
        <f>EXP(phi_o+psi_o*Tabella34[[#This Row],[x_o_alpha©+plus]])-(Tabella34[[#This Row],[Day]]-po)</f>
        <v>-66.457240736802021</v>
      </c>
      <c r="BM147" s="244">
        <f>EXP(phi_o+psi_o*Tabella34[[#This Row],[x_o_alpha©-minus]])-(Tabella34[[#This Row],[Day]]-po)</f>
        <v>-67.09181267134673</v>
      </c>
      <c r="BN147" s="244">
        <f>-psi_o+SQRT(psi_o^2-2*Tabella34[[#This Row],[c_o]])</f>
        <v>3.6520338280139191</v>
      </c>
      <c r="BO147" s="244">
        <f>-psi_o-SQRT(psi_o^2-2*Tabella34[[#This Row],[c_o]])</f>
        <v>-3.7010609135835484</v>
      </c>
      <c r="BP147" s="244">
        <f>phi_o-LN(alpha*Ko/(Tabella34[[#This Row],[rest of Italy velocity]]*psi_o*SQRTPI(2)))</f>
        <v>-6.75819982797361</v>
      </c>
      <c r="BQ147" s="244">
        <f>(ACOSH(SQRT(alpha*Ka*psi_a/(Tabella34[[#This Row],[rest of Italy velocity]]*(1+TANH(phi_a)))))+phi_a)/psi_a-(Tabella34[[#This Row],[Day]]-pa)</f>
        <v>22.731403767623789</v>
      </c>
      <c r="BR147" s="72">
        <f>-2*$BY$35*TANH($BY$35*(Tabella34[[#This Row],[Day]]-$BY$44)-$BY$34)*Tabella34[[#This Row],[rest of Italy velocity]]</f>
        <v>-49.460000435932095</v>
      </c>
      <c r="BS147" s="77">
        <f>Tabella34[[#This Row],[rest of Italy acc. fit]]/y_a_peak</f>
        <v>-1.7282881856679828E-2</v>
      </c>
      <c r="BT147" s="121">
        <f>Tabella34[[#This Row],[rest of Italy acc. fit]]*NOT(ISBLANK(Tabella34[[#This Row],[rest of Italy rate data]]))</f>
        <v>0</v>
      </c>
      <c r="BU147" s="189"/>
      <c r="BV147" s="122"/>
    </row>
    <row r="148" spans="2:74" x14ac:dyDescent="0.3">
      <c r="B148" s="262">
        <v>43971</v>
      </c>
      <c r="C148" s="4">
        <v>141</v>
      </c>
      <c r="E148" s="10"/>
      <c r="F148" s="10"/>
      <c r="G148" s="121">
        <f>Tabella34[[#This Row],[Italy rate data]]*NOT(ISBLANK(Tabella34[[#This Row],[Italy rate data]]))</f>
        <v>0</v>
      </c>
      <c r="H148" s="143">
        <f>Tabella8[[#This Row],[Italy fit]]</f>
        <v>159267.3409982727</v>
      </c>
      <c r="I148" s="143" t="e">
        <f>(ATANH(alpha*Tabella34[[#This Row],[Italy cumul. Fit]]/Kf-(1-alpha*Tabella34[[#This Row],[Italy cumul. Fit]]/Kf)*TANH(phi_f))+phi_f)/psi_f-(Tabella34[[#This Row],[Day]]-pf)</f>
        <v>#NUM!</v>
      </c>
      <c r="J148" s="143" t="e">
        <f>Tabella34[[#This Row],[Italy d.t.]]/Italy_dt_at_lockdown</f>
        <v>#NUM!</v>
      </c>
      <c r="K148" s="77">
        <f>Tabella34[[#This Row],[Italy cumul. Fit]]/Kf</f>
        <v>0.70785484888121197</v>
      </c>
      <c r="L148" s="146">
        <f>Tabella34[[#This Row],[sel. region acc. fit]]+Tabella34[[#This Row],[rest of Italy acc. fit]]</f>
        <v>-53.575169787367017</v>
      </c>
      <c r="M148" s="77">
        <f>Tabella34[[#This Row],[Italy (fit of selected region + fitted sum of the other regions)]]/(y_l_peak+y_a_peak)</f>
        <v>-1.7860827645541821E-2</v>
      </c>
      <c r="N148" s="143">
        <f>Tabella3[[#This Row],[Italy remov. rate fit]]</f>
        <v>2368.6969957296687</v>
      </c>
      <c r="O148" s="143">
        <f>Kt*EXP(-0.5*Tabella34[[#This Row],[x_t]]^2)/(psi_t*SQRTPI(2)*(Tabella34[[#This Row],[Day]]-D_bk))</f>
        <v>0</v>
      </c>
      <c r="P148" s="183">
        <f>Tabella34[[#This Row],[Italy velocity]]/Tabella34[[#This Row],[Italy cumul. Fit]]</f>
        <v>1.4872458979241438E-2</v>
      </c>
      <c r="Q148" s="244">
        <f>(LN(Tabella34[[#This Row],[Day]]-D_bk)-phi_t)/psi_t</f>
        <v>121.62909290898857</v>
      </c>
      <c r="R148" s="244">
        <f>EXP(phi_t+psi_t*Tabella34[[#This Row],[x_t_alpha©+plus]])-(Tabella34[[#This Row],[Day]]-D_bk)</f>
        <v>-67.293157294122096</v>
      </c>
      <c r="S148" s="244">
        <f>EXP(phi_t+psi_t*Tabella34[[#This Row],[x_t_alpha©-minus]])-(Tabella34[[#This Row],[Day]]-D_bk)</f>
        <v>-67.934998767104645</v>
      </c>
      <c r="T148" s="244">
        <f>-psi_t+SQRT(psi_t^2-2*Tabella34[[#This Row],[c_t]])</f>
        <v>3.6545153285256222</v>
      </c>
      <c r="U148" s="244">
        <f>-psi_t-SQRT(psi_t^2-2*Tabella34[[#This Row],[c_t]])</f>
        <v>-3.7039080629454273</v>
      </c>
      <c r="V148" s="244">
        <f>phi_t-LN(alpha*Kt/(Tabella34[[#This Row],[Italy velocity]]*psi_t*SQRTPI(2)))</f>
        <v>-6.7679943957418542</v>
      </c>
      <c r="W148" s="244">
        <f>Tabella34[[#This Row],[Italy g.r.]]/Italy_gr_at_lockdown</f>
        <v>1.6779739085672624E-2</v>
      </c>
      <c r="X148" s="244">
        <f>(ACOSH(SQRT(alpha*Kf*psi_f/(Tabella34[[#This Row],[Italy velocity]]*(1+TANH(phi_f)))))+phi_f)/psi_f-(Tabella34[[#This Row],[Day]]-pf)</f>
        <v>22.038147079402066</v>
      </c>
      <c r="Y148" s="244">
        <f>Tabella34[[#This Row],[Italy h.t.]]/Italy_ht_at_lockdown</f>
        <v>0.19063546293521044</v>
      </c>
      <c r="Z148" s="72">
        <f>-2*$BY$48*TANH($BY$48*(Tabella34[[#This Row],[Day]]-$BY$57)-$BY$47)*Tabella34[[#This Row],[Italy velocity]]</f>
        <v>-53.717057567496305</v>
      </c>
      <c r="AA148" s="72">
        <f>Tabella34[[#This Row],[Italy acc. fit]]/Itali_acc_at_lockdown</f>
        <v>-1.4876540431349083</v>
      </c>
      <c r="AB148" s="77">
        <f>Tabella34[[#This Row],[Italy acc. fit]]/y_f_peak</f>
        <v>-1.7897297939499197E-2</v>
      </c>
      <c r="AC148" s="143">
        <f>Tabella34[[#This Row],[Italy (fit of selected region + fitted sum of the other regions)]]*NOT(ISBLANK(Tabella34[[#This Row],[Italy rate data]]))</f>
        <v>0</v>
      </c>
      <c r="AD148" s="143">
        <f>Tabella34[[#This Row],[Italy acc. fit]]*NOT(ISBLANK(Tabella34[[#This Row],[Italy rate data]]))</f>
        <v>0</v>
      </c>
      <c r="AE148" s="77">
        <f>Tabella34[[#This Row],[Italy acc. fit]]+CIf</f>
        <v>1661.8978017670549</v>
      </c>
      <c r="AF148" s="77">
        <f>MAX(Tabella34[[#This Row],[Italy acc. fit]]-CIf,0)</f>
        <v>0</v>
      </c>
      <c r="AH148" s="10"/>
      <c r="AI148" s="10"/>
      <c r="AJ148" s="121">
        <f>Tabella34[[#This Row],[selected region rate data]]*NOT(ISBLANK(Tabella34[[#This Row],[selected region rate data]]))</f>
        <v>0</v>
      </c>
      <c r="AK148" s="77">
        <f>Tabella8[[#This Row],[region fit]]</f>
        <v>6867.9143718003515</v>
      </c>
      <c r="AL148" s="143" t="e">
        <f>(ATANH(alpha*Tabella34[[#This Row],[sel. region cumul. fit]]/Kl-(1-alpha*Tabella34[[#This Row],[sel. region cumul. fit]]/Kl)*TANH(phi_l))+phi_l)/psi_l-(Tabella34[[#This Row],[Day]]-pl)</f>
        <v>#NUM!</v>
      </c>
      <c r="AM148" s="77">
        <f>Tabella34[[#This Row],[sel. region cumul. fit]]/Kl</f>
        <v>0.7656537761204405</v>
      </c>
      <c r="AN148" s="143">
        <f>Tabella3[[#This Row],[region fit]]</f>
        <v>93.066798006797015</v>
      </c>
      <c r="AO148" s="186">
        <f>Tabella34[[#This Row],[sel. region velocity]]/Tabella34[[#This Row],[sel. region cumul. fit]]</f>
        <v>1.3550954914191881E-2</v>
      </c>
      <c r="AP148" s="241">
        <f>(LN(Tabella34[[#This Row],[Day]]-pr)-phi_r)/psi_r</f>
        <v>105.60418341051398</v>
      </c>
      <c r="AQ148" s="244">
        <f>EXP(phi_r+psi_r*Tabella34[[#This Row],[x_r_alpha©+plus]])-(Tabella34[[#This Row],[Day]]-pr)</f>
        <v>-62.053452253412345</v>
      </c>
      <c r="AR148" s="244">
        <f>EXP(phi_r+psi_r*Tabella34[[#This Row],[x_r_alpha©-minus]])-(Tabella34[[#This Row],[Day]]-pr)</f>
        <v>-62.745069360309948</v>
      </c>
      <c r="AS148" s="244">
        <f>-psi_r+SQRT(psi_r^2-2*Tabella34[[#This Row],[c_r]])</f>
        <v>3.6334030149219414</v>
      </c>
      <c r="AT148" s="244">
        <f>-psi_r-SQRT(psi_r^2-2*Tabella34[[#This Row],[c_r]])</f>
        <v>-3.6898112533406024</v>
      </c>
      <c r="AU148" s="244">
        <f>phi_r-LN(alpha*Kr/(Tabella34[[#This Row],[sel. region velocity]]*psi_r*SQRTPI(2)))</f>
        <v>-6.7032856661903253</v>
      </c>
      <c r="AV148" s="244">
        <f>(ACOSH(SQRT(alpha*Kl*psi_l/(Tabella34[[#This Row],[sel. region velocity]]*(1+TANH(phi_l)))))+phi_l)/psi_l-(Tabella34[[#This Row],[Day]]-pl)</f>
        <v>17.412056997989936</v>
      </c>
      <c r="AW148" s="72">
        <f>-2*$BY$22*TANH($BY$22*(Tabella34[[#This Row],[Day]]-$BY$31)-$BY$21)*Tabella34[[#This Row],[sel. region velocity]]</f>
        <v>-2.9910613677409921</v>
      </c>
      <c r="AX148" s="77">
        <f>Tabella34[[#This Row],[sel. region acc. fit]]/y_l_peak</f>
        <v>-2.1705929312316734E-2</v>
      </c>
      <c r="AY148" s="143">
        <f>Tabella34[[#This Row],[sel. region acc. fit]]*NOT(ISBLANK(Tabella34[[#This Row],[selected region rate data]]))</f>
        <v>0</v>
      </c>
      <c r="AZ148" s="77">
        <f>Tabella34[[#This Row],[sel. region acc. fit]]+CIl</f>
        <v>50.773779041807465</v>
      </c>
      <c r="BA148" s="77">
        <f>MAX(Tabella34[[#This Row],[sel. region acc. fit]]-CIl,0)</f>
        <v>0</v>
      </c>
      <c r="BC148" s="10"/>
      <c r="BD148" s="10"/>
      <c r="BE148" s="77">
        <f>Tabella34[[#This Row],[rest of Italy rate data]]*NOT(ISBLANK(Tabella34[[#This Row],[rest of Italy rate data]]))</f>
        <v>0</v>
      </c>
      <c r="BF148" s="77">
        <f>Tabella8[[#This Row],[rest of Italy fit]]</f>
        <v>152320.49058446789</v>
      </c>
      <c r="BG148" s="78" t="e">
        <f>(ATANH(alpha*Tabella34[[#This Row],[rest of Italy cumul. fit]]/Ka-(1-alpha*Tabella34[[#This Row],[rest of Italy cumul. fit]]/Ka)*TANH(phi_a))+phi_a)/psi_a-(Tabella34[[#This Row],[Day]]-pa)</f>
        <v>#NUM!</v>
      </c>
      <c r="BH148" s="77">
        <f>Tabella34[[#This Row],[rest of Italy cumul. fit]]/Ka</f>
        <v>0.70508952730855845</v>
      </c>
      <c r="BI148" s="143">
        <f>Tabella3[[#This Row],[rest of Italy fit]]</f>
        <v>2271.2107198851827</v>
      </c>
      <c r="BJ148" s="183">
        <f>Tabella34[[#This Row],[rest of Italy velocity]]/Tabella34[[#This Row],[rest of Italy cumul. fit]]</f>
        <v>1.4910736639373574E-2</v>
      </c>
      <c r="BK148" s="236">
        <f>(LN(Tabella34[[#This Row],[Day]]-po)-phi_o)/psi_o</f>
        <v>122.75292395070529</v>
      </c>
      <c r="BL148" s="244">
        <f>EXP(phi_o+psi_o*Tabella34[[#This Row],[x_o_alpha©+plus]])-(Tabella34[[#This Row],[Day]]-po)</f>
        <v>-67.456682148932103</v>
      </c>
      <c r="BM148" s="244">
        <f>EXP(phi_o+psi_o*Tabella34[[#This Row],[x_o_alpha©-minus]])-(Tabella34[[#This Row],[Day]]-po)</f>
        <v>-68.09227905862447</v>
      </c>
      <c r="BN148" s="244">
        <f>-psi_o+SQRT(psi_o^2-2*Tabella34[[#This Row],[c_o]])</f>
        <v>3.6579562066460944</v>
      </c>
      <c r="BO148" s="244">
        <f>-psi_o-SQRT(psi_o^2-2*Tabella34[[#This Row],[c_o]])</f>
        <v>-3.7069832922157238</v>
      </c>
      <c r="BP148" s="244">
        <f>phi_o-LN(alpha*Ko/(Tabella34[[#This Row],[rest of Italy velocity]]*psi_o*SQRTPI(2)))</f>
        <v>-6.7799912708469394</v>
      </c>
      <c r="BQ148" s="244">
        <f>(ACOSH(SQRT(alpha*Ka*psi_a/(Tabella34[[#This Row],[rest of Italy velocity]]*(1+TANH(phi_a)))))+phi_a)/psi_a-(Tabella34[[#This Row],[Day]]-pa)</f>
        <v>22.305786738116936</v>
      </c>
      <c r="BR148" s="72">
        <f>-2*$BY$35*TANH($BY$35*(Tabella34[[#This Row],[Day]]-$BY$44)-$BY$34)*Tabella34[[#This Row],[rest of Italy velocity]]</f>
        <v>-50.584108419626027</v>
      </c>
      <c r="BS148" s="77">
        <f>Tabella34[[#This Row],[rest of Italy acc. fit]]/y_a_peak</f>
        <v>-1.7675680589091861E-2</v>
      </c>
      <c r="BT148" s="121">
        <f>Tabella34[[#This Row],[rest of Italy acc. fit]]*NOT(ISBLANK(Tabella34[[#This Row],[rest of Italy rate data]]))</f>
        <v>0</v>
      </c>
      <c r="BU148" s="189"/>
      <c r="BV148" s="122"/>
    </row>
    <row r="149" spans="2:74" x14ac:dyDescent="0.3">
      <c r="B149" s="262">
        <v>43972</v>
      </c>
      <c r="C149" s="4">
        <v>142</v>
      </c>
      <c r="E149" s="10"/>
      <c r="F149" s="10"/>
      <c r="G149" s="121">
        <f>Tabella34[[#This Row],[Italy rate data]]*NOT(ISBLANK(Tabella34[[#This Row],[Italy rate data]]))</f>
        <v>0</v>
      </c>
      <c r="H149" s="143">
        <f>Tabella8[[#This Row],[Italy fit]]</f>
        <v>161609.00988533389</v>
      </c>
      <c r="I149" s="143" t="e">
        <f>(ATANH(alpha*Tabella34[[#This Row],[Italy cumul. Fit]]/Kf-(1-alpha*Tabella34[[#This Row],[Italy cumul. Fit]]/Kf)*TANH(phi_f))+phi_f)/psi_f-(Tabella34[[#This Row],[Day]]-pf)</f>
        <v>#NUM!</v>
      </c>
      <c r="J149" s="143" t="e">
        <f>Tabella34[[#This Row],[Italy d.t.]]/Italy_dt_at_lockdown</f>
        <v>#NUM!</v>
      </c>
      <c r="K149" s="77">
        <f>Tabella34[[#This Row],[Italy cumul. Fit]]/Kf</f>
        <v>0.71826226615703948</v>
      </c>
      <c r="L149" s="146">
        <f>Tabella34[[#This Row],[sel. region acc. fit]]+Tabella34[[#This Row],[rest of Italy acc. fit]]</f>
        <v>-54.530548144982433</v>
      </c>
      <c r="M149" s="77">
        <f>Tabella34[[#This Row],[Italy (fit of selected region + fitted sum of the other regions)]]/(y_l_peak+y_a_peak)</f>
        <v>-1.8179330568619319E-2</v>
      </c>
      <c r="N149" s="143">
        <f>Tabella3[[#This Row],[Italy remov. rate fit]]</f>
        <v>2314.4786037631188</v>
      </c>
      <c r="O149" s="143">
        <f>Kt*EXP(-0.5*Tabella34[[#This Row],[x_t]]^2)/(psi_t*SQRTPI(2)*(Tabella34[[#This Row],[Day]]-D_bk))</f>
        <v>0</v>
      </c>
      <c r="P149" s="183">
        <f>Tabella34[[#This Row],[Italy velocity]]/Tabella34[[#This Row],[Italy cumul. Fit]]</f>
        <v>1.4321470104948395E-2</v>
      </c>
      <c r="Q149" s="244">
        <f>(LN(Tabella34[[#This Row],[Day]]-D_bk)-phi_t)/psi_t</f>
        <v>122.1941901681638</v>
      </c>
      <c r="R149" s="244">
        <f>EXP(phi_t+psi_t*Tabella34[[#This Row],[x_t_alpha©+plus]])-(Tabella34[[#This Row],[Day]]-D_bk)</f>
        <v>-68.29255740566937</v>
      </c>
      <c r="S149" s="244">
        <f>EXP(phi_t+psi_t*Tabella34[[#This Row],[x_t_alpha©-minus]])-(Tabella34[[#This Row],[Day]]-D_bk)</f>
        <v>-68.935498894122901</v>
      </c>
      <c r="T149" s="244">
        <f>-psi_t+SQRT(psi_t^2-2*Tabella34[[#This Row],[c_t]])</f>
        <v>3.6608035791010272</v>
      </c>
      <c r="U149" s="244">
        <f>-psi_t-SQRT(psi_t^2-2*Tabella34[[#This Row],[c_t]])</f>
        <v>-3.7101963135208322</v>
      </c>
      <c r="V149" s="244">
        <f>phi_t-LN(alpha*Kt/(Tabella34[[#This Row],[Italy velocity]]*psi_t*SQRTPI(2)))</f>
        <v>-6.7911499718522501</v>
      </c>
      <c r="W149" s="244">
        <f>Tabella34[[#This Row],[Italy g.r.]]/Italy_gr_at_lockdown</f>
        <v>1.6158090065651772E-2</v>
      </c>
      <c r="X149" s="244">
        <f>(ACOSH(SQRT(alpha*Kf*psi_f/(Tabella34[[#This Row],[Italy velocity]]*(1+TANH(phi_f)))))+phi_f)/psi_f-(Tabella34[[#This Row],[Day]]-pf)</f>
        <v>21.638426563688384</v>
      </c>
      <c r="Y149" s="244">
        <f>Tabella34[[#This Row],[Italy h.t.]]/Italy_ht_at_lockdown</f>
        <v>0.18717778088584253</v>
      </c>
      <c r="Z149" s="72">
        <f>-2*$BY$48*TANH($BY$48*(Tabella34[[#This Row],[Day]]-$BY$57)-$BY$47)*Tabella34[[#This Row],[Italy velocity]]</f>
        <v>-54.690171783975885</v>
      </c>
      <c r="AA149" s="72">
        <f>Tabella34[[#This Row],[Italy acc. fit]]/Itali_acc_at_lockdown</f>
        <v>-1.5146037191620976</v>
      </c>
      <c r="AB149" s="77">
        <f>Tabella34[[#This Row],[Italy acc. fit]]/y_f_peak</f>
        <v>-1.8221517393247455E-2</v>
      </c>
      <c r="AC149" s="143">
        <f>Tabella34[[#This Row],[Italy (fit of selected region + fitted sum of the other regions)]]*NOT(ISBLANK(Tabella34[[#This Row],[Italy rate data]]))</f>
        <v>0</v>
      </c>
      <c r="AD149" s="143">
        <f>Tabella34[[#This Row],[Italy acc. fit]]*NOT(ISBLANK(Tabella34[[#This Row],[Italy rate data]]))</f>
        <v>0</v>
      </c>
      <c r="AE149" s="77">
        <f>Tabella34[[#This Row],[Italy acc. fit]]+CIf</f>
        <v>1660.9246875505753</v>
      </c>
      <c r="AF149" s="77">
        <f>MAX(Tabella34[[#This Row],[Italy acc. fit]]-CIf,0)</f>
        <v>0</v>
      </c>
      <c r="AH149" s="10"/>
      <c r="AI149" s="10"/>
      <c r="AJ149" s="121">
        <f>Tabella34[[#This Row],[selected region rate data]]*NOT(ISBLANK(Tabella34[[#This Row],[selected region rate data]]))</f>
        <v>0</v>
      </c>
      <c r="AK149" s="77">
        <f>Tabella8[[#This Row],[region fit]]</f>
        <v>6959.4853959104294</v>
      </c>
      <c r="AL149" s="143" t="e">
        <f>(ATANH(alpha*Tabella34[[#This Row],[sel. region cumul. fit]]/Kl-(1-alpha*Tabella34[[#This Row],[sel. region cumul. fit]]/Kl)*TANH(phi_l))+phi_l)/psi_l-(Tabella34[[#This Row],[Day]]-pl)</f>
        <v>#NUM!</v>
      </c>
      <c r="AM149" s="77">
        <f>Tabella34[[#This Row],[sel. region cumul. fit]]/Kl</f>
        <v>0.77586236297775135</v>
      </c>
      <c r="AN149" s="143">
        <f>Tabella3[[#This Row],[region fit]]</f>
        <v>90.075403663419394</v>
      </c>
      <c r="AO149" s="186">
        <f>Tabella34[[#This Row],[sel. region velocity]]/Tabella34[[#This Row],[sel. region cumul. fit]]</f>
        <v>1.2942825300897964E-2</v>
      </c>
      <c r="AP149" s="241">
        <f>(LN(Tabella34[[#This Row],[Day]]-pr)-phi_r)/psi_r</f>
        <v>106.13929759619752</v>
      </c>
      <c r="AQ149" s="244">
        <f>EXP(phi_r+psi_r*Tabella34[[#This Row],[x_r_alpha©+plus]])-(Tabella34[[#This Row],[Day]]-pr)</f>
        <v>-63.052520606287978</v>
      </c>
      <c r="AR149" s="244">
        <f>EXP(phi_r+psi_r*Tabella34[[#This Row],[x_r_alpha©-minus]])-(Tabella34[[#This Row],[Day]]-pr)</f>
        <v>-63.745826962149522</v>
      </c>
      <c r="AS149" s="244">
        <f>-psi_r+SQRT(psi_r^2-2*Tabella34[[#This Row],[c_r]])</f>
        <v>3.6423145792279179</v>
      </c>
      <c r="AT149" s="244">
        <f>-psi_r-SQRT(psi_r^2-2*Tabella34[[#This Row],[c_r]])</f>
        <v>-3.698722817646579</v>
      </c>
      <c r="AU149" s="244">
        <f>phi_r-LN(alpha*Kr/(Tabella34[[#This Row],[sel. region velocity]]*psi_r*SQRTPI(2)))</f>
        <v>-6.7359560216185486</v>
      </c>
      <c r="AV149" s="244">
        <f>(ACOSH(SQRT(alpha*Kl*psi_l/(Tabella34[[#This Row],[sel. region velocity]]*(1+TANH(phi_l)))))+phi_l)/psi_l-(Tabella34[[#This Row],[Day]]-pl)</f>
        <v>17.1208223154851</v>
      </c>
      <c r="AW149" s="72">
        <f>-2*$BY$22*TANH($BY$22*(Tabella34[[#This Row],[Day]]-$BY$31)-$BY$21)*Tabella34[[#This Row],[sel. region velocity]]</f>
        <v>-2.990151047815921</v>
      </c>
      <c r="AX149" s="77">
        <f>Tabella34[[#This Row],[sel. region acc. fit]]/y_l_peak</f>
        <v>-2.1699323182413053E-2</v>
      </c>
      <c r="AY149" s="143">
        <f>Tabella34[[#This Row],[sel. region acc. fit]]*NOT(ISBLANK(Tabella34[[#This Row],[selected region rate data]]))</f>
        <v>0</v>
      </c>
      <c r="AZ149" s="77">
        <f>Tabella34[[#This Row],[sel. region acc. fit]]+CIl</f>
        <v>50.774689361732534</v>
      </c>
      <c r="BA149" s="77">
        <f>MAX(Tabella34[[#This Row],[sel. region acc. fit]]-CIl,0)</f>
        <v>0</v>
      </c>
      <c r="BC149" s="10"/>
      <c r="BD149" s="10"/>
      <c r="BE149" s="77">
        <f>Tabella34[[#This Row],[rest of Italy rate data]]*NOT(ISBLANK(Tabella34[[#This Row],[rest of Italy rate data]]))</f>
        <v>0</v>
      </c>
      <c r="BF149" s="77">
        <f>Tabella8[[#This Row],[rest of Italy fit]]</f>
        <v>154566.24293637427</v>
      </c>
      <c r="BG149" s="78" t="e">
        <f>(ATANH(alpha*Tabella34[[#This Row],[rest of Italy cumul. fit]]/Ka-(1-alpha*Tabella34[[#This Row],[rest of Italy cumul. fit]]/Ka)*TANH(phi_a))+phi_a)/psi_a-(Tabella34[[#This Row],[Day]]-pa)</f>
        <v>#NUM!</v>
      </c>
      <c r="BH149" s="77">
        <f>Tabella34[[#This Row],[rest of Italy cumul. fit]]/Ka</f>
        <v>0.71548508511028219</v>
      </c>
      <c r="BI149" s="143">
        <f>Tabella3[[#This Row],[rest of Italy fit]]</f>
        <v>2220.1346120957755</v>
      </c>
      <c r="BJ149" s="183">
        <f>Tabella34[[#This Row],[rest of Italy velocity]]/Tabella34[[#This Row],[rest of Italy cumul. fit]]</f>
        <v>1.436364480315196E-2</v>
      </c>
      <c r="BK149" s="236">
        <f>(LN(Tabella34[[#This Row],[Day]]-po)-phi_o)/psi_o</f>
        <v>123.32105554259378</v>
      </c>
      <c r="BL149" s="244">
        <f>EXP(phi_o+psi_o*Tabella34[[#This Row],[x_o_alpha©+plus]])-(Tabella34[[#This Row],[Day]]-po)</f>
        <v>-68.456099982956943</v>
      </c>
      <c r="BM149" s="244">
        <f>EXP(phi_o+psi_o*Tabella34[[#This Row],[x_o_alpha©-minus]])-(Tabella34[[#This Row],[Day]]-po)</f>
        <v>-69.092764988120834</v>
      </c>
      <c r="BN149" s="244">
        <f>-psi_o+SQRT(psi_o^2-2*Tabella34[[#This Row],[c_o]])</f>
        <v>3.6641276551900037</v>
      </c>
      <c r="BO149" s="244">
        <f>-psi_o-SQRT(psi_o^2-2*Tabella34[[#This Row],[c_o]])</f>
        <v>-3.713154740759633</v>
      </c>
      <c r="BP149" s="244">
        <f>phi_o-LN(alpha*Ko/(Tabella34[[#This Row],[rest of Italy velocity]]*psi_o*SQRTPI(2)))</f>
        <v>-6.8027364868086204</v>
      </c>
      <c r="BQ149" s="244">
        <f>(ACOSH(SQRT(alpha*Ka*psi_a/(Tabella34[[#This Row],[rest of Italy velocity]]*(1+TANH(phi_a)))))+phi_a)/psi_a-(Tabella34[[#This Row],[Day]]-pa)</f>
        <v>21.900935704073433</v>
      </c>
      <c r="BR149" s="72">
        <f>-2*$BY$35*TANH($BY$35*(Tabella34[[#This Row],[Day]]-$BY$44)-$BY$34)*Tabella34[[#This Row],[rest of Italy velocity]]</f>
        <v>-51.540397097166512</v>
      </c>
      <c r="BS149" s="77">
        <f>Tabella34[[#This Row],[rest of Italy acc. fit]]/y_a_peak</f>
        <v>-1.8009837970594952E-2</v>
      </c>
      <c r="BT149" s="121">
        <f>Tabella34[[#This Row],[rest of Italy acc. fit]]*NOT(ISBLANK(Tabella34[[#This Row],[rest of Italy rate data]]))</f>
        <v>0</v>
      </c>
      <c r="BU149" s="189"/>
      <c r="BV149" s="122"/>
    </row>
    <row r="150" spans="2:74" x14ac:dyDescent="0.3">
      <c r="B150" s="262">
        <v>43973</v>
      </c>
      <c r="C150" s="4">
        <v>143</v>
      </c>
      <c r="E150" s="10"/>
      <c r="F150" s="10"/>
      <c r="G150" s="121">
        <f>Tabella34[[#This Row],[Italy rate data]]*NOT(ISBLANK(Tabella34[[#This Row],[Italy rate data]]))</f>
        <v>0</v>
      </c>
      <c r="H150" s="143">
        <f>Tabella8[[#This Row],[Italy fit]]</f>
        <v>163896.00320131209</v>
      </c>
      <c r="I150" s="143" t="e">
        <f>(ATANH(alpha*Tabella34[[#This Row],[Italy cumul. Fit]]/Kf-(1-alpha*Tabella34[[#This Row],[Italy cumul. Fit]]/Kf)*TANH(phi_f))+phi_f)/psi_f-(Tabella34[[#This Row],[Day]]-pf)</f>
        <v>#NUM!</v>
      </c>
      <c r="J150" s="143" t="e">
        <f>Tabella34[[#This Row],[Italy d.t.]]/Italy_dt_at_lockdown</f>
        <v>#NUM!</v>
      </c>
      <c r="K150" s="77">
        <f>Tabella34[[#This Row],[Italy cumul. Fit]]/Kf</f>
        <v>0.7284266808947204</v>
      </c>
      <c r="L150" s="146">
        <f>Tabella34[[#This Row],[sel. region acc. fit]]+Tabella34[[#This Row],[rest of Italy acc. fit]]</f>
        <v>-55.312417408203387</v>
      </c>
      <c r="M150" s="77">
        <f>Tabella34[[#This Row],[Italy (fit of selected region + fitted sum of the other regions)]]/(y_l_peak+y_a_peak)</f>
        <v>-1.8439989232085268E-2</v>
      </c>
      <c r="N150" s="143">
        <f>Tabella3[[#This Row],[Italy remov. rate fit]]</f>
        <v>2259.3750498802692</v>
      </c>
      <c r="O150" s="143">
        <f>Kt*EXP(-0.5*Tabella34[[#This Row],[x_t]]^2)/(psi_t*SQRTPI(2)*(Tabella34[[#This Row],[Day]]-D_bk))</f>
        <v>0</v>
      </c>
      <c r="P150" s="183">
        <f>Tabella34[[#This Row],[Italy velocity]]/Tabella34[[#This Row],[Italy cumul. Fit]]</f>
        <v>1.3785418837243381E-2</v>
      </c>
      <c r="Q150" s="244">
        <f>(LN(Tabella34[[#This Row],[Day]]-D_bk)-phi_t)/psi_t</f>
        <v>122.75150943901343</v>
      </c>
      <c r="R150" s="244">
        <f>EXP(phi_t+psi_t*Tabella34[[#This Row],[x_t_alpha©+plus]])-(Tabella34[[#This Row],[Day]]-D_bk)</f>
        <v>-69.291934135055413</v>
      </c>
      <c r="S150" s="244">
        <f>EXP(phi_t+psi_t*Tabella34[[#This Row],[x_t_alpha©-minus]])-(Tabella34[[#This Row],[Day]]-D_bk)</f>
        <v>-69.936018350352569</v>
      </c>
      <c r="T150" s="244">
        <f>-psi_t+SQRT(psi_t^2-2*Tabella34[[#This Row],[c_t]])</f>
        <v>3.6673358958403006</v>
      </c>
      <c r="U150" s="244">
        <f>-psi_t-SQRT(psi_t^2-2*Tabella34[[#This Row],[c_t]])</f>
        <v>-3.7167286302601057</v>
      </c>
      <c r="V150" s="244">
        <f>phi_t-LN(alpha*Kt/(Tabella34[[#This Row],[Italy velocity]]*psi_t*SQRTPI(2)))</f>
        <v>-6.8152461604251195</v>
      </c>
      <c r="W150" s="244">
        <f>Tabella34[[#This Row],[Italy g.r.]]/Italy_gr_at_lockdown</f>
        <v>1.5553294287012286E-2</v>
      </c>
      <c r="X150" s="244">
        <f>(ACOSH(SQRT(alpha*Kf*psi_f/(Tabella34[[#This Row],[Italy velocity]]*(1+TANH(phi_f)))))+phi_f)/psi_f-(Tabella34[[#This Row],[Day]]-pf)</f>
        <v>21.258478445913852</v>
      </c>
      <c r="Y150" s="244">
        <f>Tabella34[[#This Row],[Italy h.t.]]/Italy_ht_at_lockdown</f>
        <v>0.18389113500484611</v>
      </c>
      <c r="Z150" s="72">
        <f>-2*$BY$48*TANH($BY$48*(Tabella34[[#This Row],[Day]]-$BY$57)-$BY$47)*Tabella34[[#This Row],[Italy velocity]]</f>
        <v>-55.488123355352805</v>
      </c>
      <c r="AA150" s="72">
        <f>Tabella34[[#This Row],[Italy acc. fit]]/Itali_acc_at_lockdown</f>
        <v>-1.5367023957303954</v>
      </c>
      <c r="AB150" s="77">
        <f>Tabella34[[#This Row],[Italy acc. fit]]/y_f_peak</f>
        <v>-1.8487376650267996E-2</v>
      </c>
      <c r="AC150" s="143">
        <f>Tabella34[[#This Row],[Italy (fit of selected region + fitted sum of the other regions)]]*NOT(ISBLANK(Tabella34[[#This Row],[Italy rate data]]))</f>
        <v>0</v>
      </c>
      <c r="AD150" s="143">
        <f>Tabella34[[#This Row],[Italy acc. fit]]*NOT(ISBLANK(Tabella34[[#This Row],[Italy rate data]]))</f>
        <v>0</v>
      </c>
      <c r="AE150" s="77">
        <f>Tabella34[[#This Row],[Italy acc. fit]]+CIf</f>
        <v>1660.1267359791984</v>
      </c>
      <c r="AF150" s="77">
        <f>MAX(Tabella34[[#This Row],[Italy acc. fit]]-CIf,0)</f>
        <v>0</v>
      </c>
      <c r="AH150" s="10"/>
      <c r="AI150" s="10"/>
      <c r="AJ150" s="121">
        <f>Tabella34[[#This Row],[selected region rate data]]*NOT(ISBLANK(Tabella34[[#This Row],[selected region rate data]]))</f>
        <v>0</v>
      </c>
      <c r="AK150" s="77">
        <f>Tabella8[[#This Row],[region fit]]</f>
        <v>7048.0670308544068</v>
      </c>
      <c r="AL150" s="143" t="e">
        <f>(ATANH(alpha*Tabella34[[#This Row],[sel. region cumul. fit]]/Kl-(1-alpha*Tabella34[[#This Row],[sel. region cumul. fit]]/Kl)*TANH(phi_l))+phi_l)/psi_l-(Tabella34[[#This Row],[Day]]-pl)</f>
        <v>#NUM!</v>
      </c>
      <c r="AM150" s="77">
        <f>Tabella34[[#This Row],[sel. region cumul. fit]]/Kl</f>
        <v>0.7857376845991535</v>
      </c>
      <c r="AN150" s="143">
        <f>Tabella3[[#This Row],[region fit]]</f>
        <v>87.0895433018662</v>
      </c>
      <c r="AO150" s="186">
        <f>Tabella34[[#This Row],[sel. region velocity]]/Tabella34[[#This Row],[sel. region cumul. fit]]</f>
        <v>1.2356514618917963E-2</v>
      </c>
      <c r="AP150" s="241">
        <f>(LN(Tabella34[[#This Row],[Day]]-pr)-phi_r)/psi_r</f>
        <v>106.66645554172629</v>
      </c>
      <c r="AQ150" s="244">
        <f>EXP(phi_r+psi_r*Tabella34[[#This Row],[x_r_alpha©+plus]])-(Tabella34[[#This Row],[Day]]-pr)</f>
        <v>-64.05156142362398</v>
      </c>
      <c r="AR150" s="244">
        <f>EXP(phi_r+psi_r*Tabella34[[#This Row],[x_r_alpha©-minus]])-(Tabella34[[#This Row],[Day]]-pr)</f>
        <v>-64.746606557755072</v>
      </c>
      <c r="AS150" s="244">
        <f>-psi_r+SQRT(psi_r^2-2*Tabella34[[#This Row],[c_r]])</f>
        <v>3.6514871920600198</v>
      </c>
      <c r="AT150" s="244">
        <f>-psi_r-SQRT(psi_r^2-2*Tabella34[[#This Row],[c_r]])</f>
        <v>-3.7078954304786809</v>
      </c>
      <c r="AU150" s="244">
        <f>phi_r-LN(alpha*Kr/(Tabella34[[#This Row],[sel. region velocity]]*psi_r*SQRTPI(2)))</f>
        <v>-6.769666336945388</v>
      </c>
      <c r="AV150" s="244">
        <f>(ACOSH(SQRT(alpha*Kl*psi_l/(Tabella34[[#This Row],[sel. region velocity]]*(1+TANH(phi_l)))))+phi_l)/psi_l-(Tabella34[[#This Row],[Day]]-pl)</f>
        <v>16.846281511065129</v>
      </c>
      <c r="AW150" s="72">
        <f>-2*$BY$22*TANH($BY$22*(Tabella34[[#This Row],[Day]]-$BY$31)-$BY$21)*Tabella34[[#This Row],[sel. region velocity]]</f>
        <v>-2.980099373011988</v>
      </c>
      <c r="AX150" s="77">
        <f>Tabella34[[#This Row],[sel. region acc. fit]]/y_l_peak</f>
        <v>-2.1626378860669045E-2</v>
      </c>
      <c r="AY150" s="143">
        <f>Tabella34[[#This Row],[sel. region acc. fit]]*NOT(ISBLANK(Tabella34[[#This Row],[selected region rate data]]))</f>
        <v>0</v>
      </c>
      <c r="AZ150" s="77">
        <f>Tabella34[[#This Row],[sel. region acc. fit]]+CIl</f>
        <v>50.784741036536467</v>
      </c>
      <c r="BA150" s="77">
        <f>MAX(Tabella34[[#This Row],[sel. region acc. fit]]-CIl,0)</f>
        <v>0</v>
      </c>
      <c r="BC150" s="10"/>
      <c r="BD150" s="10"/>
      <c r="BE150" s="77">
        <f>Tabella34[[#This Row],[rest of Italy rate data]]*NOT(ISBLANK(Tabella34[[#This Row],[rest of Italy rate data]]))</f>
        <v>0</v>
      </c>
      <c r="BF150" s="77">
        <f>Tabella8[[#This Row],[rest of Italy fit]]</f>
        <v>156760.46859209842</v>
      </c>
      <c r="BG150" s="78" t="e">
        <f>(ATANH(alpha*Tabella34[[#This Row],[rest of Italy cumul. fit]]/Ka-(1-alpha*Tabella34[[#This Row],[rest of Italy cumul. fit]]/Ka)*TANH(phi_a))+phi_a)/psi_a-(Tabella34[[#This Row],[Day]]-pa)</f>
        <v>#NUM!</v>
      </c>
      <c r="BH150" s="77">
        <f>Tabella34[[#This Row],[rest of Italy cumul. fit]]/Ka</f>
        <v>0.72564212651992044</v>
      </c>
      <c r="BI150" s="143">
        <f>Tabella3[[#This Row],[rest of Italy fit]]</f>
        <v>2168.1847245458539</v>
      </c>
      <c r="BJ150" s="183">
        <f>Tabella34[[#This Row],[rest of Italy velocity]]/Tabella34[[#This Row],[rest of Italy cumul. fit]]</f>
        <v>1.3831195734605901E-2</v>
      </c>
      <c r="BK150" s="236">
        <f>(LN(Tabella34[[#This Row],[Day]]-po)-phi_o)/psi_o</f>
        <v>123.8813833703242</v>
      </c>
      <c r="BL150" s="244">
        <f>EXP(phi_o+psi_o*Tabella34[[#This Row],[x_o_alpha©+plus]])-(Tabella34[[#This Row],[Day]]-po)</f>
        <v>-69.455494893527259</v>
      </c>
      <c r="BM150" s="244">
        <f>EXP(phi_o+psi_o*Tabella34[[#This Row],[x_o_alpha©-minus]])-(Tabella34[[#This Row],[Day]]-po)</f>
        <v>-70.093269895861241</v>
      </c>
      <c r="BN150" s="244">
        <f>-psi_o+SQRT(psi_o^2-2*Tabella34[[#This Row],[c_o]])</f>
        <v>3.6705411222579487</v>
      </c>
      <c r="BO150" s="244">
        <f>-psi_o-SQRT(psi_o^2-2*Tabella34[[#This Row],[c_o]])</f>
        <v>-3.719568207827578</v>
      </c>
      <c r="BP150" s="244">
        <f>phi_o-LN(alpha*Ko/(Tabella34[[#This Row],[rest of Italy velocity]]*psi_o*SQRTPI(2)))</f>
        <v>-6.8264140319372126</v>
      </c>
      <c r="BQ150" s="244">
        <f>(ACOSH(SQRT(alpha*Ka*psi_a/(Tabella34[[#This Row],[rest of Italy velocity]]*(1+TANH(phi_a)))))+phi_a)/psi_a-(Tabella34[[#This Row],[Day]]-pa)</f>
        <v>21.515941709871356</v>
      </c>
      <c r="BR150" s="72">
        <f>-2*$BY$35*TANH($BY$35*(Tabella34[[#This Row],[Day]]-$BY$44)-$BY$34)*Tabella34[[#This Row],[rest of Italy velocity]]</f>
        <v>-52.332318035191399</v>
      </c>
      <c r="BS150" s="77">
        <f>Tabella34[[#This Row],[rest of Italy acc. fit]]/y_a_peak</f>
        <v>-1.828656008727678E-2</v>
      </c>
      <c r="BT150" s="121">
        <f>Tabella34[[#This Row],[rest of Italy acc. fit]]*NOT(ISBLANK(Tabella34[[#This Row],[rest of Italy rate data]]))</f>
        <v>0</v>
      </c>
      <c r="BU150" s="189"/>
      <c r="BV150" s="122"/>
    </row>
    <row r="151" spans="2:74" x14ac:dyDescent="0.3">
      <c r="B151" s="262">
        <v>43974</v>
      </c>
      <c r="C151" s="4">
        <v>144</v>
      </c>
      <c r="E151" s="10"/>
      <c r="F151" s="10"/>
      <c r="G151" s="121">
        <f>Tabella34[[#This Row],[Italy rate data]]*NOT(ISBLANK(Tabella34[[#This Row],[Italy rate data]]))</f>
        <v>0</v>
      </c>
      <c r="H151" s="143">
        <f>Tabella8[[#This Row],[Italy fit]]</f>
        <v>166127.52258666258</v>
      </c>
      <c r="I151" s="143" t="e">
        <f>(ATANH(alpha*Tabella34[[#This Row],[Italy cumul. Fit]]/Kf-(1-alpha*Tabella34[[#This Row],[Italy cumul. Fit]]/Kf)*TANH(phi_f))+phi_f)/psi_f-(Tabella34[[#This Row],[Day]]-pf)</f>
        <v>#NUM!</v>
      </c>
      <c r="J151" s="143" t="e">
        <f>Tabella34[[#This Row],[Italy d.t.]]/Italy_dt_at_lockdown</f>
        <v>#NUM!</v>
      </c>
      <c r="K151" s="77">
        <f>Tabella34[[#This Row],[Italy cumul. Fit]]/Kf</f>
        <v>0.73834454482961154</v>
      </c>
      <c r="L151" s="146">
        <f>Tabella34[[#This Row],[sel. region acc. fit]]+Tabella34[[#This Row],[rest of Italy acc. fit]]</f>
        <v>-55.925739816939938</v>
      </c>
      <c r="M151" s="77">
        <f>Tabella34[[#This Row],[Italy (fit of selected region + fitted sum of the other regions)]]/(y_l_peak+y_a_peak)</f>
        <v>-1.8644457941695874E-2</v>
      </c>
      <c r="N151" s="143">
        <f>Tabella3[[#This Row],[Italy remov. rate fit]]</f>
        <v>2203.5591234527892</v>
      </c>
      <c r="O151" s="143">
        <f>Kt*EXP(-0.5*Tabella34[[#This Row],[x_t]]^2)/(psi_t*SQRTPI(2)*(Tabella34[[#This Row],[Day]]-D_bk))</f>
        <v>0</v>
      </c>
      <c r="P151" s="183">
        <f>Tabella34[[#This Row],[Italy velocity]]/Tabella34[[#This Row],[Italy cumul. Fit]]</f>
        <v>1.3264262833410242E-2</v>
      </c>
      <c r="Q151" s="244">
        <f>(LN(Tabella34[[#This Row],[Day]]-D_bk)-phi_t)/psi_t</f>
        <v>123.30126192993563</v>
      </c>
      <c r="R151" s="244">
        <f>EXP(phi_t+psi_t*Tabella34[[#This Row],[x_t_alpha©+plus]])-(Tabella34[[#This Row],[Day]]-D_bk)</f>
        <v>-70.291288172091669</v>
      </c>
      <c r="S151" s="244">
        <f>EXP(phi_t+psi_t*Tabella34[[#This Row],[x_t_alpha©-minus]])-(Tabella34[[#This Row],[Day]]-D_bk)</f>
        <v>-70.936556542383244</v>
      </c>
      <c r="T151" s="244">
        <f>-psi_t+SQRT(psi_t^2-2*Tabella34[[#This Row],[c_t]])</f>
        <v>3.6741049325610931</v>
      </c>
      <c r="U151" s="244">
        <f>-psi_t-SQRT(psi_t^2-2*Tabella34[[#This Row],[c_t]])</f>
        <v>-3.7234976669808981</v>
      </c>
      <c r="V151" s="244">
        <f>phi_t-LN(alpha*Kt/(Tabella34[[#This Row],[Italy velocity]]*psi_t*SQRTPI(2)))</f>
        <v>-6.8402605723171197</v>
      </c>
      <c r="W151" s="244">
        <f>Tabella34[[#This Row],[Italy g.r.]]/Italy_gr_at_lockdown</f>
        <v>1.4965303976905684E-2</v>
      </c>
      <c r="X151" s="244">
        <f>(ACOSH(SQRT(alpha*Kf*psi_f/(Tabella34[[#This Row],[Italy velocity]]*(1+TANH(phi_f)))))+phi_f)/psi_f-(Tabella34[[#This Row],[Day]]-pf)</f>
        <v>20.897407658059265</v>
      </c>
      <c r="Y151" s="244">
        <f>Tabella34[[#This Row],[Italy h.t.]]/Italy_ht_at_lockdown</f>
        <v>0.18076778273085323</v>
      </c>
      <c r="Z151" s="72">
        <f>-2*$BY$48*TANH($BY$48*(Tabella34[[#This Row],[Day]]-$BY$57)-$BY$47)*Tabella34[[#This Row],[Italy velocity]]</f>
        <v>-56.115802786159243</v>
      </c>
      <c r="AA151" s="72">
        <f>Tabella34[[#This Row],[Italy acc. fit]]/Itali_acc_at_lockdown</f>
        <v>-1.5540855117333245</v>
      </c>
      <c r="AB151" s="77">
        <f>Tabella34[[#This Row],[Italy acc. fit]]/y_f_peak</f>
        <v>-1.8696505115086134E-2</v>
      </c>
      <c r="AC151" s="143">
        <f>Tabella34[[#This Row],[Italy (fit of selected region + fitted sum of the other regions)]]*NOT(ISBLANK(Tabella34[[#This Row],[Italy rate data]]))</f>
        <v>0</v>
      </c>
      <c r="AD151" s="143">
        <f>Tabella34[[#This Row],[Italy acc. fit]]*NOT(ISBLANK(Tabella34[[#This Row],[Italy rate data]]))</f>
        <v>0</v>
      </c>
      <c r="AE151" s="77">
        <f>Tabella34[[#This Row],[Italy acc. fit]]+CIf</f>
        <v>1659.499056548392</v>
      </c>
      <c r="AF151" s="77">
        <f>MAX(Tabella34[[#This Row],[Italy acc. fit]]-CIf,0)</f>
        <v>0</v>
      </c>
      <c r="AH151" s="10"/>
      <c r="AI151" s="10"/>
      <c r="AJ151" s="121">
        <f>Tabella34[[#This Row],[selected region rate data]]*NOT(ISBLANK(Tabella34[[#This Row],[selected region rate data]]))</f>
        <v>0</v>
      </c>
      <c r="AK151" s="77">
        <f>Tabella8[[#This Row],[region fit]]</f>
        <v>7133.6692744049269</v>
      </c>
      <c r="AL151" s="143" t="e">
        <f>(ATANH(alpha*Tabella34[[#This Row],[sel. region cumul. fit]]/Kl-(1-alpha*Tabella34[[#This Row],[sel. region cumul. fit]]/Kl)*TANH(phi_l))+phi_l)/psi_l-(Tabella34[[#This Row],[Day]]-pl)</f>
        <v>#NUM!</v>
      </c>
      <c r="AM151" s="77">
        <f>Tabella34[[#This Row],[sel. region cumul. fit]]/Kl</f>
        <v>0.795280855563537</v>
      </c>
      <c r="AN151" s="143">
        <f>Tabella3[[#This Row],[region fit]]</f>
        <v>84.11803675047554</v>
      </c>
      <c r="AO151" s="186">
        <f>Tabella34[[#This Row],[sel. region velocity]]/Tabella34[[#This Row],[sel. region cumul. fit]]</f>
        <v>1.1791692818208546E-2</v>
      </c>
      <c r="AP151" s="241">
        <f>(LN(Tabella34[[#This Row],[Day]]-pr)-phi_r)/psi_r</f>
        <v>107.1858903766782</v>
      </c>
      <c r="AQ151" s="244">
        <f>EXP(phi_r+psi_r*Tabella34[[#This Row],[x_r_alpha©+plus]])-(Tabella34[[#This Row],[Day]]-pr)</f>
        <v>-65.0505758651706</v>
      </c>
      <c r="AR151" s="244">
        <f>EXP(phi_r+psi_r*Tabella34[[#This Row],[x_r_alpha©-minus]])-(Tabella34[[#This Row],[Day]]-pr)</f>
        <v>-65.747407170834748</v>
      </c>
      <c r="AS151" s="244">
        <f>-psi_r+SQRT(psi_r^2-2*Tabella34[[#This Row],[c_r]])</f>
        <v>3.6609095640328864</v>
      </c>
      <c r="AT151" s="244">
        <f>-psi_r-SQRT(psi_r^2-2*Tabella34[[#This Row],[c_r]])</f>
        <v>-3.7173178024515474</v>
      </c>
      <c r="AU151" s="244">
        <f>phi_r-LN(alpha*Kr/(Tabella34[[#This Row],[sel. region velocity]]*psi_r*SQRTPI(2)))</f>
        <v>-6.8043821477722899</v>
      </c>
      <c r="AV151" s="244">
        <f>(ACOSH(SQRT(alpha*Kl*psi_l/(Tabella34[[#This Row],[sel. region velocity]]*(1+TANH(phi_l)))))+phi_l)/psi_l-(Tabella34[[#This Row],[Day]]-pl)</f>
        <v>16.587499450434535</v>
      </c>
      <c r="AW151" s="72">
        <f>-2*$BY$22*TANH($BY$22*(Tabella34[[#This Row],[Day]]-$BY$31)-$BY$21)*Tabella34[[#This Row],[sel. region velocity]]</f>
        <v>-2.9615527100898942</v>
      </c>
      <c r="AX151" s="77">
        <f>Tabella34[[#This Row],[sel. region acc. fit]]/y_l_peak</f>
        <v>-2.149178698679172E-2</v>
      </c>
      <c r="AY151" s="143">
        <f>Tabella34[[#This Row],[sel. region acc. fit]]*NOT(ISBLANK(Tabella34[[#This Row],[selected region rate data]]))</f>
        <v>0</v>
      </c>
      <c r="AZ151" s="77">
        <f>Tabella34[[#This Row],[sel. region acc. fit]]+CIl</f>
        <v>50.803287699458558</v>
      </c>
      <c r="BA151" s="77">
        <f>MAX(Tabella34[[#This Row],[sel. region acc. fit]]-CIl,0)</f>
        <v>0</v>
      </c>
      <c r="BC151" s="10"/>
      <c r="BD151" s="10"/>
      <c r="BE151" s="77">
        <f>Tabella34[[#This Row],[rest of Italy rate data]]*NOT(ISBLANK(Tabella34[[#This Row],[rest of Italy rate data]]))</f>
        <v>0</v>
      </c>
      <c r="BF151" s="77">
        <f>Tabella8[[#This Row],[rest of Italy fit]]</f>
        <v>158902.37527065579</v>
      </c>
      <c r="BG151" s="78" t="e">
        <f>(ATANH(alpha*Tabella34[[#This Row],[rest of Italy cumul. fit]]/Ka-(1-alpha*Tabella34[[#This Row],[rest of Italy cumul. fit]]/Ka)*TANH(phi_a))+phi_a)/psi_a-(Tabella34[[#This Row],[Day]]-pa)</f>
        <v>#NUM!</v>
      </c>
      <c r="BH151" s="77">
        <f>Tabella34[[#This Row],[rest of Italy cumul. fit]]/Ka</f>
        <v>0.73555698407932135</v>
      </c>
      <c r="BI151" s="143">
        <f>Tabella3[[#This Row],[rest of Italy fit]]</f>
        <v>2115.5233352152854</v>
      </c>
      <c r="BJ151" s="183">
        <f>Tabella34[[#This Row],[rest of Italy velocity]]/Tabella34[[#This Row],[rest of Italy cumul. fit]]</f>
        <v>1.3313352500942479E-2</v>
      </c>
      <c r="BK151" s="236">
        <f>(LN(Tabella34[[#This Row],[Day]]-po)-phi_o)/psi_o</f>
        <v>124.43411891480693</v>
      </c>
      <c r="BL151" s="244">
        <f>EXP(phi_o+psi_o*Tabella34[[#This Row],[x_o_alpha©+plus]])-(Tabella34[[#This Row],[Day]]-po)</f>
        <v>-70.454867544609158</v>
      </c>
      <c r="BM151" s="244">
        <f>EXP(phi_o+psi_o*Tabella34[[#This Row],[x_o_alpha©-minus]])-(Tabella34[[#This Row],[Day]]-po)</f>
        <v>-71.093793210108373</v>
      </c>
      <c r="BN151" s="244">
        <f>-psi_o+SQRT(psi_o^2-2*Tabella34[[#This Row],[c_o]])</f>
        <v>3.677189457758439</v>
      </c>
      <c r="BO151" s="244">
        <f>-psi_o-SQRT(psi_o^2-2*Tabella34[[#This Row],[c_o]])</f>
        <v>-3.7262165433280683</v>
      </c>
      <c r="BP151" s="244">
        <f>phi_o-LN(alpha*Ko/(Tabella34[[#This Row],[rest of Italy velocity]]*psi_o*SQRTPI(2)))</f>
        <v>-6.8510020952255326</v>
      </c>
      <c r="BQ151" s="244">
        <f>(ACOSH(SQRT(alpha*Ka*psi_a/(Tabella34[[#This Row],[rest of Italy velocity]]*(1+TANH(phi_a)))))+phi_a)/psi_a-(Tabella34[[#This Row],[Day]]-pa)</f>
        <v>21.149916925818317</v>
      </c>
      <c r="BR151" s="72">
        <f>-2*$BY$35*TANH($BY$35*(Tabella34[[#This Row],[Day]]-$BY$44)-$BY$34)*Tabella34[[#This Row],[rest of Italy velocity]]</f>
        <v>-52.964187106850041</v>
      </c>
      <c r="BS151" s="77">
        <f>Tabella34[[#This Row],[rest of Italy acc. fit]]/y_a_peak</f>
        <v>-1.8507355041140802E-2</v>
      </c>
      <c r="BT151" s="121">
        <f>Tabella34[[#This Row],[rest of Italy acc. fit]]*NOT(ISBLANK(Tabella34[[#This Row],[rest of Italy rate data]]))</f>
        <v>0</v>
      </c>
      <c r="BU151" s="189"/>
      <c r="BV151" s="122"/>
    </row>
    <row r="152" spans="2:74" x14ac:dyDescent="0.3">
      <c r="B152" s="262">
        <v>43975</v>
      </c>
      <c r="C152" s="4">
        <v>145</v>
      </c>
      <c r="E152" s="10"/>
      <c r="F152" s="10"/>
      <c r="G152" s="121">
        <f>Tabella34[[#This Row],[Italy rate data]]*NOT(ISBLANK(Tabella34[[#This Row],[Italy rate data]]))</f>
        <v>0</v>
      </c>
      <c r="H152" s="143">
        <f>Tabella8[[#This Row],[Italy fit]]</f>
        <v>168302.93988634052</v>
      </c>
      <c r="I152" s="143" t="e">
        <f>(ATANH(alpha*Tabella34[[#This Row],[Italy cumul. Fit]]/Kf-(1-alpha*Tabella34[[#This Row],[Italy cumul. Fit]]/Kf)*TANH(phi_f))+phi_f)/psi_f-(Tabella34[[#This Row],[Day]]-pf)</f>
        <v>#NUM!</v>
      </c>
      <c r="J152" s="143" t="e">
        <f>Tabella34[[#This Row],[Italy d.t.]]/Italy_dt_at_lockdown</f>
        <v>#NUM!</v>
      </c>
      <c r="K152" s="77">
        <f>Tabella34[[#This Row],[Italy cumul. Fit]]/Kf</f>
        <v>0.74801306616151342</v>
      </c>
      <c r="L152" s="146">
        <f>Tabella34[[#This Row],[sel. region acc. fit]]+Tabella34[[#This Row],[rest of Italy acc. fit]]</f>
        <v>-56.37626387632973</v>
      </c>
      <c r="M152" s="77">
        <f>Tabella34[[#This Row],[Italy (fit of selected region + fitted sum of the other regions)]]/(y_l_peak+y_a_peak)</f>
        <v>-1.8794653127392296E-2</v>
      </c>
      <c r="N152" s="143">
        <f>Tabella3[[#This Row],[Italy remov. rate fit]]</f>
        <v>2147.198308837706</v>
      </c>
      <c r="O152" s="143">
        <f>Kt*EXP(-0.5*Tabella34[[#This Row],[x_t]]^2)/(psi_t*SQRTPI(2)*(Tabella34[[#This Row],[Day]]-D_bk))</f>
        <v>0</v>
      </c>
      <c r="P152" s="183">
        <f>Tabella34[[#This Row],[Italy velocity]]/Tabella34[[#This Row],[Italy cumul. Fit]]</f>
        <v>1.2757937028834829E-2</v>
      </c>
      <c r="Q152" s="244">
        <f>(LN(Tabella34[[#This Row],[Day]]-D_bk)-phi_t)/psi_t</f>
        <v>123.84365036151272</v>
      </c>
      <c r="R152" s="244">
        <f>EXP(phi_t+psi_t*Tabella34[[#This Row],[x_t_alpha©+plus]])-(Tabella34[[#This Row],[Day]]-D_bk)</f>
        <v>-71.290620213409966</v>
      </c>
      <c r="S152" s="244">
        <f>EXP(phi_t+psi_t*Tabella34[[#This Row],[x_t_alpha©-minus]])-(Tabella34[[#This Row],[Day]]-D_bk)</f>
        <v>-71.937112871232031</v>
      </c>
      <c r="T152" s="244">
        <f>-psi_t+SQRT(psi_t^2-2*Tabella34[[#This Row],[c_t]])</f>
        <v>3.6811032722638086</v>
      </c>
      <c r="U152" s="244">
        <f>-psi_t-SQRT(psi_t^2-2*Tabella34[[#This Row],[c_t]])</f>
        <v>-3.7304960066836137</v>
      </c>
      <c r="V152" s="244">
        <f>phi_t-LN(alpha*Kt/(Tabella34[[#This Row],[Italy velocity]]*psi_t*SQRTPI(2)))</f>
        <v>-6.8661705286850596</v>
      </c>
      <c r="W152" s="244">
        <f>Tabella34[[#This Row],[Italy g.r.]]/Italy_gr_at_lockdown</f>
        <v>1.4394045726674354E-2</v>
      </c>
      <c r="X152" s="244">
        <f>(ACOSH(SQRT(alpha*Kf*psi_f/(Tabella34[[#This Row],[Italy velocity]]*(1+TANH(phi_f)))))+phi_f)/psi_f-(Tabella34[[#This Row],[Day]]-pf)</f>
        <v>20.554343877513318</v>
      </c>
      <c r="Y152" s="244">
        <f>Tabella34[[#This Row],[Italy h.t.]]/Italy_ht_at_lockdown</f>
        <v>0.17780019555643936</v>
      </c>
      <c r="Z152" s="72">
        <f>-2*$BY$48*TANH($BY$48*(Tabella34[[#This Row],[Day]]-$BY$57)-$BY$47)*Tabella34[[#This Row],[Italy velocity]]</f>
        <v>-56.578912176027345</v>
      </c>
      <c r="AA152" s="72">
        <f>Tabella34[[#This Row],[Italy acc. fit]]/Itali_acc_at_lockdown</f>
        <v>-1.5669109825883756</v>
      </c>
      <c r="AB152" s="77">
        <f>Tabella34[[#This Row],[Italy acc. fit]]/y_f_peak</f>
        <v>-1.8850802597196629E-2</v>
      </c>
      <c r="AC152" s="143">
        <f>Tabella34[[#This Row],[Italy (fit of selected region + fitted sum of the other regions)]]*NOT(ISBLANK(Tabella34[[#This Row],[Italy rate data]]))</f>
        <v>0</v>
      </c>
      <c r="AD152" s="143">
        <f>Tabella34[[#This Row],[Italy acc. fit]]*NOT(ISBLANK(Tabella34[[#This Row],[Italy rate data]]))</f>
        <v>0</v>
      </c>
      <c r="AE152" s="77">
        <f>Tabella34[[#This Row],[Italy acc. fit]]+CIf</f>
        <v>1659.0359471585239</v>
      </c>
      <c r="AF152" s="77">
        <f>MAX(Tabella34[[#This Row],[Italy acc. fit]]-CIf,0)</f>
        <v>0</v>
      </c>
      <c r="AH152" s="10"/>
      <c r="AI152" s="10"/>
      <c r="AJ152" s="121">
        <f>Tabella34[[#This Row],[selected region rate data]]*NOT(ISBLANK(Tabella34[[#This Row],[selected region rate data]]))</f>
        <v>0</v>
      </c>
      <c r="AK152" s="77">
        <f>Tabella8[[#This Row],[region fit]]</f>
        <v>7216.3106180408222</v>
      </c>
      <c r="AL152" s="143" t="e">
        <f>(ATANH(alpha*Tabella34[[#This Row],[sel. region cumul. fit]]/Kl-(1-alpha*Tabella34[[#This Row],[sel. region cumul. fit]]/Kl)*TANH(phi_l))+phi_l)/psi_l-(Tabella34[[#This Row],[Day]]-pl)</f>
        <v>#NUM!</v>
      </c>
      <c r="AM152" s="77">
        <f>Tabella34[[#This Row],[sel. region cumul. fit]]/Kl</f>
        <v>0.80449393735126218</v>
      </c>
      <c r="AN152" s="143">
        <f>Tabella3[[#This Row],[region fit]]</f>
        <v>81.169049025460509</v>
      </c>
      <c r="AO152" s="186">
        <f>Tabella34[[#This Row],[sel. region velocity]]/Tabella34[[#This Row],[sel. region cumul. fit]]</f>
        <v>1.1247998225372586E-2</v>
      </c>
      <c r="AP152" s="241">
        <f>(LN(Tabella34[[#This Row],[Day]]-pr)-phi_r)/psi_r</f>
        <v>107.69782513184687</v>
      </c>
      <c r="AQ152" s="244">
        <f>EXP(phi_r+psi_r*Tabella34[[#This Row],[x_r_alpha©+plus]])-(Tabella34[[#This Row],[Day]]-pr)</f>
        <v>-66.049565080102894</v>
      </c>
      <c r="AR152" s="244">
        <f>EXP(phi_r+psi_r*Tabella34[[#This Row],[x_r_alpha©-minus]])-(Tabella34[[#This Row],[Day]]-pr)</f>
        <v>-66.748227834794704</v>
      </c>
      <c r="AS152" s="244">
        <f>-psi_r+SQRT(psi_r^2-2*Tabella34[[#This Row],[c_r]])</f>
        <v>3.6705705132765711</v>
      </c>
      <c r="AT152" s="244">
        <f>-psi_r-SQRT(psi_r^2-2*Tabella34[[#This Row],[c_r]])</f>
        <v>-3.7269787516952322</v>
      </c>
      <c r="AU152" s="244">
        <f>phi_r-LN(alpha*Kr/(Tabella34[[#This Row],[sel. region velocity]]*psi_r*SQRTPI(2)))</f>
        <v>-6.8400691547904211</v>
      </c>
      <c r="AV152" s="244">
        <f>(ACOSH(SQRT(alpha*Kl*psi_l/(Tabella34[[#This Row],[sel. region velocity]]*(1+TANH(phi_l)))))+phi_l)/psi_l-(Tabella34[[#This Row],[Day]]-pl)</f>
        <v>16.343585675860211</v>
      </c>
      <c r="AW152" s="72">
        <f>-2*$BY$22*TANH($BY$22*(Tabella34[[#This Row],[Day]]-$BY$31)-$BY$21)*Tabella34[[#This Row],[sel. region velocity]]</f>
        <v>-2.9351728446938523</v>
      </c>
      <c r="AX152" s="77">
        <f>Tabella34[[#This Row],[sel. region acc. fit]]/y_l_peak</f>
        <v>-2.1300350094279091E-2</v>
      </c>
      <c r="AY152" s="143">
        <f>Tabella34[[#This Row],[sel. region acc. fit]]*NOT(ISBLANK(Tabella34[[#This Row],[selected region rate data]]))</f>
        <v>0</v>
      </c>
      <c r="AZ152" s="77">
        <f>Tabella34[[#This Row],[sel. region acc. fit]]+CIl</f>
        <v>50.829667564854603</v>
      </c>
      <c r="BA152" s="77">
        <f>MAX(Tabella34[[#This Row],[sel. region acc. fit]]-CIl,0)</f>
        <v>0</v>
      </c>
      <c r="BC152" s="10"/>
      <c r="BD152" s="10"/>
      <c r="BE152" s="77">
        <f>Tabella34[[#This Row],[rest of Italy rate data]]*NOT(ISBLANK(Tabella34[[#This Row],[rest of Italy rate data]]))</f>
        <v>0</v>
      </c>
      <c r="BF152" s="77">
        <f>Tabella8[[#This Row],[rest of Italy fit]]</f>
        <v>160991.33067868234</v>
      </c>
      <c r="BG152" s="78" t="e">
        <f>(ATANH(alpha*Tabella34[[#This Row],[rest of Italy cumul. fit]]/Ka-(1-alpha*Tabella34[[#This Row],[rest of Italy cumul. fit]]/Ka)*TANH(phi_a))+phi_a)/psi_a-(Tabella34[[#This Row],[Day]]-pa)</f>
        <v>#NUM!</v>
      </c>
      <c r="BH152" s="77">
        <f>Tabella34[[#This Row],[rest of Italy cumul. fit]]/Ka</f>
        <v>0.74522673091090286</v>
      </c>
      <c r="BI152" s="143">
        <f>Tabella3[[#This Row],[rest of Italy fit]]</f>
        <v>2062.3080128844995</v>
      </c>
      <c r="BJ152" s="183">
        <f>Tabella34[[#This Row],[rest of Italy velocity]]/Tabella34[[#This Row],[rest of Italy cumul. fit]]</f>
        <v>1.2810056319123152E-2</v>
      </c>
      <c r="BK152" s="236">
        <f>(LN(Tabella34[[#This Row],[Day]]-po)-phi_o)/psi_o</f>
        <v>124.97946517509857</v>
      </c>
      <c r="BL152" s="244">
        <f>EXP(phi_o+psi_o*Tabella34[[#This Row],[x_o_alpha©+plus]])-(Tabella34[[#This Row],[Day]]-po)</f>
        <v>-71.454218607282513</v>
      </c>
      <c r="BM152" s="244">
        <f>EXP(phi_o+psi_o*Tabella34[[#This Row],[x_o_alpha©-minus]])-(Tabella34[[#This Row],[Day]]-po)</f>
        <v>-72.094334353275755</v>
      </c>
      <c r="BN152" s="244">
        <f>-psi_o+SQRT(psi_o^2-2*Tabella34[[#This Row],[c_o]])</f>
        <v>3.6840654367143766</v>
      </c>
      <c r="BO152" s="244">
        <f>-psi_o-SQRT(psi_o^2-2*Tabella34[[#This Row],[c_o]])</f>
        <v>-3.7330925222840059</v>
      </c>
      <c r="BP152" s="244">
        <f>phi_o-LN(alpha*Ko/(Tabella34[[#This Row],[rest of Italy velocity]]*psi_o*SQRTPI(2)))</f>
        <v>-6.8764785667017003</v>
      </c>
      <c r="BQ152" s="244">
        <f>(ACOSH(SQRT(alpha*Ka*psi_a/(Tabella34[[#This Row],[rest of Italy velocity]]*(1+TANH(phi_a)))))+phi_a)/psi_a-(Tabella34[[#This Row],[Day]]-pa)</f>
        <v>20.801997149308747</v>
      </c>
      <c r="BR152" s="72">
        <f>-2*$BY$35*TANH($BY$35*(Tabella34[[#This Row],[Day]]-$BY$44)-$BY$34)*Tabella34[[#This Row],[rest of Italy velocity]]</f>
        <v>-53.441091031635878</v>
      </c>
      <c r="BS152" s="77">
        <f>Tabella34[[#This Row],[rest of Italy acc. fit]]/y_a_peak</f>
        <v>-1.8674000292180321E-2</v>
      </c>
      <c r="BT152" s="121">
        <f>Tabella34[[#This Row],[rest of Italy acc. fit]]*NOT(ISBLANK(Tabella34[[#This Row],[rest of Italy rate data]]))</f>
        <v>0</v>
      </c>
      <c r="BU152" s="189"/>
      <c r="BV152" s="122"/>
    </row>
    <row r="153" spans="2:74" x14ac:dyDescent="0.3">
      <c r="B153" s="262">
        <v>43976</v>
      </c>
      <c r="C153" s="4">
        <v>146</v>
      </c>
      <c r="E153" s="10"/>
      <c r="F153" s="10"/>
      <c r="G153" s="121">
        <f>Tabella34[[#This Row],[Italy rate data]]*NOT(ISBLANK(Tabella34[[#This Row],[Italy rate data]]))</f>
        <v>0</v>
      </c>
      <c r="H153" s="143">
        <f>Tabella8[[#This Row],[Italy fit]]</f>
        <v>170421.79145647187</v>
      </c>
      <c r="I153" s="143" t="e">
        <f>(ATANH(alpha*Tabella34[[#This Row],[Italy cumul. Fit]]/Kf-(1-alpha*Tabella34[[#This Row],[Italy cumul. Fit]]/Kf)*TANH(phi_f))+phi_f)/psi_f-(Tabella34[[#This Row],[Day]]-pf)</f>
        <v>#NUM!</v>
      </c>
      <c r="J153" s="143" t="e">
        <f>Tabella34[[#This Row],[Italy d.t.]]/Italy_dt_at_lockdown</f>
        <v>#NUM!</v>
      </c>
      <c r="K153" s="77">
        <f>Tabella34[[#This Row],[Italy cumul. Fit]]/Kf</f>
        <v>0.75743018425098607</v>
      </c>
      <c r="L153" s="146">
        <f>Tabella34[[#This Row],[sel. region acc. fit]]+Tabella34[[#This Row],[rest of Italy acc. fit]]</f>
        <v>-56.670420293952191</v>
      </c>
      <c r="M153" s="77">
        <f>Tabella34[[#This Row],[Italy (fit of selected region + fitted sum of the other regions)]]/(y_l_peak+y_a_peak)</f>
        <v>-1.8892718650970416E-2</v>
      </c>
      <c r="N153" s="143">
        <f>Tabella3[[#This Row],[Italy remov. rate fit]]</f>
        <v>2090.454026279785</v>
      </c>
      <c r="O153" s="143">
        <f>Kt*EXP(-0.5*Tabella34[[#This Row],[x_t]]^2)/(psi_t*SQRTPI(2)*(Tabella34[[#This Row],[Day]]-D_bk))</f>
        <v>0</v>
      </c>
      <c r="P153" s="183">
        <f>Tabella34[[#This Row],[Italy velocity]]/Tabella34[[#This Row],[Italy cumul. Fit]]</f>
        <v>1.2266354017371755E-2</v>
      </c>
      <c r="Q153" s="244">
        <f>(LN(Tabella34[[#This Row],[Day]]-D_bk)-phi_t)/psi_t</f>
        <v>124.37886941530479</v>
      </c>
      <c r="R153" s="244">
        <f>EXP(phi_t+psi_t*Tabella34[[#This Row],[x_t_alpha©+plus]])-(Tabella34[[#This Row],[Day]]-D_bk)</f>
        <v>-72.289930960253258</v>
      </c>
      <c r="S153" s="244">
        <f>EXP(phi_t+psi_t*Tabella34[[#This Row],[x_t_alpha©-minus]])-(Tabella34[[#This Row],[Day]]-D_bk)</f>
        <v>-72.937686734259771</v>
      </c>
      <c r="T153" s="244">
        <f>-psi_t+SQRT(psi_t^2-2*Tabella34[[#This Row],[c_t]])</f>
        <v>3.6883234507564095</v>
      </c>
      <c r="U153" s="244">
        <f>-psi_t-SQRT(psi_t^2-2*Tabella34[[#This Row],[c_t]])</f>
        <v>-3.7377161851762146</v>
      </c>
      <c r="V153" s="244">
        <f>phi_t-LN(alpha*Kt/(Tabella34[[#This Row],[Italy velocity]]*psi_t*SQRTPI(2)))</f>
        <v>-6.8929531290286095</v>
      </c>
      <c r="W153" s="244">
        <f>Tabella34[[#This Row],[Italy g.r.]]/Italy_gr_at_lockdown</f>
        <v>1.3839420920997445E-2</v>
      </c>
      <c r="X153" s="244">
        <f>(ACOSH(SQRT(alpha*Kf*psi_f/(Tabella34[[#This Row],[Italy velocity]]*(1+TANH(phi_f)))))+phi_f)/psi_f-(Tabella34[[#This Row],[Day]]-pf)</f>
        <v>20.228443431094647</v>
      </c>
      <c r="Y153" s="244">
        <f>Tabella34[[#This Row],[Italy h.t.]]/Italy_ht_at_lockdown</f>
        <v>0.17498107549838859</v>
      </c>
      <c r="Z153" s="72">
        <f>-2*$BY$48*TANH($BY$48*(Tabella34[[#This Row],[Day]]-$BY$57)-$BY$47)*Tabella34[[#This Row],[Italy velocity]]</f>
        <v>-56.883860060878511</v>
      </c>
      <c r="AA153" s="72">
        <f>Tabella34[[#This Row],[Italy acc. fit]]/Itali_acc_at_lockdown</f>
        <v>-1.5753562879417868</v>
      </c>
      <c r="AB153" s="77">
        <f>Tabella34[[#This Row],[Italy acc. fit]]/y_f_peak</f>
        <v>-1.8952404274547321E-2</v>
      </c>
      <c r="AC153" s="143">
        <f>Tabella34[[#This Row],[Italy (fit of selected region + fitted sum of the other regions)]]*NOT(ISBLANK(Tabella34[[#This Row],[Italy rate data]]))</f>
        <v>0</v>
      </c>
      <c r="AD153" s="143">
        <f>Tabella34[[#This Row],[Italy acc. fit]]*NOT(ISBLANK(Tabella34[[#This Row],[Italy rate data]]))</f>
        <v>0</v>
      </c>
      <c r="AE153" s="77">
        <f>Tabella34[[#This Row],[Italy acc. fit]]+CIf</f>
        <v>1658.7309992736728</v>
      </c>
      <c r="AF153" s="77">
        <f>MAX(Tabella34[[#This Row],[Italy acc. fit]]-CIf,0)</f>
        <v>0</v>
      </c>
      <c r="AH153" s="10"/>
      <c r="AI153" s="10"/>
      <c r="AJ153" s="121">
        <f>Tabella34[[#This Row],[selected region rate data]]*NOT(ISBLANK(Tabella34[[#This Row],[selected region rate data]]))</f>
        <v>0</v>
      </c>
      <c r="AK153" s="77">
        <f>Tabella8[[#This Row],[region fit]]</f>
        <v>7296.0173858667531</v>
      </c>
      <c r="AL153" s="143" t="e">
        <f>(ATANH(alpha*Tabella34[[#This Row],[sel. region cumul. fit]]/Kl-(1-alpha*Tabella34[[#This Row],[sel. region cumul. fit]]/Kl)*TANH(phi_l))+phi_l)/psi_l-(Tabella34[[#This Row],[Day]]-pl)</f>
        <v>#NUM!</v>
      </c>
      <c r="AM153" s="77">
        <f>Tabella34[[#This Row],[sel. region cumul. fit]]/Kl</f>
        <v>0.81337986464512302</v>
      </c>
      <c r="AN153" s="143">
        <f>Tabella3[[#This Row],[region fit]]</f>
        <v>78.250079204594826</v>
      </c>
      <c r="AO153" s="186">
        <f>Tabella34[[#This Row],[sel. region velocity]]/Tabella34[[#This Row],[sel. region cumul. fit]]</f>
        <v>1.0725040123420548E-2</v>
      </c>
      <c r="AP153" s="241">
        <f>(LN(Tabella34[[#This Row],[Day]]-pr)-phi_r)/psi_r</f>
        <v>108.20247331423215</v>
      </c>
      <c r="AQ153" s="244">
        <f>EXP(phi_r+psi_r*Tabella34[[#This Row],[x_r_alpha©+plus]])-(Tabella34[[#This Row],[Day]]-pr)</f>
        <v>-67.048530203798549</v>
      </c>
      <c r="AR153" s="244">
        <f>EXP(phi_r+psi_r*Tabella34[[#This Row],[x_r_alpha©-minus]])-(Tabella34[[#This Row],[Day]]-pr)</f>
        <v>-67.74906759545965</v>
      </c>
      <c r="AS153" s="244">
        <f>-psi_r+SQRT(psi_r^2-2*Tabella34[[#This Row],[c_r]])</f>
        <v>3.6804589968497159</v>
      </c>
      <c r="AT153" s="244">
        <f>-psi_r-SQRT(psi_r^2-2*Tabella34[[#This Row],[c_r]])</f>
        <v>-3.7368672352683769</v>
      </c>
      <c r="AU153" s="244">
        <f>phi_r-LN(alpha*Kr/(Tabella34[[#This Row],[sel. region velocity]]*psi_r*SQRTPI(2)))</f>
        <v>-6.8766933180382113</v>
      </c>
      <c r="AV153" s="244">
        <f>(ACOSH(SQRT(alpha*Kl*psi_l/(Tabella34[[#This Row],[sel. region velocity]]*(1+TANH(phi_l)))))+phi_l)/psi_l-(Tabella34[[#This Row],[Day]]-pl)</f>
        <v>16.113693908292205</v>
      </c>
      <c r="AW153" s="72">
        <f>-2*$BY$22*TANH($BY$22*(Tabella34[[#This Row],[Day]]-$BY$31)-$BY$21)*Tabella34[[#This Row],[sel. region velocity]]</f>
        <v>-2.9016285215328468</v>
      </c>
      <c r="AX153" s="77">
        <f>Tabella34[[#This Row],[sel. region acc. fit]]/y_l_peak</f>
        <v>-2.1056921218089834E-2</v>
      </c>
      <c r="AY153" s="143">
        <f>Tabella34[[#This Row],[sel. region acc. fit]]*NOT(ISBLANK(Tabella34[[#This Row],[selected region rate data]]))</f>
        <v>0</v>
      </c>
      <c r="AZ153" s="77">
        <f>Tabella34[[#This Row],[sel. region acc. fit]]+CIl</f>
        <v>50.863211888015606</v>
      </c>
      <c r="BA153" s="77">
        <f>MAX(Tabella34[[#This Row],[sel. region acc. fit]]-CIl,0)</f>
        <v>0</v>
      </c>
      <c r="BC153" s="10"/>
      <c r="BD153" s="10"/>
      <c r="BE153" s="77">
        <f>Tabella34[[#This Row],[rest of Italy rate data]]*NOT(ISBLANK(Tabella34[[#This Row],[rest of Italy rate data]]))</f>
        <v>0</v>
      </c>
      <c r="BF153" s="77">
        <f>Tabella8[[#This Row],[rest of Italy fit]]</f>
        <v>163026.85743168838</v>
      </c>
      <c r="BG153" s="78" t="e">
        <f>(ATANH(alpha*Tabella34[[#This Row],[rest of Italy cumul. fit]]/Ka-(1-alpha*Tabella34[[#This Row],[rest of Italy cumul. fit]]/Ka)*TANH(phi_a))+phi_a)/psi_a-(Tabella34[[#This Row],[Day]]-pa)</f>
        <v>#NUM!</v>
      </c>
      <c r="BH153" s="77">
        <f>Tabella34[[#This Row],[rest of Italy cumul. fit]]/Ka</f>
        <v>0.75464915720820425</v>
      </c>
      <c r="BI153" s="143">
        <f>Tabella3[[#This Row],[rest of Italy fit]]</f>
        <v>2008.69089397989</v>
      </c>
      <c r="BJ153" s="183">
        <f>Tabella34[[#This Row],[rest of Italy velocity]]/Tabella34[[#This Row],[rest of Italy cumul. fit]]</f>
        <v>1.2321226855652132E-2</v>
      </c>
      <c r="BK153" s="236">
        <f>(LN(Tabella34[[#This Row],[Day]]-po)-phi_o)/psi_o</f>
        <v>125.51761711599951</v>
      </c>
      <c r="BL153" s="244">
        <f>EXP(phi_o+psi_o*Tabella34[[#This Row],[x_o_alpha©+plus]])-(Tabella34[[#This Row],[Day]]-po)</f>
        <v>-72.453548757617142</v>
      </c>
      <c r="BM153" s="244">
        <f>EXP(phi_o+psi_o*Tabella34[[#This Row],[x_o_alpha©-minus]])-(Tabella34[[#This Row],[Day]]-po)</f>
        <v>-73.094892743771965</v>
      </c>
      <c r="BN153" s="244">
        <f>-psi_o+SQRT(psi_o^2-2*Tabella34[[#This Row],[c_o]])</f>
        <v>3.6911617822310232</v>
      </c>
      <c r="BO153" s="244">
        <f>-psi_o-SQRT(psi_o^2-2*Tabella34[[#This Row],[c_o]])</f>
        <v>-3.7401888678006525</v>
      </c>
      <c r="BP153" s="244">
        <f>phi_o-LN(alpha*Ko/(Tabella34[[#This Row],[rest of Italy velocity]]*psi_o*SQRTPI(2)))</f>
        <v>-6.9028211035758451</v>
      </c>
      <c r="BQ153" s="244">
        <f>(ACOSH(SQRT(alpha*Ka*psi_a/(Tabella34[[#This Row],[rest of Italy velocity]]*(1+TANH(phi_a)))))+phi_a)/psi_a-(Tabella34[[#This Row],[Day]]-pa)</f>
        <v>20.471343784834403</v>
      </c>
      <c r="BR153" s="72">
        <f>-2*$BY$35*TANH($BY$35*(Tabella34[[#This Row],[Day]]-$BY$44)-$BY$34)*Tabella34[[#This Row],[rest of Italy velocity]]</f>
        <v>-53.768791772419341</v>
      </c>
      <c r="BS153" s="77">
        <f>Tabella34[[#This Row],[rest of Italy acc. fit]]/y_a_peak</f>
        <v>-1.8788509251690812E-2</v>
      </c>
      <c r="BT153" s="121">
        <f>Tabella34[[#This Row],[rest of Italy acc. fit]]*NOT(ISBLANK(Tabella34[[#This Row],[rest of Italy rate data]]))</f>
        <v>0</v>
      </c>
      <c r="BU153" s="189"/>
      <c r="BV153" s="122"/>
    </row>
    <row r="154" spans="2:74" x14ac:dyDescent="0.3">
      <c r="B154" s="262">
        <v>43977</v>
      </c>
      <c r="C154" s="4">
        <v>147</v>
      </c>
      <c r="E154" s="10"/>
      <c r="F154" s="10"/>
      <c r="G154" s="121">
        <f>Tabella34[[#This Row],[Italy rate data]]*NOT(ISBLANK(Tabella34[[#This Row],[Italy rate data]]))</f>
        <v>0</v>
      </c>
      <c r="H154" s="143">
        <f>Tabella8[[#This Row],[Italy fit]]</f>
        <v>172483.7717645987</v>
      </c>
      <c r="I154" s="143" t="e">
        <f>(ATANH(alpha*Tabella34[[#This Row],[Italy cumul. Fit]]/Kf-(1-alpha*Tabella34[[#This Row],[Italy cumul. Fit]]/Kf)*TANH(phi_f))+phi_f)/psi_f-(Tabella34[[#This Row],[Day]]-pf)</f>
        <v>#NUM!</v>
      </c>
      <c r="J154" s="143" t="e">
        <f>Tabella34[[#This Row],[Italy d.t.]]/Italy_dt_at_lockdown</f>
        <v>#NUM!</v>
      </c>
      <c r="K154" s="77">
        <f>Tabella34[[#This Row],[Italy cumul. Fit]]/Kf</f>
        <v>0.76659454117599424</v>
      </c>
      <c r="L154" s="146">
        <f>Tabella34[[#This Row],[sel. region acc. fit]]+Tabella34[[#This Row],[rest of Italy acc. fit]]</f>
        <v>-56.815218160715602</v>
      </c>
      <c r="M154" s="77">
        <f>Tabella34[[#This Row],[Italy (fit of selected region + fitted sum of the other regions)]]/(y_l_peak+y_a_peak)</f>
        <v>-1.8940991194986004E-2</v>
      </c>
      <c r="N154" s="143">
        <f>Tabella3[[#This Row],[Italy remov. rate fit]]</f>
        <v>2033.4809781808679</v>
      </c>
      <c r="O154" s="143">
        <f>Kt*EXP(-0.5*Tabella34[[#This Row],[x_t]]^2)/(psi_t*SQRTPI(2)*(Tabella34[[#This Row],[Day]]-D_bk))</f>
        <v>0</v>
      </c>
      <c r="P154" s="183">
        <f>Tabella34[[#This Row],[Italy velocity]]/Tabella34[[#This Row],[Italy cumul. Fit]]</f>
        <v>1.1789404634287039E-2</v>
      </c>
      <c r="Q154" s="244">
        <f>(LN(Tabella34[[#This Row],[Day]]-D_bk)-phi_t)/psi_t</f>
        <v>124.90710615336758</v>
      </c>
      <c r="R154" s="244">
        <f>EXP(phi_t+psi_t*Tabella34[[#This Row],[x_t_alpha©+plus]])-(Tabella34[[#This Row],[Day]]-D_bk)</f>
        <v>-73.289221116361446</v>
      </c>
      <c r="S154" s="244">
        <f>EXP(phi_t+psi_t*Tabella34[[#This Row],[x_t_alpha©-minus]])-(Tabella34[[#This Row],[Day]]-D_bk)</f>
        <v>-73.938277527002967</v>
      </c>
      <c r="T154" s="244">
        <f>-psi_t+SQRT(psi_t^2-2*Tabella34[[#This Row],[c_t]])</f>
        <v>3.6957579792506752</v>
      </c>
      <c r="U154" s="244">
        <f>-psi_t-SQRT(psi_t^2-2*Tabella34[[#This Row],[c_t]])</f>
        <v>-3.7451507136704802</v>
      </c>
      <c r="V154" s="244">
        <f>phi_t-LN(alpha*Kt/(Tabella34[[#This Row],[Italy velocity]]*psi_t*SQRTPI(2)))</f>
        <v>-6.9205853167720184</v>
      </c>
      <c r="W154" s="244">
        <f>Tabella34[[#This Row],[Italy g.r.]]/Italy_gr_at_lockdown</f>
        <v>1.3301306395591489E-2</v>
      </c>
      <c r="X154" s="244">
        <f>(ACOSH(SQRT(alpha*Kf*psi_f/(Tabella34[[#This Row],[Italy velocity]]*(1+TANH(phi_f)))))+phi_f)/psi_f-(Tabella34[[#This Row],[Day]]-pf)</f>
        <v>19.918890723259736</v>
      </c>
      <c r="Y154" s="244">
        <f>Tabella34[[#This Row],[Italy h.t.]]/Italy_ht_at_lockdown</f>
        <v>0.17230336745204783</v>
      </c>
      <c r="Z154" s="72">
        <f>-2*$BY$48*TANH($BY$48*(Tabella34[[#This Row],[Day]]-$BY$57)-$BY$47)*Tabella34[[#This Row],[Italy velocity]]</f>
        <v>-57.037656115735949</v>
      </c>
      <c r="AA154" s="72">
        <f>Tabella34[[#This Row],[Italy acc. fit]]/Itali_acc_at_lockdown</f>
        <v>-1.5796155555410849</v>
      </c>
      <c r="AB154" s="77">
        <f>Tabella34[[#This Row],[Italy acc. fit]]/y_f_peak</f>
        <v>-1.9003645610918819E-2</v>
      </c>
      <c r="AC154" s="143">
        <f>Tabella34[[#This Row],[Italy (fit of selected region + fitted sum of the other regions)]]*NOT(ISBLANK(Tabella34[[#This Row],[Italy rate data]]))</f>
        <v>0</v>
      </c>
      <c r="AD154" s="143">
        <f>Tabella34[[#This Row],[Italy acc. fit]]*NOT(ISBLANK(Tabella34[[#This Row],[Italy rate data]]))</f>
        <v>0</v>
      </c>
      <c r="AE154" s="77">
        <f>Tabella34[[#This Row],[Italy acc. fit]]+CIf</f>
        <v>1658.5772032188154</v>
      </c>
      <c r="AF154" s="77">
        <f>MAX(Tabella34[[#This Row],[Italy acc. fit]]-CIf,0)</f>
        <v>0</v>
      </c>
      <c r="AH154" s="10"/>
      <c r="AI154" s="10"/>
      <c r="AJ154" s="121">
        <f>Tabella34[[#This Row],[selected region rate data]]*NOT(ISBLANK(Tabella34[[#This Row],[selected region rate data]]))</f>
        <v>0</v>
      </c>
      <c r="AK154" s="77">
        <f>Tabella8[[#This Row],[region fit]]</f>
        <v>7372.8230665084684</v>
      </c>
      <c r="AL154" s="143" t="e">
        <f>(ATANH(alpha*Tabella34[[#This Row],[sel. region cumul. fit]]/Kl-(1-alpha*Tabella34[[#This Row],[sel. region cumul. fit]]/Kl)*TANH(phi_l))+phi_l)/psi_l-(Tabella34[[#This Row],[Day]]-pl)</f>
        <v>#NUM!</v>
      </c>
      <c r="AM154" s="77">
        <f>Tabella34[[#This Row],[sel. region cumul. fit]]/Kl</f>
        <v>0.82194237084821276</v>
      </c>
      <c r="AN154" s="143">
        <f>Tabella3[[#This Row],[region fit]]</f>
        <v>75.367957374340619</v>
      </c>
      <c r="AO154" s="186">
        <f>Tabella34[[#This Row],[sel. region velocity]]/Tabella34[[#This Row],[sel. region cumul. fit]]</f>
        <v>1.0222401472877398E-2</v>
      </c>
      <c r="AP154" s="241">
        <f>(LN(Tabella34[[#This Row],[Day]]-pr)-phi_r)/psi_r</f>
        <v>108.70003944168185</v>
      </c>
      <c r="AQ154" s="244">
        <f>EXP(phi_r+psi_r*Tabella34[[#This Row],[x_r_alpha©+plus]])-(Tabella34[[#This Row],[Day]]-pr)</f>
        <v>-68.047472354920814</v>
      </c>
      <c r="AR154" s="244">
        <f>EXP(phi_r+psi_r*Tabella34[[#This Row],[x_r_alpha©-minus]])-(Tabella34[[#This Row],[Day]]-pr)</f>
        <v>-68.749925513528979</v>
      </c>
      <c r="AS154" s="244">
        <f>-psi_r+SQRT(psi_r^2-2*Tabella34[[#This Row],[c_r]])</f>
        <v>3.6905641391386705</v>
      </c>
      <c r="AT154" s="244">
        <f>-psi_r-SQRT(psi_r^2-2*Tabella34[[#This Row],[c_r]])</f>
        <v>-3.7469723775573316</v>
      </c>
      <c r="AU154" s="244">
        <f>phi_r-LN(alpha*Kr/(Tabella34[[#This Row],[sel. region velocity]]*psi_r*SQRTPI(2)))</f>
        <v>-6.9142209434781252</v>
      </c>
      <c r="AV154" s="244">
        <f>(ACOSH(SQRT(alpha*Kl*psi_l/(Tabella34[[#This Row],[sel. region velocity]]*(1+TANH(phi_l)))))+phi_l)/psi_l-(Tabella34[[#This Row],[Day]]-pl)</f>
        <v>15.897021209236343</v>
      </c>
      <c r="AW154" s="72">
        <f>-2*$BY$22*TANH($BY$22*(Tabella34[[#This Row],[Day]]-$BY$31)-$BY$21)*Tabella34[[#This Row],[sel. region velocity]]</f>
        <v>-2.8615877668497598</v>
      </c>
      <c r="AX154" s="77">
        <f>Tabella34[[#This Row],[sel. region acc. fit]]/y_l_peak</f>
        <v>-2.076634817932289E-2</v>
      </c>
      <c r="AY154" s="143">
        <f>Tabella34[[#This Row],[sel. region acc. fit]]*NOT(ISBLANK(Tabella34[[#This Row],[selected region rate data]]))</f>
        <v>0</v>
      </c>
      <c r="AZ154" s="77">
        <f>Tabella34[[#This Row],[sel. region acc. fit]]+CIl</f>
        <v>50.903252642698696</v>
      </c>
      <c r="BA154" s="77">
        <f>MAX(Tabella34[[#This Row],[sel. region acc. fit]]-CIl,0)</f>
        <v>0</v>
      </c>
      <c r="BC154" s="10"/>
      <c r="BD154" s="10"/>
      <c r="BE154" s="77">
        <f>Tabella34[[#This Row],[rest of Italy rate data]]*NOT(ISBLANK(Tabella34[[#This Row],[rest of Italy rate data]]))</f>
        <v>0</v>
      </c>
      <c r="BF154" s="77">
        <f>Tabella8[[#This Row],[rest of Italy fit]]</f>
        <v>165008.62730011364</v>
      </c>
      <c r="BG154" s="78" t="e">
        <f>(ATANH(alpha*Tabella34[[#This Row],[rest of Italy cumul. fit]]/Ka-(1-alpha*Tabella34[[#This Row],[rest of Italy cumul. fit]]/Ka)*TANH(phi_a))+phi_a)/psi_a-(Tabella34[[#This Row],[Day]]-pa)</f>
        <v>#NUM!</v>
      </c>
      <c r="BH154" s="77">
        <f>Tabella34[[#This Row],[rest of Italy cumul. fit]]/Ka</f>
        <v>0.76382274360095193</v>
      </c>
      <c r="BI154" s="143">
        <f>Tabella3[[#This Row],[rest of Italy fit]]</f>
        <v>1954.8180554196199</v>
      </c>
      <c r="BJ154" s="183">
        <f>Tabella34[[#This Row],[rest of Italy velocity]]/Tabella34[[#This Row],[rest of Italy cumul. fit]]</f>
        <v>1.1846762726316393E-2</v>
      </c>
      <c r="BK154" s="236">
        <f>(LN(Tabella34[[#This Row],[Day]]-po)-phi_o)/psi_o</f>
        <v>126.04876208651035</v>
      </c>
      <c r="BL154" s="244">
        <f>EXP(phi_o+psi_o*Tabella34[[#This Row],[x_o_alpha©+plus]])-(Tabella34[[#This Row],[Day]]-po)</f>
        <v>-73.452858674636119</v>
      </c>
      <c r="BM154" s="244">
        <f>EXP(phi_o+psi_o*Tabella34[[#This Row],[x_o_alpha©-minus]])-(Tabella34[[#This Row],[Day]]-po)</f>
        <v>-74.095467797767228</v>
      </c>
      <c r="BN154" s="244">
        <f>-psi_o+SQRT(psi_o^2-2*Tabella34[[#This Row],[c_o]])</f>
        <v>3.6984711875085439</v>
      </c>
      <c r="BO154" s="244">
        <f>-psi_o-SQRT(psi_o^2-2*Tabella34[[#This Row],[c_o]])</f>
        <v>-3.7474982730781732</v>
      </c>
      <c r="BP154" s="244">
        <f>phi_o-LN(alpha*Ko/(Tabella34[[#This Row],[rest of Italy velocity]]*psi_o*SQRTPI(2)))</f>
        <v>-6.9300071941088239</v>
      </c>
      <c r="BQ154" s="244">
        <f>(ACOSH(SQRT(alpha*Ka*psi_a/(Tabella34[[#This Row],[rest of Italy velocity]]*(1+TANH(phi_a)))))+phi_a)/psi_a-(Tabella34[[#This Row],[Day]]-pa)</f>
        <v>20.157145351898563</v>
      </c>
      <c r="BR154" s="72">
        <f>-2*$BY$35*TANH($BY$35*(Tabella34[[#This Row],[Day]]-$BY$44)-$BY$34)*Tabella34[[#This Row],[rest of Italy velocity]]</f>
        <v>-53.953630393865843</v>
      </c>
      <c r="BS154" s="77">
        <f>Tabella34[[#This Row],[rest of Italy acc. fit]]/y_a_peak</f>
        <v>-1.8853097687373289E-2</v>
      </c>
      <c r="BT154" s="121">
        <f>Tabella34[[#This Row],[rest of Italy acc. fit]]*NOT(ISBLANK(Tabella34[[#This Row],[rest of Italy rate data]]))</f>
        <v>0</v>
      </c>
      <c r="BU154" s="189"/>
      <c r="BV154" s="122"/>
    </row>
    <row r="155" spans="2:74" x14ac:dyDescent="0.3">
      <c r="B155" s="262">
        <v>43978</v>
      </c>
      <c r="C155" s="4">
        <v>148</v>
      </c>
      <c r="E155" s="10"/>
      <c r="F155" s="10"/>
      <c r="G155" s="121">
        <f>Tabella34[[#This Row],[Italy rate data]]*NOT(ISBLANK(Tabella34[[#This Row],[Italy rate data]]))</f>
        <v>0</v>
      </c>
      <c r="H155" s="143">
        <f>Tabella8[[#This Row],[Italy fit]]</f>
        <v>174488.72638866471</v>
      </c>
      <c r="I155" s="143" t="e">
        <f>(ATANH(alpha*Tabella34[[#This Row],[Italy cumul. Fit]]/Kf-(1-alpha*Tabella34[[#This Row],[Italy cumul. Fit]]/Kf)*TANH(phi_f))+phi_f)/psi_f-(Tabella34[[#This Row],[Day]]-pf)</f>
        <v>#NUM!</v>
      </c>
      <c r="J155" s="143" t="e">
        <f>Tabella34[[#This Row],[Italy d.t.]]/Italy_dt_at_lockdown</f>
        <v>#NUM!</v>
      </c>
      <c r="K155" s="77">
        <f>Tabella34[[#This Row],[Italy cumul. Fit]]/Kf</f>
        <v>0.77550545061628762</v>
      </c>
      <c r="L155" s="146">
        <f>Tabella34[[#This Row],[sel. region acc. fit]]+Tabella34[[#This Row],[rest of Italy acc. fit]]</f>
        <v>-56.818142882920554</v>
      </c>
      <c r="M155" s="77">
        <f>Tabella34[[#This Row],[Italy (fit of selected region + fitted sum of the other regions)]]/(y_l_peak+y_a_peak)</f>
        <v>-1.8941966235465037E-2</v>
      </c>
      <c r="N155" s="143">
        <f>Tabella3[[#This Row],[Italy remov. rate fit]]</f>
        <v>1976.4266000693688</v>
      </c>
      <c r="O155" s="143">
        <f>Kt*EXP(-0.5*Tabella34[[#This Row],[x_t]]^2)/(psi_t*SQRTPI(2)*(Tabella34[[#This Row],[Day]]-D_bk))</f>
        <v>0</v>
      </c>
      <c r="P155" s="183">
        <f>Tabella34[[#This Row],[Italy velocity]]/Tabella34[[#This Row],[Italy cumul. Fit]]</f>
        <v>1.1326958715183579E-2</v>
      </c>
      <c r="Q155" s="244">
        <f>(LN(Tabella34[[#This Row],[Day]]-D_bk)-phi_t)/psi_t</f>
        <v>125.42854041075653</v>
      </c>
      <c r="R155" s="244">
        <f>EXP(phi_t+psi_t*Tabella34[[#This Row],[x_t_alpha©+plus]])-(Tabella34[[#This Row],[Day]]-D_bk)</f>
        <v>-74.288491385960498</v>
      </c>
      <c r="S155" s="244">
        <f>EXP(phi_t+psi_t*Tabella34[[#This Row],[x_t_alpha©-minus]])-(Tabella34[[#This Row],[Day]]-D_bk)</f>
        <v>-74.938884644913941</v>
      </c>
      <c r="T155" s="244">
        <f>-psi_t+SQRT(psi_t^2-2*Tabella34[[#This Row],[c_t]])</f>
        <v>3.7033993658409061</v>
      </c>
      <c r="U155" s="244">
        <f>-psi_t-SQRT(psi_t^2-2*Tabella34[[#This Row],[c_t]])</f>
        <v>-3.7527921002607112</v>
      </c>
      <c r="V155" s="244">
        <f>phi_t-LN(alpha*Kt/(Tabella34[[#This Row],[Italy velocity]]*psi_t*SQRTPI(2)))</f>
        <v>-6.9490439421191406</v>
      </c>
      <c r="W155" s="244">
        <f>Tabella34[[#This Row],[Italy g.r.]]/Italy_gr_at_lockdown</f>
        <v>1.2779555293462315E-2</v>
      </c>
      <c r="X155" s="244">
        <f>(ACOSH(SQRT(alpha*Kf*psi_f/(Tabella34[[#This Row],[Italy velocity]]*(1+TANH(phi_f)))))+phi_f)/psi_f-(Tabella34[[#This Row],[Day]]-pf)</f>
        <v>19.624899240864053</v>
      </c>
      <c r="Y155" s="244">
        <f>Tabella34[[#This Row],[Italy h.t.]]/Italy_ht_at_lockdown</f>
        <v>0.16976026788276088</v>
      </c>
      <c r="Z155" s="72">
        <f>-2*$BY$48*TANH($BY$48*(Tabella34[[#This Row],[Day]]-$BY$57)-$BY$47)*Tabella34[[#This Row],[Italy velocity]]</f>
        <v>-57.047807300305365</v>
      </c>
      <c r="AA155" s="72">
        <f>Tabella34[[#This Row],[Italy acc. fit]]/Itali_acc_at_lockdown</f>
        <v>-1.5798966850640175</v>
      </c>
      <c r="AB155" s="77">
        <f>Tabella34[[#This Row],[Italy acc. fit]]/y_f_peak</f>
        <v>-1.9007027754001572E-2</v>
      </c>
      <c r="AC155" s="143">
        <f>Tabella34[[#This Row],[Italy (fit of selected region + fitted sum of the other regions)]]*NOT(ISBLANK(Tabella34[[#This Row],[Italy rate data]]))</f>
        <v>0</v>
      </c>
      <c r="AD155" s="143">
        <f>Tabella34[[#This Row],[Italy acc. fit]]*NOT(ISBLANK(Tabella34[[#This Row],[Italy rate data]]))</f>
        <v>0</v>
      </c>
      <c r="AE155" s="77">
        <f>Tabella34[[#This Row],[Italy acc. fit]]+CIf</f>
        <v>1658.567052034246</v>
      </c>
      <c r="AF155" s="77">
        <f>MAX(Tabella34[[#This Row],[Italy acc. fit]]-CIf,0)</f>
        <v>0</v>
      </c>
      <c r="AH155" s="10"/>
      <c r="AI155" s="10"/>
      <c r="AJ155" s="121">
        <f>Tabella34[[#This Row],[selected region rate data]]*NOT(ISBLANK(Tabella34[[#This Row],[selected region rate data]]))</f>
        <v>0</v>
      </c>
      <c r="AK155" s="77">
        <f>Tabella8[[#This Row],[region fit]]</f>
        <v>7446.7676456575609</v>
      </c>
      <c r="AL155" s="143" t="e">
        <f>(ATANH(alpha*Tabella34[[#This Row],[sel. region cumul. fit]]/Kl-(1-alpha*Tabella34[[#This Row],[sel. region cumul. fit]]/Kl)*TANH(phi_l))+phi_l)/psi_l-(Tabella34[[#This Row],[Day]]-pl)</f>
        <v>#NUM!</v>
      </c>
      <c r="AM155" s="77">
        <f>Tabella34[[#This Row],[sel. region cumul. fit]]/Kl</f>
        <v>0.83018591367419858</v>
      </c>
      <c r="AN155" s="143">
        <f>Tabella3[[#This Row],[region fit]]</f>
        <v>72.528848843818281</v>
      </c>
      <c r="AO155" s="186">
        <f>Tabella34[[#This Row],[sel. region velocity]]/Tabella34[[#This Row],[sel. region cumul. fit]]</f>
        <v>9.739641720406313E-3</v>
      </c>
      <c r="AP155" s="241">
        <f>(LN(Tabella34[[#This Row],[Day]]-pr)-phi_r)/psi_r</f>
        <v>109.19071954053545</v>
      </c>
      <c r="AQ155" s="244">
        <f>EXP(phi_r+psi_r*Tabella34[[#This Row],[x_r_alpha©+plus]])-(Tabella34[[#This Row],[Day]]-pr)</f>
        <v>-69.046392632804725</v>
      </c>
      <c r="AR155" s="244">
        <f>EXP(phi_r+psi_r*Tabella34[[#This Row],[x_r_alpha©-minus]])-(Tabella34[[#This Row],[Day]]-pr)</f>
        <v>-69.750800666770814</v>
      </c>
      <c r="AS155" s="244">
        <f>-psi_r+SQRT(psi_r^2-2*Tabella34[[#This Row],[c_r]])</f>
        <v>3.700875257266016</v>
      </c>
      <c r="AT155" s="244">
        <f>-psi_r-SQRT(psi_r^2-2*Tabella34[[#This Row],[c_r]])</f>
        <v>-3.757283495684677</v>
      </c>
      <c r="AU155" s="244">
        <f>phi_r-LN(alpha*Kr/(Tabella34[[#This Row],[sel. region velocity]]*psi_r*SQRTPI(2)))</f>
        <v>-6.9526187618566917</v>
      </c>
      <c r="AV155" s="244">
        <f>(ACOSH(SQRT(alpha*Kl*psi_l/(Tabella34[[#This Row],[sel. region velocity]]*(1+TANH(phi_l)))))+phi_l)/psi_l-(Tabella34[[#This Row],[Day]]-pl)</f>
        <v>15.692806875235988</v>
      </c>
      <c r="AW155" s="72">
        <f>-2*$BY$22*TANH($BY$22*(Tabella34[[#This Row],[Day]]-$BY$31)-$BY$21)*Tabella34[[#This Row],[sel. region velocity]]</f>
        <v>-2.8157110375979064</v>
      </c>
      <c r="AX155" s="77">
        <f>Tabella34[[#This Row],[sel. region acc. fit]]/y_l_peak</f>
        <v>-2.0433423869256628E-2</v>
      </c>
      <c r="AY155" s="143">
        <f>Tabella34[[#This Row],[sel. region acc. fit]]*NOT(ISBLANK(Tabella34[[#This Row],[selected region rate data]]))</f>
        <v>0</v>
      </c>
      <c r="AZ155" s="77">
        <f>Tabella34[[#This Row],[sel. region acc. fit]]+CIl</f>
        <v>50.949129371950548</v>
      </c>
      <c r="BA155" s="77">
        <f>MAX(Tabella34[[#This Row],[sel. region acc. fit]]-CIl,0)</f>
        <v>0</v>
      </c>
      <c r="BC155" s="10"/>
      <c r="BD155" s="10"/>
      <c r="BE155" s="77">
        <f>Tabella34[[#This Row],[rest of Italy rate data]]*NOT(ISBLANK(Tabella34[[#This Row],[rest of Italy rate data]]))</f>
        <v>0</v>
      </c>
      <c r="BF155" s="77">
        <f>Tabella8[[#This Row],[rest of Italy fit]]</f>
        <v>166936.45487620286</v>
      </c>
      <c r="BG155" s="78" t="e">
        <f>(ATANH(alpha*Tabella34[[#This Row],[rest of Italy cumul. fit]]/Ka-(1-alpha*Tabella34[[#This Row],[rest of Italy cumul. fit]]/Ka)*TANH(phi_a))+phi_a)/psi_a-(Tabella34[[#This Row],[Day]]-pa)</f>
        <v>#NUM!</v>
      </c>
      <c r="BH155" s="77">
        <f>Tabella34[[#This Row],[rest of Italy cumul. fit]]/Ka</f>
        <v>0.77274663183910963</v>
      </c>
      <c r="BI155" s="143">
        <f>Tabella3[[#This Row],[rest of Italy fit]]</f>
        <v>1900.828983254296</v>
      </c>
      <c r="BJ155" s="183">
        <f>Tabella34[[#This Row],[rest of Italy velocity]]/Tabella34[[#This Row],[rest of Italy cumul. fit]]</f>
        <v>1.1386542170575728E-2</v>
      </c>
      <c r="BK155" s="236">
        <f>(LN(Tabella34[[#This Row],[Day]]-po)-phi_o)/psi_o</f>
        <v>126.57308021139443</v>
      </c>
      <c r="BL155" s="244">
        <f>EXP(phi_o+psi_o*Tabella34[[#This Row],[x_o_alpha©+plus]])-(Tabella34[[#This Row],[Day]]-po)</f>
        <v>-74.452149038374571</v>
      </c>
      <c r="BM155" s="244">
        <f>EXP(phi_o+psi_o*Tabella34[[#This Row],[x_o_alpha©-minus]])-(Tabella34[[#This Row],[Day]]-po)</f>
        <v>-75.096058930875287</v>
      </c>
      <c r="BN155" s="244">
        <f>-psi_o+SQRT(psi_o^2-2*Tabella34[[#This Row],[c_o]])</f>
        <v>3.7059863368102768</v>
      </c>
      <c r="BO155" s="244">
        <f>-psi_o-SQRT(psi_o^2-2*Tabella34[[#This Row],[c_o]])</f>
        <v>-3.7550134223799061</v>
      </c>
      <c r="BP155" s="244">
        <f>phi_o-LN(alpha*Ko/(Tabella34[[#This Row],[rest of Italy velocity]]*psi_o*SQRTPI(2)))</f>
        <v>-6.9580142189395646</v>
      </c>
      <c r="BQ155" s="244">
        <f>(ACOSH(SQRT(alpha*Ka*psi_a/(Tabella34[[#This Row],[rest of Italy velocity]]*(1+TANH(phi_a)))))+phi_a)/psi_a-(Tabella34[[#This Row],[Day]]-pa)</f>
        <v>19.858618570929352</v>
      </c>
      <c r="BR155" s="72">
        <f>-2*$BY$35*TANH($BY$35*(Tabella34[[#This Row],[Day]]-$BY$44)-$BY$34)*Tabella34[[#This Row],[rest of Italy velocity]]</f>
        <v>-54.002431845322647</v>
      </c>
      <c r="BS155" s="77">
        <f>Tabella34[[#This Row],[rest of Italy acc. fit]]/y_a_peak</f>
        <v>-1.8870150451476171E-2</v>
      </c>
      <c r="BT155" s="121">
        <f>Tabella34[[#This Row],[rest of Italy acc. fit]]*NOT(ISBLANK(Tabella34[[#This Row],[rest of Italy rate data]]))</f>
        <v>0</v>
      </c>
      <c r="BU155" s="189"/>
      <c r="BV155" s="122"/>
    </row>
    <row r="156" spans="2:74" x14ac:dyDescent="0.3">
      <c r="B156" s="262">
        <v>43979</v>
      </c>
      <c r="C156" s="4">
        <v>149</v>
      </c>
      <c r="E156" s="10"/>
      <c r="F156" s="10"/>
      <c r="G156" s="121">
        <f>Tabella34[[#This Row],[Italy rate data]]*NOT(ISBLANK(Tabella34[[#This Row],[Italy rate data]]))</f>
        <v>0</v>
      </c>
      <c r="H156" s="143">
        <f>Tabella8[[#This Row],[Italy fit]]</f>
        <v>176436.64451847816</v>
      </c>
      <c r="I156" s="143" t="e">
        <f>(ATANH(alpha*Tabella34[[#This Row],[Italy cumul. Fit]]/Kf-(1-alpha*Tabella34[[#This Row],[Italy cumul. Fit]]/Kf)*TANH(phi_f))+phi_f)/psi_f-(Tabella34[[#This Row],[Day]]-pf)</f>
        <v>#NUM!</v>
      </c>
      <c r="J156" s="143" t="e">
        <f>Tabella34[[#This Row],[Italy d.t.]]/Italy_dt_at_lockdown</f>
        <v>#NUM!</v>
      </c>
      <c r="K156" s="77">
        <f>Tabella34[[#This Row],[Italy cumul. Fit]]/Kf</f>
        <v>0.78416286452656958</v>
      </c>
      <c r="L156" s="146">
        <f>Tabella34[[#This Row],[sel. region acc. fit]]+Tabella34[[#This Row],[rest of Italy acc. fit]]</f>
        <v>-56.68705719023604</v>
      </c>
      <c r="M156" s="77">
        <f>Tabella34[[#This Row],[Italy (fit of selected region + fitted sum of the other regions)]]/(y_l_peak+y_a_peak)</f>
        <v>-1.8898265040058156E-2</v>
      </c>
      <c r="N156" s="143">
        <f>Tabella3[[#This Row],[Italy remov. rate fit]]</f>
        <v>1919.4306141121003</v>
      </c>
      <c r="O156" s="143">
        <f>Kt*EXP(-0.5*Tabella34[[#This Row],[x_t]]^2)/(psi_t*SQRTPI(2)*(Tabella34[[#This Row],[Day]]-D_bk))</f>
        <v>0</v>
      </c>
      <c r="P156" s="183">
        <f>Tabella34[[#This Row],[Italy velocity]]/Tabella34[[#This Row],[Italy cumul. Fit]]</f>
        <v>1.0878866005134658E-2</v>
      </c>
      <c r="Q156" s="244">
        <f>(LN(Tabella34[[#This Row],[Day]]-D_bk)-phi_t)/psi_t</f>
        <v>125.94334516307792</v>
      </c>
      <c r="R156" s="244">
        <f>EXP(phi_t+psi_t*Tabella34[[#This Row],[x_t_alpha©+plus]])-(Tabella34[[#This Row],[Day]]-D_bk)</f>
        <v>-75.287742471861833</v>
      </c>
      <c r="S156" s="244">
        <f>EXP(phi_t+psi_t*Tabella34[[#This Row],[x_t_alpha©-minus]])-(Tabella34[[#This Row],[Day]]-D_bk)</f>
        <v>-75.939507485003602</v>
      </c>
      <c r="T156" s="244">
        <f>-psi_t+SQRT(psi_t^2-2*Tabella34[[#This Row],[c_t]])</f>
        <v>3.7112401357931257</v>
      </c>
      <c r="U156" s="244">
        <f>-psi_t-SQRT(psi_t^2-2*Tabella34[[#This Row],[c_t]])</f>
        <v>-3.7606328702129308</v>
      </c>
      <c r="V156" s="244">
        <f>phi_t-LN(alpha*Kt/(Tabella34[[#This Row],[Italy velocity]]*psi_t*SQRTPI(2)))</f>
        <v>-6.978305821958565</v>
      </c>
      <c r="W156" s="244">
        <f>Tabella34[[#This Row],[Italy g.r.]]/Italy_gr_at_lockdown</f>
        <v>1.2273998090628036E-2</v>
      </c>
      <c r="X156" s="244">
        <f>(ACOSH(SQRT(alpha*Kf*psi_f/(Tabella34[[#This Row],[Italy velocity]]*(1+TANH(phi_f)))))+phi_f)/psi_f-(Tabella34[[#This Row],[Day]]-pf)</f>
        <v>19.345712185905654</v>
      </c>
      <c r="Y156" s="244">
        <f>Tabella34[[#This Row],[Italy h.t.]]/Italy_ht_at_lockdown</f>
        <v>0.16734523029925835</v>
      </c>
      <c r="Z156" s="72">
        <f>-2*$BY$48*TANH($BY$48*(Tabella34[[#This Row],[Day]]-$BY$57)-$BY$47)*Tabella34[[#This Row],[Italy velocity]]</f>
        <v>-56.922216846012851</v>
      </c>
      <c r="AA156" s="72">
        <f>Tabella34[[#This Row],[Italy acc. fit]]/Itali_acc_at_lockdown</f>
        <v>-1.5764185506395352</v>
      </c>
      <c r="AB156" s="77">
        <f>Tabella34[[#This Row],[Italy acc. fit]]/y_f_peak</f>
        <v>-1.8965183880181681E-2</v>
      </c>
      <c r="AC156" s="143">
        <f>Tabella34[[#This Row],[Italy (fit of selected region + fitted sum of the other regions)]]*NOT(ISBLANK(Tabella34[[#This Row],[Italy rate data]]))</f>
        <v>0</v>
      </c>
      <c r="AD156" s="143">
        <f>Tabella34[[#This Row],[Italy acc. fit]]*NOT(ISBLANK(Tabella34[[#This Row],[Italy rate data]]))</f>
        <v>0</v>
      </c>
      <c r="AE156" s="77">
        <f>Tabella34[[#This Row],[Italy acc. fit]]+CIf</f>
        <v>1658.6926424885385</v>
      </c>
      <c r="AF156" s="77">
        <f>MAX(Tabella34[[#This Row],[Italy acc. fit]]-CIf,0)</f>
        <v>0</v>
      </c>
      <c r="AH156" s="10"/>
      <c r="AI156" s="10"/>
      <c r="AJ156" s="121">
        <f>Tabella34[[#This Row],[selected region rate data]]*NOT(ISBLANK(Tabella34[[#This Row],[selected region rate data]]))</f>
        <v>0</v>
      </c>
      <c r="AK156" s="77">
        <f>Tabella8[[#This Row],[region fit]]</f>
        <v>7517.8969461147954</v>
      </c>
      <c r="AL156" s="143" t="e">
        <f>(ATANH(alpha*Tabella34[[#This Row],[sel. region cumul. fit]]/Kl-(1-alpha*Tabella34[[#This Row],[sel. region cumul. fit]]/Kl)*TANH(phi_l))+phi_l)/psi_l-(Tabella34[[#This Row],[Day]]-pl)</f>
        <v>#NUM!</v>
      </c>
      <c r="AM156" s="77">
        <f>Tabella34[[#This Row],[sel. region cumul. fit]]/Kl</f>
        <v>0.8381156015735558</v>
      </c>
      <c r="AN156" s="143">
        <f>Tabella3[[#This Row],[region fit]]</f>
        <v>69.738264786763963</v>
      </c>
      <c r="AO156" s="186">
        <f>Tabella34[[#This Row],[sel. region velocity]]/Tabella34[[#This Row],[sel. region cumul. fit]]</f>
        <v>9.2762996469117984E-3</v>
      </c>
      <c r="AP156" s="241">
        <f>(LN(Tabella34[[#This Row],[Day]]-pr)-phi_r)/psi_r</f>
        <v>109.67470160929994</v>
      </c>
      <c r="AQ156" s="244">
        <f>EXP(phi_r+psi_r*Tabella34[[#This Row],[x_r_alpha©+plus]])-(Tabella34[[#This Row],[Day]]-pr)</f>
        <v>-70.045292115141038</v>
      </c>
      <c r="AR156" s="244">
        <f>EXP(phi_r+psi_r*Tabella34[[#This Row],[x_r_alpha©-minus]])-(Tabella34[[#This Row],[Day]]-pr)</f>
        <v>-70.751692151959048</v>
      </c>
      <c r="AS156" s="244">
        <f>-psi_r+SQRT(psi_r^2-2*Tabella34[[#This Row],[c_r]])</f>
        <v>3.7113818835631132</v>
      </c>
      <c r="AT156" s="244">
        <f>-psi_r-SQRT(psi_r^2-2*Tabella34[[#This Row],[c_r]])</f>
        <v>-3.7677901219817742</v>
      </c>
      <c r="AU156" s="244">
        <f>phi_r-LN(alpha*Kr/(Tabella34[[#This Row],[sel. region velocity]]*psi_r*SQRTPI(2)))</f>
        <v>-6.9918539998956044</v>
      </c>
      <c r="AV156" s="244">
        <f>(ACOSH(SQRT(alpha*Kl*psi_l/(Tabella34[[#This Row],[sel. region velocity]]*(1+TANH(phi_l)))))+phi_l)/psi_l-(Tabella34[[#This Row],[Day]]-pl)</f>
        <v>15.500331128195455</v>
      </c>
      <c r="AW156" s="72">
        <f>-2*$BY$22*TANH($BY$22*(Tabella34[[#This Row],[Day]]-$BY$31)-$BY$21)*Tabella34[[#This Row],[sel. region velocity]]</f>
        <v>-2.7646452178720398</v>
      </c>
      <c r="AX156" s="77">
        <f>Tabella34[[#This Row],[sel. region acc. fit]]/y_l_peak</f>
        <v>-2.0062842681856145E-2</v>
      </c>
      <c r="AY156" s="143">
        <f>Tabella34[[#This Row],[sel. region acc. fit]]*NOT(ISBLANK(Tabella34[[#This Row],[selected region rate data]]))</f>
        <v>0</v>
      </c>
      <c r="AZ156" s="77">
        <f>Tabella34[[#This Row],[sel. region acc. fit]]+CIl</f>
        <v>51.000195191676418</v>
      </c>
      <c r="BA156" s="77">
        <f>MAX(Tabella34[[#This Row],[sel. region acc. fit]]-CIl,0)</f>
        <v>0</v>
      </c>
      <c r="BC156" s="10"/>
      <c r="BD156" s="10"/>
      <c r="BE156" s="77">
        <f>Tabella34[[#This Row],[rest of Italy rate data]]*NOT(ISBLANK(Tabella34[[#This Row],[rest of Italy rate data]]))</f>
        <v>0</v>
      </c>
      <c r="BF156" s="77">
        <f>Tabella8[[#This Row],[rest of Italy fit]]</f>
        <v>168810.29075681017</v>
      </c>
      <c r="BG156" s="78" t="e">
        <f>(ATANH(alpha*Tabella34[[#This Row],[rest of Italy cumul. fit]]/Ka-(1-alpha*Tabella34[[#This Row],[rest of Italy cumul. fit]]/Ka)*TANH(phi_a))+phi_a)/psi_a-(Tabella34[[#This Row],[Day]]-pa)</f>
        <v>#NUM!</v>
      </c>
      <c r="BH156" s="77">
        <f>Tabella34[[#This Row],[rest of Italy cumul. fit]]/Ka</f>
        <v>0.78142059323617163</v>
      </c>
      <c r="BI156" s="143">
        <f>Tabella3[[#This Row],[rest of Italy fit]]</f>
        <v>1846.8561355121424</v>
      </c>
      <c r="BJ156" s="183">
        <f>Tabella34[[#This Row],[rest of Italy velocity]]/Tabella34[[#This Row],[rest of Italy cumul. fit]]</f>
        <v>1.0940423876010866E-2</v>
      </c>
      <c r="BK156" s="236">
        <f>(LN(Tabella34[[#This Row],[Day]]-po)-phi_o)/psi_o</f>
        <v>127.09074475789451</v>
      </c>
      <c r="BL156" s="244">
        <f>EXP(phi_o+psi_o*Tabella34[[#This Row],[x_o_alpha©+plus]])-(Tabella34[[#This Row],[Day]]-po)</f>
        <v>-75.451420528040885</v>
      </c>
      <c r="BM156" s="244">
        <f>EXP(phi_o+psi_o*Tabella34[[#This Row],[x_o_alpha©-minus]])-(Tabella34[[#This Row],[Day]]-po)</f>
        <v>-76.096665559744665</v>
      </c>
      <c r="BN156" s="244">
        <f>-psi_o+SQRT(psi_o^2-2*Tabella34[[#This Row],[c_o]])</f>
        <v>3.7136999253140228</v>
      </c>
      <c r="BO156" s="244">
        <f>-psi_o-SQRT(psi_o^2-2*Tabella34[[#This Row],[c_o]])</f>
        <v>-3.7627270108836521</v>
      </c>
      <c r="BP156" s="244">
        <f>phi_o-LN(alpha*Ko/(Tabella34[[#This Row],[rest of Italy velocity]]*psi_o*SQRTPI(2)))</f>
        <v>-6.9868195096478383</v>
      </c>
      <c r="BQ156" s="244">
        <f>(ACOSH(SQRT(alpha*Ka*psi_a/(Tabella34[[#This Row],[rest of Italy velocity]]*(1+TANH(phi_a)))))+phi_a)/psi_a-(Tabella34[[#This Row],[Day]]-pa)</f>
        <v>19.575009076764715</v>
      </c>
      <c r="BR156" s="72">
        <f>-2*$BY$35*TANH($BY$35*(Tabella34[[#This Row],[Day]]-$BY$44)-$BY$34)*Tabella34[[#This Row],[rest of Italy velocity]]</f>
        <v>-53.922411972364003</v>
      </c>
      <c r="BS156" s="77">
        <f>Tabella34[[#This Row],[rest of Italy acc. fit]]/y_a_peak</f>
        <v>-1.8842188987700566E-2</v>
      </c>
      <c r="BT156" s="121">
        <f>Tabella34[[#This Row],[rest of Italy acc. fit]]*NOT(ISBLANK(Tabella34[[#This Row],[rest of Italy rate data]]))</f>
        <v>0</v>
      </c>
      <c r="BU156" s="189"/>
      <c r="BV156" s="122"/>
    </row>
    <row r="157" spans="2:74" x14ac:dyDescent="0.3">
      <c r="B157" s="262">
        <v>43980</v>
      </c>
      <c r="C157" s="4">
        <v>150</v>
      </c>
      <c r="E157" s="10"/>
      <c r="F157" s="10"/>
      <c r="G157" s="121">
        <f>Tabella34[[#This Row],[Italy rate data]]*NOT(ISBLANK(Tabella34[[#This Row],[Italy rate data]]))</f>
        <v>0</v>
      </c>
      <c r="H157" s="143">
        <f>Tabella8[[#This Row],[Italy fit]]</f>
        <v>178327.65106056517</v>
      </c>
      <c r="I157" s="143" t="e">
        <f>(ATANH(alpha*Tabella34[[#This Row],[Italy cumul. Fit]]/Kf-(1-alpha*Tabella34[[#This Row],[Italy cumul. Fit]]/Kf)*TANH(phi_f))+phi_f)/psi_f-(Tabella34[[#This Row],[Day]]-pf)</f>
        <v>#NUM!</v>
      </c>
      <c r="J157" s="143" t="e">
        <f>Tabella34[[#This Row],[Italy d.t.]]/Italy_dt_at_lockdown</f>
        <v>#NUM!</v>
      </c>
      <c r="K157" s="77">
        <f>Tabella34[[#This Row],[Italy cumul. Fit]]/Kf</f>
        <v>0.79256733804695634</v>
      </c>
      <c r="L157" s="146">
        <f>Tabella34[[#This Row],[sel. region acc. fit]]+Tabella34[[#This Row],[rest of Italy acc. fit]]</f>
        <v>-56.430106352905028</v>
      </c>
      <c r="M157" s="77">
        <f>Tabella34[[#This Row],[Italy (fit of selected region + fitted sum of the other regions)]]/(y_l_peak+y_a_peak)</f>
        <v>-1.8812603069463169E-2</v>
      </c>
      <c r="N157" s="143">
        <f>Tabella3[[#This Row],[Italy remov. rate fit]]</f>
        <v>1862.6246817079493</v>
      </c>
      <c r="O157" s="143">
        <f>Kt*EXP(-0.5*Tabella34[[#This Row],[x_t]]^2)/(psi_t*SQRTPI(2)*(Tabella34[[#This Row],[Day]]-D_bk))</f>
        <v>0</v>
      </c>
      <c r="P157" s="183">
        <f>Tabella34[[#This Row],[Italy velocity]]/Tabella34[[#This Row],[Italy cumul. Fit]]</f>
        <v>1.0444957193292187E-2</v>
      </c>
      <c r="Q157" s="244">
        <f>(LN(Tabella34[[#This Row],[Day]]-D_bk)-phi_t)/psi_t</f>
        <v>126.45168687096705</v>
      </c>
      <c r="R157" s="244">
        <f>EXP(phi_t+psi_t*Tabella34[[#This Row],[x_t_alpha©+plus]])-(Tabella34[[#This Row],[Day]]-D_bk)</f>
        <v>-76.286975073676984</v>
      </c>
      <c r="S157" s="244">
        <f>EXP(phi_t+psi_t*Tabella34[[#This Row],[x_t_alpha©-minus]])-(Tabella34[[#This Row],[Day]]-D_bk)</f>
        <v>-76.940145447382349</v>
      </c>
      <c r="T157" s="244">
        <f>-psi_t+SQRT(psi_t^2-2*Tabella34[[#This Row],[c_t]])</f>
        <v>3.7192728505892867</v>
      </c>
      <c r="U157" s="244">
        <f>-psi_t-SQRT(psi_t^2-2*Tabella34[[#This Row],[c_t]])</f>
        <v>-3.7686655850090918</v>
      </c>
      <c r="V157" s="244">
        <f>phi_t-LN(alpha*Kt/(Tabella34[[#This Row],[Italy velocity]]*psi_t*SQRTPI(2)))</f>
        <v>-7.0083477966372536</v>
      </c>
      <c r="W157" s="244">
        <f>Tabella34[[#This Row],[Italy g.r.]]/Italy_gr_at_lockdown</f>
        <v>1.1784443763407952E-2</v>
      </c>
      <c r="X157" s="244">
        <f>(ACOSH(SQRT(alpha*Kf*psi_f/(Tabella34[[#This Row],[Italy velocity]]*(1+TANH(phi_f)))))+phi_f)/psi_f-(Tabella34[[#This Row],[Day]]-pf)</f>
        <v>19.080602785574342</v>
      </c>
      <c r="Y157" s="244">
        <f>Tabella34[[#This Row],[Italy h.t.]]/Italy_ht_at_lockdown</f>
        <v>0.1650519679356601</v>
      </c>
      <c r="Z157" s="72">
        <f>-2*$BY$48*TANH($BY$48*(Tabella34[[#This Row],[Day]]-$BY$57)-$BY$47)*Tabella34[[#This Row],[Italy velocity]]</f>
        <v>-56.669087289593897</v>
      </c>
      <c r="AA157" s="72">
        <f>Tabella34[[#This Row],[Italy acc. fit]]/Itali_acc_at_lockdown</f>
        <v>-1.569408315435002</v>
      </c>
      <c r="AB157" s="77">
        <f>Tabella34[[#This Row],[Italy acc. fit]]/y_f_peak</f>
        <v>-1.88808468875452E-2</v>
      </c>
      <c r="AC157" s="143">
        <f>Tabella34[[#This Row],[Italy (fit of selected region + fitted sum of the other regions)]]*NOT(ISBLANK(Tabella34[[#This Row],[Italy rate data]]))</f>
        <v>0</v>
      </c>
      <c r="AD157" s="143">
        <f>Tabella34[[#This Row],[Italy acc. fit]]*NOT(ISBLANK(Tabella34[[#This Row],[Italy rate data]]))</f>
        <v>0</v>
      </c>
      <c r="AE157" s="77">
        <f>Tabella34[[#This Row],[Italy acc. fit]]+CIf</f>
        <v>1658.9457720449575</v>
      </c>
      <c r="AF157" s="77">
        <f>MAX(Tabella34[[#This Row],[Italy acc. fit]]-CIf,0)</f>
        <v>0</v>
      </c>
      <c r="AH157" s="10"/>
      <c r="AI157" s="10"/>
      <c r="AJ157" s="121">
        <f>Tabella34[[#This Row],[selected region rate data]]*NOT(ISBLANK(Tabella34[[#This Row],[selected region rate data]]))</f>
        <v>0</v>
      </c>
      <c r="AK157" s="77">
        <f>Tabella8[[#This Row],[region fit]]</f>
        <v>7586.2619813356705</v>
      </c>
      <c r="AL157" s="143" t="e">
        <f>(ATANH(alpha*Tabella34[[#This Row],[sel. region cumul. fit]]/Kl-(1-alpha*Tabella34[[#This Row],[sel. region cumul. fit]]/Kl)*TANH(phi_l))+phi_l)/psi_l-(Tabella34[[#This Row],[Day]]-pl)</f>
        <v>#NUM!</v>
      </c>
      <c r="AM157" s="77">
        <f>Tabella34[[#This Row],[sel. region cumul. fit]]/Kl</f>
        <v>0.8457371216650692</v>
      </c>
      <c r="AN157" s="143">
        <f>Tabella3[[#This Row],[region fit]]</f>
        <v>67.001078462812515</v>
      </c>
      <c r="AO157" s="186">
        <f>Tabella34[[#This Row],[sel. region velocity]]/Tabella34[[#This Row],[sel. region cumul. fit]]</f>
        <v>8.8318962128718908E-3</v>
      </c>
      <c r="AP157" s="241">
        <f>(LN(Tabella34[[#This Row],[Day]]-pr)-phi_r)/psi_r</f>
        <v>110.15216605110308</v>
      </c>
      <c r="AQ157" s="244">
        <f>EXP(phi_r+psi_r*Tabella34[[#This Row],[x_r_alpha©+plus]])-(Tabella34[[#This Row],[Day]]-pr)</f>
        <v>-71.044171855950253</v>
      </c>
      <c r="AR157" s="244">
        <f>EXP(phi_r+psi_r*Tabella34[[#This Row],[x_r_alpha©-minus]])-(Tabella34[[#This Row],[Day]]-pr)</f>
        <v>-71.752599086560593</v>
      </c>
      <c r="AS157" s="244">
        <f>-psi_r+SQRT(psi_r^2-2*Tabella34[[#This Row],[c_r]])</f>
        <v>3.7220737851881918</v>
      </c>
      <c r="AT157" s="244">
        <f>-psi_r-SQRT(psi_r^2-2*Tabella34[[#This Row],[c_r]])</f>
        <v>-3.7784820236068528</v>
      </c>
      <c r="AU157" s="244">
        <f>phi_r-LN(alpha*Kr/(Tabella34[[#This Row],[sel. region velocity]]*psi_r*SQRTPI(2)))</f>
        <v>-7.0318944439359479</v>
      </c>
      <c r="AV157" s="244">
        <f>(ACOSH(SQRT(alpha*Kl*psi_l/(Tabella34[[#This Row],[sel. region velocity]]*(1+TANH(phi_l)))))+phi_l)/psi_l-(Tabella34[[#This Row],[Day]]-pl)</f>
        <v>15.318913655688661</v>
      </c>
      <c r="AW157" s="72">
        <f>-2*$BY$22*TANH($BY$22*(Tabella34[[#This Row],[Day]]-$BY$31)-$BY$21)*Tabella34[[#This Row],[sel. region velocity]]</f>
        <v>-2.7090184621744871</v>
      </c>
      <c r="AX157" s="77">
        <f>Tabella34[[#This Row],[sel. region acc. fit]]/y_l_peak</f>
        <v>-1.9659163091705675E-2</v>
      </c>
      <c r="AY157" s="143">
        <f>Tabella34[[#This Row],[sel. region acc. fit]]*NOT(ISBLANK(Tabella34[[#This Row],[selected region rate data]]))</f>
        <v>0</v>
      </c>
      <c r="AZ157" s="77">
        <f>Tabella34[[#This Row],[sel. region acc. fit]]+CIl</f>
        <v>51.055821947373971</v>
      </c>
      <c r="BA157" s="77">
        <f>MAX(Tabella34[[#This Row],[sel. region acc. fit]]-CIl,0)</f>
        <v>0</v>
      </c>
      <c r="BC157" s="10"/>
      <c r="BD157" s="10"/>
      <c r="BE157" s="77">
        <f>Tabella34[[#This Row],[rest of Italy rate data]]*NOT(ISBLANK(Tabella34[[#This Row],[rest of Italy rate data]]))</f>
        <v>0</v>
      </c>
      <c r="BF157" s="77">
        <f>Tabella8[[#This Row],[rest of Italy fit]]</f>
        <v>170630.21433502639</v>
      </c>
      <c r="BG157" s="78" t="e">
        <f>(ATANH(alpha*Tabella34[[#This Row],[rest of Italy cumul. fit]]/Ka-(1-alpha*Tabella34[[#This Row],[rest of Italy cumul. fit]]/Ka)*TANH(phi_a))+phi_a)/psi_a-(Tabella34[[#This Row],[Day]]-pa)</f>
        <v>#NUM!</v>
      </c>
      <c r="BH157" s="77">
        <f>Tabella34[[#This Row],[rest of Italy cumul. fit]]/Ka</f>
        <v>0.78984499530170071</v>
      </c>
      <c r="BI157" s="143">
        <f>Tabella3[[#This Row],[rest of Italy fit]]</f>
        <v>1793.0245964386106</v>
      </c>
      <c r="BJ157" s="183">
        <f>Tabella34[[#This Row],[rest of Italy velocity]]/Tabella34[[#This Row],[rest of Italy cumul. fit]]</f>
        <v>1.0508247929162594E-2</v>
      </c>
      <c r="BK157" s="236">
        <f>(LN(Tabella34[[#This Row],[Day]]-po)-phi_o)/psi_o</f>
        <v>127.6019224794715</v>
      </c>
      <c r="BL157" s="244">
        <f>EXP(phi_o+psi_o*Tabella34[[#This Row],[x_o_alpha©+plus]])-(Tabella34[[#This Row],[Day]]-po)</f>
        <v>-76.450673820285346</v>
      </c>
      <c r="BM157" s="244">
        <f>EXP(phi_o+psi_o*Tabella34[[#This Row],[x_o_alpha©-minus]])-(Tabella34[[#This Row],[Day]]-po)</f>
        <v>-77.097287103554734</v>
      </c>
      <c r="BN157" s="244">
        <f>-psi_o+SQRT(psi_o^2-2*Tabella34[[#This Row],[c_o]])</f>
        <v>3.7216046777892999</v>
      </c>
      <c r="BO157" s="244">
        <f>-psi_o-SQRT(psi_o^2-2*Tabella34[[#This Row],[c_o]])</f>
        <v>-3.7706317633589292</v>
      </c>
      <c r="BP157" s="244">
        <f>phi_o-LN(alpha*Ko/(Tabella34[[#This Row],[rest of Italy velocity]]*psi_o*SQRTPI(2)))</f>
        <v>-7.0164004043687536</v>
      </c>
      <c r="BQ157" s="244">
        <f>(ACOSH(SQRT(alpha*Ka*psi_a/(Tabella34[[#This Row],[rest of Italy velocity]]*(1+TANH(phi_a)))))+phi_a)/psi_a-(Tabella34[[#This Row],[Day]]-pa)</f>
        <v>19.305591807562692</v>
      </c>
      <c r="BR157" s="72">
        <f>-2*$BY$35*TANH($BY$35*(Tabella34[[#This Row],[Day]]-$BY$44)-$BY$34)*Tabella34[[#This Row],[rest of Italy velocity]]</f>
        <v>-53.721087890730544</v>
      </c>
      <c r="BS157" s="77">
        <f>Tabella34[[#This Row],[rest of Italy acc. fit]]/y_a_peak</f>
        <v>-1.877184001303198E-2</v>
      </c>
      <c r="BT157" s="121">
        <f>Tabella34[[#This Row],[rest of Italy acc. fit]]*NOT(ISBLANK(Tabella34[[#This Row],[rest of Italy rate data]]))</f>
        <v>0</v>
      </c>
      <c r="BU157" s="189"/>
      <c r="BV157" s="122"/>
    </row>
    <row r="158" spans="2:74" x14ac:dyDescent="0.3">
      <c r="B158" s="262">
        <v>43981</v>
      </c>
      <c r="C158" s="4">
        <v>151</v>
      </c>
      <c r="E158" s="10"/>
      <c r="F158" s="10"/>
      <c r="G158" s="121">
        <f>Tabella34[[#This Row],[Italy rate data]]*NOT(ISBLANK(Tabella34[[#This Row],[Italy rate data]]))</f>
        <v>0</v>
      </c>
      <c r="H158" s="143">
        <f>Tabella8[[#This Row],[Italy fit]]</f>
        <v>180161.99844329598</v>
      </c>
      <c r="I158" s="143" t="e">
        <f>(ATANH(alpha*Tabella34[[#This Row],[Italy cumul. Fit]]/Kf-(1-alpha*Tabella34[[#This Row],[Italy cumul. Fit]]/Kf)*TANH(phi_f))+phi_f)/psi_f-(Tabella34[[#This Row],[Day]]-pf)</f>
        <v>#NUM!</v>
      </c>
      <c r="J158" s="143" t="e">
        <f>Tabella34[[#This Row],[Italy d.t.]]/Italy_dt_at_lockdown</f>
        <v>#NUM!</v>
      </c>
      <c r="K158" s="77">
        <f>Tabella34[[#This Row],[Italy cumul. Fit]]/Kf</f>
        <v>0.80071999308131547</v>
      </c>
      <c r="L158" s="146">
        <f>Tabella34[[#This Row],[sel. region acc. fit]]+Tabella34[[#This Row],[rest of Italy acc. fit]]</f>
        <v>-56.055628547436775</v>
      </c>
      <c r="M158" s="77">
        <f>Tabella34[[#This Row],[Italy (fit of selected region + fitted sum of the other regions)]]/(y_l_peak+y_a_peak)</f>
        <v>-1.868776009524405E-2</v>
      </c>
      <c r="N158" s="143">
        <f>Tabella3[[#This Row],[Italy remov. rate fit]]</f>
        <v>1806.1321505969261</v>
      </c>
      <c r="O158" s="143">
        <f>Kt*EXP(-0.5*Tabella34[[#This Row],[x_t]]^2)/(psi_t*SQRTPI(2)*(Tabella34[[#This Row],[Day]]-D_bk))</f>
        <v>0</v>
      </c>
      <c r="P158" s="183">
        <f>Tabella34[[#This Row],[Italy velocity]]/Tabella34[[#This Row],[Italy cumul. Fit]]</f>
        <v>1.0025045049471886E-2</v>
      </c>
      <c r="Q158" s="244">
        <f>(LN(Tabella34[[#This Row],[Day]]-D_bk)-phi_t)/psi_t</f>
        <v>126.95372580320969</v>
      </c>
      <c r="R158" s="244">
        <f>EXP(phi_t+psi_t*Tabella34[[#This Row],[x_t_alpha©+plus]])-(Tabella34[[#This Row],[Day]]-D_bk)</f>
        <v>-77.286189886151419</v>
      </c>
      <c r="S158" s="244">
        <f>EXP(phi_t+psi_t*Tabella34[[#This Row],[x_t_alpha©-minus]])-(Tabella34[[#This Row],[Day]]-D_bk)</f>
        <v>-77.940797936695816</v>
      </c>
      <c r="T158" s="244">
        <f>-psi_t+SQRT(psi_t^2-2*Tabella34[[#This Row],[c_t]])</f>
        <v>3.7274901256867512</v>
      </c>
      <c r="U158" s="244">
        <f>-psi_t-SQRT(psi_t^2-2*Tabella34[[#This Row],[c_t]])</f>
        <v>-3.7768828601065563</v>
      </c>
      <c r="V158" s="244">
        <f>phi_t-LN(alpha*Kt/(Tabella34[[#This Row],[Italy velocity]]*psi_t*SQRTPI(2)))</f>
        <v>-7.0391467834613612</v>
      </c>
      <c r="W158" s="244">
        <f>Tabella34[[#This Row],[Italy g.r.]]/Italy_gr_at_lockdown</f>
        <v>1.1310681070766155E-2</v>
      </c>
      <c r="X158" s="244">
        <f>(ACOSH(SQRT(alpha*Kf*psi_f/(Tabella34[[#This Row],[Italy velocity]]*(1+TANH(phi_f)))))+phi_f)/psi_f-(Tabella34[[#This Row],[Day]]-pf)</f>
        <v>18.82887432599324</v>
      </c>
      <c r="Y158" s="244">
        <f>Tabella34[[#This Row],[Italy h.t.]]/Italy_ht_at_lockdown</f>
        <v>0.16287445404334819</v>
      </c>
      <c r="Z158" s="72">
        <f>-2*$BY$48*TANH($BY$48*(Tabella34[[#This Row],[Day]]-$BY$57)-$BY$47)*Tabella34[[#This Row],[Italy velocity]]</f>
        <v>-56.296828560042655</v>
      </c>
      <c r="AA158" s="72">
        <f>Tabella34[[#This Row],[Italy acc. fit]]/Itali_acc_at_lockdown</f>
        <v>-1.5590988861924691</v>
      </c>
      <c r="AB158" s="77">
        <f>Tabella34[[#This Row],[Italy acc. fit]]/y_f_peak</f>
        <v>-1.8756818772546782E-2</v>
      </c>
      <c r="AC158" s="143">
        <f>Tabella34[[#This Row],[Italy (fit of selected region + fitted sum of the other regions)]]*NOT(ISBLANK(Tabella34[[#This Row],[Italy rate data]]))</f>
        <v>0</v>
      </c>
      <c r="AD158" s="143">
        <f>Tabella34[[#This Row],[Italy acc. fit]]*NOT(ISBLANK(Tabella34[[#This Row],[Italy rate data]]))</f>
        <v>0</v>
      </c>
      <c r="AE158" s="77">
        <f>Tabella34[[#This Row],[Italy acc. fit]]+CIf</f>
        <v>1659.3180307745085</v>
      </c>
      <c r="AF158" s="77">
        <f>MAX(Tabella34[[#This Row],[Italy acc. fit]]-CIf,0)</f>
        <v>0</v>
      </c>
      <c r="AH158" s="10"/>
      <c r="AI158" s="10"/>
      <c r="AJ158" s="121">
        <f>Tabella34[[#This Row],[selected region rate data]]*NOT(ISBLANK(Tabella34[[#This Row],[selected region rate data]]))</f>
        <v>0</v>
      </c>
      <c r="AK158" s="77">
        <f>Tabella8[[#This Row],[region fit]]</f>
        <v>7651.9183276364647</v>
      </c>
      <c r="AL158" s="143" t="e">
        <f>(ATANH(alpha*Tabella34[[#This Row],[sel. region cumul. fit]]/Kl-(1-alpha*Tabella34[[#This Row],[sel. region cumul. fit]]/Kl)*TANH(phi_l))+phi_l)/psi_l-(Tabella34[[#This Row],[Day]]-pl)</f>
        <v>#NUM!</v>
      </c>
      <c r="AM158" s="77">
        <f>Tabella34[[#This Row],[sel. region cumul. fit]]/Kl</f>
        <v>0.85305666974765493</v>
      </c>
      <c r="AN158" s="143">
        <f>Tabella3[[#This Row],[region fit]]</f>
        <v>64.321546179053598</v>
      </c>
      <c r="AO158" s="186">
        <f>Tabella34[[#This Row],[sel. region velocity]]/Tabella34[[#This Row],[sel. region cumul. fit]]</f>
        <v>8.4059373643264341E-3</v>
      </c>
      <c r="AP158" s="241">
        <f>(LN(Tabella34[[#This Row],[Day]]-pr)-phi_r)/psi_r</f>
        <v>110.62328607741296</v>
      </c>
      <c r="AQ158" s="244">
        <f>EXP(phi_r+psi_r*Tabella34[[#This Row],[x_r_alpha©+plus]])-(Tabella34[[#This Row],[Day]]-pr)</f>
        <v>-72.04303288383592</v>
      </c>
      <c r="AR158" s="244">
        <f>EXP(phi_r+psi_r*Tabella34[[#This Row],[x_r_alpha©-minus]])-(Tabella34[[#This Row],[Day]]-pr)</f>
        <v>-72.75352061018225</v>
      </c>
      <c r="AS158" s="244">
        <f>-psi_r+SQRT(psi_r^2-2*Tabella34[[#This Row],[c_r]])</f>
        <v>3.7329409809941212</v>
      </c>
      <c r="AT158" s="244">
        <f>-psi_r-SQRT(psi_r^2-2*Tabella34[[#This Row],[c_r]])</f>
        <v>-3.7893492194127822</v>
      </c>
      <c r="AU158" s="244">
        <f>phi_r-LN(alpha*Kr/(Tabella34[[#This Row],[sel. region velocity]]*psi_r*SQRTPI(2)))</f>
        <v>-7.0727084962220284</v>
      </c>
      <c r="AV158" s="244">
        <f>(ACOSH(SQRT(alpha*Kl*psi_l/(Tabella34[[#This Row],[sel. region velocity]]*(1+TANH(phi_l)))))+phi_l)/psi_l-(Tabella34[[#This Row],[Day]]-pl)</f>
        <v>15.147912047019148</v>
      </c>
      <c r="AW158" s="72">
        <f>-2*$BY$22*TANH($BY$22*(Tabella34[[#This Row],[Day]]-$BY$31)-$BY$21)*Tabella34[[#This Row],[sel. region velocity]]</f>
        <v>-2.6494358672286391</v>
      </c>
      <c r="AX158" s="77">
        <f>Tabella34[[#This Row],[sel. region acc. fit]]/y_l_peak</f>
        <v>-1.9226776244652868E-2</v>
      </c>
      <c r="AY158" s="143">
        <f>Tabella34[[#This Row],[sel. region acc. fit]]*NOT(ISBLANK(Tabella34[[#This Row],[selected region rate data]]))</f>
        <v>0</v>
      </c>
      <c r="AZ158" s="77">
        <f>Tabella34[[#This Row],[sel. region acc. fit]]+CIl</f>
        <v>51.115404542319816</v>
      </c>
      <c r="BA158" s="77">
        <f>MAX(Tabella34[[#This Row],[sel. region acc. fit]]-CIl,0)</f>
        <v>0</v>
      </c>
      <c r="BC158" s="10"/>
      <c r="BD158" s="10"/>
      <c r="BE158" s="77">
        <f>Tabella34[[#This Row],[rest of Italy rate data]]*NOT(ISBLANK(Tabella34[[#This Row],[rest of Italy rate data]]))</f>
        <v>0</v>
      </c>
      <c r="BF158" s="77">
        <f>Tabella8[[#This Row],[rest of Italy fit]]</f>
        <v>172396.42629017538</v>
      </c>
      <c r="BG158" s="78" t="e">
        <f>(ATANH(alpha*Tabella34[[#This Row],[rest of Italy cumul. fit]]/Ka-(1-alpha*Tabella34[[#This Row],[rest of Italy cumul. fit]]/Ka)*TANH(phi_a))+phi_a)/psi_a-(Tabella34[[#This Row],[Day]]-pa)</f>
        <v>#NUM!</v>
      </c>
      <c r="BH158" s="77">
        <f>Tabella34[[#This Row],[rest of Italy cumul. fit]]/Ka</f>
        <v>0.79802076697762059</v>
      </c>
      <c r="BI158" s="143">
        <f>Tabella3[[#This Row],[rest of Italy fit]]</f>
        <v>1739.4518182744894</v>
      </c>
      <c r="BJ158" s="183">
        <f>Tabella34[[#This Row],[rest of Italy velocity]]/Tabella34[[#This Row],[rest of Italy cumul. fit]]</f>
        <v>1.0089836870206736E-2</v>
      </c>
      <c r="BK158" s="236">
        <f>(LN(Tabella34[[#This Row],[Day]]-po)-phi_o)/psi_o</f>
        <v>128.10677393827183</v>
      </c>
      <c r="BL158" s="244">
        <f>EXP(phi_o+psi_o*Tabella34[[#This Row],[x_o_alpha©+plus]])-(Tabella34[[#This Row],[Day]]-po)</f>
        <v>-77.44990958758045</v>
      </c>
      <c r="BM158" s="244">
        <f>EXP(phi_o+psi_o*Tabella34[[#This Row],[x_o_alpha©-minus]])-(Tabella34[[#This Row],[Day]]-po)</f>
        <v>-78.097922985413476</v>
      </c>
      <c r="BN158" s="244">
        <f>-psi_o+SQRT(psi_o^2-2*Tabella34[[#This Row],[c_o]])</f>
        <v>3.7296933660585414</v>
      </c>
      <c r="BO158" s="244">
        <f>-psi_o-SQRT(psi_o^2-2*Tabella34[[#This Row],[c_o]])</f>
        <v>-3.7787204516281707</v>
      </c>
      <c r="BP158" s="244">
        <f>phi_o-LN(alpha*Ko/(Tabella34[[#This Row],[rest of Italy velocity]]*psi_o*SQRTPI(2)))</f>
        <v>-7.0467343003136618</v>
      </c>
      <c r="BQ158" s="244">
        <f>(ACOSH(SQRT(alpha*Ka*psi_a/(Tabella34[[#This Row],[rest of Italy velocity]]*(1+TANH(phi_a)))))+phi_a)/psi_a-(Tabella34[[#This Row],[Day]]-pa)</f>
        <v>19.04967111440294</v>
      </c>
      <c r="BR158" s="72">
        <f>-2*$BY$35*TANH($BY$35*(Tabella34[[#This Row],[Day]]-$BY$44)-$BY$34)*Tabella34[[#This Row],[rest of Italy velocity]]</f>
        <v>-53.406192680208136</v>
      </c>
      <c r="BS158" s="77">
        <f>Tabella34[[#This Row],[rest of Italy acc. fit]]/y_a_peak</f>
        <v>-1.8661805709094949E-2</v>
      </c>
      <c r="BT158" s="121">
        <f>Tabella34[[#This Row],[rest of Italy acc. fit]]*NOT(ISBLANK(Tabella34[[#This Row],[rest of Italy rate data]]))</f>
        <v>0</v>
      </c>
      <c r="BU158" s="189"/>
      <c r="BV158" s="122"/>
    </row>
    <row r="159" spans="2:74" x14ac:dyDescent="0.3">
      <c r="B159" s="262">
        <v>43982</v>
      </c>
      <c r="C159" s="4">
        <v>152</v>
      </c>
      <c r="E159" s="10"/>
      <c r="F159" s="10"/>
      <c r="G159" s="121">
        <f>Tabella34[[#This Row],[Italy rate data]]*NOT(ISBLANK(Tabella34[[#This Row],[Italy rate data]]))</f>
        <v>0</v>
      </c>
      <c r="H159" s="143">
        <f>Tabella8[[#This Row],[Italy fit]]</f>
        <v>181940.05821412909</v>
      </c>
      <c r="I159" s="143" t="e">
        <f>(ATANH(alpha*Tabella34[[#This Row],[Italy cumul. Fit]]/Kf-(1-alpha*Tabella34[[#This Row],[Italy cumul. Fit]]/Kf)*TANH(phi_f))+phi_f)/psi_f-(Tabella34[[#This Row],[Day]]-pf)</f>
        <v>#NUM!</v>
      </c>
      <c r="J159" s="143" t="e">
        <f>Tabella34[[#This Row],[Italy d.t.]]/Italy_dt_at_lockdown</f>
        <v>#NUM!</v>
      </c>
      <c r="K159" s="77">
        <f>Tabella34[[#This Row],[Italy cumul. Fit]]/Kf</f>
        <v>0.80862248095168487</v>
      </c>
      <c r="L159" s="146">
        <f>Tabella34[[#This Row],[sel. region acc. fit]]+Tabella34[[#This Row],[rest of Italy acc. fit]]</f>
        <v>-55.572071118618943</v>
      </c>
      <c r="M159" s="77">
        <f>Tabella34[[#This Row],[Italy (fit of selected region + fitted sum of the other regions)]]/(y_l_peak+y_a_peak)</f>
        <v>-1.8526552283358158E-2</v>
      </c>
      <c r="N159" s="143">
        <f>Tabella3[[#This Row],[Italy remov. rate fit]]</f>
        <v>1750.0678910101606</v>
      </c>
      <c r="O159" s="143">
        <f>Kt*EXP(-0.5*Tabella34[[#This Row],[x_t]]^2)/(psi_t*SQRTPI(2)*(Tabella34[[#This Row],[Day]]-D_bk))</f>
        <v>0</v>
      </c>
      <c r="P159" s="183">
        <f>Tabella34[[#This Row],[Italy velocity]]/Tabella34[[#This Row],[Italy cumul. Fit]]</f>
        <v>9.6189256406110889E-3</v>
      </c>
      <c r="Q159" s="244">
        <f>(LN(Tabella34[[#This Row],[Day]]-D_bk)-phi_t)/psi_t</f>
        <v>127.44961634007659</v>
      </c>
      <c r="R159" s="244">
        <f>EXP(phi_t+psi_t*Tabella34[[#This Row],[x_t_alpha©+plus]])-(Tabella34[[#This Row],[Day]]-D_bk)</f>
        <v>-78.28538759761993</v>
      </c>
      <c r="S159" s="244">
        <f>EXP(phi_t+psi_t*Tabella34[[#This Row],[x_t_alpha©-minus]])-(Tabella34[[#This Row],[Day]]-D_bk)</f>
        <v>-78.941464363453747</v>
      </c>
      <c r="T159" s="244">
        <f>-psi_t+SQRT(psi_t^2-2*Tabella34[[#This Row],[c_t]])</f>
        <v>3.7358846469680786</v>
      </c>
      <c r="U159" s="244">
        <f>-psi_t-SQRT(psi_t^2-2*Tabella34[[#This Row],[c_t]])</f>
        <v>-3.7852773813878837</v>
      </c>
      <c r="V159" s="244">
        <f>phi_t-LN(alpha*Kt/(Tabella34[[#This Row],[Italy velocity]]*psi_t*SQRTPI(2)))</f>
        <v>-7.0706798268212632</v>
      </c>
      <c r="W159" s="244">
        <f>Tabella34[[#This Row],[Italy g.r.]]/Italy_gr_at_lockdown</f>
        <v>1.0852479926770842E-2</v>
      </c>
      <c r="X159" s="244">
        <f>(ACOSH(SQRT(alpha*Kf*psi_f/(Tabella34[[#This Row],[Italy velocity]]*(1+TANH(phi_f)))))+phi_f)/psi_f-(Tabella34[[#This Row],[Day]]-pf)</f>
        <v>18.589859952559735</v>
      </c>
      <c r="Y159" s="244">
        <f>Tabella34[[#This Row],[Italy h.t.]]/Italy_ht_at_lockdown</f>
        <v>0.16080692016386644</v>
      </c>
      <c r="Z159" s="72">
        <f>-2*$BY$48*TANH($BY$48*(Tabella34[[#This Row],[Day]]-$BY$57)-$BY$47)*Tabella34[[#This Row],[Italy velocity]]</f>
        <v>-55.81397192848879</v>
      </c>
      <c r="AA159" s="72">
        <f>Tabella34[[#This Row],[Italy acc. fit]]/Itali_acc_at_lockdown</f>
        <v>-1.5457265301343766</v>
      </c>
      <c r="AB159" s="77">
        <f>Tabella34[[#This Row],[Italy acc. fit]]/y_f_peak</f>
        <v>-1.8595941960072013E-2</v>
      </c>
      <c r="AC159" s="143">
        <f>Tabella34[[#This Row],[Italy (fit of selected region + fitted sum of the other regions)]]*NOT(ISBLANK(Tabella34[[#This Row],[Italy rate data]]))</f>
        <v>0</v>
      </c>
      <c r="AD159" s="143">
        <f>Tabella34[[#This Row],[Italy acc. fit]]*NOT(ISBLANK(Tabella34[[#This Row],[Italy rate data]]))</f>
        <v>0</v>
      </c>
      <c r="AE159" s="77">
        <f>Tabella34[[#This Row],[Italy acc. fit]]+CIf</f>
        <v>1659.8008874060624</v>
      </c>
      <c r="AF159" s="77">
        <f>MAX(Tabella34[[#This Row],[Italy acc. fit]]-CIf,0)</f>
        <v>0</v>
      </c>
      <c r="AH159" s="10"/>
      <c r="AI159" s="10"/>
      <c r="AJ159" s="121">
        <f>Tabella34[[#This Row],[selected region rate data]]*NOT(ISBLANK(Tabella34[[#This Row],[selected region rate data]]))</f>
        <v>0</v>
      </c>
      <c r="AK159" s="77">
        <f>Tabella8[[#This Row],[region fit]]</f>
        <v>7714.9255193917006</v>
      </c>
      <c r="AL159" s="143" t="e">
        <f>(ATANH(alpha*Tabella34[[#This Row],[sel. region cumul. fit]]/Kl-(1-alpha*Tabella34[[#This Row],[sel. region cumul. fit]]/Kl)*TANH(phi_l))+phi_l)/psi_l-(Tabella34[[#This Row],[Day]]-pl)</f>
        <v>#NUM!</v>
      </c>
      <c r="AM159" s="77">
        <f>Tabella34[[#This Row],[sel. region cumul. fit]]/Kl</f>
        <v>0.86008088287532891</v>
      </c>
      <c r="AN159" s="143">
        <f>Tabella3[[#This Row],[region fit]]</f>
        <v>61.703332178724686</v>
      </c>
      <c r="AO159" s="186">
        <f>Tabella34[[#This Row],[sel. region velocity]]/Tabella34[[#This Row],[sel. region cumul. fit]]</f>
        <v>7.9979167684291284E-3</v>
      </c>
      <c r="AP159" s="241">
        <f>(LN(Tabella34[[#This Row],[Day]]-pr)-phi_r)/psi_r</f>
        <v>111.08822808528558</v>
      </c>
      <c r="AQ159" s="244">
        <f>EXP(phi_r+psi_r*Tabella34[[#This Row],[x_r_alpha©+plus]])-(Tabella34[[#This Row],[Day]]-pr)</f>
        <v>-73.041876200505584</v>
      </c>
      <c r="AR159" s="244">
        <f>EXP(phi_r+psi_r*Tabella34[[#This Row],[x_r_alpha©-minus]])-(Tabella34[[#This Row],[Day]]-pr)</f>
        <v>-73.75445588578819</v>
      </c>
      <c r="AS159" s="244">
        <f>-psi_r+SQRT(psi_r^2-2*Tabella34[[#This Row],[c_r]])</f>
        <v>3.7439737557685224</v>
      </c>
      <c r="AT159" s="244">
        <f>-psi_r-SQRT(psi_r^2-2*Tabella34[[#This Row],[c_r]])</f>
        <v>-3.8003819941871835</v>
      </c>
      <c r="AU159" s="244">
        <f>phi_r-LN(alpha*Kr/(Tabella34[[#This Row],[sel. region velocity]]*psi_r*SQRTPI(2)))</f>
        <v>-7.1142652240660285</v>
      </c>
      <c r="AV159" s="244">
        <f>(ACOSH(SQRT(alpha*Kl*psi_l/(Tabella34[[#This Row],[sel. region velocity]]*(1+TANH(phi_l)))))+phi_l)/psi_l-(Tabella34[[#This Row],[Day]]-pl)</f>
        <v>14.986720163225357</v>
      </c>
      <c r="AW159" s="72">
        <f>-2*$BY$22*TANH($BY$22*(Tabella34[[#This Row],[Day]]-$BY$31)-$BY$21)*Tabella34[[#This Row],[sel. region velocity]]</f>
        <v>-2.5864759393296657</v>
      </c>
      <c r="AX159" s="77">
        <f>Tabella34[[#This Row],[sel. region acc. fit]]/y_l_peak</f>
        <v>-1.8769880321612746E-2</v>
      </c>
      <c r="AY159" s="143">
        <f>Tabella34[[#This Row],[sel. region acc. fit]]*NOT(ISBLANK(Tabella34[[#This Row],[selected region rate data]]))</f>
        <v>0</v>
      </c>
      <c r="AZ159" s="77">
        <f>Tabella34[[#This Row],[sel. region acc. fit]]+CIl</f>
        <v>51.178364470218789</v>
      </c>
      <c r="BA159" s="77">
        <f>MAX(Tabella34[[#This Row],[sel. region acc. fit]]-CIl,0)</f>
        <v>0</v>
      </c>
      <c r="BC159" s="10"/>
      <c r="BD159" s="10"/>
      <c r="BE159" s="77">
        <f>Tabella34[[#This Row],[rest of Italy rate data]]*NOT(ISBLANK(Tabella34[[#This Row],[rest of Italy rate data]]))</f>
        <v>0</v>
      </c>
      <c r="BF159" s="77">
        <f>Tabella8[[#This Row],[rest of Italy fit]]</f>
        <v>174109.24086142046</v>
      </c>
      <c r="BG159" s="78" t="e">
        <f>(ATANH(alpha*Tabella34[[#This Row],[rest of Italy cumul. fit]]/Ka-(1-alpha*Tabella34[[#This Row],[rest of Italy cumul. fit]]/Ka)*TANH(phi_a))+phi_a)/psi_a-(Tabella34[[#This Row],[Day]]-pa)</f>
        <v>#NUM!</v>
      </c>
      <c r="BH159" s="77">
        <f>Tabella34[[#This Row],[rest of Italy cumul. fit]]/Ka</f>
        <v>0.80594936287284391</v>
      </c>
      <c r="BI159" s="143">
        <f>Tabella3[[#This Row],[rest of Italy fit]]</f>
        <v>1686.2474458475172</v>
      </c>
      <c r="BJ159" s="183">
        <f>Tabella34[[#This Row],[rest of Italy velocity]]/Tabella34[[#This Row],[rest of Italy cumul. fit]]</f>
        <v>9.684996830177782E-3</v>
      </c>
      <c r="BK159" s="236">
        <f>(LN(Tabella34[[#This Row],[Day]]-po)-phi_o)/psi_o</f>
        <v>128.60545380788389</v>
      </c>
      <c r="BL159" s="244">
        <f>EXP(phi_o+psi_o*Tabella34[[#This Row],[x_o_alpha©+plus]])-(Tabella34[[#This Row],[Day]]-po)</f>
        <v>-78.449128496715247</v>
      </c>
      <c r="BM159" s="244">
        <f>EXP(phi_o+psi_o*Tabella34[[#This Row],[x_o_alpha©-minus]])-(Tabella34[[#This Row],[Day]]-po)</f>
        <v>-79.09857263365447</v>
      </c>
      <c r="BN159" s="244">
        <f>-psi_o+SQRT(psi_o^2-2*Tabella34[[#This Row],[c_o]])</f>
        <v>3.7379588252143927</v>
      </c>
      <c r="BO159" s="244">
        <f>-psi_o-SQRT(psi_o^2-2*Tabella34[[#This Row],[c_o]])</f>
        <v>-3.786985910784022</v>
      </c>
      <c r="BP159" s="244">
        <f>phi_o-LN(alpha*Ko/(Tabella34[[#This Row],[rest of Italy velocity]]*psi_o*SQRTPI(2)))</f>
        <v>-7.0777987030888498</v>
      </c>
      <c r="BQ159" s="244">
        <f>(ACOSH(SQRT(alpha*Ka*psi_a/(Tabella34[[#This Row],[rest of Italy velocity]]*(1+TANH(phi_a)))))+phi_a)/psi_a-(Tabella34[[#This Row],[Day]]-pa)</f>
        <v>18.806580633669213</v>
      </c>
      <c r="BR159" s="72">
        <f>-2*$BY$35*TANH($BY$35*(Tabella34[[#This Row],[Day]]-$BY$44)-$BY$34)*Tabella34[[#This Row],[rest of Italy velocity]]</f>
        <v>-52.985595179289277</v>
      </c>
      <c r="BS159" s="77">
        <f>Tabella34[[#This Row],[rest of Italy acc. fit]]/y_a_peak</f>
        <v>-1.8514835695881714E-2</v>
      </c>
      <c r="BT159" s="121">
        <f>Tabella34[[#This Row],[rest of Italy acc. fit]]*NOT(ISBLANK(Tabella34[[#This Row],[rest of Italy rate data]]))</f>
        <v>0</v>
      </c>
      <c r="BU159" s="189"/>
      <c r="BV159" s="122"/>
    </row>
    <row r="160" spans="2:74" x14ac:dyDescent="0.3">
      <c r="B160" s="262">
        <v>43983</v>
      </c>
      <c r="C160" s="4">
        <v>153</v>
      </c>
      <c r="E160" s="10"/>
      <c r="F160" s="10"/>
      <c r="G160" s="121">
        <f>Tabella34[[#This Row],[Italy rate data]]*NOT(ISBLANK(Tabella34[[#This Row],[Italy rate data]]))</f>
        <v>0</v>
      </c>
      <c r="H160" s="143">
        <f>Tabella8[[#This Row],[Italy fit]]</f>
        <v>183662.31251497279</v>
      </c>
      <c r="I160" s="143" t="e">
        <f>(ATANH(alpha*Tabella34[[#This Row],[Italy cumul. Fit]]/Kf-(1-alpha*Tabella34[[#This Row],[Italy cumul. Fit]]/Kf)*TANH(phi_f))+phi_f)/psi_f-(Tabella34[[#This Row],[Day]]-pf)</f>
        <v>#NUM!</v>
      </c>
      <c r="J160" s="143" t="e">
        <f>Tabella34[[#This Row],[Italy d.t.]]/Italy_dt_at_lockdown</f>
        <v>#NUM!</v>
      </c>
      <c r="K160" s="77">
        <f>Tabella34[[#This Row],[Italy cumul. Fit]]/Kf</f>
        <v>0.8162769445109902</v>
      </c>
      <c r="L160" s="146">
        <f>Tabella34[[#This Row],[sel. region acc. fit]]+Tabella34[[#This Row],[rest of Italy acc. fit]]</f>
        <v>-54.987913301385241</v>
      </c>
      <c r="M160" s="77">
        <f>Tabella34[[#This Row],[Italy (fit of selected region + fitted sum of the other regions)]]/(y_l_peak+y_a_peak)</f>
        <v>-1.8331806431262559E-2</v>
      </c>
      <c r="N160" s="143">
        <f>Tabella3[[#This Row],[Italy remov. rate fit]]</f>
        <v>1694.538214673204</v>
      </c>
      <c r="O160" s="143">
        <f>Kt*EXP(-0.5*Tabella34[[#This Row],[x_t]]^2)/(psi_t*SQRTPI(2)*(Tabella34[[#This Row],[Day]]-D_bk))</f>
        <v>0</v>
      </c>
      <c r="P160" s="183">
        <f>Tabella34[[#This Row],[Italy velocity]]/Tabella34[[#This Row],[Italy cumul. Fit]]</f>
        <v>9.2263796065132284E-3</v>
      </c>
      <c r="Q160" s="244">
        <f>(LN(Tabella34[[#This Row],[Day]]-D_bk)-phi_t)/psi_t</f>
        <v>127.93950725830719</v>
      </c>
      <c r="R160" s="244">
        <f>EXP(phi_t+psi_t*Tabella34[[#This Row],[x_t_alpha©+plus]])-(Tabella34[[#This Row],[Day]]-D_bk)</f>
        <v>-79.284568888584772</v>
      </c>
      <c r="S160" s="244">
        <f>EXP(phi_t+psi_t*Tabella34[[#This Row],[x_t_alpha©-minus]])-(Tabella34[[#This Row],[Day]]-D_bk)</f>
        <v>-79.942144145250808</v>
      </c>
      <c r="T160" s="244">
        <f>-psi_t+SQRT(psi_t^2-2*Tabella34[[#This Row],[c_t]])</f>
        <v>3.7444491858699114</v>
      </c>
      <c r="U160" s="244">
        <f>-psi_t-SQRT(psi_t^2-2*Tabella34[[#This Row],[c_t]])</f>
        <v>-3.7938419202897165</v>
      </c>
      <c r="V160" s="244">
        <f>phi_t-LN(alpha*Kt/(Tabella34[[#This Row],[Italy velocity]]*psi_t*SQRTPI(2)))</f>
        <v>-7.1029241448739855</v>
      </c>
      <c r="W160" s="244">
        <f>Tabella34[[#This Row],[Italy g.r.]]/Italy_gr_at_lockdown</f>
        <v>1.0409592839943348E-2</v>
      </c>
      <c r="X160" s="244">
        <f>(ACOSH(SQRT(alpha*Kf*psi_f/(Tabella34[[#This Row],[Italy velocity]]*(1+TANH(phi_f)))))+phi_f)/psi_f-(Tabella34[[#This Row],[Day]]-pf)</f>
        <v>18.36292227600309</v>
      </c>
      <c r="Y160" s="244">
        <f>Tabella34[[#This Row],[Italy h.t.]]/Italy_ht_at_lockdown</f>
        <v>0.15884385272122051</v>
      </c>
      <c r="Z160" s="72">
        <f>-2*$BY$48*TANH($BY$48*(Tabella34[[#This Row],[Day]]-$BY$57)-$BY$47)*Tabella34[[#This Row],[Italy velocity]]</f>
        <v>-55.22909043930985</v>
      </c>
      <c r="AA160" s="72">
        <f>Tabella34[[#This Row],[Italy acc. fit]]/Itali_acc_at_lockdown</f>
        <v>-1.5295286713622627</v>
      </c>
      <c r="AB160" s="77">
        <f>Tabella34[[#This Row],[Italy acc. fit]]/y_f_peak</f>
        <v>-1.8401072792899546E-2</v>
      </c>
      <c r="AC160" s="143">
        <f>Tabella34[[#This Row],[Italy (fit of selected region + fitted sum of the other regions)]]*NOT(ISBLANK(Tabella34[[#This Row],[Italy rate data]]))</f>
        <v>0</v>
      </c>
      <c r="AD160" s="143">
        <f>Tabella34[[#This Row],[Italy acc. fit]]*NOT(ISBLANK(Tabella34[[#This Row],[Italy rate data]]))</f>
        <v>0</v>
      </c>
      <c r="AE160" s="77">
        <f>Tabella34[[#This Row],[Italy acc. fit]]+CIf</f>
        <v>1660.3857688952414</v>
      </c>
      <c r="AF160" s="77">
        <f>MAX(Tabella34[[#This Row],[Italy acc. fit]]-CIf,0)</f>
        <v>0</v>
      </c>
      <c r="AH160" s="10"/>
      <c r="AI160" s="10"/>
      <c r="AJ160" s="121">
        <f>Tabella34[[#This Row],[selected region rate data]]*NOT(ISBLANK(Tabella34[[#This Row],[selected region rate data]]))</f>
        <v>0</v>
      </c>
      <c r="AK160" s="77">
        <f>Tabella8[[#This Row],[region fit]]</f>
        <v>7775.3464707594485</v>
      </c>
      <c r="AL160" s="143" t="e">
        <f>(ATANH(alpha*Tabella34[[#This Row],[sel. region cumul. fit]]/Kl-(1-alpha*Tabella34[[#This Row],[sel. region cumul. fit]]/Kl)*TANH(phi_l))+phi_l)/psi_l-(Tabella34[[#This Row],[Day]]-pl)</f>
        <v>#NUM!</v>
      </c>
      <c r="AM160" s="77">
        <f>Tabella34[[#This Row],[sel. region cumul. fit]]/Kl</f>
        <v>0.86681677488957065</v>
      </c>
      <c r="AN160" s="143">
        <f>Tabella3[[#This Row],[region fit]]</f>
        <v>59.149536682985598</v>
      </c>
      <c r="AO160" s="186">
        <f>Tabella34[[#This Row],[sel. region velocity]]/Tabella34[[#This Row],[sel. region cumul. fit]]</f>
        <v>7.6073184526796057E-3</v>
      </c>
      <c r="AP160" s="241">
        <f>(LN(Tabella34[[#This Row],[Day]]-pr)-phi_r)/psi_r</f>
        <v>111.54715201019559</v>
      </c>
      <c r="AQ160" s="244">
        <f>EXP(phi_r+psi_r*Tabella34[[#This Row],[x_r_alpha©+plus]])-(Tabella34[[#This Row],[Day]]-pr)</f>
        <v>-74.040702779545057</v>
      </c>
      <c r="AR160" s="244">
        <f>EXP(phi_r+psi_r*Tabella34[[#This Row],[x_r_alpha©-minus]])-(Tabella34[[#This Row],[Day]]-pr)</f>
        <v>-74.755404100700162</v>
      </c>
      <c r="AS160" s="244">
        <f>-psi_r+SQRT(psi_r^2-2*Tabella34[[#This Row],[c_r]])</f>
        <v>3.7551626719834776</v>
      </c>
      <c r="AT160" s="244">
        <f>-psi_r-SQRT(psi_r^2-2*Tabella34[[#This Row],[c_r]])</f>
        <v>-3.8115709104021387</v>
      </c>
      <c r="AU160" s="244">
        <f>phi_r-LN(alpha*Kr/(Tabella34[[#This Row],[sel. region velocity]]*psi_r*SQRTPI(2)))</f>
        <v>-7.1565344021800952</v>
      </c>
      <c r="AV160" s="244">
        <f>(ACOSH(SQRT(alpha*Kl*psi_l/(Tabella34[[#This Row],[sel. region velocity]]*(1+TANH(phi_l)))))+phi_l)/psi_l-(Tabella34[[#This Row],[Day]]-pl)</f>
        <v>14.834766472493214</v>
      </c>
      <c r="AW160" s="72">
        <f>-2*$BY$22*TANH($BY$22*(Tabella34[[#This Row],[Day]]-$BY$31)-$BY$21)*Tabella34[[#This Row],[sel. region velocity]]</f>
        <v>-2.5206878125728109</v>
      </c>
      <c r="AX160" s="77">
        <f>Tabella34[[#This Row],[sel. region acc. fit]]/y_l_peak</f>
        <v>-1.8292460351439242E-2</v>
      </c>
      <c r="AY160" s="143">
        <f>Tabella34[[#This Row],[sel. region acc. fit]]*NOT(ISBLANK(Tabella34[[#This Row],[selected region rate data]]))</f>
        <v>0</v>
      </c>
      <c r="AZ160" s="77">
        <f>Tabella34[[#This Row],[sel. region acc. fit]]+CIl</f>
        <v>51.244152596975646</v>
      </c>
      <c r="BA160" s="77">
        <f>MAX(Tabella34[[#This Row],[sel. region acc. fit]]-CIl,0)</f>
        <v>0</v>
      </c>
      <c r="BC160" s="10"/>
      <c r="BD160" s="10"/>
      <c r="BE160" s="77">
        <f>Tabella34[[#This Row],[rest of Italy rate data]]*NOT(ISBLANK(Tabella34[[#This Row],[rest of Italy rate data]]))</f>
        <v>0</v>
      </c>
      <c r="BF160" s="77">
        <f>Tabella8[[#This Row],[rest of Italy fit]]</f>
        <v>175769.07798513584</v>
      </c>
      <c r="BG160" s="78" t="e">
        <f>(ATANH(alpha*Tabella34[[#This Row],[rest of Italy cumul. fit]]/Ka-(1-alpha*Tabella34[[#This Row],[rest of Italy cumul. fit]]/Ka)*TANH(phi_a))+phi_a)/psi_a-(Tabella34[[#This Row],[Day]]-pa)</f>
        <v>#NUM!</v>
      </c>
      <c r="BH160" s="77">
        <f>Tabella34[[#This Row],[rest of Italy cumul. fit]]/Ka</f>
        <v>0.81363272686726773</v>
      </c>
      <c r="BI160" s="143">
        <f>Tabella3[[#This Row],[rest of Italy fit]]</f>
        <v>1633.5132185585294</v>
      </c>
      <c r="BJ160" s="183">
        <f>Tabella34[[#This Row],[rest of Italy velocity]]/Tabella34[[#This Row],[rest of Italy cumul. fit]]</f>
        <v>9.2935187308467865E-3</v>
      </c>
      <c r="BK160" s="236">
        <f>(LN(Tabella34[[#This Row],[Day]]-po)-phi_o)/psi_o</f>
        <v>129.09811115781122</v>
      </c>
      <c r="BL160" s="244">
        <f>EXP(phi_o+psi_o*Tabella34[[#This Row],[x_o_alpha©+plus]])-(Tabella34[[#This Row],[Day]]-po)</f>
        <v>-79.44833120740536</v>
      </c>
      <c r="BM160" s="244">
        <f>EXP(phi_o+psi_o*Tabella34[[#This Row],[x_o_alpha©-minus]])-(Tabella34[[#This Row],[Day]]-po)</f>
        <v>-80.099235483032245</v>
      </c>
      <c r="BN160" s="244">
        <f>-psi_o+SQRT(psi_o^2-2*Tabella34[[#This Row],[c_o]])</f>
        <v>3.7463939685784888</v>
      </c>
      <c r="BO160" s="244">
        <f>-psi_o-SQRT(psi_o^2-2*Tabella34[[#This Row],[c_o]])</f>
        <v>-3.7954210541481181</v>
      </c>
      <c r="BP160" s="244">
        <f>phi_o-LN(alpha*Ko/(Tabella34[[#This Row],[rest of Italy velocity]]*psi_o*SQRTPI(2)))</f>
        <v>-7.1095712727381608</v>
      </c>
      <c r="BQ160" s="244">
        <f>(ACOSH(SQRT(alpha*Ka*psi_a/(Tabella34[[#This Row],[rest of Italy velocity]]*(1+TANH(phi_a)))))+phi_a)/psi_a-(Tabella34[[#This Row],[Day]]-pa)</f>
        <v>18.575682960773875</v>
      </c>
      <c r="BR160" s="72">
        <f>-2*$BY$35*TANH($BY$35*(Tabella34[[#This Row],[Day]]-$BY$44)-$BY$34)*Tabella34[[#This Row],[rest of Italy velocity]]</f>
        <v>-52.467225488812431</v>
      </c>
      <c r="BS160" s="77">
        <f>Tabella34[[#This Row],[rest of Italy acc. fit]]/y_a_peak</f>
        <v>-1.8333701000377619E-2</v>
      </c>
      <c r="BT160" s="121">
        <f>Tabella34[[#This Row],[rest of Italy acc. fit]]*NOT(ISBLANK(Tabella34[[#This Row],[rest of Italy rate data]]))</f>
        <v>0</v>
      </c>
      <c r="BU160" s="189"/>
      <c r="BV160" s="122"/>
    </row>
    <row r="161" spans="2:74" x14ac:dyDescent="0.3">
      <c r="B161" s="262">
        <v>43984</v>
      </c>
      <c r="C161" s="4">
        <v>154</v>
      </c>
      <c r="E161" s="10"/>
      <c r="F161" s="10"/>
      <c r="G161" s="121">
        <f>Tabella34[[#This Row],[Italy rate data]]*NOT(ISBLANK(Tabella34[[#This Row],[Italy rate data]]))</f>
        <v>0</v>
      </c>
      <c r="H161" s="143">
        <f>Tabella8[[#This Row],[Italy fit]]</f>
        <v>185329.34551519627</v>
      </c>
      <c r="I161" s="143" t="e">
        <f>(ATANH(alpha*Tabella34[[#This Row],[Italy cumul. Fit]]/Kf-(1-alpha*Tabella34[[#This Row],[Italy cumul. Fit]]/Kf)*TANH(phi_f))+phi_f)/psi_f-(Tabella34[[#This Row],[Day]]-pf)</f>
        <v>#NUM!</v>
      </c>
      <c r="J161" s="143" t="e">
        <f>Tabella34[[#This Row],[Italy d.t.]]/Italy_dt_at_lockdown</f>
        <v>#NUM!</v>
      </c>
      <c r="K161" s="77">
        <f>Tabella34[[#This Row],[Italy cumul. Fit]]/Kf</f>
        <v>0.82368598006753901</v>
      </c>
      <c r="L161" s="146">
        <f>Tabella34[[#This Row],[sel. region acc. fit]]+Tabella34[[#This Row],[rest of Italy acc. fit]]</f>
        <v>-54.311595792542789</v>
      </c>
      <c r="M161" s="77">
        <f>Tabella34[[#This Row],[Italy (fit of selected region + fitted sum of the other regions)]]/(y_l_peak+y_a_peak)</f>
        <v>-1.8106336488618615E-2</v>
      </c>
      <c r="N161" s="143">
        <f>Tabella3[[#This Row],[Italy remov. rate fit]]</f>
        <v>1639.640869948252</v>
      </c>
      <c r="O161" s="143">
        <f>Kt*EXP(-0.5*Tabella34[[#This Row],[x_t]]^2)/(psi_t*SQRTPI(2)*(Tabella34[[#This Row],[Day]]-D_bk))</f>
        <v>0</v>
      </c>
      <c r="P161" s="183">
        <f>Tabella34[[#This Row],[Italy velocity]]/Tabella34[[#This Row],[Italy cumul. Fit]]</f>
        <v>8.8471734759016235E-3</v>
      </c>
      <c r="Q161" s="244">
        <f>(LN(Tabella34[[#This Row],[Day]]-D_bk)-phi_t)/psi_t</f>
        <v>128.42354199905887</v>
      </c>
      <c r="R161" s="244">
        <f>EXP(phi_t+psi_t*Tabella34[[#This Row],[x_t_alpha©+plus]])-(Tabella34[[#This Row],[Day]]-D_bk)</f>
        <v>-80.283734430416359</v>
      </c>
      <c r="S161" s="244">
        <f>EXP(phi_t+psi_t*Tabella34[[#This Row],[x_t_alpha©-minus]])-(Tabella34[[#This Row],[Day]]-D_bk)</f>
        <v>-80.942836707879877</v>
      </c>
      <c r="T161" s="244">
        <f>-psi_t+SQRT(psi_t^2-2*Tabella34[[#This Row],[c_t]])</f>
        <v>3.753176613192319</v>
      </c>
      <c r="U161" s="244">
        <f>-psi_t-SQRT(psi_t^2-2*Tabella34[[#This Row],[c_t]])</f>
        <v>-3.8025693476121241</v>
      </c>
      <c r="V161" s="244">
        <f>phi_t-LN(alpha*Kt/(Tabella34[[#This Row],[Italy velocity]]*psi_t*SQRTPI(2)))</f>
        <v>-7.1358571727498985</v>
      </c>
      <c r="W161" s="244">
        <f>Tabella34[[#This Row],[Italy g.r.]]/Italy_gr_at_lockdown</f>
        <v>9.9817563980858521E-3</v>
      </c>
      <c r="X161" s="244">
        <f>(ACOSH(SQRT(alpha*Kf*psi_f/(Tabella34[[#This Row],[Italy velocity]]*(1+TANH(phi_f)))))+phi_f)/psi_f-(Tabella34[[#This Row],[Day]]-pf)</f>
        <v>18.147452819367928</v>
      </c>
      <c r="Y161" s="244">
        <f>Tabella34[[#This Row],[Italy h.t.]]/Italy_ht_at_lockdown</f>
        <v>0.15697998823814724</v>
      </c>
      <c r="Z161" s="72">
        <f>-2*$BY$48*TANH($BY$48*(Tabella34[[#This Row],[Day]]-$BY$57)-$BY$47)*Tabella34[[#This Row],[Italy velocity]]</f>
        <v>-54.550726259582781</v>
      </c>
      <c r="AA161" s="72">
        <f>Tabella34[[#This Row],[Italy acc. fit]]/Itali_acc_at_lockdown</f>
        <v>-1.510741878853741</v>
      </c>
      <c r="AB161" s="77">
        <f>Tabella34[[#This Row],[Italy acc. fit]]/y_f_peak</f>
        <v>-1.8175057326195992E-2</v>
      </c>
      <c r="AC161" s="143">
        <f>Tabella34[[#This Row],[Italy (fit of selected region + fitted sum of the other regions)]]*NOT(ISBLANK(Tabella34[[#This Row],[Italy rate data]]))</f>
        <v>0</v>
      </c>
      <c r="AD161" s="143">
        <f>Tabella34[[#This Row],[Italy acc. fit]]*NOT(ISBLANK(Tabella34[[#This Row],[Italy rate data]]))</f>
        <v>0</v>
      </c>
      <c r="AE161" s="77">
        <f>Tabella34[[#This Row],[Italy acc. fit]]+CIf</f>
        <v>1661.0641330749686</v>
      </c>
      <c r="AF161" s="77">
        <f>MAX(Tabella34[[#This Row],[Italy acc. fit]]-CIf,0)</f>
        <v>0</v>
      </c>
      <c r="AH161" s="10"/>
      <c r="AI161" s="10"/>
      <c r="AJ161" s="121">
        <f>Tabella34[[#This Row],[selected region rate data]]*NOT(ISBLANK(Tabella34[[#This Row],[selected region rate data]]))</f>
        <v>0</v>
      </c>
      <c r="AK161" s="77">
        <f>Tabella8[[#This Row],[region fit]]</f>
        <v>7833.2469267206725</v>
      </c>
      <c r="AL161" s="143" t="e">
        <f>(ATANH(alpha*Tabella34[[#This Row],[sel. region cumul. fit]]/Kl-(1-alpha*Tabella34[[#This Row],[sel. region cumul. fit]]/Kl)*TANH(phi_l))+phi_l)/psi_l-(Tabella34[[#This Row],[Day]]-pl)</f>
        <v>#NUM!</v>
      </c>
      <c r="AM161" s="77">
        <f>Tabella34[[#This Row],[sel. region cumul. fit]]/Kl</f>
        <v>0.87327167521969595</v>
      </c>
      <c r="AN161" s="143">
        <f>Tabella3[[#This Row],[region fit]]</f>
        <v>56.66272636098499</v>
      </c>
      <c r="AO161" s="186">
        <f>Tabella34[[#This Row],[sel. region velocity]]/Tabella34[[#This Row],[sel. region cumul. fit]]</f>
        <v>7.2336193268333999E-3</v>
      </c>
      <c r="AP161" s="241">
        <f>(LN(Tabella34[[#This Row],[Day]]-pr)-phi_r)/psi_r</f>
        <v>112.00021165632327</v>
      </c>
      <c r="AQ161" s="244">
        <f>EXP(phi_r+psi_r*Tabella34[[#This Row],[x_r_alpha©+plus]])-(Tabella34[[#This Row],[Day]]-pr)</f>
        <v>-75.039513565431633</v>
      </c>
      <c r="AR161" s="244">
        <f>EXP(phi_r+psi_r*Tabella34[[#This Row],[x_r_alpha©-minus]])-(Tabella34[[#This Row],[Day]]-pr)</f>
        <v>-75.756364467393524</v>
      </c>
      <c r="AS161" s="244">
        <f>-psi_r+SQRT(psi_r^2-2*Tabella34[[#This Row],[c_r]])</f>
        <v>3.7664985792030485</v>
      </c>
      <c r="AT161" s="244">
        <f>-psi_r-SQRT(psi_r^2-2*Tabella34[[#This Row],[c_r]])</f>
        <v>-3.8229068176217096</v>
      </c>
      <c r="AU161" s="244">
        <f>phi_r-LN(alpha*Kr/(Tabella34[[#This Row],[sel. region velocity]]*psi_r*SQRTPI(2)))</f>
        <v>-7.1994865484989079</v>
      </c>
      <c r="AV161" s="244">
        <f>(ACOSH(SQRT(alpha*Kl*psi_l/(Tabella34[[#This Row],[sel. region velocity]]*(1+TANH(phi_l)))))+phi_l)/psi_l-(Tabella34[[#This Row],[Day]]-pl)</f>
        <v>14.691512376538668</v>
      </c>
      <c r="AW161" s="72">
        <f>-2*$BY$22*TANH($BY$22*(Tabella34[[#This Row],[Day]]-$BY$31)-$BY$21)*Tabella34[[#This Row],[sel. region velocity]]</f>
        <v>-2.4525891645563878</v>
      </c>
      <c r="AX161" s="77">
        <f>Tabella34[[#This Row],[sel. region acc. fit]]/y_l_peak</f>
        <v>-1.7798273085323339E-2</v>
      </c>
      <c r="AY161" s="143">
        <f>Tabella34[[#This Row],[sel. region acc. fit]]*NOT(ISBLANK(Tabella34[[#This Row],[selected region rate data]]))</f>
        <v>0</v>
      </c>
      <c r="AZ161" s="77">
        <f>Tabella34[[#This Row],[sel. region acc. fit]]+CIl</f>
        <v>51.312251244992069</v>
      </c>
      <c r="BA161" s="77">
        <f>MAX(Tabella34[[#This Row],[sel. region acc. fit]]-CIl,0)</f>
        <v>0</v>
      </c>
      <c r="BC161" s="10"/>
      <c r="BD161" s="10"/>
      <c r="BE161" s="77">
        <f>Tabella34[[#This Row],[rest of Italy rate data]]*NOT(ISBLANK(Tabella34[[#This Row],[rest of Italy rate data]]))</f>
        <v>0</v>
      </c>
      <c r="BF161" s="77">
        <f>Tabella8[[#This Row],[rest of Italy fit]]</f>
        <v>177376.45537050249</v>
      </c>
      <c r="BG161" s="78" t="e">
        <f>(ATANH(alpha*Tabella34[[#This Row],[rest of Italy cumul. fit]]/Ka-(1-alpha*Tabella34[[#This Row],[rest of Italy cumul. fit]]/Ka)*TANH(phi_a))+phi_a)/psi_a-(Tabella34[[#This Row],[Day]]-pa)</f>
        <v>#NUM!</v>
      </c>
      <c r="BH161" s="77">
        <f>Tabella34[[#This Row],[rest of Italy cumul. fit]]/Ka</f>
        <v>0.82107325542981291</v>
      </c>
      <c r="BI161" s="143">
        <f>Tabella3[[#This Row],[rest of Italy fit]]</f>
        <v>1581.3429438181131</v>
      </c>
      <c r="BJ161" s="183">
        <f>Tabella34[[#This Row],[rest of Italy velocity]]/Tabella34[[#This Row],[rest of Italy cumul. fit]]</f>
        <v>8.915179528844552E-3</v>
      </c>
      <c r="BK161" s="236">
        <f>(LN(Tabella34[[#This Row],[Day]]-po)-phi_o)/psi_o</f>
        <v>129.58488972097237</v>
      </c>
      <c r="BL161" s="244">
        <f>EXP(phi_o+psi_o*Tabella34[[#This Row],[x_o_alpha©+plus]])-(Tabella34[[#This Row],[Day]]-po)</f>
        <v>-80.447518371018916</v>
      </c>
      <c r="BM161" s="244">
        <f>EXP(phi_o+psi_o*Tabella34[[#This Row],[x_o_alpha©-minus]])-(Tabella34[[#This Row],[Day]]-po)</f>
        <v>-81.099910975815675</v>
      </c>
      <c r="BN161" s="244">
        <f>-psi_o+SQRT(psi_o^2-2*Tabella34[[#This Row],[c_o]])</f>
        <v>3.7549918013992971</v>
      </c>
      <c r="BO161" s="244">
        <f>-psi_o-SQRT(psi_o^2-2*Tabella34[[#This Row],[c_o]])</f>
        <v>-3.8040188869689264</v>
      </c>
      <c r="BP161" s="244">
        <f>phi_o-LN(alpha*Ko/(Tabella34[[#This Row],[rest of Italy velocity]]*psi_o*SQRTPI(2)))</f>
        <v>-7.1420298664681985</v>
      </c>
      <c r="BQ161" s="244">
        <f>(ACOSH(SQRT(alpha*Ka*psi_a/(Tabella34[[#This Row],[rest of Italy velocity]]*(1+TANH(phi_a)))))+phi_a)/psi_a-(Tabella34[[#This Row],[Day]]-pa)</f>
        <v>18.356369160094218</v>
      </c>
      <c r="BR161" s="72">
        <f>-2*$BY$35*TANH($BY$35*(Tabella34[[#This Row],[Day]]-$BY$44)-$BY$34)*Tabella34[[#This Row],[rest of Italy velocity]]</f>
        <v>-51.859006627986403</v>
      </c>
      <c r="BS161" s="77">
        <f>Tabella34[[#This Row],[rest of Italy acc. fit]]/y_a_peak</f>
        <v>-1.8121170175023564E-2</v>
      </c>
      <c r="BT161" s="121">
        <f>Tabella34[[#This Row],[rest of Italy acc. fit]]*NOT(ISBLANK(Tabella34[[#This Row],[rest of Italy rate data]]))</f>
        <v>0</v>
      </c>
      <c r="BU161" s="189"/>
      <c r="BV161" s="122"/>
    </row>
    <row r="162" spans="2:74" x14ac:dyDescent="0.3">
      <c r="B162" s="262">
        <v>43985</v>
      </c>
      <c r="C162" s="4">
        <v>155</v>
      </c>
      <c r="E162" s="10"/>
      <c r="F162" s="10"/>
      <c r="G162" s="121">
        <f>Tabella34[[#This Row],[Italy rate data]]*NOT(ISBLANK(Tabella34[[#This Row],[Italy rate data]]))</f>
        <v>0</v>
      </c>
      <c r="H162" s="143">
        <f>Tabella8[[#This Row],[Italy fit]]</f>
        <v>186941.83487491793</v>
      </c>
      <c r="I162" s="143" t="e">
        <f>(ATANH(alpha*Tabella34[[#This Row],[Italy cumul. Fit]]/Kf-(1-alpha*Tabella34[[#This Row],[Italy cumul. Fit]]/Kf)*TANH(phi_f))+phi_f)/psi_f-(Tabella34[[#This Row],[Day]]-pf)</f>
        <v>#NUM!</v>
      </c>
      <c r="J162" s="143" t="e">
        <f>Tabella34[[#This Row],[Italy d.t.]]/Italy_dt_at_lockdown</f>
        <v>#NUM!</v>
      </c>
      <c r="K162" s="77">
        <f>Tabella34[[#This Row],[Italy cumul. Fit]]/Kf</f>
        <v>0.83085259944407963</v>
      </c>
      <c r="L162" s="146">
        <f>Tabella34[[#This Row],[sel. region acc. fit]]+Tabella34[[#This Row],[rest of Italy acc. fit]]</f>
        <v>-53.551457402427125</v>
      </c>
      <c r="M162" s="77">
        <f>Tabella34[[#This Row],[Italy (fit of selected region + fitted sum of the other regions)]]/(y_l_peak+y_a_peak)</f>
        <v>-1.7852922438294564E-2</v>
      </c>
      <c r="N162" s="143">
        <f>Tabella3[[#This Row],[Italy remov. rate fit]]</f>
        <v>1585.465106048995</v>
      </c>
      <c r="O162" s="143">
        <f>Kt*EXP(-0.5*Tabella34[[#This Row],[x_t]]^2)/(psi_t*SQRTPI(2)*(Tabella34[[#This Row],[Day]]-D_bk))</f>
        <v>0</v>
      </c>
      <c r="P162" s="183">
        <f>Tabella34[[#This Row],[Italy velocity]]/Tabella34[[#This Row],[Italy cumul. Fit]]</f>
        <v>8.4810610054716958E-3</v>
      </c>
      <c r="Q162" s="244">
        <f>(LN(Tabella34[[#This Row],[Day]]-D_bk)-phi_t)/psi_t</f>
        <v>128.90185892002964</v>
      </c>
      <c r="R162" s="244">
        <f>EXP(phi_t+psi_t*Tabella34[[#This Row],[x_t_alpha©+plus]])-(Tabella34[[#This Row],[Day]]-D_bk)</f>
        <v>-81.282884884175544</v>
      </c>
      <c r="S162" s="244">
        <f>EXP(phi_t+psi_t*Tabella34[[#This Row],[x_t_alpha©-minus]])-(Tabella34[[#This Row],[Day]]-D_bk)</f>
        <v>-81.943541486338702</v>
      </c>
      <c r="T162" s="244">
        <f>-psi_t+SQRT(psi_t^2-2*Tabella34[[#This Row],[c_t]])</f>
        <v>3.762059911601328</v>
      </c>
      <c r="U162" s="244">
        <f>-psi_t-SQRT(psi_t^2-2*Tabella34[[#This Row],[c_t]])</f>
        <v>-3.8114526460211331</v>
      </c>
      <c r="V162" s="244">
        <f>phi_t-LN(alpha*Kt/(Tabella34[[#This Row],[Italy velocity]]*psi_t*SQRTPI(2)))</f>
        <v>-7.1694566022814561</v>
      </c>
      <c r="W162" s="244">
        <f>Tabella34[[#This Row],[Italy g.r.]]/Italy_gr_at_lockdown</f>
        <v>9.5686927790568921E-3</v>
      </c>
      <c r="X162" s="244">
        <f>(ACOSH(SQRT(alpha*Kf*psi_f/(Tabella34[[#This Row],[Italy velocity]]*(1+TANH(phi_f)))))+phi_f)/psi_f-(Tabella34[[#This Row],[Day]]-pf)</f>
        <v>17.942871337246345</v>
      </c>
      <c r="Y162" s="244">
        <f>Tabella34[[#This Row],[Italy h.t.]]/Italy_ht_at_lockdown</f>
        <v>0.15521030744730291</v>
      </c>
      <c r="Z162" s="72">
        <f>-2*$BY$48*TANH($BY$48*(Tabella34[[#This Row],[Day]]-$BY$57)-$BY$47)*Tabella34[[#This Row],[Italy velocity]]</f>
        <v>-53.787325216032926</v>
      </c>
      <c r="AA162" s="72">
        <f>Tabella34[[#This Row],[Italy acc. fit]]/Itali_acc_at_lockdown</f>
        <v>-1.4896000535118865</v>
      </c>
      <c r="AB162" s="77">
        <f>Tabella34[[#This Row],[Italy acc. fit]]/y_f_peak</f>
        <v>-1.7920709516720968E-2</v>
      </c>
      <c r="AC162" s="143">
        <f>Tabella34[[#This Row],[Italy (fit of selected region + fitted sum of the other regions)]]*NOT(ISBLANK(Tabella34[[#This Row],[Italy rate data]]))</f>
        <v>0</v>
      </c>
      <c r="AD162" s="143">
        <f>Tabella34[[#This Row],[Italy acc. fit]]*NOT(ISBLANK(Tabella34[[#This Row],[Italy rate data]]))</f>
        <v>0</v>
      </c>
      <c r="AE162" s="77">
        <f>Tabella34[[#This Row],[Italy acc. fit]]+CIf</f>
        <v>1661.8275341185183</v>
      </c>
      <c r="AF162" s="77">
        <f>MAX(Tabella34[[#This Row],[Italy acc. fit]]-CIf,0)</f>
        <v>0</v>
      </c>
      <c r="AH162" s="10"/>
      <c r="AI162" s="10"/>
      <c r="AJ162" s="121">
        <f>Tabella34[[#This Row],[selected region rate data]]*NOT(ISBLANK(Tabella34[[#This Row],[selected region rate data]]))</f>
        <v>0</v>
      </c>
      <c r="AK162" s="77">
        <f>Tabella8[[#This Row],[region fit]]</f>
        <v>7888.694945521891</v>
      </c>
      <c r="AL162" s="143" t="e">
        <f>(ATANH(alpha*Tabella34[[#This Row],[sel. region cumul. fit]]/Kl-(1-alpha*Tabella34[[#This Row],[sel. region cumul. fit]]/Kl)*TANH(phi_l))+phi_l)/psi_l-(Tabella34[[#This Row],[Day]]-pl)</f>
        <v>#NUM!</v>
      </c>
      <c r="AM162" s="77">
        <f>Tabella34[[#This Row],[sel. region cumul. fit]]/Kl</f>
        <v>0.87945317118415733</v>
      </c>
      <c r="AN162" s="143">
        <f>Tabella3[[#This Row],[region fit]]</f>
        <v>54.244966560081032</v>
      </c>
      <c r="AO162" s="186">
        <f>Tabella34[[#This Row],[sel. region velocity]]/Tabella34[[#This Row],[sel. region cumul. fit]]</f>
        <v>6.8762915709998157E-3</v>
      </c>
      <c r="AP162" s="241">
        <f>(LN(Tabella34[[#This Row],[Day]]-pr)-phi_r)/psi_r</f>
        <v>112.44755500600363</v>
      </c>
      <c r="AQ162" s="244">
        <f>EXP(phi_r+psi_r*Tabella34[[#This Row],[x_r_alpha©+plus]])-(Tabella34[[#This Row],[Day]]-pr)</f>
        <v>-76.038309472770337</v>
      </c>
      <c r="AR162" s="244">
        <f>EXP(phi_r+psi_r*Tabella34[[#This Row],[x_r_alpha©-minus]])-(Tabella34[[#This Row],[Day]]-pr)</f>
        <v>-76.757336224103085</v>
      </c>
      <c r="AS162" s="244">
        <f>-psi_r+SQRT(psi_r^2-2*Tabella34[[#This Row],[c_r]])</f>
        <v>3.7779726213044551</v>
      </c>
      <c r="AT162" s="244">
        <f>-psi_r-SQRT(psi_r^2-2*Tabella34[[#This Row],[c_r]])</f>
        <v>-3.8343808597231162</v>
      </c>
      <c r="AU162" s="244">
        <f>phi_r-LN(alpha*Kr/(Tabella34[[#This Row],[sel. region velocity]]*psi_r*SQRTPI(2)))</f>
        <v>-7.2430929538438855</v>
      </c>
      <c r="AV162" s="244">
        <f>(ACOSH(SQRT(alpha*Kl*psi_l/(Tabella34[[#This Row],[sel. region velocity]]*(1+TANH(phi_l)))))+phi_l)/psi_l-(Tabella34[[#This Row],[Day]]-pl)</f>
        <v>14.556450548413636</v>
      </c>
      <c r="AW162" s="72">
        <f>-2*$BY$22*TANH($BY$22*(Tabella34[[#This Row],[Day]]-$BY$31)-$BY$21)*Tabella34[[#This Row],[sel. region velocity]]</f>
        <v>-2.3826647700826173</v>
      </c>
      <c r="AX162" s="77">
        <f>Tabella34[[#This Row],[sel. region acc. fit]]/y_l_peak</f>
        <v>-1.7290836501098215E-2</v>
      </c>
      <c r="AY162" s="143">
        <f>Tabella34[[#This Row],[sel. region acc. fit]]*NOT(ISBLANK(Tabella34[[#This Row],[selected region rate data]]))</f>
        <v>0</v>
      </c>
      <c r="AZ162" s="77">
        <f>Tabella34[[#This Row],[sel. region acc. fit]]+CIl</f>
        <v>51.382175639465835</v>
      </c>
      <c r="BA162" s="77">
        <f>MAX(Tabella34[[#This Row],[sel. region acc. fit]]-CIl,0)</f>
        <v>0</v>
      </c>
      <c r="BC162" s="10"/>
      <c r="BD162" s="10"/>
      <c r="BE162" s="77">
        <f>Tabella34[[#This Row],[rest of Italy rate data]]*NOT(ISBLANK(Tabella34[[#This Row],[rest of Italy rate data]]))</f>
        <v>0</v>
      </c>
      <c r="BF162" s="77">
        <f>Tabella8[[#This Row],[rest of Italy fit]]</f>
        <v>178931.98058164772</v>
      </c>
      <c r="BG162" s="78" t="e">
        <f>(ATANH(alpha*Tabella34[[#This Row],[rest of Italy cumul. fit]]/Ka-(1-alpha*Tabella34[[#This Row],[rest of Italy cumul. fit]]/Ka)*TANH(phi_a))+phi_a)/psi_a-(Tabella34[[#This Row],[Day]]-pa)</f>
        <v>#NUM!</v>
      </c>
      <c r="BH162" s="77">
        <f>Tabella34[[#This Row],[rest of Italy cumul. fit]]/Ka</f>
        <v>0.82827376096675331</v>
      </c>
      <c r="BI162" s="143">
        <f>Tabella3[[#This Row],[rest of Italy fit]]</f>
        <v>1529.8225356243356</v>
      </c>
      <c r="BJ162" s="183">
        <f>Tabella34[[#This Row],[rest of Italy velocity]]/Tabella34[[#This Row],[rest of Italy cumul. fit]]</f>
        <v>8.5497434871697996E-3</v>
      </c>
      <c r="BK162" s="236">
        <f>(LN(Tabella34[[#This Row],[Day]]-po)-phi_o)/psi_o</f>
        <v>130.06592814542827</v>
      </c>
      <c r="BL162" s="244">
        <f>EXP(phi_o+psi_o*Tabella34[[#This Row],[x_o_alpha©+plus]])-(Tabella34[[#This Row],[Day]]-po)</f>
        <v>-81.446690629417546</v>
      </c>
      <c r="BM162" s="244">
        <f>EXP(phi_o+psi_o*Tabella34[[#This Row],[x_o_alpha©-minus]])-(Tabella34[[#This Row],[Day]]-po)</f>
        <v>-82.100598562780334</v>
      </c>
      <c r="BN162" s="244">
        <f>-psi_o+SQRT(psi_o^2-2*Tabella34[[#This Row],[c_o]])</f>
        <v>3.763745433297637</v>
      </c>
      <c r="BO162" s="244">
        <f>-psi_o-SQRT(psi_o^2-2*Tabella34[[#This Row],[c_o]])</f>
        <v>-3.8127725188672663</v>
      </c>
      <c r="BP162" s="244">
        <f>phi_o-LN(alpha*Ko/(Tabella34[[#This Row],[rest of Italy velocity]]*psi_o*SQRTPI(2)))</f>
        <v>-7.1751525780447016</v>
      </c>
      <c r="BQ162" s="244">
        <f>(ACOSH(SQRT(alpha*Ka*psi_a/(Tabella34[[#This Row],[rest of Italy velocity]]*(1+TANH(phi_a)))))+phi_a)/psi_a-(Tabella34[[#This Row],[Day]]-pa)</f>
        <v>18.148058142279339</v>
      </c>
      <c r="BR162" s="72">
        <f>-2*$BY$35*TANH($BY$35*(Tabella34[[#This Row],[Day]]-$BY$44)-$BY$34)*Tabella34[[#This Row],[rest of Italy velocity]]</f>
        <v>-51.168792632344505</v>
      </c>
      <c r="BS162" s="77">
        <f>Tabella34[[#This Row],[rest of Italy acc. fit]]/y_a_peak</f>
        <v>-1.7879987667191646E-2</v>
      </c>
      <c r="BT162" s="121">
        <f>Tabella34[[#This Row],[rest of Italy acc. fit]]*NOT(ISBLANK(Tabella34[[#This Row],[rest of Italy rate data]]))</f>
        <v>0</v>
      </c>
      <c r="BU162" s="189"/>
      <c r="BV162" s="122"/>
    </row>
    <row r="163" spans="2:74" x14ac:dyDescent="0.3">
      <c r="B163" s="262">
        <v>43986</v>
      </c>
      <c r="C163" s="4">
        <v>156</v>
      </c>
      <c r="E163" s="10"/>
      <c r="F163" s="10"/>
      <c r="G163" s="121">
        <f>Tabella34[[#This Row],[Italy rate data]]*NOT(ISBLANK(Tabella34[[#This Row],[Italy rate data]]))</f>
        <v>0</v>
      </c>
      <c r="H163" s="143">
        <f>Tabella8[[#This Row],[Italy fit]]</f>
        <v>188500.54330402554</v>
      </c>
      <c r="I163" s="143" t="e">
        <f>(ATANH(alpha*Tabella34[[#This Row],[Italy cumul. Fit]]/Kf-(1-alpha*Tabella34[[#This Row],[Italy cumul. Fit]]/Kf)*TANH(phi_f))+phi_f)/psi_f-(Tabella34[[#This Row],[Day]]-pf)</f>
        <v>#NUM!</v>
      </c>
      <c r="J163" s="143" t="e">
        <f>Tabella34[[#This Row],[Italy d.t.]]/Italy_dt_at_lockdown</f>
        <v>#NUM!</v>
      </c>
      <c r="K163" s="77">
        <f>Tabella34[[#This Row],[Italy cumul. Fit]]/Kf</f>
        <v>0.8377801924623357</v>
      </c>
      <c r="L163" s="146">
        <f>Tabella34[[#This Row],[sel. region acc. fit]]+Tabella34[[#This Row],[rest of Italy acc. fit]]</f>
        <v>-52.715678872223954</v>
      </c>
      <c r="M163" s="77">
        <f>Tabella34[[#This Row],[Italy (fit of selected region + fitted sum of the other regions)]]/(y_l_peak+y_a_peak)</f>
        <v>-1.7574291566249747E-2</v>
      </c>
      <c r="N163" s="143">
        <f>Tabella3[[#This Row],[Italy remov. rate fit]]</f>
        <v>1532.0917990701901</v>
      </c>
      <c r="O163" s="143">
        <f>Kt*EXP(-0.5*Tabella34[[#This Row],[x_t]]^2)/(psi_t*SQRTPI(2)*(Tabella34[[#This Row],[Day]]-D_bk))</f>
        <v>0</v>
      </c>
      <c r="P163" s="183">
        <f>Tabella34[[#This Row],[Italy velocity]]/Tabella34[[#This Row],[Italy cumul. Fit]]</f>
        <v>8.1277845263243408E-3</v>
      </c>
      <c r="Q163" s="244">
        <f>(LN(Tabella34[[#This Row],[Day]]-D_bk)-phi_t)/psi_t</f>
        <v>129.37459153286193</v>
      </c>
      <c r="R163" s="244">
        <f>EXP(phi_t+psi_t*Tabella34[[#This Row],[x_t_alpha©+plus]])-(Tabella34[[#This Row],[Day]]-D_bk)</f>
        <v>-82.282020899555377</v>
      </c>
      <c r="S163" s="244">
        <f>EXP(phi_t+psi_t*Tabella34[[#This Row],[x_t_alpha©-minus]])-(Tabella34[[#This Row],[Day]]-D_bk)</f>
        <v>-82.944257925731861</v>
      </c>
      <c r="T163" s="244">
        <f>-psi_t+SQRT(psi_t^2-2*Tabella34[[#This Row],[c_t]])</f>
        <v>3.7710921868474805</v>
      </c>
      <c r="U163" s="244">
        <f>-psi_t-SQRT(psi_t^2-2*Tabella34[[#This Row],[c_t]])</f>
        <v>-3.8204849212672856</v>
      </c>
      <c r="V163" s="244">
        <f>phi_t-LN(alpha*Kt/(Tabella34[[#This Row],[Italy velocity]]*psi_t*SQRTPI(2)))</f>
        <v>-7.2037004182798361</v>
      </c>
      <c r="W163" s="244">
        <f>Tabella34[[#This Row],[Italy g.r.]]/Italy_gr_at_lockdown</f>
        <v>9.1701112698746069E-3</v>
      </c>
      <c r="X163" s="244">
        <f>(ACOSH(SQRT(alpha*Kf*psi_f/(Tabella34[[#This Row],[Italy velocity]]*(1+TANH(phi_f)))))+phi_f)/psi_f-(Tabella34[[#This Row],[Day]]-pf)</f>
        <v>17.748625034824883</v>
      </c>
      <c r="Y163" s="244">
        <f>Tabella34[[#This Row],[Italy h.t.]]/Italy_ht_at_lockdown</f>
        <v>0.15353002853582498</v>
      </c>
      <c r="Z163" s="72">
        <f>-2*$BY$48*TANH($BY$48*(Tabella34[[#This Row],[Day]]-$BY$57)-$BY$47)*Tabella34[[#This Row],[Italy velocity]]</f>
        <v>-52.947178636309275</v>
      </c>
      <c r="AA163" s="72">
        <f>Tabella34[[#This Row],[Italy acc. fit]]/Itali_acc_at_lockdown</f>
        <v>-1.4663328175025165</v>
      </c>
      <c r="AB163" s="77">
        <f>Tabella34[[#This Row],[Italy acc. fit]]/y_f_peak</f>
        <v>-1.7640791845667005E-2</v>
      </c>
      <c r="AC163" s="143">
        <f>Tabella34[[#This Row],[Italy (fit of selected region + fitted sum of the other regions)]]*NOT(ISBLANK(Tabella34[[#This Row],[Italy rate data]]))</f>
        <v>0</v>
      </c>
      <c r="AD163" s="143">
        <f>Tabella34[[#This Row],[Italy acc. fit]]*NOT(ISBLANK(Tabella34[[#This Row],[Italy rate data]]))</f>
        <v>0</v>
      </c>
      <c r="AE163" s="77">
        <f>Tabella34[[#This Row],[Italy acc. fit]]+CIf</f>
        <v>1662.6676806982421</v>
      </c>
      <c r="AF163" s="77">
        <f>MAX(Tabella34[[#This Row],[Italy acc. fit]]-CIf,0)</f>
        <v>0</v>
      </c>
      <c r="AH163" s="10"/>
      <c r="AI163" s="10"/>
      <c r="AJ163" s="121">
        <f>Tabella34[[#This Row],[selected region rate data]]*NOT(ISBLANK(Tabella34[[#This Row],[selected region rate data]]))</f>
        <v>0</v>
      </c>
      <c r="AK163" s="77">
        <f>Tabella8[[#This Row],[region fit]]</f>
        <v>7941.7604139727264</v>
      </c>
      <c r="AL163" s="143" t="e">
        <f>(ATANH(alpha*Tabella34[[#This Row],[sel. region cumul. fit]]/Kl-(1-alpha*Tabella34[[#This Row],[sel. region cumul. fit]]/Kl)*TANH(phi_l))+phi_l)/psi_l-(Tabella34[[#This Row],[Day]]-pl)</f>
        <v>#NUM!</v>
      </c>
      <c r="AM163" s="77">
        <f>Tabella34[[#This Row],[sel. region cumul. fit]]/Kl</f>
        <v>0.88536905395459597</v>
      </c>
      <c r="AN163" s="143">
        <f>Tabella3[[#This Row],[region fit]]</f>
        <v>51.897854689584868</v>
      </c>
      <c r="AO163" s="186">
        <f>Tabella34[[#This Row],[sel. region velocity]]/Tabella34[[#This Row],[sel. region cumul. fit]]</f>
        <v>6.5348048775528194E-3</v>
      </c>
      <c r="AP163" s="241">
        <f>(LN(Tabella34[[#This Row],[Day]]-pr)-phi_r)/psi_r</f>
        <v>112.8893245098962</v>
      </c>
      <c r="AQ163" s="244">
        <f>EXP(phi_r+psi_r*Tabella34[[#This Row],[x_r_alpha©+plus]])-(Tabella34[[#This Row],[Day]]-pr)</f>
        <v>-77.037091385737185</v>
      </c>
      <c r="AR163" s="244">
        <f>EXP(phi_r+psi_r*Tabella34[[#This Row],[x_r_alpha©-minus]])-(Tabella34[[#This Row],[Day]]-pr)</f>
        <v>-77.758318635252579</v>
      </c>
      <c r="AS163" s="244">
        <f>-psi_r+SQRT(psi_r^2-2*Tabella34[[#This Row],[c_r]])</f>
        <v>3.7895762416733452</v>
      </c>
      <c r="AT163" s="244">
        <f>-psi_r-SQRT(psi_r^2-2*Tabella34[[#This Row],[c_r]])</f>
        <v>-3.8459844800920062</v>
      </c>
      <c r="AU163" s="244">
        <f>phi_r-LN(alpha*Kr/(Tabella34[[#This Row],[sel. region velocity]]*psi_r*SQRTPI(2)))</f>
        <v>-7.2873257058005398</v>
      </c>
      <c r="AV163" s="244">
        <f>(ACOSH(SQRT(alpha*Kl*psi_l/(Tabella34[[#This Row],[sel. region velocity]]*(1+TANH(phi_l)))))+phi_l)/psi_l-(Tabella34[[#This Row],[Day]]-pl)</f>
        <v>14.429103297817676</v>
      </c>
      <c r="AW163" s="72">
        <f>-2*$BY$22*TANH($BY$22*(Tabella34[[#This Row],[Day]]-$BY$31)-$BY$21)*Tabella34[[#This Row],[sel. region velocity]]</f>
        <v>-2.3113656296910601</v>
      </c>
      <c r="AX163" s="77">
        <f>Tabella34[[#This Row],[sel. region acc. fit]]/y_l_peak</f>
        <v>-1.6773423479065529E-2</v>
      </c>
      <c r="AY163" s="143">
        <f>Tabella34[[#This Row],[sel. region acc. fit]]*NOT(ISBLANK(Tabella34[[#This Row],[selected region rate data]]))</f>
        <v>0</v>
      </c>
      <c r="AZ163" s="77">
        <f>Tabella34[[#This Row],[sel. region acc. fit]]+CIl</f>
        <v>51.453474779857395</v>
      </c>
      <c r="BA163" s="77">
        <f>MAX(Tabella34[[#This Row],[sel. region acc. fit]]-CIl,0)</f>
        <v>0</v>
      </c>
      <c r="BC163" s="10"/>
      <c r="BD163" s="10"/>
      <c r="BE163" s="77">
        <f>Tabella34[[#This Row],[rest of Italy rate data]]*NOT(ISBLANK(Tabella34[[#This Row],[rest of Italy rate data]]))</f>
        <v>0</v>
      </c>
      <c r="BF163" s="77">
        <f>Tabella8[[#This Row],[rest of Italy fit]]</f>
        <v>180436.34318821935</v>
      </c>
      <c r="BG163" s="78" t="e">
        <f>(ATANH(alpha*Tabella34[[#This Row],[rest of Italy cumul. fit]]/Ka-(1-alpha*Tabella34[[#This Row],[rest of Italy cumul. fit]]/Ka)*TANH(phi_a))+phi_a)/psi_a-(Tabella34[[#This Row],[Day]]-pa)</f>
        <v>#NUM!</v>
      </c>
      <c r="BH163" s="77">
        <f>Tabella34[[#This Row],[rest of Italy cumul. fit]]/Ka</f>
        <v>0.8352374354868275</v>
      </c>
      <c r="BI163" s="143">
        <f>Tabella3[[#This Row],[rest of Italy fit]]</f>
        <v>1479.0301117540259</v>
      </c>
      <c r="BJ163" s="183">
        <f>Tabella34[[#This Row],[rest of Italy velocity]]/Tabella34[[#This Row],[rest of Italy cumul. fit]]</f>
        <v>8.1969634588038558E-3</v>
      </c>
      <c r="BK163" s="236">
        <f>(LN(Tabella34[[#This Row],[Day]]-po)-phi_o)/psi_o</f>
        <v>130.54136023143948</v>
      </c>
      <c r="BL163" s="244">
        <f>EXP(phi_o+psi_o*Tabella34[[#This Row],[x_o_alpha©+plus]])-(Tabella34[[#This Row],[Day]]-po)</f>
        <v>-82.445848613911039</v>
      </c>
      <c r="BM163" s="244">
        <f>EXP(phi_o+psi_o*Tabella34[[#This Row],[x_o_alpha©-minus]])-(Tabella34[[#This Row],[Day]]-po)</f>
        <v>-83.101297704101299</v>
      </c>
      <c r="BN163" s="244">
        <f>-psi_o+SQRT(psi_o^2-2*Tabella34[[#This Row],[c_o]])</f>
        <v>3.7726480894784271</v>
      </c>
      <c r="BO163" s="244">
        <f>-psi_o-SQRT(psi_o^2-2*Tabella34[[#This Row],[c_o]])</f>
        <v>-3.8216751750480564</v>
      </c>
      <c r="BP163" s="244">
        <f>phi_o-LN(alpha*Ko/(Tabella34[[#This Row],[rest of Italy velocity]]*psi_o*SQRTPI(2)))</f>
        <v>-7.2089177738760926</v>
      </c>
      <c r="BQ163" s="244">
        <f>(ACOSH(SQRT(alpha*Ka*psi_a/(Tabella34[[#This Row],[rest of Italy velocity]]*(1+TANH(phi_a)))))+phi_a)/psi_a-(Tabella34[[#This Row],[Day]]-pa)</f>
        <v>17.950195936472184</v>
      </c>
      <c r="BR163" s="72">
        <f>-2*$BY$35*TANH($BY$35*(Tabella34[[#This Row],[Day]]-$BY$44)-$BY$34)*Tabella34[[#This Row],[rest of Italy velocity]]</f>
        <v>-50.404313242532893</v>
      </c>
      <c r="BS163" s="77">
        <f>Tabella34[[#This Row],[rest of Italy acc. fit]]/y_a_peak</f>
        <v>-1.7612854491705823E-2</v>
      </c>
      <c r="BT163" s="121">
        <f>Tabella34[[#This Row],[rest of Italy acc. fit]]*NOT(ISBLANK(Tabella34[[#This Row],[rest of Italy rate data]]))</f>
        <v>0</v>
      </c>
      <c r="BU163" s="189"/>
      <c r="BV163" s="122"/>
    </row>
    <row r="164" spans="2:74" x14ac:dyDescent="0.3">
      <c r="B164" s="262">
        <v>43987</v>
      </c>
      <c r="C164" s="4">
        <v>157</v>
      </c>
      <c r="E164" s="10"/>
      <c r="F164" s="10"/>
      <c r="G164" s="121">
        <f>Tabella34[[#This Row],[Italy rate data]]*NOT(ISBLANK(Tabella34[[#This Row],[Italy rate data]]))</f>
        <v>0</v>
      </c>
      <c r="H164" s="143">
        <f>Tabella8[[#This Row],[Italy fit]]</f>
        <v>190006.31027508716</v>
      </c>
      <c r="I164" s="143" t="e">
        <f>(ATANH(alpha*Tabella34[[#This Row],[Italy cumul. Fit]]/Kf-(1-alpha*Tabella34[[#This Row],[Italy cumul. Fit]]/Kf)*TANH(phi_f))+phi_f)/psi_f-(Tabella34[[#This Row],[Day]]-pf)</f>
        <v>#NUM!</v>
      </c>
      <c r="J164" s="143" t="e">
        <f>Tabella34[[#This Row],[Italy d.t.]]/Italy_dt_at_lockdown</f>
        <v>#NUM!</v>
      </c>
      <c r="K164" s="77">
        <f>Tabella34[[#This Row],[Italy cumul. Fit]]/Kf</f>
        <v>0.8444724901114985</v>
      </c>
      <c r="L164" s="146">
        <f>Tabella34[[#This Row],[sel. region acc. fit]]+Tabella34[[#This Row],[rest of Italy acc. fit]]</f>
        <v>-51.812233815263639</v>
      </c>
      <c r="M164" s="77">
        <f>Tabella34[[#This Row],[Italy (fit of selected region + fitted sum of the other regions)]]/(y_l_peak+y_a_peak)</f>
        <v>-1.7273102106400574E-2</v>
      </c>
      <c r="N164" s="143">
        <f>Tabella3[[#This Row],[Italy remov. rate fit]]</f>
        <v>1479.5936325262774</v>
      </c>
      <c r="O164" s="143">
        <f>Kt*EXP(-0.5*Tabella34[[#This Row],[x_t]]^2)/(psi_t*SQRTPI(2)*(Tabella34[[#This Row],[Day]]-D_bk))</f>
        <v>0</v>
      </c>
      <c r="P164" s="183">
        <f>Tabella34[[#This Row],[Italy velocity]]/Tabella34[[#This Row],[Italy cumul. Fit]]</f>
        <v>7.7870762838568499E-3</v>
      </c>
      <c r="Q164" s="244">
        <f>(LN(Tabella34[[#This Row],[Day]]-D_bk)-phi_t)/psi_t</f>
        <v>129.84186872684805</v>
      </c>
      <c r="R164" s="244">
        <f>EXP(phi_t+psi_t*Tabella34[[#This Row],[x_t_alpha©+plus]])-(Tabella34[[#This Row],[Day]]-D_bk)</f>
        <v>-83.281143113939521</v>
      </c>
      <c r="S164" s="244">
        <f>EXP(phi_t+psi_t*Tabella34[[#This Row],[x_t_alpha©-minus]])-(Tabella34[[#This Row],[Day]]-D_bk)</f>
        <v>-83.944985482070862</v>
      </c>
      <c r="T164" s="244">
        <f>-psi_t+SQRT(psi_t^2-2*Tabella34[[#This Row],[c_t]])</f>
        <v>3.7802666777320941</v>
      </c>
      <c r="U164" s="244">
        <f>-psi_t-SQRT(psi_t^2-2*Tabella34[[#This Row],[c_t]])</f>
        <v>-3.8296594121518992</v>
      </c>
      <c r="V164" s="244">
        <f>phi_t-LN(alpha*Kt/(Tabella34[[#This Row],[Italy velocity]]*psi_t*SQRTPI(2)))</f>
        <v>-7.2385669314104524</v>
      </c>
      <c r="W164" s="244">
        <f>Tabella34[[#This Row],[Italy g.r.]]/Italy_gr_at_lockdown</f>
        <v>8.785709778438509E-3</v>
      </c>
      <c r="X164" s="244">
        <f>(ACOSH(SQRT(alpha*Kf*psi_f/(Tabella34[[#This Row],[Italy velocity]]*(1+TANH(phi_f)))))+phi_f)/psi_f-(Tabella34[[#This Row],[Day]]-pf)</f>
        <v>17.564187710761772</v>
      </c>
      <c r="Y164" s="244">
        <f>Tabella34[[#This Row],[Italy h.t.]]/Italy_ht_at_lockdown</f>
        <v>0.15193459973100659</v>
      </c>
      <c r="Z164" s="72">
        <f>-2*$BY$48*TANH($BY$48*(Tabella34[[#This Row],[Day]]-$BY$57)-$BY$47)*Tabella34[[#This Row],[Italy velocity]]</f>
        <v>-52.03837247625551</v>
      </c>
      <c r="AA164" s="72">
        <f>Tabella34[[#This Row],[Italy acc. fit]]/Itali_acc_at_lockdown</f>
        <v>-1.441164105371717</v>
      </c>
      <c r="AB164" s="77">
        <f>Tabella34[[#This Row],[Italy acc. fit]]/y_f_peak</f>
        <v>-1.7337998369026983E-2</v>
      </c>
      <c r="AC164" s="143">
        <f>Tabella34[[#This Row],[Italy (fit of selected region + fitted sum of the other regions)]]*NOT(ISBLANK(Tabella34[[#This Row],[Italy rate data]]))</f>
        <v>0</v>
      </c>
      <c r="AD164" s="143">
        <f>Tabella34[[#This Row],[Italy acc. fit]]*NOT(ISBLANK(Tabella34[[#This Row],[Italy rate data]]))</f>
        <v>0</v>
      </c>
      <c r="AE164" s="77">
        <f>Tabella34[[#This Row],[Italy acc. fit]]+CIf</f>
        <v>1663.5764868582958</v>
      </c>
      <c r="AF164" s="77">
        <f>MAX(Tabella34[[#This Row],[Italy acc. fit]]-CIf,0)</f>
        <v>0</v>
      </c>
      <c r="AH164" s="10"/>
      <c r="AI164" s="10"/>
      <c r="AJ164" s="121">
        <f>Tabella34[[#This Row],[selected region rate data]]*NOT(ISBLANK(Tabella34[[#This Row],[selected region rate data]]))</f>
        <v>0</v>
      </c>
      <c r="AK164" s="77">
        <f>Tabella8[[#This Row],[region fit]]</f>
        <v>7992.5145964752137</v>
      </c>
      <c r="AL164" s="143" t="e">
        <f>(ATANH(alpha*Tabella34[[#This Row],[sel. region cumul. fit]]/Kl-(1-alpha*Tabella34[[#This Row],[sel. region cumul. fit]]/Kl)*TANH(phi_l))+phi_l)/psi_l-(Tabella34[[#This Row],[Day]]-pl)</f>
        <v>#NUM!</v>
      </c>
      <c r="AM164" s="77">
        <f>Tabella34[[#This Row],[sel. region cumul. fit]]/Kl</f>
        <v>0.89102726828040291</v>
      </c>
      <c r="AN164" s="143">
        <f>Tabella3[[#This Row],[region fit]]</f>
        <v>49.622554215526335</v>
      </c>
      <c r="AO164" s="186">
        <f>Tabella34[[#This Row],[sel. region velocity]]/Tabella34[[#This Row],[sel. region cumul. fit]]</f>
        <v>6.2086285381837683E-3</v>
      </c>
      <c r="AP164" s="241">
        <f>(LN(Tabella34[[#This Row],[Day]]-pr)-phi_r)/psi_r</f>
        <v>113.32565735929894</v>
      </c>
      <c r="AQ164" s="244">
        <f>EXP(phi_r+psi_r*Tabella34[[#This Row],[x_r_alpha©+plus]])-(Tabella34[[#This Row],[Day]]-pr)</f>
        <v>-78.035860157712975</v>
      </c>
      <c r="AR164" s="244">
        <f>EXP(phi_r+psi_r*Tabella34[[#This Row],[x_r_alpha©-minus]])-(Tabella34[[#This Row],[Day]]-pr)</f>
        <v>-78.759310991722487</v>
      </c>
      <c r="AS164" s="244">
        <f>-psi_r+SQRT(psi_r^2-2*Tabella34[[#This Row],[c_r]])</f>
        <v>3.8013011865355497</v>
      </c>
      <c r="AT164" s="244">
        <f>-psi_r-SQRT(psi_r^2-2*Tabella34[[#This Row],[c_r]])</f>
        <v>-3.8577094249542108</v>
      </c>
      <c r="AU164" s="244">
        <f>phi_r-LN(alpha*Kr/(Tabella34[[#This Row],[sel. region velocity]]*psi_r*SQRTPI(2)))</f>
        <v>-7.3321577071939066</v>
      </c>
      <c r="AV164" s="244">
        <f>(ACOSH(SQRT(alpha*Kl*psi_l/(Tabella34[[#This Row],[sel. region velocity]]*(1+TANH(phi_l)))))+phi_l)/psi_l-(Tabella34[[#This Row],[Day]]-pl)</f>
        <v>14.309020976295599</v>
      </c>
      <c r="AW164" s="72">
        <f>-2*$BY$22*TANH($BY$22*(Tabella34[[#This Row],[Day]]-$BY$31)-$BY$21)*Tabella34[[#This Row],[sel. region velocity]]</f>
        <v>-2.2391086082460463</v>
      </c>
      <c r="AX164" s="77">
        <f>Tabella34[[#This Row],[sel. region acc. fit]]/y_l_peak</f>
        <v>-1.6249059179248918E-2</v>
      </c>
      <c r="AY164" s="143">
        <f>Tabella34[[#This Row],[sel. region acc. fit]]*NOT(ISBLANK(Tabella34[[#This Row],[selected region rate data]]))</f>
        <v>0</v>
      </c>
      <c r="AZ164" s="77">
        <f>Tabella34[[#This Row],[sel. region acc. fit]]+CIl</f>
        <v>51.525731801302406</v>
      </c>
      <c r="BA164" s="77">
        <f>MAX(Tabella34[[#This Row],[sel. region acc. fit]]-CIl,0)</f>
        <v>0</v>
      </c>
      <c r="BC164" s="10"/>
      <c r="BD164" s="10"/>
      <c r="BE164" s="77">
        <f>Tabella34[[#This Row],[rest of Italy rate data]]*NOT(ISBLANK(Tabella34[[#This Row],[rest of Italy rate data]]))</f>
        <v>0</v>
      </c>
      <c r="BF164" s="77">
        <f>Tabella8[[#This Row],[rest of Italy fit]]</f>
        <v>181890.30703970249</v>
      </c>
      <c r="BG164" s="78" t="e">
        <f>(ATANH(alpha*Tabella34[[#This Row],[rest of Italy cumul. fit]]/Ka-(1-alpha*Tabella34[[#This Row],[rest of Italy cumul. fit]]/Ka)*TANH(phi_a))+phi_a)/psi_a-(Tabella34[[#This Row],[Day]]-pa)</f>
        <v>#NUM!</v>
      </c>
      <c r="BH164" s="77">
        <f>Tabella34[[#This Row],[rest of Italy cumul. fit]]/Ka</f>
        <v>0.84196781483915417</v>
      </c>
      <c r="BI164" s="143">
        <f>Tabella3[[#This Row],[rest of Italy fit]]</f>
        <v>1429.0361429554005</v>
      </c>
      <c r="BJ164" s="183">
        <f>Tabella34[[#This Row],[rest of Italy velocity]]/Tabella34[[#This Row],[rest of Italy cumul. fit]]</f>
        <v>7.8565821687434645E-3</v>
      </c>
      <c r="BK164" s="236">
        <f>(LN(Tabella34[[#This Row],[Day]]-po)-phi_o)/psi_o</f>
        <v>131.01131515486793</v>
      </c>
      <c r="BL164" s="244">
        <f>EXP(phi_o+psi_o*Tabella34[[#This Row],[x_o_alpha©+plus]])-(Tabella34[[#This Row],[Day]]-po)</f>
        <v>-83.444992944323104</v>
      </c>
      <c r="BM164" s="244">
        <f>EXP(phi_o+psi_o*Tabella34[[#This Row],[x_o_alpha©-minus]])-(Tabella34[[#This Row],[Day]]-po)</f>
        <v>-84.102007870148654</v>
      </c>
      <c r="BN164" s="244">
        <f>-psi_o+SQRT(psi_o^2-2*Tabella34[[#This Row],[c_o]])</f>
        <v>3.7816931207358899</v>
      </c>
      <c r="BO164" s="244">
        <f>-psi_o-SQRT(psi_o^2-2*Tabella34[[#This Row],[c_o]])</f>
        <v>-3.8307202063055192</v>
      </c>
      <c r="BP164" s="244">
        <f>phi_o-LN(alpha*Ko/(Tabella34[[#This Row],[rest of Italy velocity]]*psi_o*SQRTPI(2)))</f>
        <v>-7.2433041258247757</v>
      </c>
      <c r="BQ164" s="244">
        <f>(ACOSH(SQRT(alpha*Ka*psi_a/(Tabella34[[#This Row],[rest of Italy velocity]]*(1+TANH(phi_a)))))+phi_a)/psi_a-(Tabella34[[#This Row],[Day]]-pa)</f>
        <v>17.762254881546212</v>
      </c>
      <c r="BR164" s="72">
        <f>-2*$BY$35*TANH($BY$35*(Tabella34[[#This Row],[Day]]-$BY$44)-$BY$34)*Tabella34[[#This Row],[rest of Italy velocity]]</f>
        <v>-49.57312520701759</v>
      </c>
      <c r="BS164" s="77">
        <f>Tabella34[[#This Row],[rest of Italy acc. fit]]/y_a_peak</f>
        <v>-1.7322411214474052E-2</v>
      </c>
      <c r="BT164" s="121">
        <f>Tabella34[[#This Row],[rest of Italy acc. fit]]*NOT(ISBLANK(Tabella34[[#This Row],[rest of Italy rate data]]))</f>
        <v>0</v>
      </c>
      <c r="BU164" s="189"/>
      <c r="BV164" s="122"/>
    </row>
    <row r="165" spans="2:74" x14ac:dyDescent="0.3">
      <c r="B165" s="262">
        <v>43988</v>
      </c>
      <c r="C165" s="4">
        <v>158</v>
      </c>
      <c r="E165" s="10"/>
      <c r="F165" s="10"/>
      <c r="G165" s="121">
        <f>Tabella34[[#This Row],[Italy rate data]]*NOT(ISBLANK(Tabella34[[#This Row],[Italy rate data]]))</f>
        <v>0</v>
      </c>
      <c r="H165" s="143">
        <f>Tabella8[[#This Row],[Italy fit]]</f>
        <v>191460.04394103767</v>
      </c>
      <c r="I165" s="143" t="e">
        <f>(ATANH(alpha*Tabella34[[#This Row],[Italy cumul. Fit]]/Kf-(1-alpha*Tabella34[[#This Row],[Italy cumul. Fit]]/Kf)*TANH(phi_f))+phi_f)/psi_f-(Tabella34[[#This Row],[Day]]-pf)</f>
        <v>#NUM!</v>
      </c>
      <c r="J165" s="143" t="e">
        <f>Tabella34[[#This Row],[Italy d.t.]]/Italy_dt_at_lockdown</f>
        <v>#NUM!</v>
      </c>
      <c r="K165" s="77">
        <f>Tabella34[[#This Row],[Italy cumul. Fit]]/Kf</f>
        <v>0.85093352862683413</v>
      </c>
      <c r="L165" s="146">
        <f>Tabella34[[#This Row],[sel. region acc. fit]]+Tabella34[[#This Row],[rest of Italy acc. fit]]</f>
        <v>-50.848846630679255</v>
      </c>
      <c r="M165" s="77">
        <f>Tabella34[[#This Row],[Italy (fit of selected region + fitted sum of the other regions)]]/(y_l_peak+y_a_peak)</f>
        <v>-1.6951929209924884E-2</v>
      </c>
      <c r="N165" s="143">
        <f>Tabella3[[#This Row],[Italy remov. rate fit]]</f>
        <v>1428.035325171767</v>
      </c>
      <c r="O165" s="143">
        <f>Kt*EXP(-0.5*Tabella34[[#This Row],[x_t]]^2)/(psi_t*SQRTPI(2)*(Tabella34[[#This Row],[Day]]-D_bk))</f>
        <v>0</v>
      </c>
      <c r="P165" s="183">
        <f>Tabella34[[#This Row],[Italy velocity]]/Tabella34[[#This Row],[Italy cumul. Fit]]</f>
        <v>7.4586597588557277E-3</v>
      </c>
      <c r="Q165" s="244">
        <f>(LN(Tabella34[[#This Row],[Day]]-D_bk)-phi_t)/psi_t</f>
        <v>130.30381497987361</v>
      </c>
      <c r="R165" s="244">
        <f>EXP(phi_t+psi_t*Tabella34[[#This Row],[x_t_alpha©+plus]])-(Tabella34[[#This Row],[Day]]-D_bk)</f>
        <v>-84.280252151573748</v>
      </c>
      <c r="S165" s="244">
        <f>EXP(phi_t+psi_t*Tabella34[[#This Row],[x_t_alpha©-minus]])-(Tabella34[[#This Row],[Day]]-D_bk)</f>
        <v>-84.945723622975379</v>
      </c>
      <c r="T165" s="244">
        <f>-psi_t+SQRT(psi_t^2-2*Tabella34[[#This Row],[c_t]])</f>
        <v>3.7895767648605183</v>
      </c>
      <c r="U165" s="244">
        <f>-psi_t-SQRT(psi_t^2-2*Tabella34[[#This Row],[c_t]])</f>
        <v>-3.8389694992803234</v>
      </c>
      <c r="V165" s="244">
        <f>phi_t-LN(alpha*Kt/(Tabella34[[#This Row],[Italy velocity]]*psi_t*SQRTPI(2)))</f>
        <v>-7.274034807740466</v>
      </c>
      <c r="W165" s="244">
        <f>Tabella34[[#This Row],[Italy g.r.]]/Italy_gr_at_lockdown</f>
        <v>8.4151763240424438E-3</v>
      </c>
      <c r="X165" s="244">
        <f>(ACOSH(SQRT(alpha*Kf*psi_f/(Tabella34[[#This Row],[Italy velocity]]*(1+TANH(phi_f)))))+phi_f)/psi_f-(Tabella34[[#This Row],[Day]]-pf)</f>
        <v>17.389058844608684</v>
      </c>
      <c r="Y165" s="244">
        <f>Tabella34[[#This Row],[Italy h.t.]]/Italy_ht_at_lockdown</f>
        <v>0.1504196914062674</v>
      </c>
      <c r="Z165" s="72">
        <f>-2*$BY$48*TANH($BY$48*(Tabella34[[#This Row],[Day]]-$BY$57)-$BY$47)*Tabella34[[#This Row],[Italy velocity]]</f>
        <v>-51.068743597702927</v>
      </c>
      <c r="AA165" s="72">
        <f>Tabella34[[#This Row],[Italy acc. fit]]/Itali_acc_at_lockdown</f>
        <v>-1.414310953191767</v>
      </c>
      <c r="AB165" s="77">
        <f>Tabella34[[#This Row],[Italy acc. fit]]/y_f_peak</f>
        <v>-1.7014940150352348E-2</v>
      </c>
      <c r="AC165" s="143">
        <f>Tabella34[[#This Row],[Italy (fit of selected region + fitted sum of the other regions)]]*NOT(ISBLANK(Tabella34[[#This Row],[Italy rate data]]))</f>
        <v>0</v>
      </c>
      <c r="AD165" s="143">
        <f>Tabella34[[#This Row],[Italy acc. fit]]*NOT(ISBLANK(Tabella34[[#This Row],[Italy rate data]]))</f>
        <v>0</v>
      </c>
      <c r="AE165" s="77">
        <f>Tabella34[[#This Row],[Italy acc. fit]]+CIf</f>
        <v>1664.5461157368484</v>
      </c>
      <c r="AF165" s="77">
        <f>MAX(Tabella34[[#This Row],[Italy acc. fit]]-CIf,0)</f>
        <v>0</v>
      </c>
      <c r="AH165" s="10"/>
      <c r="AI165" s="10"/>
      <c r="AJ165" s="121">
        <f>Tabella34[[#This Row],[selected region rate data]]*NOT(ISBLANK(Tabella34[[#This Row],[selected region rate data]]))</f>
        <v>0</v>
      </c>
      <c r="AK165" s="77">
        <f>Tabella8[[#This Row],[region fit]]</f>
        <v>8041.0297181516726</v>
      </c>
      <c r="AL165" s="143" t="e">
        <f>(ATANH(alpha*Tabella34[[#This Row],[sel. region cumul. fit]]/Kl-(1-alpha*Tabella34[[#This Row],[sel. region cumul. fit]]/Kl)*TANH(phi_l))+phi_l)/psi_l-(Tabella34[[#This Row],[Day]]-pl)</f>
        <v>#NUM!</v>
      </c>
      <c r="AM165" s="77">
        <f>Tabella34[[#This Row],[sel. region cumul. fit]]/Kl</f>
        <v>0.89643586601467917</v>
      </c>
      <c r="AN165" s="143">
        <f>Tabella3[[#This Row],[region fit]]</f>
        <v>47.419828788784017</v>
      </c>
      <c r="AO165" s="186">
        <f>Tabella34[[#This Row],[sel. region velocity]]/Tabella34[[#This Row],[sel. region cumul. fit]]</f>
        <v>5.8972333707136247E-3</v>
      </c>
      <c r="AP165" s="241">
        <f>(LN(Tabella34[[#This Row],[Day]]-pr)-phi_r)/psi_r</f>
        <v>113.75668574190878</v>
      </c>
      <c r="AQ165" s="244">
        <f>EXP(phi_r+psi_r*Tabella34[[#This Row],[x_r_alpha©+plus]])-(Tabella34[[#This Row],[Day]]-pr)</f>
        <v>-79.034616611091408</v>
      </c>
      <c r="AR165" s="244">
        <f>EXP(phi_r+psi_r*Tabella34[[#This Row],[x_r_alpha©-minus]])-(Tabella34[[#This Row],[Day]]-pr)</f>
        <v>-79.760312610970132</v>
      </c>
      <c r="AS165" s="244">
        <f>-psi_r+SQRT(psi_r^2-2*Tabella34[[#This Row],[c_r]])</f>
        <v>3.8131395065873104</v>
      </c>
      <c r="AT165" s="244">
        <f>-psi_r-SQRT(psi_r^2-2*Tabella34[[#This Row],[c_r]])</f>
        <v>-3.8695477450059714</v>
      </c>
      <c r="AU165" s="244">
        <f>phi_r-LN(alpha*Kr/(Tabella34[[#This Row],[sel. region velocity]]*psi_r*SQRTPI(2)))</f>
        <v>-7.3775626895540549</v>
      </c>
      <c r="AV165" s="244">
        <f>(ACOSH(SQRT(alpha*Kl*psi_l/(Tabella34[[#This Row],[sel. region velocity]]*(1+TANH(phi_l)))))+phi_l)/psi_l-(Tabella34[[#This Row],[Day]]-pl)</f>
        <v>14.195780431594741</v>
      </c>
      <c r="AW165" s="72">
        <f>-2*$BY$22*TANH($BY$22*(Tabella34[[#This Row],[Day]]-$BY$31)-$BY$21)*Tabella34[[#This Row],[sel. region velocity]]</f>
        <v>-2.1662765189416278</v>
      </c>
      <c r="AX165" s="77">
        <f>Tabella34[[#This Row],[sel. region acc. fit]]/y_l_peak</f>
        <v>-1.5720521651012235E-2</v>
      </c>
      <c r="AY165" s="143">
        <f>Tabella34[[#This Row],[sel. region acc. fit]]*NOT(ISBLANK(Tabella34[[#This Row],[selected region rate data]]))</f>
        <v>0</v>
      </c>
      <c r="AZ165" s="77">
        <f>Tabella34[[#This Row],[sel. region acc. fit]]+CIl</f>
        <v>51.598563890606826</v>
      </c>
      <c r="BA165" s="77">
        <f>MAX(Tabella34[[#This Row],[sel. region acc. fit]]-CIl,0)</f>
        <v>0</v>
      </c>
      <c r="BC165" s="10"/>
      <c r="BD165" s="10"/>
      <c r="BE165" s="77">
        <f>Tabella34[[#This Row],[rest of Italy rate data]]*NOT(ISBLANK(Tabella34[[#This Row],[rest of Italy rate data]]))</f>
        <v>0</v>
      </c>
      <c r="BF165" s="77">
        <f>Tabella8[[#This Row],[rest of Italy fit]]</f>
        <v>183294.7027121846</v>
      </c>
      <c r="BG165" s="78" t="e">
        <f>(ATANH(alpha*Tabella34[[#This Row],[rest of Italy cumul. fit]]/Ka-(1-alpha*Tabella34[[#This Row],[rest of Italy cumul. fit]]/Ka)*TANH(phi_a))+phi_a)/psi_a-(Tabella34[[#This Row],[Day]]-pa)</f>
        <v>#NUM!</v>
      </c>
      <c r="BH165" s="77">
        <f>Tabella34[[#This Row],[rest of Italy cumul. fit]]/Ka</f>
        <v>0.84846874374940795</v>
      </c>
      <c r="BI165" s="143">
        <f>Tabella3[[#This Row],[rest of Italy fit]]</f>
        <v>1379.9036475631058</v>
      </c>
      <c r="BJ165" s="183">
        <f>Tabella34[[#This Row],[rest of Italy velocity]]/Tabella34[[#This Row],[rest of Italy cumul. fit]]</f>
        <v>7.5283334823367815E-3</v>
      </c>
      <c r="BK165" s="236">
        <f>(LN(Tabella34[[#This Row],[Day]]-po)-phi_o)/psi_o</f>
        <v>131.47591767785664</v>
      </c>
      <c r="BL165" s="244">
        <f>EXP(phi_o+psi_o*Tabella34[[#This Row],[x_o_alpha©+plus]])-(Tabella34[[#This Row],[Day]]-po)</f>
        <v>-84.444124228164995</v>
      </c>
      <c r="BM165" s="244">
        <f>EXP(phi_o+psi_o*Tabella34[[#This Row],[x_o_alpha©-minus]])-(Tabella34[[#This Row],[Day]]-po)</f>
        <v>-85.102728542188572</v>
      </c>
      <c r="BN165" s="244">
        <f>-psi_o+SQRT(psi_o^2-2*Tabella34[[#This Row],[c_o]])</f>
        <v>3.790874012287023</v>
      </c>
      <c r="BO165" s="244">
        <f>-psi_o-SQRT(psi_o^2-2*Tabella34[[#This Row],[c_o]])</f>
        <v>-3.8399010978566523</v>
      </c>
      <c r="BP165" s="244">
        <f>phi_o-LN(alpha*Ko/(Tabella34[[#This Row],[rest of Italy velocity]]*psi_o*SQRTPI(2)))</f>
        <v>-7.2782906408085966</v>
      </c>
      <c r="BQ165" s="244">
        <f>(ACOSH(SQRT(alpha*Ka*psi_a/(Tabella34[[#This Row],[rest of Italy velocity]]*(1+TANH(phi_a)))))+phi_a)/psi_a-(Tabella34[[#This Row],[Day]]-pa)</f>
        <v>17.583732757237613</v>
      </c>
      <c r="BR165" s="72">
        <f>-2*$BY$35*TANH($BY$35*(Tabella34[[#This Row],[Day]]-$BY$44)-$BY$34)*Tabella34[[#This Row],[rest of Italy velocity]]</f>
        <v>-48.682570111737625</v>
      </c>
      <c r="BS165" s="77">
        <f>Tabella34[[#This Row],[rest of Italy acc. fit]]/y_a_peak</f>
        <v>-1.7011223216840995E-2</v>
      </c>
      <c r="BT165" s="121">
        <f>Tabella34[[#This Row],[rest of Italy acc. fit]]*NOT(ISBLANK(Tabella34[[#This Row],[rest of Italy rate data]]))</f>
        <v>0</v>
      </c>
      <c r="BU165" s="189"/>
      <c r="BV165" s="122"/>
    </row>
    <row r="166" spans="2:74" x14ac:dyDescent="0.3">
      <c r="B166" s="262">
        <v>43989</v>
      </c>
      <c r="C166" s="4">
        <v>159</v>
      </c>
      <c r="E166" s="10"/>
      <c r="F166" s="10"/>
      <c r="G166" s="121">
        <f>Tabella34[[#This Row],[Italy rate data]]*NOT(ISBLANK(Tabella34[[#This Row],[Italy rate data]]))</f>
        <v>0</v>
      </c>
      <c r="H166" s="143">
        <f>Tabella8[[#This Row],[Italy fit]]</f>
        <v>192862.71330138325</v>
      </c>
      <c r="I166" s="143" t="e">
        <f>(ATANH(alpha*Tabella34[[#This Row],[Italy cumul. Fit]]/Kf-(1-alpha*Tabella34[[#This Row],[Italy cumul. Fit]]/Kf)*TANH(phi_f))+phi_f)/psi_f-(Tabella34[[#This Row],[Day]]-pf)</f>
        <v>#NUM!</v>
      </c>
      <c r="J166" s="143" t="e">
        <f>Tabella34[[#This Row],[Italy d.t.]]/Italy_dt_at_lockdown</f>
        <v>#NUM!</v>
      </c>
      <c r="K166" s="77">
        <f>Tabella34[[#This Row],[Italy cumul. Fit]]/Kf</f>
        <v>0.85716761467281444</v>
      </c>
      <c r="L166" s="146">
        <f>Tabella34[[#This Row],[sel. region acc. fit]]+Tabella34[[#This Row],[rest of Italy acc. fit]]</f>
        <v>-49.832957145467006</v>
      </c>
      <c r="M166" s="77">
        <f>Tabella34[[#This Row],[Italy (fit of selected region + fitted sum of the other regions)]]/(y_l_peak+y_a_peak)</f>
        <v>-1.6613253157673293E-2</v>
      </c>
      <c r="N166" s="143">
        <f>Tabella3[[#This Row],[Italy remov. rate fit]]</f>
        <v>1377.4738990626045</v>
      </c>
      <c r="O166" s="143">
        <f>Kt*EXP(-0.5*Tabella34[[#This Row],[x_t]]^2)/(psi_t*SQRTPI(2)*(Tabella34[[#This Row],[Day]]-D_bk))</f>
        <v>0</v>
      </c>
      <c r="P166" s="183">
        <f>Tabella34[[#This Row],[Italy velocity]]/Tabella34[[#This Row],[Italy cumul. Fit]]</f>
        <v>7.1422509591579251E-3</v>
      </c>
      <c r="Q166" s="244">
        <f>(LN(Tabella34[[#This Row],[Day]]-D_bk)-phi_t)/psi_t</f>
        <v>130.76055055746411</v>
      </c>
      <c r="R166" s="244">
        <f>EXP(phi_t+psi_t*Tabella34[[#This Row],[x_t_alpha©+plus]])-(Tabella34[[#This Row],[Day]]-D_bk)</f>
        <v>-85.279348622846157</v>
      </c>
      <c r="S166" s="244">
        <f>EXP(phi_t+psi_t*Tabella34[[#This Row],[x_t_alpha©-minus]])-(Tabella34[[#This Row],[Day]]-D_bk)</f>
        <v>-85.946471828279684</v>
      </c>
      <c r="T166" s="244">
        <f>-psi_t+SQRT(psi_t^2-2*Tabella34[[#This Row],[c_t]])</f>
        <v>3.7990159782280557</v>
      </c>
      <c r="U166" s="244">
        <f>-psi_t-SQRT(psi_t^2-2*Tabella34[[#This Row],[c_t]])</f>
        <v>-3.8484087126478608</v>
      </c>
      <c r="V166" s="244">
        <f>phi_t-LN(alpha*Kt/(Tabella34[[#This Row],[Italy velocity]]*psi_t*SQRTPI(2)))</f>
        <v>-7.3100830950506426</v>
      </c>
      <c r="W166" s="244">
        <f>Tabella34[[#This Row],[Italy g.r.]]/Italy_gr_at_lockdown</f>
        <v>8.0581904946815767E-3</v>
      </c>
      <c r="X166" s="244">
        <f>(ACOSH(SQRT(alpha*Kf*psi_f/(Tabella34[[#This Row],[Italy velocity]]*(1+TANH(phi_f)))))+phi_f)/psi_f-(Tabella34[[#This Row],[Day]]-pf)</f>
        <v>17.222762646472063</v>
      </c>
      <c r="Y166" s="244">
        <f>Tabella34[[#This Row],[Italy h.t.]]/Italy_ht_at_lockdown</f>
        <v>0.14898118786048745</v>
      </c>
      <c r="Z166" s="72">
        <f>-2*$BY$48*TANH($BY$48*(Tabella34[[#This Row],[Day]]-$BY$57)-$BY$47)*Tabella34[[#This Row],[Italy velocity]]</f>
        <v>-50.045842962384903</v>
      </c>
      <c r="AA166" s="72">
        <f>Tabella34[[#This Row],[Italy acc. fit]]/Itali_acc_at_lockdown</f>
        <v>-1.3859824792439144</v>
      </c>
      <c r="AB166" s="77">
        <f>Tabella34[[#This Row],[Italy acc. fit]]/y_f_peak</f>
        <v>-1.6674132997805201E-2</v>
      </c>
      <c r="AC166" s="143">
        <f>Tabella34[[#This Row],[Italy (fit of selected region + fitted sum of the other regions)]]*NOT(ISBLANK(Tabella34[[#This Row],[Italy rate data]]))</f>
        <v>0</v>
      </c>
      <c r="AD166" s="143">
        <f>Tabella34[[#This Row],[Italy acc. fit]]*NOT(ISBLANK(Tabella34[[#This Row],[Italy rate data]]))</f>
        <v>0</v>
      </c>
      <c r="AE166" s="77">
        <f>Tabella34[[#This Row],[Italy acc. fit]]+CIf</f>
        <v>1665.5690163721663</v>
      </c>
      <c r="AF166" s="77">
        <f>MAX(Tabella34[[#This Row],[Italy acc. fit]]-CIf,0)</f>
        <v>0</v>
      </c>
      <c r="AH166" s="10"/>
      <c r="AI166" s="10"/>
      <c r="AJ166" s="121">
        <f>Tabella34[[#This Row],[selected region rate data]]*NOT(ISBLANK(Tabella34[[#This Row],[selected region rate data]]))</f>
        <v>0</v>
      </c>
      <c r="AK166" s="77">
        <f>Tabella8[[#This Row],[region fit]]</f>
        <v>8087.3785819923987</v>
      </c>
      <c r="AL166" s="143" t="e">
        <f>(ATANH(alpha*Tabella34[[#This Row],[sel. region cumul. fit]]/Kl-(1-alpha*Tabella34[[#This Row],[sel. region cumul. fit]]/Kl)*TANH(phi_l))+phi_l)/psi_l-(Tabella34[[#This Row],[Day]]-pl)</f>
        <v>#NUM!</v>
      </c>
      <c r="AM166" s="77">
        <f>Tabella34[[#This Row],[sel. region cumul. fit]]/Kl</f>
        <v>0.90160296343282043</v>
      </c>
      <c r="AN166" s="143">
        <f>Tabella3[[#This Row],[region fit]]</f>
        <v>45.290076092872333</v>
      </c>
      <c r="AO166" s="186">
        <f>Tabella34[[#This Row],[sel. region velocity]]/Tabella34[[#This Row],[sel. region cumul. fit]]</f>
        <v>5.6000934831611053E-3</v>
      </c>
      <c r="AP166" s="241">
        <f>(LN(Tabella34[[#This Row],[Day]]-pr)-phi_r)/psi_r</f>
        <v>114.18253708222166</v>
      </c>
      <c r="AQ166" s="244">
        <f>EXP(phi_r+psi_r*Tabella34[[#This Row],[x_r_alpha©+plus]])-(Tabella34[[#This Row],[Day]]-pr)</f>
        <v>-80.033361537245284</v>
      </c>
      <c r="AR166" s="244">
        <f>EXP(phi_r+psi_r*Tabella34[[#This Row],[x_r_alpha©-minus]])-(Tabella34[[#This Row],[Day]]-pr)</f>
        <v>-80.761322837016266</v>
      </c>
      <c r="AS166" s="244">
        <f>-psi_r+SQRT(psi_r^2-2*Tabella34[[#This Row],[c_r]])</f>
        <v>3.8250835570836004</v>
      </c>
      <c r="AT166" s="244">
        <f>-psi_r-SQRT(psi_r^2-2*Tabella34[[#This Row],[c_r]])</f>
        <v>-3.8814917955022614</v>
      </c>
      <c r="AU166" s="244">
        <f>phi_r-LN(alpha*Kr/(Tabella34[[#This Row],[sel. region velocity]]*psi_r*SQRTPI(2)))</f>
        <v>-7.4235152219653004</v>
      </c>
      <c r="AV166" s="244">
        <f>(ACOSH(SQRT(alpha*Kl*psi_l/(Tabella34[[#This Row],[sel. region velocity]]*(1+TANH(phi_l)))))+phi_l)/psi_l-(Tabella34[[#This Row],[Day]]-pl)</f>
        <v>14.088983517878077</v>
      </c>
      <c r="AW166" s="72">
        <f>-2*$BY$22*TANH($BY$22*(Tabella34[[#This Row],[Day]]-$BY$31)-$BY$21)*Tabella34[[#This Row],[sel. region velocity]]</f>
        <v>-2.0932185896690498</v>
      </c>
      <c r="AX166" s="77">
        <f>Tabella34[[#This Row],[sel. region acc. fit]]/y_l_peak</f>
        <v>-1.5190345217456651E-2</v>
      </c>
      <c r="AY166" s="143">
        <f>Tabella34[[#This Row],[sel. region acc. fit]]*NOT(ISBLANK(Tabella34[[#This Row],[selected region rate data]]))</f>
        <v>0</v>
      </c>
      <c r="AZ166" s="77">
        <f>Tabella34[[#This Row],[sel. region acc. fit]]+CIl</f>
        <v>51.671621819879405</v>
      </c>
      <c r="BA166" s="77">
        <f>MAX(Tabella34[[#This Row],[sel. region acc. fit]]-CIl,0)</f>
        <v>0</v>
      </c>
      <c r="BC166" s="10"/>
      <c r="BD166" s="10"/>
      <c r="BE166" s="77">
        <f>Tabella34[[#This Row],[rest of Italy rate data]]*NOT(ISBLANK(Tabella34[[#This Row],[rest of Italy rate data]]))</f>
        <v>0</v>
      </c>
      <c r="BF166" s="77">
        <f>Tabella8[[#This Row],[rest of Italy fit]]</f>
        <v>184650.42016975416</v>
      </c>
      <c r="BG166" s="78" t="e">
        <f>(ATANH(alpha*Tabella34[[#This Row],[rest of Italy cumul. fit]]/Ka-(1-alpha*Tabella34[[#This Row],[rest of Italy cumul. fit]]/Ka)*TANH(phi_a))+phi_a)/psi_a-(Tabella34[[#This Row],[Day]]-pa)</f>
        <v>#NUM!</v>
      </c>
      <c r="BH166" s="77">
        <f>Tabella34[[#This Row],[rest of Italy cumul. fit]]/Ka</f>
        <v>0.85474434184953085</v>
      </c>
      <c r="BI166" s="143">
        <f>Tabella3[[#This Row],[rest of Italy fit]]</f>
        <v>1331.6884250920205</v>
      </c>
      <c r="BJ166" s="183">
        <f>Tabella34[[#This Row],[rest of Italy velocity]]/Tabella34[[#This Row],[rest of Italy cumul. fit]]</f>
        <v>7.2119436493443285E-3</v>
      </c>
      <c r="BK166" s="236">
        <f>(LN(Tabella34[[#This Row],[Day]]-po)-phi_o)/psi_o</f>
        <v>131.93528834764635</v>
      </c>
      <c r="BL166" s="244">
        <f>EXP(phi_o+psi_o*Tabella34[[#This Row],[x_o_alpha©+plus]])-(Tabella34[[#This Row],[Day]]-po)</f>
        <v>-85.443243059913556</v>
      </c>
      <c r="BM166" s="244">
        <f>EXP(phi_o+psi_o*Tabella34[[#This Row],[x_o_alpha©-minus]])-(Tabella34[[#This Row],[Day]]-po)</f>
        <v>-86.103459212993442</v>
      </c>
      <c r="BN166" s="244">
        <f>-psi_o+SQRT(psi_o^2-2*Tabella34[[#This Row],[c_o]])</f>
        <v>3.8001843914745463</v>
      </c>
      <c r="BO166" s="244">
        <f>-psi_o-SQRT(psi_o^2-2*Tabella34[[#This Row],[c_o]])</f>
        <v>-3.8492114770441757</v>
      </c>
      <c r="BP166" s="244">
        <f>phi_o-LN(alpha*Ko/(Tabella34[[#This Row],[rest of Italy velocity]]*psi_o*SQRTPI(2)))</f>
        <v>-7.3138566872739803</v>
      </c>
      <c r="BQ166" s="244">
        <f>(ACOSH(SQRT(alpha*Ka*psi_a/(Tabella34[[#This Row],[rest of Italy velocity]]*(1+TANH(phi_a)))))+phi_a)/psi_a-(Tabella34[[#This Row],[Day]]-pa)</f>
        <v>17.41415187309137</v>
      </c>
      <c r="BR166" s="72">
        <f>-2*$BY$35*TANH($BY$35*(Tabella34[[#This Row],[Day]]-$BY$44)-$BY$34)*Tabella34[[#This Row],[rest of Italy velocity]]</f>
        <v>-47.739738555797956</v>
      </c>
      <c r="BS166" s="77">
        <f>Tabella34[[#This Row],[rest of Italy acc. fit]]/y_a_peak</f>
        <v>-1.6681768177446842E-2</v>
      </c>
      <c r="BT166" s="121">
        <f>Tabella34[[#This Row],[rest of Italy acc. fit]]*NOT(ISBLANK(Tabella34[[#This Row],[rest of Italy rate data]]))</f>
        <v>0</v>
      </c>
      <c r="BU166" s="189"/>
      <c r="BV166" s="122"/>
    </row>
    <row r="167" spans="2:74" x14ac:dyDescent="0.3">
      <c r="B167" s="262">
        <v>43990</v>
      </c>
      <c r="C167" s="4">
        <v>160</v>
      </c>
      <c r="E167" s="10"/>
      <c r="F167" s="10"/>
      <c r="G167" s="121">
        <f>Tabella34[[#This Row],[Italy rate data]]*NOT(ISBLANK(Tabella34[[#This Row],[Italy rate data]]))</f>
        <v>0</v>
      </c>
      <c r="H167" s="143">
        <f>Tabella8[[#This Row],[Italy fit]]</f>
        <v>194215.34065375486</v>
      </c>
      <c r="I167" s="143" t="e">
        <f>(ATANH(alpha*Tabella34[[#This Row],[Italy cumul. Fit]]/Kf-(1-alpha*Tabella34[[#This Row],[Italy cumul. Fit]]/Kf)*TANH(phi_f))+phi_f)/psi_f-(Tabella34[[#This Row],[Day]]-pf)</f>
        <v>#NUM!</v>
      </c>
      <c r="J167" s="143" t="e">
        <f>Tabella34[[#This Row],[Italy d.t.]]/Italy_dt_at_lockdown</f>
        <v>#NUM!</v>
      </c>
      <c r="K167" s="77">
        <f>Tabella34[[#This Row],[Italy cumul. Fit]]/Kf</f>
        <v>0.86317929179446606</v>
      </c>
      <c r="L167" s="146">
        <f>Tabella34[[#This Row],[sel. region acc. fit]]+Tabella34[[#This Row],[rest of Italy acc. fit]]</f>
        <v>-48.771691665766028</v>
      </c>
      <c r="M167" s="77">
        <f>Tabella34[[#This Row],[Italy (fit of selected region + fitted sum of the other regions)]]/(y_l_peak+y_a_peak)</f>
        <v>-1.6259449709278586E-2</v>
      </c>
      <c r="N167" s="143">
        <f>Tabella3[[#This Row],[Italy remov. rate fit]]</f>
        <v>1327.9589810940645</v>
      </c>
      <c r="O167" s="143">
        <f>Kt*EXP(-0.5*Tabella34[[#This Row],[x_t]]^2)/(psi_t*SQRTPI(2)*(Tabella34[[#This Row],[Day]]-D_bk))</f>
        <v>0</v>
      </c>
      <c r="P167" s="183">
        <f>Tabella34[[#This Row],[Italy velocity]]/Tabella34[[#This Row],[Italy cumul. Fit]]</f>
        <v>6.8375596728043036E-3</v>
      </c>
      <c r="Q167" s="244">
        <f>(LN(Tabella34[[#This Row],[Day]]-D_bk)-phi_t)/psi_t</f>
        <v>131.2121917007297</v>
      </c>
      <c r="R167" s="244">
        <f>EXP(phi_t+psi_t*Tabella34[[#This Row],[x_t_alpha©+plus]])-(Tabella34[[#This Row],[Day]]-D_bk)</f>
        <v>-86.278433123671817</v>
      </c>
      <c r="S167" s="244">
        <f>EXP(phi_t+psi_t*Tabella34[[#This Row],[x_t_alpha©-minus]])-(Tabella34[[#This Row],[Day]]-D_bk)</f>
        <v>-86.947229590548247</v>
      </c>
      <c r="T167" s="244">
        <f>-psi_t+SQRT(psi_t^2-2*Tabella34[[#This Row],[c_t]])</f>
        <v>3.8085780036894681</v>
      </c>
      <c r="U167" s="244">
        <f>-psi_t-SQRT(psi_t^2-2*Tabella34[[#This Row],[c_t]])</f>
        <v>-3.8579707381092732</v>
      </c>
      <c r="V167" s="244">
        <f>phi_t-LN(alpha*Kt/(Tabella34[[#This Row],[Italy velocity]]*psi_t*SQRTPI(2)))</f>
        <v>-7.3466912460203</v>
      </c>
      <c r="W167" s="244">
        <f>Tabella34[[#This Row],[Italy g.r.]]/Italy_gr_at_lockdown</f>
        <v>7.714424860913293E-3</v>
      </c>
      <c r="X167" s="244">
        <f>(ACOSH(SQRT(alpha*Kf*psi_f/(Tabella34[[#This Row],[Italy velocity]]*(1+TANH(phi_f)))))+phi_f)/psi_f-(Tabella34[[#This Row],[Day]]-pf)</f>
        <v>17.064847083880167</v>
      </c>
      <c r="Y167" s="244">
        <f>Tabella34[[#This Row],[Italy h.t.]]/Italy_ht_at_lockdown</f>
        <v>0.1476151789001644</v>
      </c>
      <c r="Z167" s="72">
        <f>-2*$BY$48*TANH($BY$48*(Tabella34[[#This Row],[Day]]-$BY$57)-$BY$47)*Tabella34[[#This Row],[Italy velocity]]</f>
        <v>-48.976905426535872</v>
      </c>
      <c r="AA167" s="72">
        <f>Tabella34[[#This Row],[Italy acc. fit]]/Itali_acc_at_lockdown</f>
        <v>-1.3563790475022119</v>
      </c>
      <c r="AB167" s="77">
        <f>Tabella34[[#This Row],[Italy acc. fit]]/y_f_peak</f>
        <v>-1.6317987400407841E-2</v>
      </c>
      <c r="AC167" s="143">
        <f>Tabella34[[#This Row],[Italy (fit of selected region + fitted sum of the other regions)]]*NOT(ISBLANK(Tabella34[[#This Row],[Italy rate data]]))</f>
        <v>0</v>
      </c>
      <c r="AD167" s="143">
        <f>Tabella34[[#This Row],[Italy acc. fit]]*NOT(ISBLANK(Tabella34[[#This Row],[Italy rate data]]))</f>
        <v>0</v>
      </c>
      <c r="AE167" s="77">
        <f>Tabella34[[#This Row],[Italy acc. fit]]+CIf</f>
        <v>1666.6379539080153</v>
      </c>
      <c r="AF167" s="77">
        <f>MAX(Tabella34[[#This Row],[Italy acc. fit]]-CIf,0)</f>
        <v>0</v>
      </c>
      <c r="AH167" s="10"/>
      <c r="AI167" s="10"/>
      <c r="AJ167" s="121">
        <f>Tabella34[[#This Row],[selected region rate data]]*NOT(ISBLANK(Tabella34[[#This Row],[selected region rate data]]))</f>
        <v>0</v>
      </c>
      <c r="AK167" s="77">
        <f>Tabella8[[#This Row],[region fit]]</f>
        <v>8131.6342195618317</v>
      </c>
      <c r="AL167" s="143" t="e">
        <f>(ATANH(alpha*Tabella34[[#This Row],[sel. region cumul. fit]]/Kl-(1-alpha*Tabella34[[#This Row],[sel. region cumul. fit]]/Kl)*TANH(phi_l))+phi_l)/psi_l-(Tabella34[[#This Row],[Day]]-pl)</f>
        <v>#NUM!</v>
      </c>
      <c r="AM167" s="77">
        <f>Tabella34[[#This Row],[sel. region cumul. fit]]/Kl</f>
        <v>0.90653670229228889</v>
      </c>
      <c r="AN167" s="143">
        <f>Tabella3[[#This Row],[region fit]]</f>
        <v>43.233361059457479</v>
      </c>
      <c r="AO167" s="186">
        <f>Tabella34[[#This Row],[sel. region velocity]]/Tabella34[[#This Row],[sel. region cumul. fit]]</f>
        <v>5.3166878750464854E-3</v>
      </c>
      <c r="AP167" s="241">
        <f>(LN(Tabella34[[#This Row],[Day]]-pr)-phi_r)/psi_r</f>
        <v>114.60333426766633</v>
      </c>
      <c r="AQ167" s="244">
        <f>EXP(phi_r+psi_r*Tabella34[[#This Row],[x_r_alpha©+plus]])-(Tabella34[[#This Row],[Day]]-pr)</f>
        <v>-81.032095696635182</v>
      </c>
      <c r="AR167" s="244">
        <f>EXP(phi_r+psi_r*Tabella34[[#This Row],[x_r_alpha©-minus]])-(Tabella34[[#This Row],[Day]]-pr)</f>
        <v>-81.762341040311767</v>
      </c>
      <c r="AS167" s="244">
        <f>-psi_r+SQRT(psi_r^2-2*Tabella34[[#This Row],[c_r]])</f>
        <v>3.837125996540105</v>
      </c>
      <c r="AT167" s="244">
        <f>-psi_r-SQRT(psi_r^2-2*Tabella34[[#This Row],[c_r]])</f>
        <v>-3.893534234958766</v>
      </c>
      <c r="AU167" s="244">
        <f>phi_r-LN(alpha*Kr/(Tabella34[[#This Row],[sel. region velocity]]*psi_r*SQRTPI(2)))</f>
        <v>-7.4699907156895842</v>
      </c>
      <c r="AV167" s="244">
        <f>(ACOSH(SQRT(alpha*Kl*psi_l/(Tabella34[[#This Row],[sel. region velocity]]*(1+TANH(phi_l)))))+phi_l)/psi_l-(Tabella34[[#This Row],[Day]]-pl)</f>
        <v>13.988255666369085</v>
      </c>
      <c r="AW167" s="72">
        <f>-2*$BY$22*TANH($BY$22*(Tabella34[[#This Row],[Day]]-$BY$31)-$BY$21)*Tabella34[[#This Row],[sel. region velocity]]</f>
        <v>-2.0202512514125712</v>
      </c>
      <c r="AX167" s="77">
        <f>Tabella34[[#This Row],[sel. region acc. fit]]/y_l_peak</f>
        <v>-1.4660826196755574E-2</v>
      </c>
      <c r="AY167" s="143">
        <f>Tabella34[[#This Row],[sel. region acc. fit]]*NOT(ISBLANK(Tabella34[[#This Row],[selected region rate data]]))</f>
        <v>0</v>
      </c>
      <c r="AZ167" s="77">
        <f>Tabella34[[#This Row],[sel. region acc. fit]]+CIl</f>
        <v>51.744589158135881</v>
      </c>
      <c r="BA167" s="77">
        <f>MAX(Tabella34[[#This Row],[sel. region acc. fit]]-CIl,0)</f>
        <v>0</v>
      </c>
      <c r="BC167" s="10"/>
      <c r="BD167" s="10"/>
      <c r="BE167" s="77">
        <f>Tabella34[[#This Row],[rest of Italy rate data]]*NOT(ISBLANK(Tabella34[[#This Row],[rest of Italy rate data]]))</f>
        <v>0</v>
      </c>
      <c r="BF167" s="77">
        <f>Tabella8[[#This Row],[rest of Italy fit]]</f>
        <v>185958.40167637766</v>
      </c>
      <c r="BG167" s="78" t="e">
        <f>(ATANH(alpha*Tabella34[[#This Row],[rest of Italy cumul. fit]]/Ka-(1-alpha*Tabella34[[#This Row],[rest of Italy cumul. fit]]/Ka)*TANH(phi_a))+phi_a)/psi_a-(Tabella34[[#This Row],[Day]]-pa)</f>
        <v>#NUM!</v>
      </c>
      <c r="BH167" s="77">
        <f>Tabella34[[#This Row],[rest of Italy cumul. fit]]/Ka</f>
        <v>0.86079897086690582</v>
      </c>
      <c r="BI167" s="143">
        <f>Tabella3[[#This Row],[rest of Italy fit]]</f>
        <v>1284.4393225873632</v>
      </c>
      <c r="BJ167" s="183">
        <f>Tabella34[[#This Row],[rest of Italy velocity]]/Tabella34[[#This Row],[rest of Italy cumul. fit]]</f>
        <v>6.9071325146290814E-3</v>
      </c>
      <c r="BK167" s="236">
        <f>(LN(Tabella34[[#This Row],[Day]]-po)-phi_o)/psi_o</f>
        <v>132.38954368432215</v>
      </c>
      <c r="BL167" s="244">
        <f>EXP(phi_o+psi_o*Tabella34[[#This Row],[x_o_alpha©+plus]])-(Tabella34[[#This Row],[Day]]-po)</f>
        <v>-86.442350020389171</v>
      </c>
      <c r="BM167" s="244">
        <f>EXP(phi_o+psi_o*Tabella34[[#This Row],[x_o_alpha©-minus]])-(Tabella34[[#This Row],[Day]]-po)</f>
        <v>-87.104199387364659</v>
      </c>
      <c r="BN167" s="244">
        <f>-psi_o+SQRT(psi_o^2-2*Tabella34[[#This Row],[c_o]])</f>
        <v>3.8096180343858381</v>
      </c>
      <c r="BO167" s="244">
        <f>-psi_o-SQRT(psi_o^2-2*Tabella34[[#This Row],[c_o]])</f>
        <v>-3.8586451199554674</v>
      </c>
      <c r="BP167" s="244">
        <f>phi_o-LN(alpha*Ko/(Tabella34[[#This Row],[rest of Italy velocity]]*psi_o*SQRTPI(2)))</f>
        <v>-7.3499820186386264</v>
      </c>
      <c r="BQ167" s="244">
        <f>(ACOSH(SQRT(alpha*Ka*psi_a/(Tabella34[[#This Row],[rest of Italy velocity]]*(1+TANH(phi_a)))))+phi_a)/psi_a-(Tabella34[[#This Row],[Day]]-pa)</f>
        <v>17.253058130449361</v>
      </c>
      <c r="BR167" s="72">
        <f>-2*$BY$35*TANH($BY$35*(Tabella34[[#This Row],[Day]]-$BY$44)-$BY$34)*Tabella34[[#This Row],[rest of Italy velocity]]</f>
        <v>-46.751440414353453</v>
      </c>
      <c r="BS167" s="77">
        <f>Tabella34[[#This Row],[rest of Italy acc. fit]]/y_a_peak</f>
        <v>-1.6336425681142439E-2</v>
      </c>
      <c r="BT167" s="121">
        <f>Tabella34[[#This Row],[rest of Italy acc. fit]]*NOT(ISBLANK(Tabella34[[#This Row],[rest of Italy rate data]]))</f>
        <v>0</v>
      </c>
      <c r="BU167" s="189"/>
      <c r="BV167" s="122"/>
    </row>
    <row r="168" spans="2:74" x14ac:dyDescent="0.3">
      <c r="B168" s="262">
        <v>43991</v>
      </c>
      <c r="C168" s="4">
        <v>161</v>
      </c>
      <c r="E168" s="10"/>
      <c r="F168" s="10"/>
      <c r="G168" s="121">
        <f>Tabella34[[#This Row],[Italy rate data]]*NOT(ISBLANK(Tabella34[[#This Row],[Italy rate data]]))</f>
        <v>0</v>
      </c>
      <c r="H168" s="143">
        <f>Tabella8[[#This Row],[Italy fit]]</f>
        <v>195518.99436104883</v>
      </c>
      <c r="I168" s="143" t="e">
        <f>(ATANH(alpha*Tabella34[[#This Row],[Italy cumul. Fit]]/Kf-(1-alpha*Tabella34[[#This Row],[Italy cumul. Fit]]/Kf)*TANH(phi_f))+phi_f)/psi_f-(Tabella34[[#This Row],[Day]]-pf)</f>
        <v>#NUM!</v>
      </c>
      <c r="J168" s="143" t="e">
        <f>Tabella34[[#This Row],[Italy d.t.]]/Italy_dt_at_lockdown</f>
        <v>#NUM!</v>
      </c>
      <c r="K168" s="77">
        <f>Tabella34[[#This Row],[Italy cumul. Fit]]/Kf</f>
        <v>0.86897330827132813</v>
      </c>
      <c r="L168" s="146">
        <f>Tabella34[[#This Row],[sel. region acc. fit]]+Tabella34[[#This Row],[rest of Italy acc. fit]]</f>
        <v>-47.671840059263822</v>
      </c>
      <c r="M168" s="77">
        <f>Tabella34[[#This Row],[Italy (fit of selected region + fitted sum of the other regions)]]/(y_l_peak+y_a_peak)</f>
        <v>-1.589278246291476E-2</v>
      </c>
      <c r="N168" s="143">
        <f>Tabella3[[#This Row],[Italy remov. rate fit]]</f>
        <v>1279.5331315995413</v>
      </c>
      <c r="O168" s="143">
        <f>Kt*EXP(-0.5*Tabella34[[#This Row],[x_t]]^2)/(psi_t*SQRTPI(2)*(Tabella34[[#This Row],[Day]]-D_bk))</f>
        <v>0</v>
      </c>
      <c r="P168" s="183">
        <f>Tabella34[[#This Row],[Italy velocity]]/Tabella34[[#This Row],[Italy cumul. Fit]]</f>
        <v>6.5442906750877248E-3</v>
      </c>
      <c r="Q168" s="244">
        <f>(LN(Tabella34[[#This Row],[Day]]-D_bk)-phi_t)/psi_t</f>
        <v>131.65885080394347</v>
      </c>
      <c r="R168" s="244">
        <f>EXP(phi_t+psi_t*Tabella34[[#This Row],[x_t_alpha©+plus]])-(Tabella34[[#This Row],[Day]]-D_bk)</f>
        <v>-87.2775062349763</v>
      </c>
      <c r="S168" s="244">
        <f>EXP(phi_t+psi_t*Tabella34[[#This Row],[x_t_alpha©-minus]])-(Tabella34[[#This Row],[Day]]-D_bk)</f>
        <v>-87.947996415505173</v>
      </c>
      <c r="T168" s="244">
        <f>-psi_t+SQRT(psi_t^2-2*Tabella34[[#This Row],[c_t]])</f>
        <v>3.8182566883670983</v>
      </c>
      <c r="U168" s="244">
        <f>-psi_t-SQRT(psi_t^2-2*Tabella34[[#This Row],[c_t]])</f>
        <v>-3.8676494227869034</v>
      </c>
      <c r="V168" s="244">
        <f>phi_t-LN(alpha*Kt/(Tabella34[[#This Row],[Italy velocity]]*psi_t*SQRTPI(2)))</f>
        <v>-7.3838391384076205</v>
      </c>
      <c r="W168" s="244">
        <f>Tabella34[[#This Row],[Italy g.r.]]/Italy_gr_at_lockdown</f>
        <v>7.3835463377000523E-3</v>
      </c>
      <c r="X168" s="244">
        <f>(ACOSH(SQRT(alpha*Kf*psi_f/(Tabella34[[#This Row],[Italy velocity]]*(1+TANH(phi_f)))))+phi_f)/psi_f-(Tabella34[[#This Row],[Day]]-pf)</f>
        <v>16.914882898382359</v>
      </c>
      <c r="Y168" s="244">
        <f>Tabella34[[#This Row],[Italy h.t.]]/Italy_ht_at_lockdown</f>
        <v>0.1463179513327526</v>
      </c>
      <c r="Z168" s="72">
        <f>-2*$BY$48*TANH($BY$48*(Tabella34[[#This Row],[Day]]-$BY$57)-$BY$47)*Tabella34[[#This Row],[Italy velocity]]</f>
        <v>-47.868825756831804</v>
      </c>
      <c r="AA168" s="72">
        <f>Tabella34[[#This Row],[Italy acc. fit]]/Itali_acc_at_lockdown</f>
        <v>-1.325691603412789</v>
      </c>
      <c r="AB168" s="77">
        <f>Tabella34[[#This Row],[Italy acc. fit]]/y_f_peak</f>
        <v>-1.5948800537101401E-2</v>
      </c>
      <c r="AC168" s="143">
        <f>Tabella34[[#This Row],[Italy (fit of selected region + fitted sum of the other regions)]]*NOT(ISBLANK(Tabella34[[#This Row],[Italy rate data]]))</f>
        <v>0</v>
      </c>
      <c r="AD168" s="143">
        <f>Tabella34[[#This Row],[Italy acc. fit]]*NOT(ISBLANK(Tabella34[[#This Row],[Italy rate data]]))</f>
        <v>0</v>
      </c>
      <c r="AE168" s="77">
        <f>Tabella34[[#This Row],[Italy acc. fit]]+CIf</f>
        <v>1667.7460335777196</v>
      </c>
      <c r="AF168" s="77">
        <f>MAX(Tabella34[[#This Row],[Italy acc. fit]]-CIf,0)</f>
        <v>0</v>
      </c>
      <c r="AH168" s="10"/>
      <c r="AI168" s="10"/>
      <c r="AJ168" s="121">
        <f>Tabella34[[#This Row],[selected region rate data]]*NOT(ISBLANK(Tabella34[[#This Row],[selected region rate data]]))</f>
        <v>0</v>
      </c>
      <c r="AK168" s="77">
        <f>Tabella8[[#This Row],[region fit]]</f>
        <v>8173.8695744795514</v>
      </c>
      <c r="AL168" s="143" t="e">
        <f>(ATANH(alpha*Tabella34[[#This Row],[sel. region cumul. fit]]/Kl-(1-alpha*Tabella34[[#This Row],[sel. region cumul. fit]]/Kl)*TANH(phi_l))+phi_l)/psi_l-(Tabella34[[#This Row],[Day]]-pl)</f>
        <v>#NUM!</v>
      </c>
      <c r="AM168" s="77">
        <f>Tabella34[[#This Row],[sel. region cumul. fit]]/Kl</f>
        <v>0.91124521454621532</v>
      </c>
      <c r="AN168" s="143">
        <f>Tabella3[[#This Row],[region fit]]</f>
        <v>41.24944815827682</v>
      </c>
      <c r="AO168" s="186">
        <f>Tabella34[[#This Row],[sel. region velocity]]/Tabella34[[#This Row],[sel. region cumul. fit]]</f>
        <v>5.0465018780169691E-3</v>
      </c>
      <c r="AP168" s="241">
        <f>(LN(Tabella34[[#This Row],[Day]]-pr)-phi_r)/psi_r</f>
        <v>115.01919586147568</v>
      </c>
      <c r="AQ168" s="244">
        <f>EXP(phi_r+psi_r*Tabella34[[#This Row],[x_r_alpha©+plus]])-(Tabella34[[#This Row],[Day]]-pr)</f>
        <v>-82.030819819045149</v>
      </c>
      <c r="AR168" s="244">
        <f>EXP(phi_r+psi_r*Tabella34[[#This Row],[x_r_alpha©-minus]])-(Tabella34[[#This Row],[Day]]-pr)</f>
        <v>-82.763366617497582</v>
      </c>
      <c r="AS168" s="244">
        <f>-psi_r+SQRT(psi_r^2-2*Tabella34[[#This Row],[c_r]])</f>
        <v>3.8492597841990319</v>
      </c>
      <c r="AT168" s="244">
        <f>-psi_r-SQRT(psi_r^2-2*Tabella34[[#This Row],[c_r]])</f>
        <v>-3.905668022617693</v>
      </c>
      <c r="AU168" s="244">
        <f>phi_r-LN(alpha*Kr/(Tabella34[[#This Row],[sel. region velocity]]*psi_r*SQRTPI(2)))</f>
        <v>-7.5169654249472204</v>
      </c>
      <c r="AV168" s="244">
        <f>(ACOSH(SQRT(alpha*Kl*psi_l/(Tabella34[[#This Row],[sel. region velocity]]*(1+TANH(phi_l)))))+phi_l)/psi_l-(Tabella34[[#This Row],[Day]]-pl)</f>
        <v>13.893244519277957</v>
      </c>
      <c r="AW168" s="72">
        <f>-2*$BY$22*TANH($BY$22*(Tabella34[[#This Row],[Day]]-$BY$31)-$BY$21)*Tabella34[[#This Row],[sel. region velocity]]</f>
        <v>-1.9476591919216502</v>
      </c>
      <c r="AX168" s="77">
        <f>Tabella34[[#This Row],[sel. region acc. fit]]/y_l_peak</f>
        <v>-1.4134030548582211E-2</v>
      </c>
      <c r="AY168" s="143">
        <f>Tabella34[[#This Row],[sel. region acc. fit]]*NOT(ISBLANK(Tabella34[[#This Row],[selected region rate data]]))</f>
        <v>0</v>
      </c>
      <c r="AZ168" s="77">
        <f>Tabella34[[#This Row],[sel. region acc. fit]]+CIl</f>
        <v>51.817181217626803</v>
      </c>
      <c r="BA168" s="77">
        <f>MAX(Tabella34[[#This Row],[sel. region acc. fit]]-CIl,0)</f>
        <v>0</v>
      </c>
      <c r="BC168" s="10"/>
      <c r="BD168" s="10"/>
      <c r="BE168" s="77">
        <f>Tabella34[[#This Row],[rest of Italy rate data]]*NOT(ISBLANK(Tabella34[[#This Row],[rest of Italy rate data]]))</f>
        <v>0</v>
      </c>
      <c r="BF168" s="77">
        <f>Tabella8[[#This Row],[rest of Italy fit]]</f>
        <v>187219.63498802108</v>
      </c>
      <c r="BG168" s="78" t="e">
        <f>(ATANH(alpha*Tabella34[[#This Row],[rest of Italy cumul. fit]]/Ka-(1-alpha*Tabella34[[#This Row],[rest of Italy cumul. fit]]/Ka)*TANH(phi_a))+phi_a)/psi_a-(Tabella34[[#This Row],[Day]]-pa)</f>
        <v>#NUM!</v>
      </c>
      <c r="BH168" s="77">
        <f>Tabella34[[#This Row],[rest of Italy cumul. fit]]/Ka</f>
        <v>0.86663720311077663</v>
      </c>
      <c r="BI168" s="143">
        <f>Tabella3[[#This Row],[rest of Italy fit]]</f>
        <v>1238.1985278000059</v>
      </c>
      <c r="BJ168" s="183">
        <f>Tabella34[[#This Row],[rest of Italy velocity]]/Tabella34[[#This Row],[rest of Italy cumul. fit]]</f>
        <v>6.6136146877929219E-3</v>
      </c>
      <c r="BK168" s="236">
        <f>(LN(Tabella34[[#This Row],[Day]]-po)-phi_o)/psi_o</f>
        <v>132.83879635822137</v>
      </c>
      <c r="BL168" s="244">
        <f>EXP(phi_o+psi_o*Tabella34[[#This Row],[x_o_alpha©+plus]])-(Tabella34[[#This Row],[Day]]-po)</f>
        <v>-87.441445676229193</v>
      </c>
      <c r="BM168" s="244">
        <f>EXP(phi_o+psi_o*Tabella34[[#This Row],[x_o_alpha©-minus]])-(Tabella34[[#This Row],[Day]]-po)</f>
        <v>-88.104948582572447</v>
      </c>
      <c r="BN168" s="244">
        <f>-psi_o+SQRT(psi_o^2-2*Tabella34[[#This Row],[c_o]])</f>
        <v>3.8191688714386447</v>
      </c>
      <c r="BO168" s="244">
        <f>-psi_o-SQRT(psi_o^2-2*Tabella34[[#This Row],[c_o]])</f>
        <v>-3.868195957008274</v>
      </c>
      <c r="BP168" s="244">
        <f>phi_o-LN(alpha*Ko/(Tabella34[[#This Row],[rest of Italy velocity]]*psi_o*SQRTPI(2)))</f>
        <v>-7.3866467938154097</v>
      </c>
      <c r="BQ168" s="244">
        <f>(ACOSH(SQRT(alpha*Ka*psi_a/(Tabella34[[#This Row],[rest of Italy velocity]]*(1+TANH(phi_a)))))+phi_a)/psi_a-(Tabella34[[#This Row],[Day]]-pa)</f>
        <v>17.100020070292118</v>
      </c>
      <c r="BR168" s="72">
        <f>-2*$BY$35*TANH($BY$35*(Tabella34[[#This Row],[Day]]-$BY$44)-$BY$34)*Tabella34[[#This Row],[rest of Italy velocity]]</f>
        <v>-45.72418086734217</v>
      </c>
      <c r="BS168" s="77">
        <f>Tabella34[[#This Row],[rest of Italy acc. fit]]/y_a_peak</f>
        <v>-1.5977468842673745E-2</v>
      </c>
      <c r="BT168" s="121">
        <f>Tabella34[[#This Row],[rest of Italy acc. fit]]*NOT(ISBLANK(Tabella34[[#This Row],[rest of Italy rate data]]))</f>
        <v>0</v>
      </c>
      <c r="BU168" s="189"/>
      <c r="BV168" s="122"/>
    </row>
    <row r="169" spans="2:74" x14ac:dyDescent="0.3">
      <c r="B169" s="262">
        <v>43992</v>
      </c>
      <c r="C169" s="4">
        <v>162</v>
      </c>
      <c r="E169" s="10"/>
      <c r="F169" s="10"/>
      <c r="G169" s="121">
        <f>Tabella34[[#This Row],[Italy rate data]]*NOT(ISBLANK(Tabella34[[#This Row],[Italy rate data]]))</f>
        <v>0</v>
      </c>
      <c r="H169" s="143">
        <f>Tabella8[[#This Row],[Italy fit]]</f>
        <v>196774.78195817431</v>
      </c>
      <c r="I169" s="143" t="e">
        <f>(ATANH(alpha*Tabella34[[#This Row],[Italy cumul. Fit]]/Kf-(1-alpha*Tabella34[[#This Row],[Italy cumul. Fit]]/Kf)*TANH(phi_f))+phi_f)/psi_f-(Tabella34[[#This Row],[Day]]-pf)</f>
        <v>#NUM!</v>
      </c>
      <c r="J169" s="143" t="e">
        <f>Tabella34[[#This Row],[Italy d.t.]]/Italy_dt_at_lockdown</f>
        <v>#NUM!</v>
      </c>
      <c r="K169" s="77">
        <f>Tabella34[[#This Row],[Italy cumul. Fit]]/Kf</f>
        <v>0.87455458648077466</v>
      </c>
      <c r="L169" s="146">
        <f>Tabella34[[#This Row],[sel. region acc. fit]]+Tabella34[[#This Row],[rest of Italy acc. fit]]</f>
        <v>-46.539838446909805</v>
      </c>
      <c r="M169" s="77">
        <f>Tabella34[[#This Row],[Italy (fit of selected region + fitted sum of the other regions)]]/(y_l_peak+y_a_peak)</f>
        <v>-1.5515397085080681E-2</v>
      </c>
      <c r="N169" s="143">
        <f>Tabella3[[#This Row],[Italy remov. rate fit]]</f>
        <v>1232.2321939991425</v>
      </c>
      <c r="O169" s="143">
        <f>Kt*EXP(-0.5*Tabella34[[#This Row],[x_t]]^2)/(psi_t*SQRTPI(2)*(Tabella34[[#This Row],[Day]]-D_bk))</f>
        <v>0</v>
      </c>
      <c r="P169" s="183">
        <f>Tabella34[[#This Row],[Italy velocity]]/Tabella34[[#This Row],[Italy cumul. Fit]]</f>
        <v>6.2621448832862183E-3</v>
      </c>
      <c r="Q169" s="244">
        <f>(LN(Tabella34[[#This Row],[Day]]-D_bk)-phi_t)/psi_t</f>
        <v>132.10063658243217</v>
      </c>
      <c r="R169" s="244">
        <f>EXP(phi_t+psi_t*Tabella34[[#This Row],[x_t_alpha©+plus]])-(Tabella34[[#This Row],[Day]]-D_bk)</f>
        <v>-88.276568522273138</v>
      </c>
      <c r="S169" s="244">
        <f>EXP(phi_t+psi_t*Tabella34[[#This Row],[x_t_alpha©-minus]])-(Tabella34[[#This Row],[Day]]-D_bk)</f>
        <v>-88.948771822382255</v>
      </c>
      <c r="T169" s="244">
        <f>-psi_t+SQRT(psi_t^2-2*Tabella34[[#This Row],[c_t]])</f>
        <v>3.8280460450557863</v>
      </c>
      <c r="U169" s="244">
        <f>-psi_t-SQRT(psi_t^2-2*Tabella34[[#This Row],[c_t]])</f>
        <v>-3.8774387794755913</v>
      </c>
      <c r="V169" s="244">
        <f>phi_t-LN(alpha*Kt/(Tabella34[[#This Row],[Italy velocity]]*psi_t*SQRTPI(2)))</f>
        <v>-7.4215070923587367</v>
      </c>
      <c r="W169" s="244">
        <f>Tabella34[[#This Row],[Italy g.r.]]/Italy_gr_at_lockdown</f>
        <v>7.0652174872283292E-3</v>
      </c>
      <c r="X169" s="244">
        <f>(ACOSH(SQRT(alpha*Kf*psi_f/(Tabella34[[#This Row],[Italy velocity]]*(1+TANH(phi_f)))))+phi_f)/psi_f-(Tabella34[[#This Row],[Day]]-pf)</f>
        <v>16.772462622249932</v>
      </c>
      <c r="Y169" s="244">
        <f>Tabella34[[#This Row],[Italy h.t.]]/Italy_ht_at_lockdown</f>
        <v>0.14508598046088009</v>
      </c>
      <c r="Z169" s="72">
        <f>-2*$BY$48*TANH($BY$48*(Tabella34[[#This Row],[Day]]-$BY$57)-$BY$47)*Tabella34[[#This Row],[Italy velocity]]</f>
        <v>-46.728140440444463</v>
      </c>
      <c r="AA169" s="72">
        <f>Tabella34[[#This Row],[Italy acc. fit]]/Itali_acc_at_lockdown</f>
        <v>-1.2941011701368037</v>
      </c>
      <c r="AB169" s="77">
        <f>Tabella34[[#This Row],[Italy acc. fit]]/y_f_peak</f>
        <v>-1.5568750216270924E-2</v>
      </c>
      <c r="AC169" s="143">
        <f>Tabella34[[#This Row],[Italy (fit of selected region + fitted sum of the other regions)]]*NOT(ISBLANK(Tabella34[[#This Row],[Italy rate data]]))</f>
        <v>0</v>
      </c>
      <c r="AD169" s="143">
        <f>Tabella34[[#This Row],[Italy acc. fit]]*NOT(ISBLANK(Tabella34[[#This Row],[Italy rate data]]))</f>
        <v>0</v>
      </c>
      <c r="AE169" s="77">
        <f>Tabella34[[#This Row],[Italy acc. fit]]+CIf</f>
        <v>1668.8867188941067</v>
      </c>
      <c r="AF169" s="77">
        <f>MAX(Tabella34[[#This Row],[Italy acc. fit]]-CIf,0)</f>
        <v>0</v>
      </c>
      <c r="AH169" s="10"/>
      <c r="AI169" s="10"/>
      <c r="AJ169" s="121">
        <f>Tabella34[[#This Row],[selected region rate data]]*NOT(ISBLANK(Tabella34[[#This Row],[selected region rate data]]))</f>
        <v>0</v>
      </c>
      <c r="AK169" s="77">
        <f>Tabella8[[#This Row],[region fit]]</f>
        <v>8214.157217626791</v>
      </c>
      <c r="AL169" s="143" t="e">
        <f>(ATANH(alpha*Tabella34[[#This Row],[sel. region cumul. fit]]/Kl-(1-alpha*Tabella34[[#This Row],[sel. region cumul. fit]]/Kl)*TANH(phi_l))+phi_l)/psi_l-(Tabella34[[#This Row],[Day]]-pl)</f>
        <v>#NUM!</v>
      </c>
      <c r="AM169" s="77">
        <f>Tabella34[[#This Row],[sel. region cumul. fit]]/Kl</f>
        <v>0.91573659059384516</v>
      </c>
      <c r="AN169" s="143">
        <f>Tabella3[[#This Row],[region fit]]</f>
        <v>39.337832522833985</v>
      </c>
      <c r="AO169" s="186">
        <f>Tabella34[[#This Row],[sel. region velocity]]/Tabella34[[#This Row],[sel. region cumul. fit]]</f>
        <v>4.7890284396333175E-3</v>
      </c>
      <c r="AP169" s="241">
        <f>(LN(Tabella34[[#This Row],[Day]]-pr)-phi_r)/psi_r</f>
        <v>115.430236303218</v>
      </c>
      <c r="AQ169" s="244">
        <f>EXP(phi_r+psi_r*Tabella34[[#This Row],[x_r_alpha©+plus]])-(Tabella34[[#This Row],[Day]]-pr)</f>
        <v>-83.029534603931197</v>
      </c>
      <c r="AR169" s="244">
        <f>EXP(phi_r+psi_r*Tabella34[[#This Row],[x_r_alpha©-minus]])-(Tabella34[[#This Row],[Day]]-pr)</f>
        <v>-83.76439899107055</v>
      </c>
      <c r="AS169" s="244">
        <f>-psi_r+SQRT(psi_r^2-2*Tabella34[[#This Row],[c_r]])</f>
        <v>3.8614781764024184</v>
      </c>
      <c r="AT169" s="244">
        <f>-psi_r-SQRT(psi_r^2-2*Tabella34[[#This Row],[c_r]])</f>
        <v>-3.9178864148210795</v>
      </c>
      <c r="AU169" s="244">
        <f>phi_r-LN(alpha*Kr/(Tabella34[[#This Row],[sel. region velocity]]*psi_r*SQRTPI(2)))</f>
        <v>-7.5644164442275548</v>
      </c>
      <c r="AV169" s="244">
        <f>(ACOSH(SQRT(alpha*Kl*psi_l/(Tabella34[[#This Row],[sel. region velocity]]*(1+TANH(phi_l)))))+phi_l)/psi_l-(Tabella34[[#This Row],[Day]]-pl)</f>
        <v>13.803618628470133</v>
      </c>
      <c r="AW169" s="72">
        <f>-2*$BY$22*TANH($BY$22*(Tabella34[[#This Row],[Day]]-$BY$31)-$BY$21)*Tabella34[[#This Row],[sel. region velocity]]</f>
        <v>-1.875696622101668</v>
      </c>
      <c r="AX169" s="77">
        <f>Tabella34[[#This Row],[sel. region acc. fit]]/y_l_peak</f>
        <v>-1.3611803064221063E-2</v>
      </c>
      <c r="AY169" s="143">
        <f>Tabella34[[#This Row],[sel. region acc. fit]]*NOT(ISBLANK(Tabella34[[#This Row],[selected region rate data]]))</f>
        <v>0</v>
      </c>
      <c r="AZ169" s="77">
        <f>Tabella34[[#This Row],[sel. region acc. fit]]+CIl</f>
        <v>51.889143787446784</v>
      </c>
      <c r="BA169" s="77">
        <f>MAX(Tabella34[[#This Row],[sel. region acc. fit]]-CIl,0)</f>
        <v>0</v>
      </c>
      <c r="BC169" s="10"/>
      <c r="BD169" s="10"/>
      <c r="BE169" s="77">
        <f>Tabella34[[#This Row],[rest of Italy rate data]]*NOT(ISBLANK(Tabella34[[#This Row],[rest of Italy rate data]]))</f>
        <v>0</v>
      </c>
      <c r="BF169" s="77">
        <f>Tabella8[[#This Row],[rest of Italy fit]]</f>
        <v>188435.14684901596</v>
      </c>
      <c r="BG169" s="78" t="e">
        <f>(ATANH(alpha*Tabella34[[#This Row],[rest of Italy cumul. fit]]/Ka-(1-alpha*Tabella34[[#This Row],[rest of Italy cumul. fit]]/Ka)*TANH(phi_a))+phi_a)/psi_a-(Tabella34[[#This Row],[Day]]-pa)</f>
        <v>#NUM!</v>
      </c>
      <c r="BH169" s="77">
        <f>Tabella34[[#This Row],[rest of Italy cumul. fit]]/Ka</f>
        <v>0.87226379136701371</v>
      </c>
      <c r="BI169" s="143">
        <f>Tabella3[[#This Row],[rest of Italy fit]]</f>
        <v>1193.0018836023471</v>
      </c>
      <c r="BJ169" s="183">
        <f>Tabella34[[#This Row],[rest of Italy velocity]]/Tabella34[[#This Row],[rest of Italy cumul. fit]]</f>
        <v>6.3311006654095279E-3</v>
      </c>
      <c r="BK169" s="236">
        <f>(LN(Tabella34[[#This Row],[Day]]-po)-phi_o)/psi_o</f>
        <v>133.28315535767894</v>
      </c>
      <c r="BL169" s="244">
        <f>EXP(phi_o+psi_o*Tabella34[[#This Row],[x_o_alpha©+plus]])-(Tabella34[[#This Row],[Day]]-po)</f>
        <v>-88.440530579451845</v>
      </c>
      <c r="BM169" s="244">
        <f>EXP(phi_o+psi_o*Tabella34[[#This Row],[x_o_alpha©-minus]])-(Tabella34[[#This Row],[Day]]-po)</f>
        <v>-89.105706328716948</v>
      </c>
      <c r="BN169" s="244">
        <f>-psi_o+SQRT(psi_o^2-2*Tabella34[[#This Row],[c_o]])</f>
        <v>3.8288309919876324</v>
      </c>
      <c r="BO169" s="244">
        <f>-psi_o-SQRT(psi_o^2-2*Tabella34[[#This Row],[c_o]])</f>
        <v>-3.8778580775572618</v>
      </c>
      <c r="BP169" s="244">
        <f>phi_o-LN(alpha*Ko/(Tabella34[[#This Row],[rest of Italy velocity]]*psi_o*SQRTPI(2)))</f>
        <v>-7.4238315949404123</v>
      </c>
      <c r="BQ169" s="244">
        <f>(ACOSH(SQRT(alpha*Ka*psi_a/(Tabella34[[#This Row],[rest of Italy velocity]]*(1+TANH(phi_a)))))+phi_a)/psi_a-(Tabella34[[#This Row],[Day]]-pa)</f>
        <v>16.954627917600206</v>
      </c>
      <c r="BR169" s="72">
        <f>-2*$BY$35*TANH($BY$35*(Tabella34[[#This Row],[Day]]-$BY$44)-$BY$34)*Tabella34[[#This Row],[rest of Italy velocity]]</f>
        <v>-44.664141824808134</v>
      </c>
      <c r="BS169" s="77">
        <f>Tabella34[[#This Row],[rest of Italy acc. fit]]/y_a_peak</f>
        <v>-1.5607057816104605E-2</v>
      </c>
      <c r="BT169" s="121">
        <f>Tabella34[[#This Row],[rest of Italy acc. fit]]*NOT(ISBLANK(Tabella34[[#This Row],[rest of Italy rate data]]))</f>
        <v>0</v>
      </c>
      <c r="BU169" s="189"/>
      <c r="BV169" s="122"/>
    </row>
    <row r="170" spans="2:74" x14ac:dyDescent="0.3">
      <c r="B170" s="262">
        <v>43993</v>
      </c>
      <c r="C170" s="4">
        <v>163</v>
      </c>
      <c r="E170" s="10"/>
      <c r="F170" s="10"/>
      <c r="G170" s="121">
        <f>Tabella34[[#This Row],[Italy rate data]]*NOT(ISBLANK(Tabella34[[#This Row],[Italy rate data]]))</f>
        <v>0</v>
      </c>
      <c r="H170" s="143">
        <f>Tabella8[[#This Row],[Italy fit]]</f>
        <v>197983.84361663528</v>
      </c>
      <c r="I170" s="143" t="e">
        <f>(ATANH(alpha*Tabella34[[#This Row],[Italy cumul. Fit]]/Kf-(1-alpha*Tabella34[[#This Row],[Italy cumul. Fit]]/Kf)*TANH(phi_f))+phi_f)/psi_f-(Tabella34[[#This Row],[Day]]-pf)</f>
        <v>#NUM!</v>
      </c>
      <c r="J170" s="143" t="e">
        <f>Tabella34[[#This Row],[Italy d.t.]]/Italy_dt_at_lockdown</f>
        <v>#NUM!</v>
      </c>
      <c r="K170" s="77">
        <f>Tabella34[[#This Row],[Italy cumul. Fit]]/Kf</f>
        <v>0.87992819385171239</v>
      </c>
      <c r="L170" s="146">
        <f>Tabella34[[#This Row],[sel. region acc. fit]]+Tabella34[[#This Row],[rest of Italy acc. fit]]</f>
        <v>-45.381757052257441</v>
      </c>
      <c r="M170" s="77">
        <f>Tabella34[[#This Row],[Italy (fit of selected region + fitted sum of the other regions)]]/(y_l_peak+y_a_peak)</f>
        <v>-1.5129317259827902E-2</v>
      </c>
      <c r="N170" s="143">
        <f>Tabella3[[#This Row],[Italy remov. rate fit]]</f>
        <v>1186.0856599319859</v>
      </c>
      <c r="O170" s="143">
        <f>Kt*EXP(-0.5*Tabella34[[#This Row],[x_t]]^2)/(psi_t*SQRTPI(2)*(Tabella34[[#This Row],[Day]]-D_bk))</f>
        <v>0</v>
      </c>
      <c r="P170" s="183">
        <f>Tabella34[[#This Row],[Italy velocity]]/Tabella34[[#This Row],[Italy cumul. Fit]]</f>
        <v>5.9908204541611748E-3</v>
      </c>
      <c r="Q170" s="244">
        <f>(LN(Tabella34[[#This Row],[Day]]-D_bk)-phi_t)/psi_t</f>
        <v>132.53765423140644</v>
      </c>
      <c r="R170" s="244">
        <f>EXP(phi_t+psi_t*Tabella34[[#This Row],[x_t_alpha©+plus]])-(Tabella34[[#This Row],[Day]]-D_bk)</f>
        <v>-89.275620535329466</v>
      </c>
      <c r="S170" s="244">
        <f>EXP(phi_t+psi_t*Tabella34[[#This Row],[x_t_alpha©-minus]])-(Tabella34[[#This Row],[Day]]-D_bk)</f>
        <v>-89.949555344190543</v>
      </c>
      <c r="T170" s="244">
        <f>-psi_t+SQRT(psi_t^2-2*Tabella34[[#This Row],[c_t]])</f>
        <v>3.8379402556849174</v>
      </c>
      <c r="U170" s="244">
        <f>-psi_t-SQRT(psi_t^2-2*Tabella34[[#This Row],[c_t]])</f>
        <v>-3.8873329901047224</v>
      </c>
      <c r="V170" s="244">
        <f>phi_t-LN(alpha*Kt/(Tabella34[[#This Row],[Italy velocity]]*psi_t*SQRTPI(2)))</f>
        <v>-7.4596758849874663</v>
      </c>
      <c r="W170" s="244">
        <f>Tabella34[[#This Row],[Italy g.r.]]/Italy_gr_at_lockdown</f>
        <v>6.7590977571526292E-3</v>
      </c>
      <c r="X170" s="244">
        <f>(ACOSH(SQRT(alpha*Kf*psi_f/(Tabella34[[#This Row],[Italy velocity]]*(1+TANH(phi_f)))))+phi_f)/psi_f-(Tabella34[[#This Row],[Day]]-pf)</f>
        <v>16.637199603756031</v>
      </c>
      <c r="Y170" s="244">
        <f>Tabella34[[#This Row],[Italy h.t.]]/Italy_ht_at_lockdown</f>
        <v>0.14391592165077716</v>
      </c>
      <c r="Z170" s="72">
        <f>-2*$BY$48*TANH($BY$48*(Tabella34[[#This Row],[Day]]-$BY$57)-$BY$47)*Tabella34[[#This Row],[Italy velocity]]</f>
        <v>-45.561014828777509</v>
      </c>
      <c r="AA170" s="72">
        <f>Tabella34[[#This Row],[Italy acc. fit]]/Itali_acc_at_lockdown</f>
        <v>-1.2617784925057556</v>
      </c>
      <c r="AB170" s="77">
        <f>Tabella34[[#This Row],[Italy acc. fit]]/y_f_peak</f>
        <v>-1.5179890592331598E-2</v>
      </c>
      <c r="AC170" s="143">
        <f>Tabella34[[#This Row],[Italy (fit of selected region + fitted sum of the other regions)]]*NOT(ISBLANK(Tabella34[[#This Row],[Italy rate data]]))</f>
        <v>0</v>
      </c>
      <c r="AD170" s="143">
        <f>Tabella34[[#This Row],[Italy acc. fit]]*NOT(ISBLANK(Tabella34[[#This Row],[Italy rate data]]))</f>
        <v>0</v>
      </c>
      <c r="AE170" s="77">
        <f>Tabella34[[#This Row],[Italy acc. fit]]+CIf</f>
        <v>1670.0538445057737</v>
      </c>
      <c r="AF170" s="77">
        <f>MAX(Tabella34[[#This Row],[Italy acc. fit]]-CIf,0)</f>
        <v>0</v>
      </c>
      <c r="AH170" s="10"/>
      <c r="AI170" s="10"/>
      <c r="AJ170" s="121">
        <f>Tabella34[[#This Row],[selected region rate data]]*NOT(ISBLANK(Tabella34[[#This Row],[selected region rate data]]))</f>
        <v>0</v>
      </c>
      <c r="AK170" s="77">
        <f>Tabella8[[#This Row],[region fit]]</f>
        <v>8252.569092816093</v>
      </c>
      <c r="AL170" s="143" t="e">
        <f>(ATANH(alpha*Tabella34[[#This Row],[sel. region cumul. fit]]/Kl-(1-alpha*Tabella34[[#This Row],[sel. region cumul. fit]]/Kl)*TANH(phi_l))+phi_l)/psi_l-(Tabella34[[#This Row],[Day]]-pl)</f>
        <v>#NUM!</v>
      </c>
      <c r="AM170" s="77">
        <f>Tabella34[[#This Row],[sel. region cumul. fit]]/Kl</f>
        <v>0.92001885092710067</v>
      </c>
      <c r="AN170" s="143">
        <f>Tabella3[[#This Row],[region fit]]</f>
        <v>37.497769723529686</v>
      </c>
      <c r="AO170" s="186">
        <f>Tabella34[[#This Row],[sel. region velocity]]/Tabella34[[#This Row],[sel. region cumul. fit]]</f>
        <v>4.5437692555851126E-3</v>
      </c>
      <c r="AP170" s="241">
        <f>(LN(Tabella34[[#This Row],[Day]]-pr)-phi_r)/psi_r</f>
        <v>115.83656609783732</v>
      </c>
      <c r="AQ170" s="244">
        <f>EXP(phi_r+psi_r*Tabella34[[#This Row],[x_r_alpha©+plus]])-(Tabella34[[#This Row],[Day]]-pr)</f>
        <v>-84.028240720868467</v>
      </c>
      <c r="AR170" s="244">
        <f>EXP(phi_r+psi_r*Tabella34[[#This Row],[x_r_alpha©-minus]])-(Tabella34[[#This Row],[Day]]-pr)</f>
        <v>-84.765437608967019</v>
      </c>
      <c r="AS170" s="244">
        <f>-psi_r+SQRT(psi_r^2-2*Tabella34[[#This Row],[c_r]])</f>
        <v>3.8737747220092986</v>
      </c>
      <c r="AT170" s="244">
        <f>-psi_r-SQRT(psi_r^2-2*Tabella34[[#This Row],[c_r]])</f>
        <v>-3.9301829604279597</v>
      </c>
      <c r="AU170" s="244">
        <f>phi_r-LN(alpha*Kr/(Tabella34[[#This Row],[sel. region velocity]]*psi_r*SQRTPI(2)))</f>
        <v>-7.6123217024887504</v>
      </c>
      <c r="AV170" s="244">
        <f>(ACOSH(SQRT(alpha*Kl*psi_l/(Tabella34[[#This Row],[sel. region velocity]]*(1+TANH(phi_l)))))+phi_l)/psi_l-(Tabella34[[#This Row],[Day]]-pl)</f>
        <v>13.719066219233682</v>
      </c>
      <c r="AW170" s="72">
        <f>-2*$BY$22*TANH($BY$22*(Tabella34[[#This Row],[Day]]-$BY$31)-$BY$21)*Tabella34[[#This Row],[sel. region velocity]]</f>
        <v>-1.8045887071524038</v>
      </c>
      <c r="AX170" s="77">
        <f>Tabella34[[#This Row],[sel. region acc. fit]]/y_l_peak</f>
        <v>-1.3095777752242707E-2</v>
      </c>
      <c r="AY170" s="143">
        <f>Tabella34[[#This Row],[sel. region acc. fit]]*NOT(ISBLANK(Tabella34[[#This Row],[selected region rate data]]))</f>
        <v>0</v>
      </c>
      <c r="AZ170" s="77">
        <f>Tabella34[[#This Row],[sel. region acc. fit]]+CIl</f>
        <v>51.96025170239605</v>
      </c>
      <c r="BA170" s="77">
        <f>MAX(Tabella34[[#This Row],[sel. region acc. fit]]-CIl,0)</f>
        <v>0</v>
      </c>
      <c r="BC170" s="10"/>
      <c r="BD170" s="10"/>
      <c r="BE170" s="77">
        <f>Tabella34[[#This Row],[rest of Italy rate data]]*NOT(ISBLANK(Tabella34[[#This Row],[rest of Italy rate data]]))</f>
        <v>0</v>
      </c>
      <c r="BF170" s="77">
        <f>Tabella8[[#This Row],[rest of Italy fit]]</f>
        <v>189605.99681127915</v>
      </c>
      <c r="BG170" s="78" t="e">
        <f>(ATANH(alpha*Tabella34[[#This Row],[rest of Italy cumul. fit]]/Ka-(1-alpha*Tabella34[[#This Row],[rest of Italy cumul. fit]]/Ka)*TANH(phi_a))+phi_a)/psi_a-(Tabella34[[#This Row],[Day]]-pa)</f>
        <v>#NUM!</v>
      </c>
      <c r="BH170" s="77">
        <f>Tabella34[[#This Row],[rest of Italy cumul. fit]]/Ka</f>
        <v>0.87768364028736356</v>
      </c>
      <c r="BI170" s="143">
        <f>Tabella3[[#This Row],[rest of Italy fit]]</f>
        <v>1148.8792184476879</v>
      </c>
      <c r="BJ170" s="183">
        <f>Tabella34[[#This Row],[rest of Italy velocity]]/Tabella34[[#This Row],[rest of Italy cumul. fit]]</f>
        <v>6.0592979007473256E-3</v>
      </c>
      <c r="BK170" s="236">
        <f>(LN(Tabella34[[#This Row],[Day]]-po)-phi_o)/psi_o</f>
        <v>133.72272614773408</v>
      </c>
      <c r="BL170" s="244">
        <f>EXP(phi_o+psi_o*Tabella34[[#This Row],[x_o_alpha©+plus]])-(Tabella34[[#This Row],[Day]]-po)</f>
        <v>-89.439605267105492</v>
      </c>
      <c r="BM170" s="244">
        <f>EXP(phi_o+psi_o*Tabella34[[#This Row],[x_o_alpha©-minus]])-(Tabella34[[#This Row],[Day]]-po)</f>
        <v>-90.106472169015262</v>
      </c>
      <c r="BN170" s="244">
        <f>-psi_o+SQRT(psi_o^2-2*Tabella34[[#This Row],[c_o]])</f>
        <v>3.8385986480082157</v>
      </c>
      <c r="BO170" s="244">
        <f>-psi_o-SQRT(psi_o^2-2*Tabella34[[#This Row],[c_o]])</f>
        <v>-3.887625733577845</v>
      </c>
      <c r="BP170" s="244">
        <f>phi_o-LN(alpha*Ko/(Tabella34[[#This Row],[rest of Italy velocity]]*psi_o*SQRTPI(2)))</f>
        <v>-7.4615174424369313</v>
      </c>
      <c r="BQ170" s="244">
        <f>(ACOSH(SQRT(alpha*Ka*psi_a/(Tabella34[[#This Row],[rest of Italy velocity]]*(1+TANH(phi_a)))))+phi_a)/psi_a-(Tabella34[[#This Row],[Day]]-pa)</f>
        <v>16.816492631009908</v>
      </c>
      <c r="BR170" s="72">
        <f>-2*$BY$35*TANH($BY$35*(Tabella34[[#This Row],[Day]]-$BY$44)-$BY$34)*Tabella34[[#This Row],[rest of Italy velocity]]</f>
        <v>-43.577168345105036</v>
      </c>
      <c r="BS170" s="77">
        <f>Tabella34[[#This Row],[rest of Italy acc. fit]]/y_a_peak</f>
        <v>-1.5227235048909379E-2</v>
      </c>
      <c r="BT170" s="121">
        <f>Tabella34[[#This Row],[rest of Italy acc. fit]]*NOT(ISBLANK(Tabella34[[#This Row],[rest of Italy rate data]]))</f>
        <v>0</v>
      </c>
      <c r="BU170" s="189"/>
      <c r="BV170" s="122"/>
    </row>
    <row r="171" spans="2:74" x14ac:dyDescent="0.3">
      <c r="B171" s="262">
        <v>43994</v>
      </c>
      <c r="C171" s="4">
        <v>164</v>
      </c>
      <c r="E171" s="10"/>
      <c r="F171" s="10"/>
      <c r="G171" s="121">
        <f>Tabella34[[#This Row],[Italy rate data]]*NOT(ISBLANK(Tabella34[[#This Row],[Italy rate data]]))</f>
        <v>0</v>
      </c>
      <c r="H171" s="143">
        <f>Tabella8[[#This Row],[Italy fit]]</f>
        <v>199147.34597984416</v>
      </c>
      <c r="I171" s="143" t="e">
        <f>(ATANH(alpha*Tabella34[[#This Row],[Italy cumul. Fit]]/Kf-(1-alpha*Tabella34[[#This Row],[Italy cumul. Fit]]/Kf)*TANH(phi_f))+phi_f)/psi_f-(Tabella34[[#This Row],[Day]]-pf)</f>
        <v>#NUM!</v>
      </c>
      <c r="J171" s="143" t="e">
        <f>Tabella34[[#This Row],[Italy d.t.]]/Italy_dt_at_lockdown</f>
        <v>#NUM!</v>
      </c>
      <c r="K171" s="77">
        <f>Tabella34[[#This Row],[Italy cumul. Fit]]/Kf</f>
        <v>0.88509931546597409</v>
      </c>
      <c r="L171" s="146">
        <f>Tabella34[[#This Row],[sel. region acc. fit]]+Tabella34[[#This Row],[rest of Italy acc. fit]]</f>
        <v>-44.203292739281977</v>
      </c>
      <c r="M171" s="77">
        <f>Tabella34[[#This Row],[Italy (fit of selected region + fitted sum of the other regions)]]/(y_l_peak+y_a_peak)</f>
        <v>-1.4736442201027065E-2</v>
      </c>
      <c r="N171" s="143">
        <f>Tabella3[[#This Row],[Italy remov. rate fit]]</f>
        <v>1141.1170447776087</v>
      </c>
      <c r="O171" s="143">
        <f>Kt*EXP(-0.5*Tabella34[[#This Row],[x_t]]^2)/(psi_t*SQRTPI(2)*(Tabella34[[#This Row],[Day]]-D_bk))</f>
        <v>0</v>
      </c>
      <c r="P171" s="183">
        <f>Tabella34[[#This Row],[Italy velocity]]/Tabella34[[#This Row],[Italy cumul. Fit]]</f>
        <v>5.7300138204859734E-3</v>
      </c>
      <c r="Q171" s="244">
        <f>(LN(Tabella34[[#This Row],[Day]]-D_bk)-phi_t)/psi_t</f>
        <v>132.97000557631063</v>
      </c>
      <c r="R171" s="244">
        <f>EXP(phi_t+psi_t*Tabella34[[#This Row],[x_t_alpha©+plus]])-(Tabella34[[#This Row],[Day]]-D_bk)</f>
        <v>-90.274662807914069</v>
      </c>
      <c r="S171" s="244">
        <f>EXP(phi_t+psi_t*Tabella34[[#This Row],[x_t_alpha©-minus]])-(Tabella34[[#This Row],[Day]]-D_bk)</f>
        <v>-90.950346527920544</v>
      </c>
      <c r="T171" s="244">
        <f>-psi_t+SQRT(psi_t^2-2*Tabella34[[#This Row],[c_t]])</f>
        <v>3.8479336738992682</v>
      </c>
      <c r="U171" s="244">
        <f>-psi_t-SQRT(psi_t^2-2*Tabella34[[#This Row],[c_t]])</f>
        <v>-3.8973264083190733</v>
      </c>
      <c r="V171" s="244">
        <f>phi_t-LN(alpha*Kt/(Tabella34[[#This Row],[Italy velocity]]*psi_t*SQRTPI(2)))</f>
        <v>-7.4983267623739254</v>
      </c>
      <c r="W171" s="244">
        <f>Tabella34[[#This Row],[Italy g.r.]]/Italy_gr_at_lockdown</f>
        <v>6.4648446500510564E-3</v>
      </c>
      <c r="X171" s="244">
        <f>(ACOSH(SQRT(alpha*Kf*psi_f/(Tabella34[[#This Row],[Italy velocity]]*(1+TANH(phi_f)))))+phi_f)/psi_f-(Tabella34[[#This Row],[Day]]-pf)</f>
        <v>16.508727047866103</v>
      </c>
      <c r="Y171" s="244">
        <f>Tabella34[[#This Row],[Italy h.t.]]/Italy_ht_at_lockdown</f>
        <v>0.14280460203400969</v>
      </c>
      <c r="Z171" s="72">
        <f>-2*$BY$48*TANH($BY$48*(Tabella34[[#This Row],[Day]]-$BY$57)-$BY$47)*Tabella34[[#This Row],[Italy velocity]]</f>
        <v>-44.373235134417044</v>
      </c>
      <c r="AA171" s="72">
        <f>Tabella34[[#This Row],[Italy acc. fit]]/Itali_acc_at_lockdown</f>
        <v>-1.2288838153829695</v>
      </c>
      <c r="AB171" s="77">
        <f>Tabella34[[#This Row],[Italy acc. fit]]/y_f_peak</f>
        <v>-1.4784149499295266E-2</v>
      </c>
      <c r="AC171" s="143">
        <f>Tabella34[[#This Row],[Italy (fit of selected region + fitted sum of the other regions)]]*NOT(ISBLANK(Tabella34[[#This Row],[Italy rate data]]))</f>
        <v>0</v>
      </c>
      <c r="AD171" s="143">
        <f>Tabella34[[#This Row],[Italy acc. fit]]*NOT(ISBLANK(Tabella34[[#This Row],[Italy rate data]]))</f>
        <v>0</v>
      </c>
      <c r="AE171" s="77">
        <f>Tabella34[[#This Row],[Italy acc. fit]]+CIf</f>
        <v>1671.2416242001343</v>
      </c>
      <c r="AF171" s="77">
        <f>MAX(Tabella34[[#This Row],[Italy acc. fit]]-CIf,0)</f>
        <v>0</v>
      </c>
      <c r="AH171" s="10"/>
      <c r="AI171" s="10"/>
      <c r="AJ171" s="121">
        <f>Tabella34[[#This Row],[selected region rate data]]*NOT(ISBLANK(Tabella34[[#This Row],[selected region rate data]]))</f>
        <v>0</v>
      </c>
      <c r="AK171" s="77">
        <f>Tabella8[[#This Row],[region fit]]</f>
        <v>8289.1762914965584</v>
      </c>
      <c r="AL171" s="143" t="e">
        <f>(ATANH(alpha*Tabella34[[#This Row],[sel. region cumul. fit]]/Kl-(1-alpha*Tabella34[[#This Row],[sel. region cumul. fit]]/Kl)*TANH(phi_l))+phi_l)/psi_l-(Tabella34[[#This Row],[Day]]-pl)</f>
        <v>#NUM!</v>
      </c>
      <c r="AM171" s="77">
        <f>Tabella34[[#This Row],[sel. region cumul. fit]]/Kl</f>
        <v>0.92409992101410909</v>
      </c>
      <c r="AN171" s="143">
        <f>Tabella3[[#This Row],[region fit]]</f>
        <v>35.728304045472669</v>
      </c>
      <c r="AO171" s="186">
        <f>Tabella34[[#This Row],[sel. region velocity]]/Tabella34[[#This Row],[sel. region cumul. fit]]</f>
        <v>4.3102357567330911E-3</v>
      </c>
      <c r="AP171" s="241">
        <f>(LN(Tabella34[[#This Row],[Day]]-pr)-phi_r)/psi_r</f>
        <v>116.23829199398355</v>
      </c>
      <c r="AQ171" s="244">
        <f>EXP(phi_r+psi_r*Tabella34[[#This Row],[x_r_alpha©+plus]])-(Tabella34[[#This Row],[Day]]-pr)</f>
        <v>-85.026938810084118</v>
      </c>
      <c r="AR171" s="244">
        <f>EXP(phi_r+psi_r*Tabella34[[#This Row],[x_r_alpha©-minus]])-(Tabella34[[#This Row],[Day]]-pr)</f>
        <v>-85.766481944075423</v>
      </c>
      <c r="AS171" s="244">
        <f>-psi_r+SQRT(psi_r^2-2*Tabella34[[#This Row],[c_r]])</f>
        <v>3.8861432569851888</v>
      </c>
      <c r="AT171" s="244">
        <f>-psi_r-SQRT(psi_r^2-2*Tabella34[[#This Row],[c_r]])</f>
        <v>-3.9425514954038499</v>
      </c>
      <c r="AU171" s="244">
        <f>phi_r-LN(alpha*Kr/(Tabella34[[#This Row],[sel. region velocity]]*psi_r*SQRTPI(2)))</f>
        <v>-7.6606599545902716</v>
      </c>
      <c r="AV171" s="244">
        <f>(ACOSH(SQRT(alpha*Kl*psi_l/(Tabella34[[#This Row],[sel. region velocity]]*(1+TANH(phi_l)))))+phi_l)/psi_l-(Tabella34[[#This Row],[Day]]-pl)</f>
        <v>13.639294018636633</v>
      </c>
      <c r="AW171" s="72">
        <f>-2*$BY$22*TANH($BY$22*(Tabella34[[#This Row],[Day]]-$BY$31)-$BY$21)*Tabella34[[#This Row],[sel. region velocity]]</f>
        <v>-1.734533119276652</v>
      </c>
      <c r="AX171" s="77">
        <f>Tabella34[[#This Row],[sel. region acc. fit]]/y_l_peak</f>
        <v>-1.2587389106404818E-2</v>
      </c>
      <c r="AY171" s="143">
        <f>Tabella34[[#This Row],[sel. region acc. fit]]*NOT(ISBLANK(Tabella34[[#This Row],[selected region rate data]]))</f>
        <v>0</v>
      </c>
      <c r="AZ171" s="77">
        <f>Tabella34[[#This Row],[sel. region acc. fit]]+CIl</f>
        <v>52.0303072902718</v>
      </c>
      <c r="BA171" s="77">
        <f>MAX(Tabella34[[#This Row],[sel. region acc. fit]]-CIl,0)</f>
        <v>0</v>
      </c>
      <c r="BC171" s="10"/>
      <c r="BD171" s="10"/>
      <c r="BE171" s="77">
        <f>Tabella34[[#This Row],[rest of Italy rate data]]*NOT(ISBLANK(Tabella34[[#This Row],[rest of Italy rate data]]))</f>
        <v>0</v>
      </c>
      <c r="BF171" s="77">
        <f>Tabella8[[#This Row],[rest of Italy fit]]</f>
        <v>190733.27139000435</v>
      </c>
      <c r="BG171" s="78" t="e">
        <f>(ATANH(alpha*Tabella34[[#This Row],[rest of Italy cumul. fit]]/Ka-(1-alpha*Tabella34[[#This Row],[rest of Italy cumul. fit]]/Ka)*TANH(phi_a))+phi_a)/psi_a-(Tabella34[[#This Row],[Day]]-pa)</f>
        <v>#NUM!</v>
      </c>
      <c r="BH171" s="77">
        <f>Tabella34[[#This Row],[rest of Italy cumul. fit]]/Ka</f>
        <v>0.88290177933622338</v>
      </c>
      <c r="BI171" s="143">
        <f>Tabella3[[#This Row],[rest of Italy fit]]</f>
        <v>1105.8546880918113</v>
      </c>
      <c r="BJ171" s="183">
        <f>Tabella34[[#This Row],[rest of Italy velocity]]/Tabella34[[#This Row],[rest of Italy cumul. fit]]</f>
        <v>5.7979118170243121E-3</v>
      </c>
      <c r="BK171" s="236">
        <f>(LN(Tabella34[[#This Row],[Day]]-po)-phi_o)/psi_o</f>
        <v>134.15761082037801</v>
      </c>
      <c r="BL171" s="244">
        <f>EXP(phi_o+psi_o*Tabella34[[#This Row],[x_o_alpha©+plus]])-(Tabella34[[#This Row],[Day]]-po)</f>
        <v>-90.438670260997895</v>
      </c>
      <c r="BM171" s="244">
        <f>EXP(phi_o+psi_o*Tabella34[[#This Row],[x_o_alpha©-minus]])-(Tabella34[[#This Row],[Day]]-po)</f>
        <v>-91.107245660019089</v>
      </c>
      <c r="BN171" s="244">
        <f>-psi_o+SQRT(psi_o^2-2*Tabella34[[#This Row],[c_o]])</f>
        <v>3.8484662569156787</v>
      </c>
      <c r="BO171" s="244">
        <f>-psi_o-SQRT(psi_o^2-2*Tabella34[[#This Row],[c_o]])</f>
        <v>-3.897493342485308</v>
      </c>
      <c r="BP171" s="244">
        <f>phi_o-LN(alpha*Ko/(Tabella34[[#This Row],[rest of Italy velocity]]*psi_o*SQRTPI(2)))</f>
        <v>-7.4996858075541057</v>
      </c>
      <c r="BQ171" s="244">
        <f>(ACOSH(SQRT(alpha*Ka*psi_a/(Tabella34[[#This Row],[rest of Italy velocity]]*(1+TANH(phi_a)))))+phi_a)/psi_a-(Tabella34[[#This Row],[Day]]-pa)</f>
        <v>16.685244964887588</v>
      </c>
      <c r="BR171" s="72">
        <f>-2*$BY$35*TANH($BY$35*(Tabella34[[#This Row],[Day]]-$BY$44)-$BY$34)*Tabella34[[#This Row],[rest of Italy velocity]]</f>
        <v>-42.468759620005322</v>
      </c>
      <c r="BS171" s="77">
        <f>Tabella34[[#This Row],[rest of Italy acc. fit]]/y_a_peak</f>
        <v>-1.4839922131886141E-2</v>
      </c>
      <c r="BT171" s="121">
        <f>Tabella34[[#This Row],[rest of Italy acc. fit]]*NOT(ISBLANK(Tabella34[[#This Row],[rest of Italy rate data]]))</f>
        <v>0</v>
      </c>
      <c r="BU171" s="189"/>
      <c r="BV171" s="122"/>
    </row>
    <row r="172" spans="2:74" x14ac:dyDescent="0.3">
      <c r="B172" s="262">
        <v>43995</v>
      </c>
      <c r="C172" s="4">
        <v>165</v>
      </c>
      <c r="E172" s="10"/>
      <c r="F172" s="10"/>
      <c r="G172" s="121">
        <f>Tabella34[[#This Row],[Italy rate data]]*NOT(ISBLANK(Tabella34[[#This Row],[Italy rate data]]))</f>
        <v>0</v>
      </c>
      <c r="H172" s="143">
        <f>Tabella8[[#This Row],[Italy fit]]</f>
        <v>200266.47637721029</v>
      </c>
      <c r="I172" s="143" t="e">
        <f>(ATANH(alpha*Tabella34[[#This Row],[Italy cumul. Fit]]/Kf-(1-alpha*Tabella34[[#This Row],[Italy cumul. Fit]]/Kf)*TANH(phi_f))+phi_f)/psi_f-(Tabella34[[#This Row],[Day]]-pf)</f>
        <v>#NUM!</v>
      </c>
      <c r="J172" s="143" t="e">
        <f>Tabella34[[#This Row],[Italy d.t.]]/Italy_dt_at_lockdown</f>
        <v>#NUM!</v>
      </c>
      <c r="K172" s="77">
        <f>Tabella34[[#This Row],[Italy cumul. Fit]]/Kf</f>
        <v>0.89007322834315683</v>
      </c>
      <c r="L172" s="146">
        <f>Tabella34[[#This Row],[sel. region acc. fit]]+Tabella34[[#This Row],[rest of Italy acc. fit]]</f>
        <v>-43.009765762902511</v>
      </c>
      <c r="M172" s="77">
        <f>Tabella34[[#This Row],[Italy (fit of selected region + fitted sum of the other regions)]]/(y_l_peak+y_a_peak)</f>
        <v>-1.4338545569060723E-2</v>
      </c>
      <c r="N172" s="143">
        <f>Tabella3[[#This Row],[Italy remov. rate fit]]</f>
        <v>1097.3442689574522</v>
      </c>
      <c r="O172" s="143">
        <f>Kt*EXP(-0.5*Tabella34[[#This Row],[x_t]]^2)/(psi_t*SQRTPI(2)*(Tabella34[[#This Row],[Day]]-D_bk))</f>
        <v>0</v>
      </c>
      <c r="P172" s="183">
        <f>Tabella34[[#This Row],[Italy velocity]]/Tabella34[[#This Row],[Italy cumul. Fit]]</f>
        <v>5.4794206639485598E-3</v>
      </c>
      <c r="Q172" s="244">
        <f>(LN(Tabella34[[#This Row],[Day]]-D_bk)-phi_t)/psi_t</f>
        <v>133.39778921523072</v>
      </c>
      <c r="R172" s="244">
        <f>EXP(phi_t+psi_t*Tabella34[[#This Row],[x_t_alpha©+plus]])-(Tabella34[[#This Row],[Day]]-D_bk)</f>
        <v>-91.273695857622343</v>
      </c>
      <c r="S172" s="244">
        <f>EXP(phi_t+psi_t*Tabella34[[#This Row],[x_t_alpha©-minus]])-(Tabella34[[#This Row],[Day]]-D_bk)</f>
        <v>-91.951144934676108</v>
      </c>
      <c r="T172" s="244">
        <f>-psi_t+SQRT(psi_t^2-2*Tabella34[[#This Row],[c_t]])</f>
        <v>3.8580208268208889</v>
      </c>
      <c r="U172" s="244">
        <f>-psi_t-SQRT(psi_t^2-2*Tabella34[[#This Row],[c_t]])</f>
        <v>-3.9074135612406939</v>
      </c>
      <c r="V172" s="244">
        <f>phi_t-LN(alpha*Kt/(Tabella34[[#This Row],[Italy velocity]]*psi_t*SQRTPI(2)))</f>
        <v>-7.5374414491344881</v>
      </c>
      <c r="W172" s="244">
        <f>Tabella34[[#This Row],[Italy g.r.]]/Italy_gr_at_lockdown</f>
        <v>6.182114821095268E-3</v>
      </c>
      <c r="X172" s="244">
        <f>(ACOSH(SQRT(alpha*Kf*psi_f/(Tabella34[[#This Row],[Italy velocity]]*(1+TANH(phi_f)))))+phi_f)/psi_f-(Tabella34[[#This Row],[Day]]-pf)</f>
        <v>16.386697077751691</v>
      </c>
      <c r="Y172" s="244">
        <f>Tabella34[[#This Row],[Italy h.t.]]/Italy_ht_at_lockdown</f>
        <v>0.14174901238933971</v>
      </c>
      <c r="Z172" s="72">
        <f>-2*$BY$48*TANH($BY$48*(Tabella34[[#This Row],[Day]]-$BY$57)-$BY$47)*Tabella34[[#This Row],[Italy velocity]]</f>
        <v>-43.170204792360359</v>
      </c>
      <c r="AA172" s="72">
        <f>Tabella34[[#This Row],[Italy acc. fit]]/Itali_acc_at_lockdown</f>
        <v>-1.1955667828905285</v>
      </c>
      <c r="AB172" s="77">
        <f>Tabella34[[#This Row],[Italy acc. fit]]/y_f_peak</f>
        <v>-1.4383327238414872E-2</v>
      </c>
      <c r="AC172" s="143">
        <f>Tabella34[[#This Row],[Italy (fit of selected region + fitted sum of the other regions)]]*NOT(ISBLANK(Tabella34[[#This Row],[Italy rate data]]))</f>
        <v>0</v>
      </c>
      <c r="AD172" s="143">
        <f>Tabella34[[#This Row],[Italy acc. fit]]*NOT(ISBLANK(Tabella34[[#This Row],[Italy rate data]]))</f>
        <v>0</v>
      </c>
      <c r="AE172" s="77">
        <f>Tabella34[[#This Row],[Italy acc. fit]]+CIf</f>
        <v>1672.4446545421908</v>
      </c>
      <c r="AF172" s="77">
        <f>MAX(Tabella34[[#This Row],[Italy acc. fit]]-CIf,0)</f>
        <v>0</v>
      </c>
      <c r="AH172" s="10"/>
      <c r="AI172" s="10"/>
      <c r="AJ172" s="121">
        <f>Tabella34[[#This Row],[selected region rate data]]*NOT(ISBLANK(Tabella34[[#This Row],[selected region rate data]]))</f>
        <v>0</v>
      </c>
      <c r="AK172" s="77">
        <f>Tabella8[[#This Row],[region fit]]</f>
        <v>8324.0488549451693</v>
      </c>
      <c r="AL172" s="143" t="e">
        <f>(ATANH(alpha*Tabella34[[#This Row],[sel. region cumul. fit]]/Kl-(1-alpha*Tabella34[[#This Row],[sel. region cumul. fit]]/Kl)*TANH(phi_l))+phi_l)/psi_l-(Tabella34[[#This Row],[Day]]-pl)</f>
        <v>#NUM!</v>
      </c>
      <c r="AM172" s="77">
        <f>Tabella34[[#This Row],[sel. region cumul. fit]]/Kl</f>
        <v>0.92798760924695312</v>
      </c>
      <c r="AN172" s="143">
        <f>Tabella3[[#This Row],[region fit]]</f>
        <v>34.028295168970338</v>
      </c>
      <c r="AO172" s="186">
        <f>Tabella34[[#This Row],[sel. region velocity]]/Tabella34[[#This Row],[sel. region cumul. fit]]</f>
        <v>4.0879499582411431E-3</v>
      </c>
      <c r="AP172" s="241">
        <f>(LN(Tabella34[[#This Row],[Day]]-pr)-phi_r)/psi_r</f>
        <v>116.63551715235245</v>
      </c>
      <c r="AQ172" s="244">
        <f>EXP(phi_r+psi_r*Tabella34[[#This Row],[x_r_alpha©+plus]])-(Tabella34[[#This Row],[Day]]-pr)</f>
        <v>-86.025629483063668</v>
      </c>
      <c r="AR172" s="244">
        <f>EXP(phi_r+psi_r*Tabella34[[#This Row],[x_r_alpha©-minus]])-(Tabella34[[#This Row],[Day]]-pr)</f>
        <v>-86.767531493688494</v>
      </c>
      <c r="AS172" s="244">
        <f>-psi_r+SQRT(psi_r^2-2*Tabella34[[#This Row],[c_r]])</f>
        <v>3.8985778982840422</v>
      </c>
      <c r="AT172" s="244">
        <f>-psi_r-SQRT(psi_r^2-2*Tabella34[[#This Row],[c_r]])</f>
        <v>-3.9549861367027033</v>
      </c>
      <c r="AU172" s="244">
        <f>phi_r-LN(alpha*Kr/(Tabella34[[#This Row],[sel. region velocity]]*psi_r*SQRTPI(2)))</f>
        <v>-7.7094107702844736</v>
      </c>
      <c r="AV172" s="244">
        <f>(ACOSH(SQRT(alpha*Kl*psi_l/(Tabella34[[#This Row],[sel. region velocity]]*(1+TANH(phi_l)))))+phi_l)/psi_l-(Tabella34[[#This Row],[Day]]-pl)</f>
        <v>13.564026147298279</v>
      </c>
      <c r="AW172" s="72">
        <f>-2*$BY$22*TANH($BY$22*(Tabella34[[#This Row],[Day]]-$BY$31)-$BY$21)*Tabella34[[#This Row],[sel. region velocity]]</f>
        <v>-1.665701673624947</v>
      </c>
      <c r="AX172" s="77">
        <f>Tabella34[[#This Row],[sel. region acc. fit]]/y_l_peak</f>
        <v>-1.208788397759201E-2</v>
      </c>
      <c r="AY172" s="143">
        <f>Tabella34[[#This Row],[sel. region acc. fit]]*NOT(ISBLANK(Tabella34[[#This Row],[selected region rate data]]))</f>
        <v>0</v>
      </c>
      <c r="AZ172" s="77">
        <f>Tabella34[[#This Row],[sel. region acc. fit]]+CIl</f>
        <v>52.099138735923511</v>
      </c>
      <c r="BA172" s="77">
        <f>MAX(Tabella34[[#This Row],[sel. region acc. fit]]-CIl,0)</f>
        <v>0</v>
      </c>
      <c r="BC172" s="10"/>
      <c r="BD172" s="10"/>
      <c r="BE172" s="77">
        <f>Tabella34[[#This Row],[rest of Italy rate data]]*NOT(ISBLANK(Tabella34[[#This Row],[rest of Italy rate data]]))</f>
        <v>0</v>
      </c>
      <c r="BF172" s="77">
        <f>Tabella8[[#This Row],[rest of Italy fit]]</f>
        <v>191818.07856487526</v>
      </c>
      <c r="BG172" s="78" t="e">
        <f>(ATANH(alpha*Tabella34[[#This Row],[rest of Italy cumul. fit]]/Ka-(1-alpha*Tabella34[[#This Row],[rest of Italy cumul. fit]]/Ka)*TANH(phi_a))+phi_a)/psi_a-(Tabella34[[#This Row],[Day]]-pa)</f>
        <v>#NUM!</v>
      </c>
      <c r="BH172" s="77">
        <f>Tabella34[[#This Row],[rest of Italy cumul. fit]]/Ka</f>
        <v>0.88792333733682949</v>
      </c>
      <c r="BI172" s="143">
        <f>Tabella3[[#This Row],[rest of Italy fit]]</f>
        <v>1063.9471242280545</v>
      </c>
      <c r="BJ172" s="183">
        <f>Tabella34[[#This Row],[rest of Italy velocity]]/Tabella34[[#This Row],[rest of Italy cumul. fit]]</f>
        <v>5.5466467612864459E-3</v>
      </c>
      <c r="BK172" s="236">
        <f>(LN(Tabella34[[#This Row],[Day]]-po)-phi_o)/psi_o</f>
        <v>134.58790823687599</v>
      </c>
      <c r="BL172" s="244">
        <f>EXP(phi_o+psi_o*Tabella34[[#This Row],[x_o_alpha©+plus]])-(Tabella34[[#This Row],[Day]]-po)</f>
        <v>-91.437726067500137</v>
      </c>
      <c r="BM172" s="244">
        <f>EXP(phi_o+psi_o*Tabella34[[#This Row],[x_o_alpha©-minus]])-(Tabella34[[#This Row],[Day]]-po)</f>
        <v>-92.108026371767849</v>
      </c>
      <c r="BN172" s="244">
        <f>-psi_o+SQRT(psi_o^2-2*Tabella34[[#This Row],[c_o]])</f>
        <v>3.8584284035783827</v>
      </c>
      <c r="BO172" s="244">
        <f>-psi_o-SQRT(psi_o^2-2*Tabella34[[#This Row],[c_o]])</f>
        <v>-3.907455489148012</v>
      </c>
      <c r="BP172" s="244">
        <f>phi_o-LN(alpha*Ko/(Tabella34[[#This Row],[rest of Italy velocity]]*psi_o*SQRTPI(2)))</f>
        <v>-7.5383186225234757</v>
      </c>
      <c r="BQ172" s="244">
        <f>(ACOSH(SQRT(alpha*Ka*psi_a/(Tabella34[[#This Row],[rest of Italy velocity]]*(1+TANH(phi_a)))))+phi_a)/psi_a-(Tabella34[[#This Row],[Day]]-pa)</f>
        <v>16.560534549517456</v>
      </c>
      <c r="BR172" s="72">
        <f>-2*$BY$35*TANH($BY$35*(Tabella34[[#This Row],[Day]]-$BY$44)-$BY$34)*Tabella34[[#This Row],[rest of Italy velocity]]</f>
        <v>-41.344064089277566</v>
      </c>
      <c r="BS172" s="77">
        <f>Tabella34[[#This Row],[rest of Italy acc. fit]]/y_a_peak</f>
        <v>-1.4446918092036149E-2</v>
      </c>
      <c r="BT172" s="121">
        <f>Tabella34[[#This Row],[rest of Italy acc. fit]]*NOT(ISBLANK(Tabella34[[#This Row],[rest of Italy rate data]]))</f>
        <v>0</v>
      </c>
      <c r="BU172" s="189"/>
      <c r="BV172" s="122"/>
    </row>
    <row r="173" spans="2:74" x14ac:dyDescent="0.3">
      <c r="B173" s="262">
        <v>43996</v>
      </c>
      <c r="C173" s="4">
        <v>166</v>
      </c>
      <c r="E173" s="10"/>
      <c r="F173" s="10"/>
      <c r="G173" s="121">
        <f>Tabella34[[#This Row],[Italy rate data]]*NOT(ISBLANK(Tabella34[[#This Row],[Italy rate data]]))</f>
        <v>0</v>
      </c>
      <c r="H173" s="143">
        <f>Tabella8[[#This Row],[Italy fit]]</f>
        <v>201342.43742068313</v>
      </c>
      <c r="I173" s="143" t="e">
        <f>(ATANH(alpha*Tabella34[[#This Row],[Italy cumul. Fit]]/Kf-(1-alpha*Tabella34[[#This Row],[Italy cumul. Fit]]/Kf)*TANH(phi_f))+phi_f)/psi_f-(Tabella34[[#This Row],[Day]]-pf)</f>
        <v>#NUM!</v>
      </c>
      <c r="J173" s="143" t="e">
        <f>Tabella34[[#This Row],[Italy d.t.]]/Italy_dt_at_lockdown</f>
        <v>#NUM!</v>
      </c>
      <c r="K173" s="77">
        <f>Tabella34[[#This Row],[Italy cumul. Fit]]/Kf</f>
        <v>0.89485527742525839</v>
      </c>
      <c r="L173" s="146">
        <f>Tabella34[[#This Row],[sel. region acc. fit]]+Tabella34[[#This Row],[rest of Italy acc. fit]]</f>
        <v>-41.806120259121606</v>
      </c>
      <c r="M173" s="77">
        <f>Tabella34[[#This Row],[Italy (fit of selected region + fitted sum of the other regions)]]/(y_l_peak+y_a_peak)</f>
        <v>-1.3937275634225513E-2</v>
      </c>
      <c r="N173" s="143">
        <f>Tabella3[[#This Row],[Italy remov. rate fit]]</f>
        <v>1054.7800408963924</v>
      </c>
      <c r="O173" s="143">
        <f>Kt*EXP(-0.5*Tabella34[[#This Row],[x_t]]^2)/(psi_t*SQRTPI(2)*(Tabella34[[#This Row],[Day]]-D_bk))</f>
        <v>0</v>
      </c>
      <c r="P173" s="183">
        <f>Tabella34[[#This Row],[Italy velocity]]/Tabella34[[#This Row],[Italy cumul. Fit]]</f>
        <v>5.2387368227421634E-3</v>
      </c>
      <c r="Q173" s="244">
        <f>(LN(Tabella34[[#This Row],[Day]]-D_bk)-phi_t)/psi_t</f>
        <v>133.821100653858</v>
      </c>
      <c r="R173" s="244">
        <f>EXP(phi_t+psi_t*Tabella34[[#This Row],[x_t_alpha©+plus]])-(Tabella34[[#This Row],[Day]]-D_bk)</f>
        <v>-92.272720185772016</v>
      </c>
      <c r="S173" s="244">
        <f>EXP(phi_t+psi_t*Tabella34[[#This Row],[x_t_alpha©-minus]])-(Tabella34[[#This Row],[Day]]-D_bk)</f>
        <v>-92.951950139747197</v>
      </c>
      <c r="T173" s="244">
        <f>-psi_t+SQRT(psi_t^2-2*Tabella34[[#This Row],[c_t]])</f>
        <v>3.868196416054134</v>
      </c>
      <c r="U173" s="244">
        <f>-psi_t-SQRT(psi_t^2-2*Tabella34[[#This Row],[c_t]])</f>
        <v>-3.9175891504739391</v>
      </c>
      <c r="V173" s="244">
        <f>phi_t-LN(alpha*Kt/(Tabella34[[#This Row],[Italy velocity]]*psi_t*SQRTPI(2)))</f>
        <v>-7.577002155717925</v>
      </c>
      <c r="W173" s="244">
        <f>Tabella34[[#This Row],[Italy g.r.]]/Italy_gr_at_lockdown</f>
        <v>5.9105651020328201E-3</v>
      </c>
      <c r="X173" s="244">
        <f>(ACOSH(SQRT(alpha*Kf*psi_f/(Tabella34[[#This Row],[Italy velocity]]*(1+TANH(phi_f)))))+phi_f)/psi_f-(Tabella34[[#This Row],[Day]]-pf)</f>
        <v>16.270779821324609</v>
      </c>
      <c r="Y173" s="244">
        <f>Tabella34[[#This Row],[Italy h.t.]]/Italy_ht_at_lockdown</f>
        <v>0.14074629924101834</v>
      </c>
      <c r="Z173" s="72">
        <f>-2*$BY$48*TANH($BY$48*(Tabella34[[#This Row],[Day]]-$BY$57)-$BY$47)*Tabella34[[#This Row],[Italy velocity]]</f>
        <v>-41.956944698067453</v>
      </c>
      <c r="AA173" s="72">
        <f>Tabella34[[#This Row],[Italy acc. fit]]/Itali_acc_at_lockdown</f>
        <v>-1.1619664450019318</v>
      </c>
      <c r="AB173" s="77">
        <f>Tabella34[[#This Row],[Italy acc. fit]]/y_f_peak</f>
        <v>-1.3979096657497797E-2</v>
      </c>
      <c r="AC173" s="143">
        <f>Tabella34[[#This Row],[Italy (fit of selected region + fitted sum of the other regions)]]*NOT(ISBLANK(Tabella34[[#This Row],[Italy rate data]]))</f>
        <v>0</v>
      </c>
      <c r="AD173" s="143">
        <f>Tabella34[[#This Row],[Italy acc. fit]]*NOT(ISBLANK(Tabella34[[#This Row],[Italy rate data]]))</f>
        <v>0</v>
      </c>
      <c r="AE173" s="77">
        <f>Tabella34[[#This Row],[Italy acc. fit]]+CIf</f>
        <v>1673.6579146364838</v>
      </c>
      <c r="AF173" s="77">
        <f>MAX(Tabella34[[#This Row],[Italy acc. fit]]-CIf,0)</f>
        <v>0</v>
      </c>
      <c r="AH173" s="10"/>
      <c r="AI173" s="10"/>
      <c r="AJ173" s="121">
        <f>Tabella34[[#This Row],[selected region rate data]]*NOT(ISBLANK(Tabella34[[#This Row],[selected region rate data]]))</f>
        <v>0</v>
      </c>
      <c r="AK173" s="77">
        <f>Tabella8[[#This Row],[region fit]]</f>
        <v>8357.2556023110574</v>
      </c>
      <c r="AL173" s="143" t="e">
        <f>(ATANH(alpha*Tabella34[[#This Row],[sel. region cumul. fit]]/Kl-(1-alpha*Tabella34[[#This Row],[sel. region cumul. fit]]/Kl)*TANH(phi_l))+phi_l)/psi_l-(Tabella34[[#This Row],[Day]]-pl)</f>
        <v>#NUM!</v>
      </c>
      <c r="AM173" s="77">
        <f>Tabella34[[#This Row],[sel. region cumul. fit]]/Kl</f>
        <v>0.93168958777157829</v>
      </c>
      <c r="AN173" s="143">
        <f>Tabella3[[#This Row],[region fit]]</f>
        <v>32.396443186637171</v>
      </c>
      <c r="AO173" s="186">
        <f>Tabella34[[#This Row],[sel. region velocity]]/Tabella34[[#This Row],[sel. region cumul. fit]]</f>
        <v>3.8764451786874252E-3</v>
      </c>
      <c r="AP173" s="241">
        <f>(LN(Tabella34[[#This Row],[Day]]-pr)-phi_r)/psi_r</f>
        <v>117.02834130469994</v>
      </c>
      <c r="AQ173" s="244">
        <f>EXP(phi_r+psi_r*Tabella34[[#This Row],[x_r_alpha©+plus]])-(Tabella34[[#This Row],[Day]]-pr)</f>
        <v>-87.024313323219587</v>
      </c>
      <c r="AR173" s="244">
        <f>EXP(phi_r+psi_r*Tabella34[[#This Row],[x_r_alpha©-minus]])-(Tabella34[[#This Row],[Day]]-pr)</f>
        <v>-87.768585778904509</v>
      </c>
      <c r="AS173" s="244">
        <f>-psi_r+SQRT(psi_r^2-2*Tabella34[[#This Row],[c_r]])</f>
        <v>3.9110730371343143</v>
      </c>
      <c r="AT173" s="244">
        <f>-psi_r-SQRT(psi_r^2-2*Tabella34[[#This Row],[c_r]])</f>
        <v>-3.9674812755529754</v>
      </c>
      <c r="AU173" s="244">
        <f>phi_r-LN(alpha*Kr/(Tabella34[[#This Row],[sel. region velocity]]*psi_r*SQRTPI(2)))</f>
        <v>-7.7585545210752498</v>
      </c>
      <c r="AV173" s="244">
        <f>(ACOSH(SQRT(alpha*Kl*psi_l/(Tabella34[[#This Row],[sel. region velocity]]*(1+TANH(phi_l)))))+phi_l)/psi_l-(Tabella34[[#This Row],[Day]]-pl)</f>
        <v>13.493003072896542</v>
      </c>
      <c r="AW173" s="72">
        <f>-2*$BY$22*TANH($BY$22*(Tabella34[[#This Row],[Day]]-$BY$31)-$BY$21)*Tabella34[[#This Row],[sel. region velocity]]</f>
        <v>-1.5982420139106117</v>
      </c>
      <c r="AX173" s="77">
        <f>Tabella34[[#This Row],[sel. region acc. fit]]/y_l_peak</f>
        <v>-1.1598333806209803E-2</v>
      </c>
      <c r="AY173" s="143">
        <f>Tabella34[[#This Row],[sel. region acc. fit]]*NOT(ISBLANK(Tabella34[[#This Row],[selected region rate data]]))</f>
        <v>0</v>
      </c>
      <c r="AZ173" s="77">
        <f>Tabella34[[#This Row],[sel. region acc. fit]]+CIl</f>
        <v>52.166598395637841</v>
      </c>
      <c r="BA173" s="77">
        <f>MAX(Tabella34[[#This Row],[sel. region acc. fit]]-CIl,0)</f>
        <v>0</v>
      </c>
      <c r="BC173" s="10"/>
      <c r="BD173" s="10"/>
      <c r="BE173" s="77">
        <f>Tabella34[[#This Row],[rest of Italy rate data]]*NOT(ISBLANK(Tabella34[[#This Row],[rest of Italy rate data]]))</f>
        <v>0</v>
      </c>
      <c r="BF173" s="77">
        <f>Tabella8[[#This Row],[rest of Italy fit]]</f>
        <v>192861.54263172366</v>
      </c>
      <c r="BG173" s="78" t="e">
        <f>(ATANH(alpha*Tabella34[[#This Row],[rest of Italy cumul. fit]]/Ka-(1-alpha*Tabella34[[#This Row],[rest of Italy cumul. fit]]/Ka)*TANH(phi_a))+phi_a)/psi_a-(Tabella34[[#This Row],[Day]]-pa)</f>
        <v>#NUM!</v>
      </c>
      <c r="BH173" s="77">
        <f>Tabella34[[#This Row],[rest of Italy cumul. fit]]/Ka</f>
        <v>0.89275351863965036</v>
      </c>
      <c r="BI173" s="143">
        <f>Tabella3[[#This Row],[rest of Italy fit]]</f>
        <v>1023.1703861263269</v>
      </c>
      <c r="BJ173" s="183">
        <f>Tabella34[[#This Row],[rest of Italy velocity]]/Tabella34[[#This Row],[rest of Italy cumul. fit]]</f>
        <v>5.3052068969504668E-3</v>
      </c>
      <c r="BK173" s="236">
        <f>(LN(Tabella34[[#This Row],[Day]]-po)-phi_o)/psi_o</f>
        <v>135.01371416266201</v>
      </c>
      <c r="BL173" s="244">
        <f>EXP(phi_o+psi_o*Tabella34[[#This Row],[x_o_alpha©+plus]])-(Tabella34[[#This Row],[Day]]-po)</f>
        <v>-92.436773177419923</v>
      </c>
      <c r="BM173" s="244">
        <f>EXP(phi_o+psi_o*Tabella34[[#This Row],[x_o_alpha©-minus]])-(Tabella34[[#This Row],[Day]]-po)</f>
        <v>-93.108813887881894</v>
      </c>
      <c r="BN173" s="244">
        <f>-psi_o+SQRT(psi_o^2-2*Tabella34[[#This Row],[c_o]])</f>
        <v>3.8684798415840143</v>
      </c>
      <c r="BO173" s="244">
        <f>-psi_o-SQRT(psi_o^2-2*Tabella34[[#This Row],[c_o]])</f>
        <v>-3.9175069271536436</v>
      </c>
      <c r="BP173" s="244">
        <f>phi_o-LN(alpha*Ko/(Tabella34[[#This Row],[rest of Italy velocity]]*psi_o*SQRTPI(2)))</f>
        <v>-7.5773982884798032</v>
      </c>
      <c r="BQ173" s="244">
        <f>(ACOSH(SQRT(alpha*Ka*psi_a/(Tabella34[[#This Row],[rest of Italy velocity]]*(1+TANH(phi_a)))))+phi_a)/psi_a-(Tabella34[[#This Row],[Day]]-pa)</f>
        <v>16.442028993867353</v>
      </c>
      <c r="BR173" s="72">
        <f>-2*$BY$35*TANH($BY$35*(Tabella34[[#This Row],[Day]]-$BY$44)-$BY$34)*Tabella34[[#This Row],[rest of Italy velocity]]</f>
        <v>-40.207878245210992</v>
      </c>
      <c r="BS173" s="77">
        <f>Tabella34[[#This Row],[rest of Italy acc. fit]]/y_a_peak</f>
        <v>-1.4049898974827066E-2</v>
      </c>
      <c r="BT173" s="121">
        <f>Tabella34[[#This Row],[rest of Italy acc. fit]]*NOT(ISBLANK(Tabella34[[#This Row],[rest of Italy rate data]]))</f>
        <v>0</v>
      </c>
      <c r="BU173" s="189"/>
      <c r="BV173" s="122"/>
    </row>
    <row r="174" spans="2:74" x14ac:dyDescent="0.3">
      <c r="B174" s="262">
        <v>43997</v>
      </c>
      <c r="C174" s="4">
        <v>167</v>
      </c>
      <c r="E174" s="10"/>
      <c r="F174" s="10"/>
      <c r="G174" s="121">
        <f>Tabella34[[#This Row],[Italy rate data]]*NOT(ISBLANK(Tabella34[[#This Row],[Italy rate data]]))</f>
        <v>0</v>
      </c>
      <c r="H174" s="143">
        <f>Tabella8[[#This Row],[Italy fit]]</f>
        <v>202376.44198355189</v>
      </c>
      <c r="I174" s="143" t="e">
        <f>(ATANH(alpha*Tabella34[[#This Row],[Italy cumul. Fit]]/Kf-(1-alpha*Tabella34[[#This Row],[Italy cumul. Fit]]/Kf)*TANH(phi_f))+phi_f)/psi_f-(Tabella34[[#This Row],[Day]]-pf)</f>
        <v>#NUM!</v>
      </c>
      <c r="J174" s="143" t="e">
        <f>Tabella34[[#This Row],[Italy d.t.]]/Italy_dt_at_lockdown</f>
        <v>#NUM!</v>
      </c>
      <c r="K174" s="77">
        <f>Tabella34[[#This Row],[Italy cumul. Fit]]/Kf</f>
        <v>0.89945085326023066</v>
      </c>
      <c r="L174" s="146">
        <f>Tabella34[[#This Row],[sel. region acc. fit]]+Tabella34[[#This Row],[rest of Italy acc. fit]]</f>
        <v>-40.596928012167332</v>
      </c>
      <c r="M174" s="77">
        <f>Tabella34[[#This Row],[Italy (fit of selected region + fitted sum of the other regions)]]/(y_l_peak+y_a_peak)</f>
        <v>-1.3534156532617582E-2</v>
      </c>
      <c r="N174" s="143">
        <f>Tabella3[[#This Row],[Italy remov. rate fit]]</f>
        <v>1013.4322380074087</v>
      </c>
      <c r="O174" s="143">
        <f>Kt*EXP(-0.5*Tabella34[[#This Row],[x_t]]^2)/(psi_t*SQRTPI(2)*(Tabella34[[#This Row],[Day]]-D_bk))</f>
        <v>0</v>
      </c>
      <c r="P174" s="183">
        <f>Tabella34[[#This Row],[Italy velocity]]/Tabella34[[#This Row],[Italy cumul. Fit]]</f>
        <v>5.0076591330218924E-3</v>
      </c>
      <c r="Q174" s="244">
        <f>(LN(Tabella34[[#This Row],[Day]]-D_bk)-phi_t)/psi_t</f>
        <v>134.24003243347028</v>
      </c>
      <c r="R174" s="244">
        <f>EXP(phi_t+psi_t*Tabella34[[#This Row],[x_t_alpha©+plus]])-(Tabella34[[#This Row],[Day]]-D_bk)</f>
        <v>-93.271736277364411</v>
      </c>
      <c r="S174" s="244">
        <f>EXP(phi_t+psi_t*Tabella34[[#This Row],[x_t_alpha©-minus]])-(Tabella34[[#This Row],[Day]]-D_bk)</f>
        <v>-93.952761732626328</v>
      </c>
      <c r="T174" s="244">
        <f>-psi_t+SQRT(psi_t^2-2*Tabella34[[#This Row],[c_t]])</f>
        <v>3.8784553179952481</v>
      </c>
      <c r="U174" s="244">
        <f>-psi_t-SQRT(psi_t^2-2*Tabella34[[#This Row],[c_t]])</f>
        <v>-3.9278480524150532</v>
      </c>
      <c r="V174" s="244">
        <f>phi_t-LN(alpha*Kt/(Tabella34[[#This Row],[Italy velocity]]*psi_t*SQRTPI(2)))</f>
        <v>-7.6169915835832205</v>
      </c>
      <c r="W174" s="244">
        <f>Tabella34[[#This Row],[Italy g.r.]]/Italy_gr_at_lockdown</f>
        <v>5.6498534505541936E-3</v>
      </c>
      <c r="X174" s="244">
        <f>(ACOSH(SQRT(alpha*Kf*psi_f/(Tabella34[[#This Row],[Italy velocity]]*(1+TANH(phi_f)))))+phi_f)/psi_f-(Tabella34[[#This Row],[Day]]-pf)</f>
        <v>16.160662525956141</v>
      </c>
      <c r="Y174" s="244">
        <f>Tabella34[[#This Row],[Italy h.t.]]/Italy_ht_at_lockdown</f>
        <v>0.13979375720088641</v>
      </c>
      <c r="Z174" s="72">
        <f>-2*$BY$48*TANH($BY$48*(Tabella34[[#This Row],[Day]]-$BY$57)-$BY$47)*Tabella34[[#This Row],[Italy velocity]]</f>
        <v>-40.738096844703577</v>
      </c>
      <c r="AA174" s="72">
        <f>Tabella34[[#This Row],[Italy acc. fit]]/Itali_acc_at_lockdown</f>
        <v>-1.1282113582728284</v>
      </c>
      <c r="AB174" s="77">
        <f>Tabella34[[#This Row],[Italy acc. fit]]/y_f_peak</f>
        <v>-1.3573004362752081E-2</v>
      </c>
      <c r="AC174" s="143">
        <f>Tabella34[[#This Row],[Italy (fit of selected region + fitted sum of the other regions)]]*NOT(ISBLANK(Tabella34[[#This Row],[Italy rate data]]))</f>
        <v>0</v>
      </c>
      <c r="AD174" s="143">
        <f>Tabella34[[#This Row],[Italy acc. fit]]*NOT(ISBLANK(Tabella34[[#This Row],[Italy rate data]]))</f>
        <v>0</v>
      </c>
      <c r="AE174" s="77">
        <f>Tabella34[[#This Row],[Italy acc. fit]]+CIf</f>
        <v>1674.8767624898478</v>
      </c>
      <c r="AF174" s="77">
        <f>MAX(Tabella34[[#This Row],[Italy acc. fit]]-CIf,0)</f>
        <v>0</v>
      </c>
      <c r="AH174" s="10"/>
      <c r="AI174" s="10"/>
      <c r="AJ174" s="121">
        <f>Tabella34[[#This Row],[selected region rate data]]*NOT(ISBLANK(Tabella34[[#This Row],[selected region rate data]]))</f>
        <v>0</v>
      </c>
      <c r="AK174" s="77">
        <f>Tabella8[[#This Row],[region fit]]</f>
        <v>8388.8639828294927</v>
      </c>
      <c r="AL174" s="143" t="e">
        <f>(ATANH(alpha*Tabella34[[#This Row],[sel. region cumul. fit]]/Kl-(1-alpha*Tabella34[[#This Row],[sel. region cumul. fit]]/Kl)*TANH(phi_l))+phi_l)/psi_l-(Tabella34[[#This Row],[Day]]-pl)</f>
        <v>#NUM!</v>
      </c>
      <c r="AM174" s="77">
        <f>Tabella34[[#This Row],[sel. region cumul. fit]]/Kl</f>
        <v>0.93521337601220655</v>
      </c>
      <c r="AN174" s="143">
        <f>Tabella3[[#This Row],[region fit]]</f>
        <v>30.831311922309357</v>
      </c>
      <c r="AO174" s="186">
        <f>Tabella34[[#This Row],[sel. region velocity]]/Tabella34[[#This Row],[sel. region cumul. fit]]</f>
        <v>3.6752666374631356E-3</v>
      </c>
      <c r="AP174" s="241">
        <f>(LN(Tabella34[[#This Row],[Day]]-pr)-phi_r)/psi_r</f>
        <v>117.41686090414349</v>
      </c>
      <c r="AQ174" s="244">
        <f>EXP(phi_r+psi_r*Tabella34[[#This Row],[x_r_alpha©+plus]])-(Tabella34[[#This Row],[Day]]-pr)</f>
        <v>-88.022990886611296</v>
      </c>
      <c r="AR174" s="244">
        <f>EXP(phi_r+psi_r*Tabella34[[#This Row],[x_r_alpha©-minus]])-(Tabella34[[#This Row],[Day]]-pr)</f>
        <v>-88.769644343987039</v>
      </c>
      <c r="AS174" s="244">
        <f>-psi_r+SQRT(psi_r^2-2*Tabella34[[#This Row],[c_r]])</f>
        <v>3.9236233318322076</v>
      </c>
      <c r="AT174" s="244">
        <f>-psi_r-SQRT(psi_r^2-2*Tabella34[[#This Row],[c_r]])</f>
        <v>-3.9800315702508686</v>
      </c>
      <c r="AU174" s="244">
        <f>phi_r-LN(alpha*Kr/(Tabella34[[#This Row],[sel. region velocity]]*psi_r*SQRTPI(2)))</f>
        <v>-7.808072365232543</v>
      </c>
      <c r="AV174" s="244">
        <f>(ACOSH(SQRT(alpha*Kl*psi_l/(Tabella34[[#This Row],[sel. region velocity]]*(1+TANH(phi_l)))))+phi_l)/psi_l-(Tabella34[[#This Row],[Day]]-pl)</f>
        <v>13.42598062336549</v>
      </c>
      <c r="AW174" s="72">
        <f>-2*$BY$22*TANH($BY$22*(Tabella34[[#This Row],[Day]]-$BY$31)-$BY$21)*Tabella34[[#This Row],[sel. region velocity]]</f>
        <v>-1.5322793187239498</v>
      </c>
      <c r="AX174" s="77">
        <f>Tabella34[[#This Row],[sel. region acc. fit]]/y_l_peak</f>
        <v>-1.1119647004790902E-2</v>
      </c>
      <c r="AY174" s="143">
        <f>Tabella34[[#This Row],[sel. region acc. fit]]*NOT(ISBLANK(Tabella34[[#This Row],[selected region rate data]]))</f>
        <v>0</v>
      </c>
      <c r="AZ174" s="77">
        <f>Tabella34[[#This Row],[sel. region acc. fit]]+CIl</f>
        <v>52.232561090824504</v>
      </c>
      <c r="BA174" s="77">
        <f>MAX(Tabella34[[#This Row],[sel. region acc. fit]]-CIl,0)</f>
        <v>0</v>
      </c>
      <c r="BC174" s="10"/>
      <c r="BD174" s="10"/>
      <c r="BE174" s="77">
        <f>Tabella34[[#This Row],[rest of Italy rate data]]*NOT(ISBLANK(Tabella34[[#This Row],[rest of Italy rate data]]))</f>
        <v>0</v>
      </c>
      <c r="BF174" s="77">
        <f>Tabella8[[#This Row],[rest of Italy fit]]</f>
        <v>193864.79940586383</v>
      </c>
      <c r="BG174" s="78" t="e">
        <f>(ATANH(alpha*Tabella34[[#This Row],[rest of Italy cumul. fit]]/Ka-(1-alpha*Tabella34[[#This Row],[rest of Italy cumul. fit]]/Ka)*TANH(phi_a))+phi_a)/psi_a-(Tabella34[[#This Row],[Day]]-pa)</f>
        <v>#NUM!</v>
      </c>
      <c r="BH174" s="77">
        <f>Tabella34[[#This Row],[rest of Italy cumul. fit]]/Ka</f>
        <v>0.89739758091868638</v>
      </c>
      <c r="BI174" s="143">
        <f>Tabella3[[#This Row],[rest of Italy fit]]</f>
        <v>983.53371180375711</v>
      </c>
      <c r="BJ174" s="183">
        <f>Tabella34[[#This Row],[rest of Italy velocity]]/Tabella34[[#This Row],[rest of Italy cumul. fit]]</f>
        <v>5.0732970339019065E-3</v>
      </c>
      <c r="BK174" s="236">
        <f>(LN(Tabella34[[#This Row],[Day]]-po)-phi_o)/psi_o</f>
        <v>135.43512139526564</v>
      </c>
      <c r="BL174" s="244">
        <f>EXP(phi_o+psi_o*Tabella34[[#This Row],[x_o_alpha©+plus]])-(Tabella34[[#This Row],[Day]]-po)</f>
        <v>-93.435812065938606</v>
      </c>
      <c r="BM174" s="244">
        <f>EXP(phi_o+psi_o*Tabella34[[#This Row],[x_o_alpha©-minus]])-(Tabella34[[#This Row],[Day]]-po)</f>
        <v>-94.10960780560076</v>
      </c>
      <c r="BN174" s="244">
        <f>-psi_o+SQRT(psi_o^2-2*Tabella34[[#This Row],[c_o]])</f>
        <v>3.8786154938173749</v>
      </c>
      <c r="BO174" s="244">
        <f>-psi_o-SQRT(psi_o^2-2*Tabella34[[#This Row],[c_o]])</f>
        <v>-3.9276425793870042</v>
      </c>
      <c r="BP174" s="244">
        <f>phi_o-LN(alpha*Ko/(Tabella34[[#This Row],[rest of Italy velocity]]*psi_o*SQRTPI(2)))</f>
        <v>-7.6169076812936369</v>
      </c>
      <c r="BQ174" s="244">
        <f>(ACOSH(SQRT(alpha*Ka*psi_a/(Tabella34[[#This Row],[rest of Italy velocity]]*(1+TANH(phi_a)))))+phi_a)/psi_a-(Tabella34[[#This Row],[Day]]-pa)</f>
        <v>16.329413014348646</v>
      </c>
      <c r="BR174" s="72">
        <f>-2*$BY$35*TANH($BY$35*(Tabella34[[#This Row],[Day]]-$BY$44)-$BY$34)*Tabella34[[#This Row],[rest of Italy velocity]]</f>
        <v>-39.064648693443381</v>
      </c>
      <c r="BS174" s="77">
        <f>Tabella34[[#This Row],[rest of Italy acc. fit]]/y_a_peak</f>
        <v>-1.3650418564311127E-2</v>
      </c>
      <c r="BT174" s="121">
        <f>Tabella34[[#This Row],[rest of Italy acc. fit]]*NOT(ISBLANK(Tabella34[[#This Row],[rest of Italy rate data]]))</f>
        <v>0</v>
      </c>
      <c r="BU174" s="189"/>
      <c r="BV174" s="122"/>
    </row>
    <row r="175" spans="2:74" x14ac:dyDescent="0.3">
      <c r="B175" s="262">
        <v>43998</v>
      </c>
      <c r="C175" s="4">
        <v>168</v>
      </c>
      <c r="E175" s="10"/>
      <c r="F175" s="10"/>
      <c r="G175" s="121">
        <f>Tabella34[[#This Row],[Italy rate data]]*NOT(ISBLANK(Tabella34[[#This Row],[Italy rate data]]))</f>
        <v>0</v>
      </c>
      <c r="H175" s="143">
        <f>Tabella8[[#This Row],[Italy fit]]</f>
        <v>203369.70855790231</v>
      </c>
      <c r="I175" s="143" t="e">
        <f>(ATANH(alpha*Tabella34[[#This Row],[Italy cumul. Fit]]/Kf-(1-alpha*Tabella34[[#This Row],[Italy cumul. Fit]]/Kf)*TANH(phi_f))+phi_f)/psi_f-(Tabella34[[#This Row],[Day]]-pf)</f>
        <v>#NUM!</v>
      </c>
      <c r="J175" s="143" t="e">
        <f>Tabella34[[#This Row],[Italy d.t.]]/Italy_dt_at_lockdown</f>
        <v>#NUM!</v>
      </c>
      <c r="K175" s="77">
        <f>Tabella34[[#This Row],[Italy cumul. Fit]]/Kf</f>
        <v>0.90386537136845468</v>
      </c>
      <c r="L175" s="146">
        <f>Tabella34[[#This Row],[sel. region acc. fit]]+Tabella34[[#This Row],[rest of Italy acc. fit]]</f>
        <v>-39.386395052832746</v>
      </c>
      <c r="M175" s="77">
        <f>Tabella34[[#This Row],[Italy (fit of selected region + fitted sum of the other regions)]]/(y_l_peak+y_a_peak)</f>
        <v>-1.3130590465879312E-2</v>
      </c>
      <c r="N175" s="143">
        <f>Tabella3[[#This Row],[Italy remov. rate fit]]</f>
        <v>973.304282532348</v>
      </c>
      <c r="O175" s="143">
        <f>Kt*EXP(-0.5*Tabella34[[#This Row],[x_t]]^2)/(psi_t*SQRTPI(2)*(Tabella34[[#This Row],[Day]]-D_bk))</f>
        <v>0</v>
      </c>
      <c r="P175" s="183">
        <f>Tabella34[[#This Row],[Italy velocity]]/Tabella34[[#This Row],[Italy cumul. Fit]]</f>
        <v>4.7858862041651306E-3</v>
      </c>
      <c r="Q175" s="244">
        <f>(LN(Tabella34[[#This Row],[Day]]-D_bk)-phi_t)/psi_t</f>
        <v>134.65467425236065</v>
      </c>
      <c r="R175" s="244">
        <f>EXP(phi_t+psi_t*Tabella34[[#This Row],[x_t_alpha©+plus]])-(Tabella34[[#This Row],[Day]]-D_bk)</f>
        <v>-94.270744601105235</v>
      </c>
      <c r="S175" s="244">
        <f>EXP(phi_t+psi_t*Tabella34[[#This Row],[x_t_alpha©-minus]])-(Tabella34[[#This Row],[Day]]-D_bk)</f>
        <v>-94.953579316973887</v>
      </c>
      <c r="T175" s="244">
        <f>-psi_t+SQRT(psi_t^2-2*Tabella34[[#This Row],[c_t]])</f>
        <v>3.8887925835067083</v>
      </c>
      <c r="U175" s="244">
        <f>-psi_t-SQRT(psi_t^2-2*Tabella34[[#This Row],[c_t]])</f>
        <v>-3.9381853179265134</v>
      </c>
      <c r="V175" s="244">
        <f>phi_t-LN(alpha*Kt/(Tabella34[[#This Row],[Italy velocity]]*psi_t*SQRTPI(2)))</f>
        <v>-7.6573929284138158</v>
      </c>
      <c r="W175" s="244">
        <f>Tabella34[[#This Row],[Italy g.r.]]/Italy_gr_at_lockdown</f>
        <v>5.3996398249744572E-3</v>
      </c>
      <c r="X175" s="244">
        <f>(ACOSH(SQRT(alpha*Kf*psi_f/(Tabella34[[#This Row],[Italy velocity]]*(1+TANH(phi_f)))))+phi_f)/psi_f-(Tabella34[[#This Row],[Day]]-pf)</f>
        <v>16.056048703674577</v>
      </c>
      <c r="Y175" s="244">
        <f>Tabella34[[#This Row],[Italy h.t.]]/Italy_ht_at_lockdown</f>
        <v>0.13888882157412005</v>
      </c>
      <c r="Z175" s="72">
        <f>-2*$BY$48*TANH($BY$48*(Tabella34[[#This Row],[Day]]-$BY$57)-$BY$47)*Tabella34[[#This Row],[Italy velocity]]</f>
        <v>-39.51793089858495</v>
      </c>
      <c r="AA175" s="72">
        <f>Tabella34[[#This Row],[Italy acc. fit]]/Itali_acc_at_lockdown</f>
        <v>-1.0944197679431069</v>
      </c>
      <c r="AB175" s="77">
        <f>Tabella34[[#This Row],[Italy acc. fit]]/y_f_peak</f>
        <v>-1.316647290957491E-2</v>
      </c>
      <c r="AC175" s="143">
        <f>Tabella34[[#This Row],[Italy (fit of selected region + fitted sum of the other regions)]]*NOT(ISBLANK(Tabella34[[#This Row],[Italy rate data]]))</f>
        <v>0</v>
      </c>
      <c r="AD175" s="143">
        <f>Tabella34[[#This Row],[Italy acc. fit]]*NOT(ISBLANK(Tabella34[[#This Row],[Italy rate data]]))</f>
        <v>0</v>
      </c>
      <c r="AE175" s="77">
        <f>Tabella34[[#This Row],[Italy acc. fit]]+CIf</f>
        <v>1676.0969284359662</v>
      </c>
      <c r="AF175" s="77">
        <f>MAX(Tabella34[[#This Row],[Italy acc. fit]]-CIf,0)</f>
        <v>0</v>
      </c>
      <c r="AH175" s="10"/>
      <c r="AI175" s="10"/>
      <c r="AJ175" s="121">
        <f>Tabella34[[#This Row],[selected region rate data]]*NOT(ISBLANK(Tabella34[[#This Row],[selected region rate data]]))</f>
        <v>0</v>
      </c>
      <c r="AK175" s="77">
        <f>Tabella8[[#This Row],[region fit]]</f>
        <v>8418.9399505013425</v>
      </c>
      <c r="AL175" s="143" t="e">
        <f>(ATANH(alpha*Tabella34[[#This Row],[sel. region cumul. fit]]/Kl-(1-alpha*Tabella34[[#This Row],[sel. region cumul. fit]]/Kl)*TANH(phi_l))+phi_l)/psi_l-(Tabella34[[#This Row],[Day]]-pl)</f>
        <v>#NUM!</v>
      </c>
      <c r="AM175" s="77">
        <f>Tabella34[[#This Row],[sel. region cumul. fit]]/Kl</f>
        <v>0.93856632670026119</v>
      </c>
      <c r="AN175" s="143">
        <f>Tabella3[[#This Row],[region fit]]</f>
        <v>29.331350543729314</v>
      </c>
      <c r="AO175" s="186">
        <f>Tabella34[[#This Row],[sel. region velocity]]/Tabella34[[#This Row],[sel. region cumul. fit]]</f>
        <v>3.4839719390067215E-3</v>
      </c>
      <c r="AP175" s="241">
        <f>(LN(Tabella34[[#This Row],[Day]]-pr)-phi_r)/psi_r</f>
        <v>117.80116926731758</v>
      </c>
      <c r="AQ175" s="244">
        <f>EXP(phi_r+psi_r*Tabella34[[#This Row],[x_r_alpha©+plus]])-(Tabella34[[#This Row],[Day]]-pr)</f>
        <v>-89.021662702707317</v>
      </c>
      <c r="AR175" s="244">
        <f>EXP(phi_r+psi_r*Tabella34[[#This Row],[x_r_alpha©-minus]])-(Tabella34[[#This Row],[Day]]-pr)</f>
        <v>-89.770706755690824</v>
      </c>
      <c r="AS175" s="244">
        <f>-psi_r+SQRT(psi_r^2-2*Tabella34[[#This Row],[c_r]])</f>
        <v>3.9362237001366429</v>
      </c>
      <c r="AT175" s="244">
        <f>-psi_r-SQRT(psi_r^2-2*Tabella34[[#This Row],[c_r]])</f>
        <v>-3.992631938555304</v>
      </c>
      <c r="AU175" s="244">
        <f>phi_r-LN(alpha*Kr/(Tabella34[[#This Row],[sel. region velocity]]*psi_r*SQRTPI(2)))</f>
        <v>-7.8579462312319484</v>
      </c>
      <c r="AV175" s="244">
        <f>(ACOSH(SQRT(alpha*Kl*psi_l/(Tabella34[[#This Row],[sel. region velocity]]*(1+TANH(phi_l)))))+phi_l)/psi_l-(Tabella34[[#This Row],[Day]]-pl)</f>
        <v>13.36272905747947</v>
      </c>
      <c r="AW175" s="72">
        <f>-2*$BY$22*TANH($BY$22*(Tabella34[[#This Row],[Day]]-$BY$31)-$BY$21)*Tabella34[[#This Row],[sel. region velocity]]</f>
        <v>-1.4679180039218698</v>
      </c>
      <c r="AX175" s="77">
        <f>Tabella34[[#This Row],[sel. region acc. fit]]/y_l_peak</f>
        <v>-1.0652581312121139E-2</v>
      </c>
      <c r="AY175" s="143">
        <f>Tabella34[[#This Row],[sel. region acc. fit]]*NOT(ISBLANK(Tabella34[[#This Row],[selected region rate data]]))</f>
        <v>0</v>
      </c>
      <c r="AZ175" s="77">
        <f>Tabella34[[#This Row],[sel. region acc. fit]]+CIl</f>
        <v>52.296922405626589</v>
      </c>
      <c r="BA175" s="77">
        <f>MAX(Tabella34[[#This Row],[sel. region acc. fit]]-CIl,0)</f>
        <v>0</v>
      </c>
      <c r="BC175" s="10"/>
      <c r="BD175" s="10"/>
      <c r="BE175" s="77">
        <f>Tabella34[[#This Row],[rest of Italy rate data]]*NOT(ISBLANK(Tabella34[[#This Row],[rest of Italy rate data]]))</f>
        <v>0</v>
      </c>
      <c r="BF175" s="77">
        <f>Tabella8[[#This Row],[rest of Italy fit]]</f>
        <v>194828.99177507692</v>
      </c>
      <c r="BG175" s="78" t="e">
        <f>(ATANH(alpha*Tabella34[[#This Row],[rest of Italy cumul. fit]]/Ka-(1-alpha*Tabella34[[#This Row],[rest of Italy cumul. fit]]/Ka)*TANH(phi_a))+phi_a)/psi_a-(Tabella34[[#This Row],[Day]]-pa)</f>
        <v>#NUM!</v>
      </c>
      <c r="BH175" s="77">
        <f>Tabella34[[#This Row],[rest of Italy cumul. fit]]/Ka</f>
        <v>0.90186081458629319</v>
      </c>
      <c r="BI175" s="143">
        <f>Tabella3[[#This Row],[rest of Italy fit]]</f>
        <v>945.04206568250993</v>
      </c>
      <c r="BJ175" s="183">
        <f>Tabella34[[#This Row],[rest of Italy velocity]]/Tabella34[[#This Row],[rest of Italy cumul. fit]]</f>
        <v>4.8506233957907405E-3</v>
      </c>
      <c r="BK175" s="236">
        <f>(LN(Tabella34[[#This Row],[Day]]-po)-phi_o)/psi_o</f>
        <v>135.85221988569805</v>
      </c>
      <c r="BL175" s="244">
        <f>EXP(phi_o+psi_o*Tabella34[[#This Row],[x_o_alpha©+plus]])-(Tabella34[[#This Row],[Day]]-po)</f>
        <v>-94.434843192606991</v>
      </c>
      <c r="BM175" s="244">
        <f>EXP(phi_o+psi_o*Tabella34[[#This Row],[x_o_alpha©-minus]])-(Tabella34[[#This Row],[Day]]-po)</f>
        <v>-95.110407735770906</v>
      </c>
      <c r="BN175" s="244">
        <f>-psi_o+SQRT(psi_o^2-2*Tabella34[[#This Row],[c_o]])</f>
        <v>3.8888304524072739</v>
      </c>
      <c r="BO175" s="244">
        <f>-psi_o-SQRT(psi_o^2-2*Tabella34[[#This Row],[c_o]])</f>
        <v>-3.9378575379769032</v>
      </c>
      <c r="BP175" s="244">
        <f>phi_o-LN(alpha*Ko/(Tabella34[[#This Row],[rest of Italy velocity]]*psi_o*SQRTPI(2)))</f>
        <v>-7.6568301554630578</v>
      </c>
      <c r="BQ175" s="244">
        <f>(ACOSH(SQRT(alpha*Ka*psi_a/(Tabella34[[#This Row],[rest of Italy velocity]]*(1+TANH(phi_a)))))+phi_a)/psi_a-(Tabella34[[#This Row],[Day]]-pa)</f>
        <v>16.222387592097675</v>
      </c>
      <c r="BR175" s="72">
        <f>-2*$BY$35*TANH($BY$35*(Tabella34[[#This Row],[Day]]-$BY$44)-$BY$34)*Tabella34[[#This Row],[rest of Italy velocity]]</f>
        <v>-37.91847704891088</v>
      </c>
      <c r="BS175" s="77">
        <f>Tabella34[[#This Row],[rest of Italy acc. fit]]/y_a_peak</f>
        <v>-1.3249910093924205E-2</v>
      </c>
      <c r="BT175" s="121">
        <f>Tabella34[[#This Row],[rest of Italy acc. fit]]*NOT(ISBLANK(Tabella34[[#This Row],[rest of Italy rate data]]))</f>
        <v>0</v>
      </c>
      <c r="BU175" s="189"/>
      <c r="BV175" s="122"/>
    </row>
    <row r="176" spans="2:74" x14ac:dyDescent="0.3">
      <c r="B176" s="262">
        <v>43999</v>
      </c>
      <c r="C176" s="4">
        <v>169</v>
      </c>
      <c r="E176" s="10"/>
      <c r="F176" s="10"/>
      <c r="G176" s="121">
        <f>Tabella34[[#This Row],[Italy rate data]]*NOT(ISBLANK(Tabella34[[#This Row],[Italy rate data]]))</f>
        <v>0</v>
      </c>
      <c r="H176" s="143">
        <f>Tabella8[[#This Row],[Italy fit]]</f>
        <v>204323.4569841928</v>
      </c>
      <c r="I176" s="143" t="e">
        <f>(ATANH(alpha*Tabella34[[#This Row],[Italy cumul. Fit]]/Kf-(1-alpha*Tabella34[[#This Row],[Italy cumul. Fit]]/Kf)*TANH(phi_f))+phi_f)/psi_f-(Tabella34[[#This Row],[Day]]-pf)</f>
        <v>#NUM!</v>
      </c>
      <c r="J176" s="143" t="e">
        <f>Tabella34[[#This Row],[Italy d.t.]]/Italy_dt_at_lockdown</f>
        <v>#NUM!</v>
      </c>
      <c r="K176" s="77">
        <f>Tabella34[[#This Row],[Italy cumul. Fit]]/Kf</f>
        <v>0.90810425326307909</v>
      </c>
      <c r="L176" s="146">
        <f>Tabella34[[#This Row],[sel. region acc. fit]]+Tabella34[[#This Row],[rest of Italy acc. fit]]</f>
        <v>-38.178370664009044</v>
      </c>
      <c r="M176" s="77">
        <f>Tabella34[[#This Row],[Italy (fit of selected region + fitted sum of the other regions)]]/(y_l_peak+y_a_peak)</f>
        <v>-1.2727860703453458E-2</v>
      </c>
      <c r="N176" s="143">
        <f>Tabella3[[#This Row],[Italy remov. rate fit]]</f>
        <v>934.39550952207082</v>
      </c>
      <c r="O176" s="143">
        <f>Kt*EXP(-0.5*Tabella34[[#This Row],[x_t]]^2)/(psi_t*SQRTPI(2)*(Tabella34[[#This Row],[Day]]-D_bk))</f>
        <v>0</v>
      </c>
      <c r="P176" s="183">
        <f>Tabella34[[#This Row],[Italy velocity]]/Tabella34[[#This Row],[Italy cumul. Fit]]</f>
        <v>4.573119128433497E-3</v>
      </c>
      <c r="Q176" s="244">
        <f>(LN(Tabella34[[#This Row],[Day]]-D_bk)-phi_t)/psi_t</f>
        <v>135.06511308111121</v>
      </c>
      <c r="R176" s="244">
        <f>EXP(phi_t+psi_t*Tabella34[[#This Row],[x_t_alpha©+plus]])-(Tabella34[[#This Row],[Day]]-D_bk)</f>
        <v>-95.269745609479742</v>
      </c>
      <c r="S176" s="244">
        <f>EXP(phi_t+psi_t*Tabella34[[#This Row],[x_t_alpha©-minus]])-(Tabella34[[#This Row],[Day]]-D_bk)</f>
        <v>-95.954402510536937</v>
      </c>
      <c r="T176" s="244">
        <f>-psi_t+SQRT(psi_t^2-2*Tabella34[[#This Row],[c_t]])</f>
        <v>3.8992034370148749</v>
      </c>
      <c r="U176" s="244">
        <f>-psi_t-SQRT(psi_t^2-2*Tabella34[[#This Row],[c_t]])</f>
        <v>-3.94859617143468</v>
      </c>
      <c r="V176" s="244">
        <f>phi_t-LN(alpha*Kt/(Tabella34[[#This Row],[Italy velocity]]*psi_t*SQRTPI(2)))</f>
        <v>-7.69818988152094</v>
      </c>
      <c r="W176" s="244">
        <f>Tabella34[[#This Row],[Italy g.r.]]/Italy_gr_at_lockdown</f>
        <v>5.159586984903995E-3</v>
      </c>
      <c r="X176" s="244">
        <f>(ACOSH(SQRT(alpha*Kf*psi_f/(Tabella34[[#This Row],[Italy velocity]]*(1+TANH(phi_f)))))+phi_f)/psi_f-(Tabella34[[#This Row],[Day]]-pf)</f>
        <v>15.956657308405411</v>
      </c>
      <c r="Y176" s="244">
        <f>Tabella34[[#This Row],[Italy h.t.]]/Italy_ht_at_lockdown</f>
        <v>0.13802906124215353</v>
      </c>
      <c r="Z176" s="72">
        <f>-2*$BY$48*TANH($BY$48*(Tabella34[[#This Row],[Day]]-$BY$57)-$BY$47)*Tabella34[[#This Row],[Italy velocity]]</f>
        <v>-38.300353273864133</v>
      </c>
      <c r="AA176" s="72">
        <f>Tabella34[[#This Row],[Italy acc. fit]]/Itali_acc_at_lockdown</f>
        <v>-1.060699859253571</v>
      </c>
      <c r="AB176" s="77">
        <f>Tabella34[[#This Row],[Italy acc. fit]]/y_f_peak</f>
        <v>-1.2760803826030729E-2</v>
      </c>
      <c r="AC176" s="143">
        <f>Tabella34[[#This Row],[Italy (fit of selected region + fitted sum of the other regions)]]*NOT(ISBLANK(Tabella34[[#This Row],[Italy rate data]]))</f>
        <v>0</v>
      </c>
      <c r="AD176" s="143">
        <f>Tabella34[[#This Row],[Italy acc. fit]]*NOT(ISBLANK(Tabella34[[#This Row],[Italy rate data]]))</f>
        <v>0</v>
      </c>
      <c r="AE176" s="77">
        <f>Tabella34[[#This Row],[Italy acc. fit]]+CIf</f>
        <v>1677.3145060606871</v>
      </c>
      <c r="AF176" s="77">
        <f>MAX(Tabella34[[#This Row],[Italy acc. fit]]-CIf,0)</f>
        <v>0</v>
      </c>
      <c r="AH176" s="10"/>
      <c r="AI176" s="10"/>
      <c r="AJ176" s="121">
        <f>Tabella34[[#This Row],[selected region rate data]]*NOT(ISBLANK(Tabella34[[#This Row],[selected region rate data]]))</f>
        <v>0</v>
      </c>
      <c r="AK176" s="77">
        <f>Tabella8[[#This Row],[region fit]]</f>
        <v>8447.5478595373115</v>
      </c>
      <c r="AL176" s="143" t="e">
        <f>(ATANH(alpha*Tabella34[[#This Row],[sel. region cumul. fit]]/Kl-(1-alpha*Tabella34[[#This Row],[sel. region cumul. fit]]/Kl)*TANH(phi_l))+phi_l)/psi_l-(Tabella34[[#This Row],[Day]]-pl)</f>
        <v>#NUM!</v>
      </c>
      <c r="AM176" s="77">
        <f>Tabella34[[#This Row],[sel. region cumul. fit]]/Kl</f>
        <v>0.94175561421820642</v>
      </c>
      <c r="AN176" s="143">
        <f>Tabella3[[#This Row],[region fit]]</f>
        <v>27.894913483536055</v>
      </c>
      <c r="AO176" s="186">
        <f>Tabella34[[#This Row],[sel. region velocity]]/Tabella34[[#This Row],[sel. region cumul. fit]]</f>
        <v>3.3021314525069662E-3</v>
      </c>
      <c r="AP176" s="241">
        <f>(LN(Tabella34[[#This Row],[Day]]-pr)-phi_r)/psi_r</f>
        <v>118.1813567089071</v>
      </c>
      <c r="AQ176" s="244">
        <f>EXP(phi_r+psi_r*Tabella34[[#This Row],[x_r_alpha©+plus]])-(Tabella34[[#This Row],[Day]]-pr)</f>
        <v>-90.020329275180345</v>
      </c>
      <c r="AR176" s="244">
        <f>EXP(phi_r+psi_r*Tabella34[[#This Row],[x_r_alpha©-minus]])-(Tabella34[[#This Row],[Day]]-pr)</f>
        <v>-90.771772602561839</v>
      </c>
      <c r="AS176" s="244">
        <f>-psi_r+SQRT(psi_r^2-2*Tabella34[[#This Row],[c_r]])</f>
        <v>3.9488693113521709</v>
      </c>
      <c r="AT176" s="244">
        <f>-psi_r-SQRT(psi_r^2-2*Tabella34[[#This Row],[c_r]])</f>
        <v>-4.0052775497708319</v>
      </c>
      <c r="AU176" s="244">
        <f>phi_r-LN(alpha*Kr/(Tabella34[[#This Row],[sel. region velocity]]*psi_r*SQRTPI(2)))</f>
        <v>-7.9081587998689278</v>
      </c>
      <c r="AV176" s="244">
        <f>(ACOSH(SQRT(alpha*Kl*psi_l/(Tabella34[[#This Row],[sel. region velocity]]*(1+TANH(phi_l)))))+phi_l)/psi_l-(Tabella34[[#This Row],[Day]]-pl)</f>
        <v>13.303032190349612</v>
      </c>
      <c r="AW176" s="72">
        <f>-2*$BY$22*TANH($BY$22*(Tabella34[[#This Row],[Day]]-$BY$31)-$BY$21)*Tabella34[[#This Row],[sel. region velocity]]</f>
        <v>-1.4052434005175345</v>
      </c>
      <c r="AX176" s="77">
        <f>Tabella34[[#This Row],[sel. region acc. fit]]/y_l_peak</f>
        <v>-1.0197755969570765E-2</v>
      </c>
      <c r="AY176" s="143">
        <f>Tabella34[[#This Row],[sel. region acc. fit]]*NOT(ISBLANK(Tabella34[[#This Row],[selected region rate data]]))</f>
        <v>0</v>
      </c>
      <c r="AZ176" s="77">
        <f>Tabella34[[#This Row],[sel. region acc. fit]]+CIl</f>
        <v>52.359597009030921</v>
      </c>
      <c r="BA176" s="77">
        <f>MAX(Tabella34[[#This Row],[sel. region acc. fit]]-CIl,0)</f>
        <v>0</v>
      </c>
      <c r="BC176" s="10"/>
      <c r="BD176" s="10"/>
      <c r="BE176" s="77">
        <f>Tabella34[[#This Row],[rest of Italy rate data]]*NOT(ISBLANK(Tabella34[[#This Row],[rest of Italy rate data]]))</f>
        <v>0</v>
      </c>
      <c r="BF176" s="77">
        <f>Tabella8[[#This Row],[rest of Italy fit]]</f>
        <v>195755.26559738416</v>
      </c>
      <c r="BG176" s="78" t="e">
        <f>(ATANH(alpha*Tabella34[[#This Row],[rest of Italy cumul. fit]]/Ka-(1-alpha*Tabella34[[#This Row],[rest of Italy cumul. fit]]/Ka)*TANH(phi_a))+phi_a)/psi_a-(Tabella34[[#This Row],[Day]]-pa)</f>
        <v>#NUM!</v>
      </c>
      <c r="BH176" s="77">
        <f>Tabella34[[#This Row],[rest of Italy cumul. fit]]/Ka</f>
        <v>0.90614852380402799</v>
      </c>
      <c r="BI176" s="143">
        <f>Tabella3[[#This Row],[rest of Italy fit]]</f>
        <v>907.69648010304866</v>
      </c>
      <c r="BJ176" s="183">
        <f>Tabella34[[#This Row],[rest of Italy velocity]]/Tabella34[[#This Row],[rest of Italy cumul. fit]]</f>
        <v>4.6368943248246298E-3</v>
      </c>
      <c r="BK176" s="236">
        <f>(LN(Tabella34[[#This Row],[Day]]-po)-phi_o)/psi_o</f>
        <v>136.26509685369587</v>
      </c>
      <c r="BL176" s="244">
        <f>EXP(phi_o+psi_o*Tabella34[[#This Row],[x_o_alpha©+plus]])-(Tabella34[[#This Row],[Day]]-po)</f>
        <v>-95.433867001394475</v>
      </c>
      <c r="BM176" s="244">
        <f>EXP(phi_o+psi_o*Tabella34[[#This Row],[x_o_alpha©-minus]])-(Tabella34[[#This Row],[Day]]-po)</f>
        <v>-96.111213302787604</v>
      </c>
      <c r="BN176" s="244">
        <f>-psi_o+SQRT(psi_o^2-2*Tabella34[[#This Row],[c_o]])</f>
        <v>3.8991199780987067</v>
      </c>
      <c r="BO176" s="244">
        <f>-psi_o-SQRT(psi_o^2-2*Tabella34[[#This Row],[c_o]])</f>
        <v>-3.948147063668336</v>
      </c>
      <c r="BP176" s="244">
        <f>phi_o-LN(alpha*Ko/(Tabella34[[#This Row],[rest of Italy velocity]]*psi_o*SQRTPI(2)))</f>
        <v>-7.6971495462104782</v>
      </c>
      <c r="BQ176" s="244">
        <f>(ACOSH(SQRT(alpha*Ka*psi_a/(Tabella34[[#This Row],[rest of Italy velocity]]*(1+TANH(phi_a)))))+phi_a)/psi_a-(Tabella34[[#This Row],[Day]]-pa)</f>
        <v>16.120669160557682</v>
      </c>
      <c r="BR176" s="72">
        <f>-2*$BY$35*TANH($BY$35*(Tabella34[[#This Row],[Day]]-$BY$44)-$BY$34)*Tabella34[[#This Row],[rest of Italy velocity]]</f>
        <v>-36.77312726349151</v>
      </c>
      <c r="BS176" s="77">
        <f>Tabella34[[#This Row],[rest of Italy acc. fit]]/y_a_peak</f>
        <v>-1.2849688806995227E-2</v>
      </c>
      <c r="BT176" s="121">
        <f>Tabella34[[#This Row],[rest of Italy acc. fit]]*NOT(ISBLANK(Tabella34[[#This Row],[rest of Italy rate data]]))</f>
        <v>0</v>
      </c>
      <c r="BU176" s="189"/>
      <c r="BV176" s="122"/>
    </row>
    <row r="177" spans="2:74" x14ac:dyDescent="0.3">
      <c r="B177" s="262">
        <v>44000</v>
      </c>
      <c r="C177" s="4">
        <v>170</v>
      </c>
      <c r="E177" s="10"/>
      <c r="F177" s="10"/>
      <c r="G177" s="121">
        <f>Tabella34[[#This Row],[Italy rate data]]*NOT(ISBLANK(Tabella34[[#This Row],[Italy rate data]]))</f>
        <v>0</v>
      </c>
      <c r="H177" s="143">
        <f>Tabella8[[#This Row],[Italy fit]]</f>
        <v>205238.90454390828</v>
      </c>
      <c r="I177" s="143" t="e">
        <f>(ATANH(alpha*Tabella34[[#This Row],[Italy cumul. Fit]]/Kf-(1-alpha*Tabella34[[#This Row],[Italy cumul. Fit]]/Kf)*TANH(phi_f))+phi_f)/psi_f-(Tabella34[[#This Row],[Day]]-pf)</f>
        <v>#NUM!</v>
      </c>
      <c r="J177" s="143" t="e">
        <f>Tabella34[[#This Row],[Italy d.t.]]/Italy_dt_at_lockdown</f>
        <v>#NUM!</v>
      </c>
      <c r="K177" s="77">
        <f>Tabella34[[#This Row],[Italy cumul. Fit]]/Kf</f>
        <v>0.91217290908403681</v>
      </c>
      <c r="L177" s="146">
        <f>Tabella34[[#This Row],[sel. region acc. fit]]+Tabella34[[#This Row],[rest of Italy acc. fit]]</f>
        <v>-36.976358394963945</v>
      </c>
      <c r="M177" s="77">
        <f>Tabella34[[#This Row],[Italy (fit of selected region + fitted sum of the other regions)]]/(y_l_peak+y_a_peak)</f>
        <v>-1.2327135254510438E-2</v>
      </c>
      <c r="N177" s="143">
        <f>Tabella3[[#This Row],[Italy remov. rate fit]]</f>
        <v>896.7015246654978</v>
      </c>
      <c r="O177" s="143">
        <f>Kt*EXP(-0.5*Tabella34[[#This Row],[x_t]]^2)/(psi_t*SQRTPI(2)*(Tabella34[[#This Row],[Day]]-D_bk))</f>
        <v>0</v>
      </c>
      <c r="P177" s="183">
        <f>Tabella34[[#This Row],[Italy velocity]]/Tabella34[[#This Row],[Italy cumul. Fit]]</f>
        <v>4.3690621261996644E-3</v>
      </c>
      <c r="Q177" s="244">
        <f>(LN(Tabella34[[#This Row],[Day]]-D_bk)-phi_t)/psi_t</f>
        <v>135.4714332720834</v>
      </c>
      <c r="R177" s="244">
        <f>EXP(phi_t+psi_t*Tabella34[[#This Row],[x_t_alpha©+plus]])-(Tabella34[[#This Row],[Day]]-D_bk)</f>
        <v>-96.26873973887686</v>
      </c>
      <c r="S177" s="244">
        <f>EXP(phi_t+psi_t*Tabella34[[#This Row],[x_t_alpha©-minus]])-(Tabella34[[#This Row],[Day]]-D_bk)</f>
        <v>-96.955230945026145</v>
      </c>
      <c r="T177" s="244">
        <f>-psi_t+SQRT(psi_t^2-2*Tabella34[[#This Row],[c_t]])</f>
        <v>3.9096832750875108</v>
      </c>
      <c r="U177" s="244">
        <f>-psi_t-SQRT(psi_t^2-2*Tabella34[[#This Row],[c_t]])</f>
        <v>-3.9590760095073159</v>
      </c>
      <c r="V177" s="244">
        <f>phi_t-LN(alpha*Kt/(Tabella34[[#This Row],[Italy velocity]]*psi_t*SQRTPI(2)))</f>
        <v>-7.7393666295854784</v>
      </c>
      <c r="W177" s="244">
        <f>Tabella34[[#This Row],[Italy g.r.]]/Italy_gr_at_lockdown</f>
        <v>4.9293612192207693E-3</v>
      </c>
      <c r="X177" s="244">
        <f>(ACOSH(SQRT(alpha*Kf*psi_f/(Tabella34[[#This Row],[Italy velocity]]*(1+TANH(phi_f)))))+phi_f)/psi_f-(Tabella34[[#This Row],[Day]]-pf)</f>
        <v>15.862221946213424</v>
      </c>
      <c r="Y177" s="244">
        <f>Tabella34[[#This Row],[Italy h.t.]]/Italy_ht_at_lockdown</f>
        <v>0.13721217183107642</v>
      </c>
      <c r="Z177" s="72">
        <f>-2*$BY$48*TANH($BY$48*(Tabella34[[#This Row],[Day]]-$BY$57)-$BY$47)*Tabella34[[#This Row],[Italy velocity]]</f>
        <v>-37.088918293587767</v>
      </c>
      <c r="AA177" s="72">
        <f>Tabella34[[#This Row],[Italy acc. fit]]/Itali_acc_at_lockdown</f>
        <v>-1.027150066543151</v>
      </c>
      <c r="AB177" s="77">
        <f>Tabella34[[#This Row],[Italy acc. fit]]/y_f_peak</f>
        <v>-1.2357181331461022E-2</v>
      </c>
      <c r="AC177" s="143">
        <f>Tabella34[[#This Row],[Italy (fit of selected region + fitted sum of the other regions)]]*NOT(ISBLANK(Tabella34[[#This Row],[Italy rate data]]))</f>
        <v>0</v>
      </c>
      <c r="AD177" s="143">
        <f>Tabella34[[#This Row],[Italy acc. fit]]*NOT(ISBLANK(Tabella34[[#This Row],[Italy rate data]]))</f>
        <v>0</v>
      </c>
      <c r="AE177" s="77">
        <f>Tabella34[[#This Row],[Italy acc. fit]]+CIf</f>
        <v>1678.5259410409635</v>
      </c>
      <c r="AF177" s="77">
        <f>MAX(Tabella34[[#This Row],[Italy acc. fit]]-CIf,0)</f>
        <v>0</v>
      </c>
      <c r="AH177" s="10"/>
      <c r="AI177" s="10"/>
      <c r="AJ177" s="121">
        <f>Tabella34[[#This Row],[selected region rate data]]*NOT(ISBLANK(Tabella34[[#This Row],[selected region rate data]]))</f>
        <v>0</v>
      </c>
      <c r="AK177" s="77">
        <f>Tabella8[[#This Row],[region fit]]</f>
        <v>8474.7503788905124</v>
      </c>
      <c r="AL177" s="143" t="e">
        <f>(ATANH(alpha*Tabella34[[#This Row],[sel. region cumul. fit]]/Kl-(1-alpha*Tabella34[[#This Row],[sel. region cumul. fit]]/Kl)*TANH(phi_l))+phi_l)/psi_l-(Tabella34[[#This Row],[Day]]-pl)</f>
        <v>#NUM!</v>
      </c>
      <c r="AM177" s="77">
        <f>Tabella34[[#This Row],[sel. region cumul. fit]]/Kl</f>
        <v>0.94478822507140603</v>
      </c>
      <c r="AN177" s="143">
        <f>Tabella3[[#This Row],[region fit]]</f>
        <v>26.520278701786186</v>
      </c>
      <c r="AO177" s="186">
        <f>Tabella34[[#This Row],[sel. region velocity]]/Tabella34[[#This Row],[sel. region cumul. fit]]</f>
        <v>3.129328595665155E-3</v>
      </c>
      <c r="AP177" s="241">
        <f>(LN(Tabella34[[#This Row],[Day]]-pr)-phi_r)/psi_r</f>
        <v>118.55751066904418</v>
      </c>
      <c r="AQ177" s="244">
        <f>EXP(phi_r+psi_r*Tabella34[[#This Row],[x_r_alpha©+plus]])-(Tabella34[[#This Row],[Day]]-pr)</f>
        <v>-91.018991082727652</v>
      </c>
      <c r="AR177" s="244">
        <f>EXP(phi_r+psi_r*Tabella34[[#This Row],[x_r_alpha©-minus]])-(Tabella34[[#This Row],[Day]]-pr)</f>
        <v>-91.772841494217928</v>
      </c>
      <c r="AS177" s="244">
        <f>-psi_r+SQRT(psi_r^2-2*Tabella34[[#This Row],[c_r]])</f>
        <v>3.9615555781779381</v>
      </c>
      <c r="AT177" s="244">
        <f>-psi_r-SQRT(psi_r^2-2*Tabella34[[#This Row],[c_r]])</f>
        <v>-4.0179638165965992</v>
      </c>
      <c r="AU177" s="244">
        <f>phi_r-LN(alpha*Kr/(Tabella34[[#This Row],[sel. region velocity]]*psi_r*SQRTPI(2)))</f>
        <v>-7.9586934852776876</v>
      </c>
      <c r="AV177" s="244">
        <f>(ACOSH(SQRT(alpha*Kl*psi_l/(Tabella34[[#This Row],[sel. region velocity]]*(1+TANH(phi_l)))))+phi_l)/psi_l-(Tabella34[[#This Row],[Day]]-pl)</f>
        <v>13.246686571261037</v>
      </c>
      <c r="AW177" s="72">
        <f>-2*$BY$22*TANH($BY$22*(Tabella34[[#This Row],[Day]]-$BY$31)-$BY$21)*Tabella34[[#This Row],[sel. region velocity]]</f>
        <v>-1.3443233912104036</v>
      </c>
      <c r="AX177" s="77">
        <f>Tabella34[[#This Row],[sel. region acc. fit]]/y_l_peak</f>
        <v>-9.7556635972818762E-3</v>
      </c>
      <c r="AY177" s="143">
        <f>Tabella34[[#This Row],[sel. region acc. fit]]*NOT(ISBLANK(Tabella34[[#This Row],[selected region rate data]]))</f>
        <v>0</v>
      </c>
      <c r="AZ177" s="77">
        <f>Tabella34[[#This Row],[sel. region acc. fit]]+CIl</f>
        <v>52.420517018338053</v>
      </c>
      <c r="BA177" s="77">
        <f>MAX(Tabella34[[#This Row],[sel. region acc. fit]]-CIl,0)</f>
        <v>0</v>
      </c>
      <c r="BC177" s="10"/>
      <c r="BD177" s="10"/>
      <c r="BE177" s="77">
        <f>Tabella34[[#This Row],[rest of Italy rate data]]*NOT(ISBLANK(Tabella34[[#This Row],[rest of Italy rate data]]))</f>
        <v>0</v>
      </c>
      <c r="BF177" s="77">
        <f>Tabella8[[#This Row],[rest of Italy fit]]</f>
        <v>196644.76593631165</v>
      </c>
      <c r="BG177" s="78" t="e">
        <f>(ATANH(alpha*Tabella34[[#This Row],[rest of Italy cumul. fit]]/Ka-(1-alpha*Tabella34[[#This Row],[rest of Italy cumul. fit]]/Ka)*TANH(phi_a))+phi_a)/psi_a-(Tabella34[[#This Row],[Day]]-pa)</f>
        <v>#NUM!</v>
      </c>
      <c r="BH177" s="77">
        <f>Tabella34[[#This Row],[rest of Italy cumul. fit]]/Ka</f>
        <v>0.91026600905574062</v>
      </c>
      <c r="BI177" s="143">
        <f>Tabella3[[#This Row],[rest of Italy fit]]</f>
        <v>871.49438845389989</v>
      </c>
      <c r="BJ177" s="183">
        <f>Tabella34[[#This Row],[rest of Italy velocity]]/Tabella34[[#This Row],[rest of Italy cumul. fit]]</f>
        <v>4.4318209249269071E-3</v>
      </c>
      <c r="BK177" s="236">
        <f>(LN(Tabella34[[#This Row],[Day]]-po)-phi_o)/psi_o</f>
        <v>136.67383689719037</v>
      </c>
      <c r="BL177" s="244">
        <f>EXP(phi_o+psi_o*Tabella34[[#This Row],[x_o_alpha©+plus]])-(Tabella34[[#This Row],[Day]]-po)</f>
        <v>-96.432883920786765</v>
      </c>
      <c r="BM177" s="244">
        <f>EXP(phi_o+psi_o*Tabella34[[#This Row],[x_o_alpha©-minus]])-(Tabella34[[#This Row],[Day]]-po)</f>
        <v>-97.112024144495436</v>
      </c>
      <c r="BN177" s="244">
        <f>-psi_o+SQRT(psi_o^2-2*Tabella34[[#This Row],[c_o]])</f>
        <v>3.9094794991047523</v>
      </c>
      <c r="BO177" s="244">
        <f>-psi_o-SQRT(psi_o^2-2*Tabella34[[#This Row],[c_o]])</f>
        <v>-3.9585065846743817</v>
      </c>
      <c r="BP177" s="244">
        <f>phi_o-LN(alpha*Ko/(Tabella34[[#This Row],[rest of Italy velocity]]*psi_o*SQRTPI(2)))</f>
        <v>-7.7378501699278326</v>
      </c>
      <c r="BQ177" s="244">
        <f>(ACOSH(SQRT(alpha*Ka*psi_a/(Tabella34[[#This Row],[rest of Italy velocity]]*(1+TANH(phi_a)))))+phi_a)/psi_a-(Tabella34[[#This Row],[Day]]-pa)</f>
        <v>16.023988824518881</v>
      </c>
      <c r="BR177" s="72">
        <f>-2*$BY$35*TANH($BY$35*(Tabella34[[#This Row],[Day]]-$BY$44)-$BY$34)*Tabella34[[#This Row],[rest of Italy velocity]]</f>
        <v>-35.632035003753543</v>
      </c>
      <c r="BS177" s="77">
        <f>Tabella34[[#This Row],[rest of Italy acc. fit]]/y_a_peak</f>
        <v>-1.2450955233626802E-2</v>
      </c>
      <c r="BT177" s="121">
        <f>Tabella34[[#This Row],[rest of Italy acc. fit]]*NOT(ISBLANK(Tabella34[[#This Row],[rest of Italy rate data]]))</f>
        <v>0</v>
      </c>
      <c r="BU177" s="189"/>
      <c r="BV177" s="122"/>
    </row>
    <row r="178" spans="2:74" x14ac:dyDescent="0.3">
      <c r="B178" s="262">
        <v>44001</v>
      </c>
      <c r="C178" s="4">
        <v>171</v>
      </c>
      <c r="E178" s="10"/>
      <c r="F178" s="10"/>
      <c r="G178" s="121">
        <f>Tabella34[[#This Row],[Italy rate data]]*NOT(ISBLANK(Tabella34[[#This Row],[Italy rate data]]))</f>
        <v>0</v>
      </c>
      <c r="H178" s="143">
        <f>Tabella8[[#This Row],[Italy fit]]</f>
        <v>206117.26240416378</v>
      </c>
      <c r="I178" s="143" t="e">
        <f>(ATANH(alpha*Tabella34[[#This Row],[Italy cumul. Fit]]/Kf-(1-alpha*Tabella34[[#This Row],[Italy cumul. Fit]]/Kf)*TANH(phi_f))+phi_f)/psi_f-(Tabella34[[#This Row],[Day]]-pf)</f>
        <v>#NUM!</v>
      </c>
      <c r="J178" s="143" t="e">
        <f>Tabella34[[#This Row],[Italy d.t.]]/Italy_dt_at_lockdown</f>
        <v>#NUM!</v>
      </c>
      <c r="K178" s="77">
        <f>Tabella34[[#This Row],[Italy cumul. Fit]]/Kf</f>
        <v>0.91607672179628341</v>
      </c>
      <c r="L178" s="146">
        <f>Tabella34[[#This Row],[sel. region acc. fit]]+Tabella34[[#This Row],[rest of Italy acc. fit]]</f>
        <v>-35.783528714122482</v>
      </c>
      <c r="M178" s="77">
        <f>Tabella34[[#This Row],[Italy (fit of selected region + fitted sum of the other regions)]]/(y_l_peak+y_a_peak)</f>
        <v>-1.1929471086117643E-2</v>
      </c>
      <c r="N178" s="143">
        <f>Tabella3[[#This Row],[Italy remov. rate fit]]</f>
        <v>860.21455007562406</v>
      </c>
      <c r="O178" s="143">
        <f>Kt*EXP(-0.5*Tabella34[[#This Row],[x_t]]^2)/(psi_t*SQRTPI(2)*(Tabella34[[#This Row],[Day]]-D_bk))</f>
        <v>0</v>
      </c>
      <c r="P178" s="183">
        <f>Tabella34[[#This Row],[Italy velocity]]/Tabella34[[#This Row],[Italy cumul. Fit]]</f>
        <v>4.1734231283786297E-3</v>
      </c>
      <c r="Q178" s="244">
        <f>(LN(Tabella34[[#This Row],[Day]]-D_bk)-phi_t)/psi_t</f>
        <v>135.87371666346874</v>
      </c>
      <c r="R178" s="244">
        <f>EXP(phi_t+psi_t*Tabella34[[#This Row],[x_t_alpha©+plus]])-(Tabella34[[#This Row],[Day]]-D_bk)</f>
        <v>-97.267727409757299</v>
      </c>
      <c r="S178" s="244">
        <f>EXP(phi_t+psi_t*Tabella34[[#This Row],[x_t_alpha©-minus]])-(Tabella34[[#This Row],[Day]]-D_bk)</f>
        <v>-97.956064265955277</v>
      </c>
      <c r="T178" s="244">
        <f>-psi_t+SQRT(psi_t^2-2*Tabella34[[#This Row],[c_t]])</f>
        <v>3.9202276645454495</v>
      </c>
      <c r="U178" s="244">
        <f>-psi_t-SQRT(psi_t^2-2*Tabella34[[#This Row],[c_t]])</f>
        <v>-3.9696203989652545</v>
      </c>
      <c r="V178" s="244">
        <f>phi_t-LN(alpha*Kt/(Tabella34[[#This Row],[Italy velocity]]*psi_t*SQRTPI(2)))</f>
        <v>-7.7809078528837672</v>
      </c>
      <c r="W178" s="244">
        <f>Tabella34[[#This Row],[Italy g.r.]]/Italy_gr_at_lockdown</f>
        <v>4.7086330031939879E-3</v>
      </c>
      <c r="X178" s="244">
        <f>(ACOSH(SQRT(alpha*Kf*psi_f/(Tabella34[[#This Row],[Italy velocity]]*(1+TANH(phi_f)))))+phi_f)/psi_f-(Tabella34[[#This Row],[Day]]-pf)</f>
        <v>15.772490119007955</v>
      </c>
      <c r="Y178" s="244">
        <f>Tabella34[[#This Row],[Italy h.t.]]/Italy_ht_at_lockdown</f>
        <v>0.1364359691694958</v>
      </c>
      <c r="Z178" s="72">
        <f>-2*$BY$48*TANH($BY$48*(Tabella34[[#This Row],[Day]]-$BY$57)-$BY$47)*Tabella34[[#This Row],[Italy velocity]]</f>
        <v>-35.886841053245284</v>
      </c>
      <c r="AA178" s="72">
        <f>Tabella34[[#This Row],[Italy acc. fit]]/Itali_acc_at_lockdown</f>
        <v>-0.9938594294953389</v>
      </c>
      <c r="AB178" s="77">
        <f>Tabella34[[#This Row],[Italy acc. fit]]/y_f_peak</f>
        <v>-1.1956676622325236E-2</v>
      </c>
      <c r="AC178" s="143">
        <f>Tabella34[[#This Row],[Italy (fit of selected region + fitted sum of the other regions)]]*NOT(ISBLANK(Tabella34[[#This Row],[Italy rate data]]))</f>
        <v>0</v>
      </c>
      <c r="AD178" s="143">
        <f>Tabella34[[#This Row],[Italy acc. fit]]*NOT(ISBLANK(Tabella34[[#This Row],[Italy rate data]]))</f>
        <v>0</v>
      </c>
      <c r="AE178" s="77">
        <f>Tabella34[[#This Row],[Italy acc. fit]]+CIf</f>
        <v>1679.728018281306</v>
      </c>
      <c r="AF178" s="77">
        <f>MAX(Tabella34[[#This Row],[Italy acc. fit]]-CIf,0)</f>
        <v>0</v>
      </c>
      <c r="AH178" s="10"/>
      <c r="AI178" s="10"/>
      <c r="AJ178" s="121">
        <f>Tabella34[[#This Row],[selected region rate data]]*NOT(ISBLANK(Tabella34[[#This Row],[selected region rate data]]))</f>
        <v>0</v>
      </c>
      <c r="AK178" s="77">
        <f>Tabella8[[#This Row],[region fit]]</f>
        <v>8500.6084242419001</v>
      </c>
      <c r="AL178" s="143" t="e">
        <f>(ATANH(alpha*Tabella34[[#This Row],[sel. region cumul. fit]]/Kl-(1-alpha*Tabella34[[#This Row],[sel. region cumul. fit]]/Kl)*TANH(phi_l))+phi_l)/psi_l-(Tabella34[[#This Row],[Day]]-pl)</f>
        <v>#NUM!</v>
      </c>
      <c r="AM178" s="77">
        <f>Tabella34[[#This Row],[sel. region cumul. fit]]/Kl</f>
        <v>0.9476709503056745</v>
      </c>
      <c r="AN178" s="143">
        <f>Tabella3[[#This Row],[region fit]]</f>
        <v>25.20566433837832</v>
      </c>
      <c r="AO178" s="186">
        <f>Tabella34[[#This Row],[sel. region velocity]]/Tabella34[[#This Row],[sel. region cumul. fit]]</f>
        <v>2.9651600309569849E-3</v>
      </c>
      <c r="AP178" s="241">
        <f>(LN(Tabella34[[#This Row],[Day]]-pr)-phi_r)/psi_r</f>
        <v>118.92971583401763</v>
      </c>
      <c r="AQ178" s="244">
        <f>EXP(phi_r+psi_r*Tabella34[[#This Row],[x_r_alpha©+plus]])-(Tabella34[[#This Row],[Day]]-pr)</f>
        <v>-92.017648579909235</v>
      </c>
      <c r="AR178" s="244">
        <f>EXP(phi_r+psi_r*Tabella34[[#This Row],[x_r_alpha©-minus]])-(Tabella34[[#This Row],[Day]]-pr)</f>
        <v>-92.773913060616252</v>
      </c>
      <c r="AS178" s="244">
        <f>-psi_r+SQRT(psi_r^2-2*Tabella34[[#This Row],[c_r]])</f>
        <v>3.9742781483930592</v>
      </c>
      <c r="AT178" s="244">
        <f>-psi_r-SQRT(psi_r^2-2*Tabella34[[#This Row],[c_r]])</f>
        <v>-4.0306863868117206</v>
      </c>
      <c r="AU178" s="244">
        <f>phi_r-LN(alpha*Kr/(Tabella34[[#This Row],[sel. region velocity]]*psi_r*SQRTPI(2)))</f>
        <v>-8.0095344150655965</v>
      </c>
      <c r="AV178" s="244">
        <f>(ACOSH(SQRT(alpha*Kl*psi_l/(Tabella34[[#This Row],[sel. region velocity]]*(1+TANH(phi_l)))))+phi_l)/psi_l-(Tabella34[[#This Row],[Day]]-pl)</f>
        <v>13.193500711234506</v>
      </c>
      <c r="AW178" s="72">
        <f>-2*$BY$22*TANH($BY$22*(Tabella34[[#This Row],[Day]]-$BY$31)-$BY$21)*Tabella34[[#This Row],[sel. region velocity]]</f>
        <v>-1.2852099920624287</v>
      </c>
      <c r="AX178" s="77">
        <f>Tabella34[[#This Row],[sel. region acc. fit]]/y_l_peak</f>
        <v>-9.3266816722852048E-3</v>
      </c>
      <c r="AY178" s="143">
        <f>Tabella34[[#This Row],[sel. region acc. fit]]*NOT(ISBLANK(Tabella34[[#This Row],[selected region rate data]]))</f>
        <v>0</v>
      </c>
      <c r="AZ178" s="77">
        <f>Tabella34[[#This Row],[sel. region acc. fit]]+CIl</f>
        <v>52.479630417486028</v>
      </c>
      <c r="BA178" s="77">
        <f>MAX(Tabella34[[#This Row],[sel. region acc. fit]]-CIl,0)</f>
        <v>0</v>
      </c>
      <c r="BC178" s="10"/>
      <c r="BD178" s="10"/>
      <c r="BE178" s="77">
        <f>Tabella34[[#This Row],[rest of Italy rate data]]*NOT(ISBLANK(Tabella34[[#This Row],[rest of Italy rate data]]))</f>
        <v>0</v>
      </c>
      <c r="BF178" s="77">
        <f>Tabella8[[#This Row],[rest of Italy fit]]</f>
        <v>197498.6336243001</v>
      </c>
      <c r="BG178" s="78" t="e">
        <f>(ATANH(alpha*Tabella34[[#This Row],[rest of Italy cumul. fit]]/Ka-(1-alpha*Tabella34[[#This Row],[rest of Italy cumul. fit]]/Ka)*TANH(phi_a))+phi_a)/psi_a-(Tabella34[[#This Row],[Day]]-pa)</f>
        <v>#NUM!</v>
      </c>
      <c r="BH178" s="77">
        <f>Tabella34[[#This Row],[rest of Italy cumul. fit]]/Ka</f>
        <v>0.91421855123964313</v>
      </c>
      <c r="BI178" s="143">
        <f>Tabella3[[#This Row],[rest of Italy fit]]</f>
        <v>836.42994804835473</v>
      </c>
      <c r="BJ178" s="183">
        <f>Tabella34[[#This Row],[rest of Italy velocity]]/Tabella34[[#This Row],[rest of Italy cumul. fit]]</f>
        <v>4.2351176446085602E-3</v>
      </c>
      <c r="BK178" s="236">
        <f>(LN(Tabella34[[#This Row],[Day]]-po)-phi_o)/psi_o</f>
        <v>137.07852209634734</v>
      </c>
      <c r="BL178" s="244">
        <f>EXP(phi_o+psi_o*Tabella34[[#This Row],[x_o_alpha©+plus]])-(Tabella34[[#This Row],[Day]]-po)</f>
        <v>-97.4318943639271</v>
      </c>
      <c r="BM178" s="244">
        <f>EXP(phi_o+psi_o*Tabella34[[#This Row],[x_o_alpha©-minus]])-(Tabella34[[#This Row],[Day]]-po)</f>
        <v>-98.112839912051427</v>
      </c>
      <c r="BN178" s="244">
        <f>-psi_o+SQRT(psi_o^2-2*Tabella34[[#This Row],[c_o]])</f>
        <v>3.9199046094906151</v>
      </c>
      <c r="BO178" s="244">
        <f>-psi_o-SQRT(psi_o^2-2*Tabella34[[#This Row],[c_o]])</f>
        <v>-3.9689316950602445</v>
      </c>
      <c r="BP178" s="244">
        <f>phi_o-LN(alpha*Ko/(Tabella34[[#This Row],[rest of Italy velocity]]*psi_o*SQRTPI(2)))</f>
        <v>-7.7789168231100261</v>
      </c>
      <c r="BQ178" s="244">
        <f>(ACOSH(SQRT(alpha*Ka*psi_a/(Tabella34[[#This Row],[rest of Italy velocity]]*(1+TANH(phi_a)))))+phi_a)/psi_a-(Tabella34[[#This Row],[Day]]-pa)</f>
        <v>15.93209161125651</v>
      </c>
      <c r="BR178" s="72">
        <f>-2*$BY$35*TANH($BY$35*(Tabella34[[#This Row],[Day]]-$BY$44)-$BY$34)*Tabella34[[#This Row],[rest of Italy velocity]]</f>
        <v>-34.498318722060056</v>
      </c>
      <c r="BS178" s="77">
        <f>Tabella34[[#This Row],[rest of Italy acc. fit]]/y_a_peak</f>
        <v>-1.2054799059287828E-2</v>
      </c>
      <c r="BT178" s="121">
        <f>Tabella34[[#This Row],[rest of Italy acc. fit]]*NOT(ISBLANK(Tabella34[[#This Row],[rest of Italy rate data]]))</f>
        <v>0</v>
      </c>
      <c r="BU178" s="189"/>
      <c r="BV178" s="122"/>
    </row>
    <row r="179" spans="2:74" x14ac:dyDescent="0.3">
      <c r="B179" s="262">
        <v>44002</v>
      </c>
      <c r="C179" s="4">
        <v>172</v>
      </c>
      <c r="E179" s="10"/>
      <c r="F179" s="10"/>
      <c r="G179" s="121">
        <f>Tabella34[[#This Row],[Italy rate data]]*NOT(ISBLANK(Tabella34[[#This Row],[Italy rate data]]))</f>
        <v>0</v>
      </c>
      <c r="H179" s="143">
        <f>Tabella8[[#This Row],[Italy fit]]</f>
        <v>206959.73240142319</v>
      </c>
      <c r="I179" s="143" t="e">
        <f>(ATANH(alpha*Tabella34[[#This Row],[Italy cumul. Fit]]/Kf-(1-alpha*Tabella34[[#This Row],[Italy cumul. Fit]]/Kf)*TANH(phi_f))+phi_f)/psi_f-(Tabella34[[#This Row],[Day]]-pf)</f>
        <v>#NUM!</v>
      </c>
      <c r="J179" s="143" t="e">
        <f>Tabella34[[#This Row],[Italy d.t.]]/Italy_dt_at_lockdown</f>
        <v>#NUM!</v>
      </c>
      <c r="K179" s="77">
        <f>Tabella34[[#This Row],[Italy cumul. Fit]]/Kf</f>
        <v>0.91982103289521411</v>
      </c>
      <c r="L179" s="146">
        <f>Tabella34[[#This Row],[sel. region acc. fit]]+Tabella34[[#This Row],[rest of Italy acc. fit]]</f>
        <v>-34.602732959987989</v>
      </c>
      <c r="M179" s="77">
        <f>Tabella34[[#This Row],[Italy (fit of selected region + fitted sum of the other regions)]]/(y_l_peak+y_a_peak)</f>
        <v>-1.1535818774181215E-2</v>
      </c>
      <c r="N179" s="143">
        <f>Tabella3[[#This Row],[Italy remov. rate fit]]</f>
        <v>824.92375650915687</v>
      </c>
      <c r="O179" s="143">
        <f>Kt*EXP(-0.5*Tabella34[[#This Row],[x_t]]^2)/(psi_t*SQRTPI(2)*(Tabella34[[#This Row],[Day]]-D_bk))</f>
        <v>0</v>
      </c>
      <c r="P179" s="183">
        <f>Tabella34[[#This Row],[Italy velocity]]/Tabella34[[#This Row],[Italy cumul. Fit]]</f>
        <v>3.9859142980969769E-3</v>
      </c>
      <c r="Q179" s="244">
        <f>(LN(Tabella34[[#This Row],[Day]]-D_bk)-phi_t)/psi_t</f>
        <v>136.27204267822182</v>
      </c>
      <c r="R179" s="244">
        <f>EXP(phi_t+psi_t*Tabella34[[#This Row],[x_t_alpha©+plus]])-(Tabella34[[#This Row],[Day]]-D_bk)</f>
        <v>-98.266709026860866</v>
      </c>
      <c r="S179" s="244">
        <f>EXP(phi_t+psi_t*Tabella34[[#This Row],[x_t_alpha©-minus]])-(Tabella34[[#This Row],[Day]]-D_bk)</f>
        <v>-98.956902132447453</v>
      </c>
      <c r="T179" s="244">
        <f>-psi_t+SQRT(psi_t^2-2*Tabella34[[#This Row],[c_t]])</f>
        <v>3.9308323401601917</v>
      </c>
      <c r="U179" s="244">
        <f>-psi_t-SQRT(psi_t^2-2*Tabella34[[#This Row],[c_t]])</f>
        <v>-3.9802250745799967</v>
      </c>
      <c r="V179" s="244">
        <f>phi_t-LN(alpha*Kt/(Tabella34[[#This Row],[Italy velocity]]*psi_t*SQRTPI(2)))</f>
        <v>-7.8227987221377804</v>
      </c>
      <c r="W179" s="244">
        <f>Tabella34[[#This Row],[Italy g.r.]]/Italy_gr_at_lockdown</f>
        <v>4.4970775870534973E-3</v>
      </c>
      <c r="X179" s="244">
        <f>(ACOSH(SQRT(alpha*Kf*psi_f/(Tabella34[[#This Row],[Italy velocity]]*(1+TANH(phi_f)))))+phi_f)/psi_f-(Tabella34[[#This Row],[Day]]-pf)</f>
        <v>15.687222501767579</v>
      </c>
      <c r="Y179" s="244">
        <f>Tabella34[[#This Row],[Italy h.t.]]/Italy_ht_at_lockdown</f>
        <v>0.13569838303634968</v>
      </c>
      <c r="Z179" s="72">
        <f>-2*$BY$48*TANH($BY$48*(Tabella34[[#This Row],[Day]]-$BY$57)-$BY$47)*Tabella34[[#This Row],[Italy velocity]]</f>
        <v>-34.697011633764021</v>
      </c>
      <c r="AA179" s="72">
        <f>Tabella34[[#This Row],[Italy acc. fit]]/Itali_acc_at_lockdown</f>
        <v>-0.96090798675653921</v>
      </c>
      <c r="AB179" s="77">
        <f>Tabella34[[#This Row],[Italy acc. fit]]/y_f_peak</f>
        <v>-1.1560252607646464E-2</v>
      </c>
      <c r="AC179" s="143">
        <f>Tabella34[[#This Row],[Italy (fit of selected region + fitted sum of the other regions)]]*NOT(ISBLANK(Tabella34[[#This Row],[Italy rate data]]))</f>
        <v>0</v>
      </c>
      <c r="AD179" s="143">
        <f>Tabella34[[#This Row],[Italy acc. fit]]*NOT(ISBLANK(Tabella34[[#This Row],[Italy rate data]]))</f>
        <v>0</v>
      </c>
      <c r="AE179" s="77">
        <f>Tabella34[[#This Row],[Italy acc. fit]]+CIf</f>
        <v>1680.9178477007872</v>
      </c>
      <c r="AF179" s="77">
        <f>MAX(Tabella34[[#This Row],[Italy acc. fit]]-CIf,0)</f>
        <v>0</v>
      </c>
      <c r="AH179" s="10"/>
      <c r="AI179" s="10"/>
      <c r="AJ179" s="121">
        <f>Tabella34[[#This Row],[selected region rate data]]*NOT(ISBLANK(Tabella34[[#This Row],[selected region rate data]]))</f>
        <v>0</v>
      </c>
      <c r="AK179" s="77">
        <f>Tabella8[[#This Row],[region fit]]</f>
        <v>8525.1811058578242</v>
      </c>
      <c r="AL179" s="143" t="e">
        <f>(ATANH(alpha*Tabella34[[#This Row],[sel. region cumul. fit]]/Kl-(1-alpha*Tabella34[[#This Row],[sel. region cumul. fit]]/Kl)*TANH(phi_l))+phi_l)/psi_l-(Tabella34[[#This Row],[Day]]-pl)</f>
        <v>#NUM!</v>
      </c>
      <c r="AM179" s="77">
        <f>Tabella34[[#This Row],[sel. region cumul. fit]]/Kl</f>
        <v>0.95041037969429476</v>
      </c>
      <c r="AN179" s="143">
        <f>Tabella3[[#This Row],[region fit]]</f>
        <v>23.949243815712837</v>
      </c>
      <c r="AO179" s="186">
        <f>Tabella34[[#This Row],[sel. region velocity]]/Tabella34[[#This Row],[sel. region cumul. fit]]</f>
        <v>2.8092357825990144E-3</v>
      </c>
      <c r="AP179" s="241">
        <f>(LN(Tabella34[[#This Row],[Day]]-pr)-phi_r)/psi_r</f>
        <v>119.29805425071228</v>
      </c>
      <c r="AQ179" s="244">
        <f>EXP(phi_r+psi_r*Tabella34[[#This Row],[x_r_alpha©+plus]])-(Tabella34[[#This Row],[Day]]-pr)</f>
        <v>-93.016302197997518</v>
      </c>
      <c r="AR179" s="244">
        <f>EXP(phi_r+psi_r*Tabella34[[#This Row],[x_r_alpha©-minus]])-(Tabella34[[#This Row],[Day]]-pr)</f>
        <v>-93.774986951313011</v>
      </c>
      <c r="AS179" s="244">
        <f>-psi_r+SQRT(psi_r^2-2*Tabella34[[#This Row],[c_r]])</f>
        <v>3.9870328964413368</v>
      </c>
      <c r="AT179" s="244">
        <f>-psi_r-SQRT(psi_r^2-2*Tabella34[[#This Row],[c_r]])</f>
        <v>-4.0434411348599983</v>
      </c>
      <c r="AU179" s="244">
        <f>phi_r-LN(alpha*Kr/(Tabella34[[#This Row],[sel. region velocity]]*psi_r*SQRTPI(2)))</f>
        <v>-8.0606664097554503</v>
      </c>
      <c r="AV179" s="244">
        <f>(ACOSH(SQRT(alpha*Kl*psi_l/(Tabella34[[#This Row],[sel. region velocity]]*(1+TANH(phi_l)))))+phi_l)/psi_l-(Tabella34[[#This Row],[Day]]-pl)</f>
        <v>13.143294357697286</v>
      </c>
      <c r="AW179" s="72">
        <f>-2*$BY$22*TANH($BY$22*(Tabella34[[#This Row],[Day]]-$BY$31)-$BY$21)*Tabella34[[#This Row],[sel. region velocity]]</f>
        <v>-1.2279408688357378</v>
      </c>
      <c r="AX179" s="77">
        <f>Tabella34[[#This Row],[sel. region acc. fit]]/y_l_peak</f>
        <v>-8.9110835324597605E-3</v>
      </c>
      <c r="AY179" s="143">
        <f>Tabella34[[#This Row],[sel. region acc. fit]]*NOT(ISBLANK(Tabella34[[#This Row],[selected region rate data]]))</f>
        <v>0</v>
      </c>
      <c r="AZ179" s="77">
        <f>Tabella34[[#This Row],[sel. region acc. fit]]+CIl</f>
        <v>52.536899540712717</v>
      </c>
      <c r="BA179" s="77">
        <f>MAX(Tabella34[[#This Row],[sel. region acc. fit]]-CIl,0)</f>
        <v>0</v>
      </c>
      <c r="BC179" s="10"/>
      <c r="BD179" s="10"/>
      <c r="BE179" s="77">
        <f>Tabella34[[#This Row],[rest of Italy rate data]]*NOT(ISBLANK(Tabella34[[#This Row],[rest of Italy rate data]]))</f>
        <v>0</v>
      </c>
      <c r="BF179" s="77">
        <f>Tabella8[[#This Row],[rest of Italy fit]]</f>
        <v>198318.00214321486</v>
      </c>
      <c r="BG179" s="78" t="e">
        <f>(ATANH(alpha*Tabella34[[#This Row],[rest of Italy cumul. fit]]/Ka-(1-alpha*Tabella34[[#This Row],[rest of Italy cumul. fit]]/Ka)*TANH(phi_a))+phi_a)/psi_a-(Tabella34[[#This Row],[Day]]-pa)</f>
        <v>#NUM!</v>
      </c>
      <c r="BH179" s="77">
        <f>Tabella34[[#This Row],[rest of Italy cumul. fit]]/Ka</f>
        <v>0.91801139722823155</v>
      </c>
      <c r="BI179" s="143">
        <f>Tabella3[[#This Row],[rest of Italy fit]]</f>
        <v>802.49435122199816</v>
      </c>
      <c r="BJ179" s="183">
        <f>Tabella34[[#This Row],[rest of Italy velocity]]/Tabella34[[#This Row],[rest of Italy cumul. fit]]</f>
        <v>4.0465028013063524E-3</v>
      </c>
      <c r="BK179" s="236">
        <f>(LN(Tabella34[[#This Row],[Day]]-po)-phi_o)/psi_o</f>
        <v>137.47923211249625</v>
      </c>
      <c r="BL179" s="244">
        <f>EXP(phi_o+psi_o*Tabella34[[#This Row],[x_o_alpha©+plus]])-(Tabella34[[#This Row],[Day]]-po)</f>
        <v>-98.430898728796635</v>
      </c>
      <c r="BM179" s="244">
        <f>EXP(phi_o+psi_o*Tabella34[[#This Row],[x_o_alpha©-minus]])-(Tabella34[[#This Row],[Day]]-po)</f>
        <v>-99.113660269755073</v>
      </c>
      <c r="BN179" s="244">
        <f>-psi_o+SQRT(psi_o^2-2*Tabella34[[#This Row],[c_o]])</f>
        <v>3.9303910671399476</v>
      </c>
      <c r="BO179" s="244">
        <f>-psi_o-SQRT(psi_o^2-2*Tabella34[[#This Row],[c_o]])</f>
        <v>-3.9794181527095769</v>
      </c>
      <c r="BP179" s="244">
        <f>phi_o-LN(alpha*Ko/(Tabella34[[#This Row],[rest of Italy velocity]]*psi_o*SQRTPI(2)))</f>
        <v>-7.8203347799121365</v>
      </c>
      <c r="BQ179" s="244">
        <f>(ACOSH(SQRT(alpha*Ka*psi_a/(Tabella34[[#This Row],[rest of Italy velocity]]*(1+TANH(phi_a)))))+phi_a)/psi_a-(Tabella34[[#This Row],[Day]]-pa)</f>
        <v>15.844735753985759</v>
      </c>
      <c r="BR179" s="72">
        <f>-2*$BY$35*TANH($BY$35*(Tabella34[[#This Row],[Day]]-$BY$44)-$BY$34)*Tabella34[[#This Row],[rest of Italy velocity]]</f>
        <v>-33.374792091152251</v>
      </c>
      <c r="BS179" s="77">
        <f>Tabella34[[#This Row],[rest of Italy acc. fit]]/y_a_peak</f>
        <v>-1.1662203469848521E-2</v>
      </c>
      <c r="BT179" s="121">
        <f>Tabella34[[#This Row],[rest of Italy acc. fit]]*NOT(ISBLANK(Tabella34[[#This Row],[rest of Italy rate data]]))</f>
        <v>0</v>
      </c>
      <c r="BU179" s="189"/>
      <c r="BV179" s="122"/>
    </row>
    <row r="180" spans="2:74" x14ac:dyDescent="0.3">
      <c r="B180" s="262">
        <v>44003</v>
      </c>
      <c r="C180" s="4">
        <v>173</v>
      </c>
      <c r="E180" s="10"/>
      <c r="F180" s="10"/>
      <c r="G180" s="121">
        <f>Tabella34[[#This Row],[Italy rate data]]*NOT(ISBLANK(Tabella34[[#This Row],[Italy rate data]]))</f>
        <v>0</v>
      </c>
      <c r="H180" s="143">
        <f>Tabella8[[#This Row],[Italy fit]]</f>
        <v>207767.50415014703</v>
      </c>
      <c r="I180" s="143" t="e">
        <f>(ATANH(alpha*Tabella34[[#This Row],[Italy cumul. Fit]]/Kf-(1-alpha*Tabella34[[#This Row],[Italy cumul. Fit]]/Kf)*TANH(phi_f))+phi_f)/psi_f-(Tabella34[[#This Row],[Day]]-pf)</f>
        <v>#NUM!</v>
      </c>
      <c r="J180" s="143" t="e">
        <f>Tabella34[[#This Row],[Italy d.t.]]/Italy_dt_at_lockdown</f>
        <v>#NUM!</v>
      </c>
      <c r="K180" s="77">
        <f>Tabella34[[#This Row],[Italy cumul. Fit]]/Kf</f>
        <v>0.92341112955620896</v>
      </c>
      <c r="L180" s="146">
        <f>Tabella34[[#This Row],[sel. region acc. fit]]+Tabella34[[#This Row],[rest of Italy acc. fit]]</f>
        <v>-33.436518280557465</v>
      </c>
      <c r="M180" s="77">
        <f>Tabella34[[#This Row],[Italy (fit of selected region + fitted sum of the other regions)]]/(y_l_peak+y_a_peak)</f>
        <v>-1.1147027483930913E-2</v>
      </c>
      <c r="N180" s="143">
        <f>Tabella3[[#This Row],[Italy remov. rate fit]]</f>
        <v>790.8155808336254</v>
      </c>
      <c r="O180" s="143">
        <f>Kt*EXP(-0.5*Tabella34[[#This Row],[x_t]]^2)/(psi_t*SQRTPI(2)*(Tabella34[[#This Row],[Day]]-D_bk))</f>
        <v>0</v>
      </c>
      <c r="P180" s="183">
        <f>Tabella34[[#This Row],[Italy velocity]]/Tabella34[[#This Row],[Italy cumul. Fit]]</f>
        <v>3.8062524939517389E-3</v>
      </c>
      <c r="Q180" s="244">
        <f>(LN(Tabella34[[#This Row],[Day]]-D_bk)-phi_t)/psi_t</f>
        <v>136.66648841817431</v>
      </c>
      <c r="R180" s="244">
        <f>EXP(phi_t+psi_t*Tabella34[[#This Row],[x_t_alpha©+plus]])-(Tabella34[[#This Row],[Day]]-D_bk)</f>
        <v>-99.265684979448181</v>
      </c>
      <c r="S180" s="244">
        <f>EXP(phi_t+psi_t*Tabella34[[#This Row],[x_t_alpha©-minus]])-(Tabella34[[#This Row],[Day]]-D_bk)</f>
        <v>-99.957744217012277</v>
      </c>
      <c r="T180" s="244">
        <f>-psi_t+SQRT(psi_t^2-2*Tabella34[[#This Row],[c_t]])</f>
        <v>3.9414932019865572</v>
      </c>
      <c r="U180" s="244">
        <f>-psi_t-SQRT(psi_t^2-2*Tabella34[[#This Row],[c_t]])</f>
        <v>-3.9908859364063622</v>
      </c>
      <c r="V180" s="244">
        <f>phi_t-LN(alpha*Kt/(Tabella34[[#This Row],[Italy velocity]]*psi_t*SQRTPI(2)))</f>
        <v>-7.8650248941247165</v>
      </c>
      <c r="W180" s="244">
        <f>Tabella34[[#This Row],[Italy g.r.]]/Italy_gr_at_lockdown</f>
        <v>4.2943755186580753E-3</v>
      </c>
      <c r="X180" s="244">
        <f>(ACOSH(SQRT(alpha*Kf*psi_f/(Tabella34[[#This Row],[Italy velocity]]*(1+TANH(phi_f)))))+phi_f)/psi_f-(Tabella34[[#This Row],[Day]]-pf)</f>
        <v>15.606192253013717</v>
      </c>
      <c r="Y180" s="244">
        <f>Tabella34[[#This Row],[Italy h.t.]]/Italy_ht_at_lockdown</f>
        <v>0.13499745119633191</v>
      </c>
      <c r="Z180" s="72">
        <f>-2*$BY$48*TANH($BY$48*(Tabella34[[#This Row],[Day]]-$BY$57)-$BY$47)*Tabella34[[#This Row],[Italy velocity]]</f>
        <v>-33.522010342696198</v>
      </c>
      <c r="AA180" s="72">
        <f>Tabella34[[#This Row],[Italy acc. fit]]/Itali_acc_at_lockdown</f>
        <v>-0.92836719802943146</v>
      </c>
      <c r="AB180" s="77">
        <f>Tabella34[[#This Row],[Italy acc. fit]]/y_f_peak</f>
        <v>-1.1168768987027199E-2</v>
      </c>
      <c r="AC180" s="143">
        <f>Tabella34[[#This Row],[Italy (fit of selected region + fitted sum of the other regions)]]*NOT(ISBLANK(Tabella34[[#This Row],[Italy rate data]]))</f>
        <v>0</v>
      </c>
      <c r="AD180" s="143">
        <f>Tabella34[[#This Row],[Italy acc. fit]]*NOT(ISBLANK(Tabella34[[#This Row],[Italy rate data]]))</f>
        <v>0</v>
      </c>
      <c r="AE180" s="77">
        <f>Tabella34[[#This Row],[Italy acc. fit]]+CIf</f>
        <v>1682.0928489918551</v>
      </c>
      <c r="AF180" s="77">
        <f>MAX(Tabella34[[#This Row],[Italy acc. fit]]-CIf,0)</f>
        <v>0</v>
      </c>
      <c r="AH180" s="10"/>
      <c r="AI180" s="10"/>
      <c r="AJ180" s="121">
        <f>Tabella34[[#This Row],[selected region rate data]]*NOT(ISBLANK(Tabella34[[#This Row],[selected region rate data]]))</f>
        <v>0</v>
      </c>
      <c r="AK180" s="77">
        <f>Tabella8[[#This Row],[region fit]]</f>
        <v>8548.5256908039828</v>
      </c>
      <c r="AL180" s="143" t="e">
        <f>(ATANH(alpha*Tabella34[[#This Row],[sel. region cumul. fit]]/Kl-(1-alpha*Tabella34[[#This Row],[sel. region cumul. fit]]/Kl)*TANH(phi_l))+phi_l)/psi_l-(Tabella34[[#This Row],[Day]]-pl)</f>
        <v>#NUM!</v>
      </c>
      <c r="AM180" s="77">
        <f>Tabella34[[#This Row],[sel. region cumul. fit]]/Kl</f>
        <v>0.95301289752552765</v>
      </c>
      <c r="AN180" s="143">
        <f>Tabella3[[#This Row],[region fit]]</f>
        <v>22.749159461045625</v>
      </c>
      <c r="AO180" s="186">
        <f>Tabella34[[#This Row],[sel. region velocity]]/Tabella34[[#This Row],[sel. region cumul. fit]]</f>
        <v>2.6611792821208779E-3</v>
      </c>
      <c r="AP180" s="241">
        <f>(LN(Tabella34[[#This Row],[Day]]-pr)-phi_r)/psi_r</f>
        <v>119.66260543516447</v>
      </c>
      <c r="AQ180" s="244">
        <f>EXP(phi_r+psi_r*Tabella34[[#This Row],[x_r_alpha©+plus]])-(Tabella34[[#This Row],[Day]]-pr)</f>
        <v>-94.014952345832683</v>
      </c>
      <c r="AR180" s="244">
        <f>EXP(phi_r+psi_r*Tabella34[[#This Row],[x_r_alpha©-minus]])-(Tabella34[[#This Row],[Day]]-pr)</f>
        <v>-94.776062834720221</v>
      </c>
      <c r="AS180" s="244">
        <f>-psi_r+SQRT(psi_r^2-2*Tabella34[[#This Row],[c_r]])</f>
        <v>3.9998159149712991</v>
      </c>
      <c r="AT180" s="244">
        <f>-psi_r-SQRT(psi_r^2-2*Tabella34[[#This Row],[c_r]])</f>
        <v>-4.0562241533899606</v>
      </c>
      <c r="AU180" s="244">
        <f>phi_r-LN(alpha*Kr/(Tabella34[[#This Row],[sel. region velocity]]*psi_r*SQRTPI(2)))</f>
        <v>-8.1120749617100714</v>
      </c>
      <c r="AV180" s="244">
        <f>(ACOSH(SQRT(alpha*Kl*psi_l/(Tabella34[[#This Row],[sel. region velocity]]*(1+TANH(phi_l)))))+phi_l)/psi_l-(Tabella34[[#This Row],[Day]]-pl)</f>
        <v>13.095897813682583</v>
      </c>
      <c r="AW180" s="72">
        <f>-2*$BY$22*TANH($BY$22*(Tabella34[[#This Row],[Day]]-$BY$31)-$BY$21)*Tabella34[[#This Row],[sel. region velocity]]</f>
        <v>-1.172540780165733</v>
      </c>
      <c r="AX180" s="77">
        <f>Tabella34[[#This Row],[sel. region acc. fit]]/y_l_peak</f>
        <v>-8.5090488495420356E-3</v>
      </c>
      <c r="AY180" s="143">
        <f>Tabella34[[#This Row],[sel. region acc. fit]]*NOT(ISBLANK(Tabella34[[#This Row],[selected region rate data]]))</f>
        <v>0</v>
      </c>
      <c r="AZ180" s="77">
        <f>Tabella34[[#This Row],[sel. region acc. fit]]+CIl</f>
        <v>52.592299629382723</v>
      </c>
      <c r="BA180" s="77">
        <f>MAX(Tabella34[[#This Row],[sel. region acc. fit]]-CIl,0)</f>
        <v>0</v>
      </c>
      <c r="BC180" s="10"/>
      <c r="BD180" s="10"/>
      <c r="BE180" s="77">
        <f>Tabella34[[#This Row],[rest of Italy rate data]]*NOT(ISBLANK(Tabella34[[#This Row],[rest of Italy rate data]]))</f>
        <v>0</v>
      </c>
      <c r="BF180" s="77">
        <f>Tabella8[[#This Row],[rest of Italy fit]]</f>
        <v>199103.99480954735</v>
      </c>
      <c r="BG180" s="78" t="e">
        <f>(ATANH(alpha*Tabella34[[#This Row],[rest of Italy cumul. fit]]/Ka-(1-alpha*Tabella34[[#This Row],[rest of Italy cumul. fit]]/Ka)*TANH(phi_a))+phi_a)/psi_a-(Tabella34[[#This Row],[Day]]-pa)</f>
        <v>#NUM!</v>
      </c>
      <c r="BH180" s="77">
        <f>Tabella34[[#This Row],[rest of Italy cumul. fit]]/Ka</f>
        <v>0.92164974683862122</v>
      </c>
      <c r="BI180" s="143">
        <f>Tabella3[[#This Row],[rest of Italy fit]]</f>
        <v>769.67612344085728</v>
      </c>
      <c r="BJ180" s="183">
        <f>Tabella34[[#This Row],[rest of Italy velocity]]/Tabella34[[#This Row],[rest of Italy cumul. fit]]</f>
        <v>3.8656990492686493E-3</v>
      </c>
      <c r="BK180" s="236">
        <f>(LN(Tabella34[[#This Row],[Day]]-po)-phi_o)/psi_o</f>
        <v>137.87604428224842</v>
      </c>
      <c r="BL180" s="244">
        <f>EXP(phi_o+psi_o*Tabella34[[#This Row],[x_o_alpha©+plus]])-(Tabella34[[#This Row],[Day]]-po)</f>
        <v>-99.429897398429318</v>
      </c>
      <c r="BM180" s="244">
        <f>EXP(phi_o+psi_o*Tabella34[[#This Row],[x_o_alpha©-minus]])-(Tabella34[[#This Row],[Day]]-po)</f>
        <v>-100.11448489484894</v>
      </c>
      <c r="BN180" s="244">
        <f>-psi_o+SQRT(psi_o^2-2*Tabella34[[#This Row],[c_o]])</f>
        <v>3.940934791351177</v>
      </c>
      <c r="BO180" s="244">
        <f>-psi_o-SQRT(psi_o^2-2*Tabella34[[#This Row],[c_o]])</f>
        <v>-3.9899618769208063</v>
      </c>
      <c r="BP180" s="244">
        <f>phi_o-LN(alpha*Ko/(Tabella34[[#This Row],[rest of Italy velocity]]*psi_o*SQRTPI(2)))</f>
        <v>-7.8620897884610246</v>
      </c>
      <c r="BQ180" s="244">
        <f>(ACOSH(SQRT(alpha*Ka*psi_a/(Tabella34[[#This Row],[rest of Italy velocity]]*(1+TANH(phi_a)))))+phi_a)/psi_a-(Tabella34[[#This Row],[Day]]-pa)</f>
        <v>15.761692007509581</v>
      </c>
      <c r="BR180" s="72">
        <f>-2*$BY$35*TANH($BY$35*(Tabella34[[#This Row],[Day]]-$BY$44)-$BY$34)*Tabella34[[#This Row],[rest of Italy velocity]]</f>
        <v>-32.263977500391732</v>
      </c>
      <c r="BS180" s="77">
        <f>Tabella34[[#This Row],[rest of Italy acc. fit]]/y_a_peak</f>
        <v>-1.1274049867592523E-2</v>
      </c>
      <c r="BT180" s="121">
        <f>Tabella34[[#This Row],[rest of Italy acc. fit]]*NOT(ISBLANK(Tabella34[[#This Row],[rest of Italy rate data]]))</f>
        <v>0</v>
      </c>
      <c r="BU180" s="189"/>
      <c r="BV180" s="122"/>
    </row>
    <row r="181" spans="2:74" x14ac:dyDescent="0.3">
      <c r="B181" s="262">
        <v>44004</v>
      </c>
      <c r="C181" s="4">
        <v>174</v>
      </c>
      <c r="E181" s="10"/>
      <c r="F181" s="10"/>
      <c r="G181" s="121">
        <f>Tabella34[[#This Row],[Italy rate data]]*NOT(ISBLANK(Tabella34[[#This Row],[Italy rate data]]))</f>
        <v>0</v>
      </c>
      <c r="H181" s="143">
        <f>Tabella8[[#This Row],[Italy fit]]</f>
        <v>208541.7524611523</v>
      </c>
      <c r="I181" s="143" t="e">
        <f>(ATANH(alpha*Tabella34[[#This Row],[Italy cumul. Fit]]/Kf-(1-alpha*Tabella34[[#This Row],[Italy cumul. Fit]]/Kf)*TANH(phi_f))+phi_f)/psi_f-(Tabella34[[#This Row],[Day]]-pf)</f>
        <v>#NUM!</v>
      </c>
      <c r="J181" s="143" t="e">
        <f>Tabella34[[#This Row],[Italy d.t.]]/Italy_dt_at_lockdown</f>
        <v>#NUM!</v>
      </c>
      <c r="K181" s="77">
        <f>Tabella34[[#This Row],[Italy cumul. Fit]]/Kf</f>
        <v>0.92685223316067689</v>
      </c>
      <c r="L181" s="146">
        <f>Tabella34[[#This Row],[sel. region acc. fit]]+Tabella34[[#This Row],[rest of Italy acc. fit]]</f>
        <v>-32.287143282428353</v>
      </c>
      <c r="M181" s="77">
        <f>Tabella34[[#This Row],[Italy (fit of selected region + fitted sum of the other regions)]]/(y_l_peak+y_a_peak)</f>
        <v>-1.0763850187001101E-2</v>
      </c>
      <c r="N181" s="143">
        <f>Tabella3[[#This Row],[Italy remov. rate fit]]</f>
        <v>757.87402786106782</v>
      </c>
      <c r="O181" s="143">
        <f>Kt*EXP(-0.5*Tabella34[[#This Row],[x_t]]^2)/(psi_t*SQRTPI(2)*(Tabella34[[#This Row],[Day]]-D_bk))</f>
        <v>0</v>
      </c>
      <c r="P181" s="183">
        <f>Tabella34[[#This Row],[Italy velocity]]/Tabella34[[#This Row],[Italy cumul. Fit]]</f>
        <v>3.6341596774595369E-3</v>
      </c>
      <c r="Q181" s="244">
        <f>(LN(Tabella34[[#This Row],[Day]]-D_bk)-phi_t)/psi_t</f>
        <v>137.05712875360894</v>
      </c>
      <c r="R181" s="244">
        <f>EXP(phi_t+psi_t*Tabella34[[#This Row],[x_t_alpha©+plus]])-(Tabella34[[#This Row],[Day]]-D_bk)</f>
        <v>-100.26465564157282</v>
      </c>
      <c r="S181" s="244">
        <f>EXP(phi_t+psi_t*Tabella34[[#This Row],[x_t_alpha©-minus]])-(Tabella34[[#This Row],[Day]]-D_bk)</f>
        <v>-100.95859020529738</v>
      </c>
      <c r="T181" s="244">
        <f>-psi_t+SQRT(psi_t^2-2*Tabella34[[#This Row],[c_t]])</f>
        <v>3.9522063123767124</v>
      </c>
      <c r="U181" s="244">
        <f>-psi_t-SQRT(psi_t^2-2*Tabella34[[#This Row],[c_t]])</f>
        <v>-4.0015990467965175</v>
      </c>
      <c r="V181" s="244">
        <f>phi_t-LN(alpha*Kt/(Tabella34[[#This Row],[Italy velocity]]*psi_t*SQRTPI(2)))</f>
        <v>-7.9075725061749162</v>
      </c>
      <c r="W181" s="244">
        <f>Tabella34[[#This Row],[Italy g.r.]]/Italy_gr_at_lockdown</f>
        <v>4.1002131031968375E-3</v>
      </c>
      <c r="X181" s="244">
        <f>(ACOSH(SQRT(alpha*Kf*psi_f/(Tabella34[[#This Row],[Italy velocity]]*(1+TANH(phi_f)))))+phi_f)/psi_f-(Tabella34[[#This Row],[Day]]-pf)</f>
        <v>15.529184358003391</v>
      </c>
      <c r="Y181" s="244">
        <f>Tabella34[[#This Row],[Italy h.t.]]/Italy_ht_at_lockdown</f>
        <v>0.13433131371834581</v>
      </c>
      <c r="Z181" s="72">
        <f>-2*$BY$48*TANH($BY$48*(Tabella34[[#This Row],[Day]]-$BY$57)-$BY$47)*Tabella34[[#This Row],[Italy velocity]]</f>
        <v>-32.364123694327176</v>
      </c>
      <c r="AA181" s="72">
        <f>Tabella34[[#This Row],[Italy acc. fit]]/Itali_acc_at_lockdown</f>
        <v>-0.8963003866302085</v>
      </c>
      <c r="AB181" s="77">
        <f>Tabella34[[#This Row],[Italy acc. fit]]/y_f_peak</f>
        <v>-1.0782987574856778E-2</v>
      </c>
      <c r="AC181" s="143">
        <f>Tabella34[[#This Row],[Italy (fit of selected region + fitted sum of the other regions)]]*NOT(ISBLANK(Tabella34[[#This Row],[Italy rate data]]))</f>
        <v>0</v>
      </c>
      <c r="AD181" s="143">
        <f>Tabella34[[#This Row],[Italy acc. fit]]*NOT(ISBLANK(Tabella34[[#This Row],[Italy rate data]]))</f>
        <v>0</v>
      </c>
      <c r="AE181" s="77">
        <f>Tabella34[[#This Row],[Italy acc. fit]]+CIf</f>
        <v>1683.2507356402241</v>
      </c>
      <c r="AF181" s="77">
        <f>MAX(Tabella34[[#This Row],[Italy acc. fit]]-CIf,0)</f>
        <v>0</v>
      </c>
      <c r="AH181" s="10"/>
      <c r="AI181" s="10"/>
      <c r="AJ181" s="121">
        <f>Tabella34[[#This Row],[selected region rate data]]*NOT(ISBLANK(Tabella34[[#This Row],[selected region rate data]]))</f>
        <v>0</v>
      </c>
      <c r="AK181" s="77">
        <f>Tabella8[[#This Row],[region fit]]</f>
        <v>8570.6975780730554</v>
      </c>
      <c r="AL181" s="143" t="e">
        <f>(ATANH(alpha*Tabella34[[#This Row],[sel. region cumul. fit]]/Kl-(1-alpha*Tabella34[[#This Row],[sel. region cumul. fit]]/Kl)*TANH(phi_l))+phi_l)/psi_l-(Tabella34[[#This Row],[Day]]-pl)</f>
        <v>#NUM!</v>
      </c>
      <c r="AM181" s="77">
        <f>Tabella34[[#This Row],[sel. region cumul. fit]]/Kl</f>
        <v>0.95548467982977203</v>
      </c>
      <c r="AN181" s="143">
        <f>Tabella3[[#This Row],[region fit]]</f>
        <v>21.603534724633523</v>
      </c>
      <c r="AO181" s="186">
        <f>Tabella34[[#This Row],[sel. region velocity]]/Tabella34[[#This Row],[sel. region cumul. fit]]</f>
        <v>2.5206273500891197E-3</v>
      </c>
      <c r="AP181" s="241">
        <f>(LN(Tabella34[[#This Row],[Day]]-pr)-phi_r)/psi_r</f>
        <v>120.02344647559373</v>
      </c>
      <c r="AQ181" s="244">
        <f>EXP(phi_r+psi_r*Tabella34[[#This Row],[x_r_alpha©+plus]])-(Tabella34[[#This Row],[Day]]-pr)</f>
        <v>-95.013599410678665</v>
      </c>
      <c r="AR181" s="244">
        <f>EXP(phi_r+psi_r*Tabella34[[#This Row],[x_r_alpha©-minus]])-(Tabella34[[#This Row],[Day]]-pr)</f>
        <v>-95.777140397363809</v>
      </c>
      <c r="AS181" s="244">
        <f>-psi_r+SQRT(psi_r^2-2*Tabella34[[#This Row],[c_r]])</f>
        <v>4.0126235063809252</v>
      </c>
      <c r="AT181" s="244">
        <f>-psi_r-SQRT(psi_r^2-2*Tabella34[[#This Row],[c_r]])</f>
        <v>-4.0690317447995872</v>
      </c>
      <c r="AU181" s="244">
        <f>phi_r-LN(alpha*Kr/(Tabella34[[#This Row],[sel. region velocity]]*psi_r*SQRTPI(2)))</f>
        <v>-8.1637462136965055</v>
      </c>
      <c r="AV181" s="244">
        <f>(ACOSH(SQRT(alpha*Kl*psi_l/(Tabella34[[#This Row],[sel. region velocity]]*(1+TANH(phi_l)))))+phi_l)/psi_l-(Tabella34[[#This Row],[Day]]-pl)</f>
        <v>13.051151299034871</v>
      </c>
      <c r="AW181" s="72">
        <f>-2*$BY$22*TANH($BY$22*(Tabella34[[#This Row],[Day]]-$BY$31)-$BY$21)*Tabella34[[#This Row],[sel. region velocity]]</f>
        <v>-1.1190229420634421</v>
      </c>
      <c r="AX181" s="77">
        <f>Tabella34[[#This Row],[sel. region acc. fit]]/y_l_peak</f>
        <v>-8.1206735312269584E-3</v>
      </c>
      <c r="AY181" s="143">
        <f>Tabella34[[#This Row],[sel. region acc. fit]]*NOT(ISBLANK(Tabella34[[#This Row],[selected region rate data]]))</f>
        <v>0</v>
      </c>
      <c r="AZ181" s="77">
        <f>Tabella34[[#This Row],[sel. region acc. fit]]+CIl</f>
        <v>52.64581746748501</v>
      </c>
      <c r="BA181" s="77">
        <f>MAX(Tabella34[[#This Row],[sel. region acc. fit]]-CIl,0)</f>
        <v>0</v>
      </c>
      <c r="BC181" s="10"/>
      <c r="BD181" s="10"/>
      <c r="BE181" s="77">
        <f>Tabella34[[#This Row],[rest of Italy rate data]]*NOT(ISBLANK(Tabella34[[#This Row],[rest of Italy rate data]]))</f>
        <v>0</v>
      </c>
      <c r="BF181" s="77">
        <f>Tabella8[[#This Row],[rest of Italy fit]]</f>
        <v>199857.72225083434</v>
      </c>
      <c r="BG181" s="78" t="e">
        <f>(ATANH(alpha*Tabella34[[#This Row],[rest of Italy cumul. fit]]/Ka-(1-alpha*Tabella34[[#This Row],[rest of Italy cumul. fit]]/Ka)*TANH(phi_a))+phi_a)/psi_a-(Tabella34[[#This Row],[Day]]-pa)</f>
        <v>#NUM!</v>
      </c>
      <c r="BH181" s="77">
        <f>Tabella34[[#This Row],[rest of Italy cumul. fit]]/Ka</f>
        <v>0.92513874115092509</v>
      </c>
      <c r="BI181" s="143">
        <f>Tabella3[[#This Row],[rest of Italy fit]]</f>
        <v>737.96140749753636</v>
      </c>
      <c r="BJ181" s="183">
        <f>Tabella34[[#This Row],[rest of Italy velocity]]/Tabella34[[#This Row],[rest of Italy cumul. fit]]</f>
        <v>3.692433793332975E-3</v>
      </c>
      <c r="BK181" s="236">
        <f>(LN(Tabella34[[#This Row],[Day]]-po)-phi_o)/psi_o</f>
        <v>138.26903370708072</v>
      </c>
      <c r="BL181" s="244">
        <f>EXP(phi_o+psi_o*Tabella34[[#This Row],[x_o_alpha©+plus]])-(Tabella34[[#This Row],[Day]]-po)</f>
        <v>-100.42889074115732</v>
      </c>
      <c r="BM181" s="244">
        <f>EXP(phi_o+psi_o*Tabella34[[#This Row],[x_o_alpha©-minus]])-(Tabella34[[#This Row],[Day]]-po)</f>
        <v>-101.11531347729363</v>
      </c>
      <c r="BN181" s="244">
        <f>-psi_o+SQRT(psi_o^2-2*Tabella34[[#This Row],[c_o]])</f>
        <v>3.9515318601089717</v>
      </c>
      <c r="BO181" s="244">
        <f>-psi_o-SQRT(psi_o^2-2*Tabella34[[#This Row],[c_o]])</f>
        <v>-4.000558945678601</v>
      </c>
      <c r="BP181" s="244">
        <f>phi_o-LN(alpha*Ko/(Tabella34[[#This Row],[rest of Italy velocity]]*psi_o*SQRTPI(2)))</f>
        <v>-7.9041680660464744</v>
      </c>
      <c r="BQ181" s="244">
        <f>(ACOSH(SQRT(alpha*Ka*psi_a/(Tabella34[[#This Row],[rest of Italy velocity]]*(1+TANH(phi_a)))))+phi_a)/psi_a-(Tabella34[[#This Row],[Day]]-pa)</f>
        <v>15.682742995660817</v>
      </c>
      <c r="BR181" s="72">
        <f>-2*$BY$35*TANH($BY$35*(Tabella34[[#This Row],[Day]]-$BY$44)-$BY$34)*Tabella34[[#This Row],[rest of Italy velocity]]</f>
        <v>-31.168120340364908</v>
      </c>
      <c r="BS181" s="77">
        <f>Tabella34[[#This Row],[rest of Italy acc. fit]]/y_a_peak</f>
        <v>-1.0891122862707565E-2</v>
      </c>
      <c r="BT181" s="121">
        <f>Tabella34[[#This Row],[rest of Italy acc. fit]]*NOT(ISBLANK(Tabella34[[#This Row],[rest of Italy rate data]]))</f>
        <v>0</v>
      </c>
      <c r="BU181" s="189"/>
      <c r="BV181" s="122"/>
    </row>
    <row r="182" spans="2:74" x14ac:dyDescent="0.3">
      <c r="B182" s="262">
        <v>44005</v>
      </c>
      <c r="C182" s="4">
        <v>175</v>
      </c>
      <c r="E182" s="10"/>
      <c r="F182" s="10"/>
      <c r="G182" s="121">
        <f>Tabella34[[#This Row],[Italy rate data]]*NOT(ISBLANK(Tabella34[[#This Row],[Italy rate data]]))</f>
        <v>0</v>
      </c>
      <c r="H182" s="143">
        <f>Tabella8[[#This Row],[Italy fit]]</f>
        <v>209283.63505372521</v>
      </c>
      <c r="I182" s="143" t="e">
        <f>(ATANH(alpha*Tabella34[[#This Row],[Italy cumul. Fit]]/Kf-(1-alpha*Tabella34[[#This Row],[Italy cumul. Fit]]/Kf)*TANH(phi_f))+phi_f)/psi_f-(Tabella34[[#This Row],[Day]]-pf)</f>
        <v>#NUM!</v>
      </c>
      <c r="J182" s="143" t="e">
        <f>Tabella34[[#This Row],[Italy d.t.]]/Italy_dt_at_lockdown</f>
        <v>#NUM!</v>
      </c>
      <c r="K182" s="77">
        <f>Tabella34[[#This Row],[Italy cumul. Fit]]/Kf</f>
        <v>0.93014948912766759</v>
      </c>
      <c r="L182" s="146">
        <f>Tabella34[[#This Row],[sel. region acc. fit]]+Tabella34[[#This Row],[rest of Italy acc. fit]]</f>
        <v>-31.156594141175592</v>
      </c>
      <c r="M182" s="77">
        <f>Tabella34[[#This Row],[Italy (fit of selected region + fitted sum of the other regions)]]/(y_l_peak+y_a_peak)</f>
        <v>-1.0386949032289459E-2</v>
      </c>
      <c r="N182" s="143">
        <f>Tabella3[[#This Row],[Italy remov. rate fit]]</f>
        <v>726.08095594082113</v>
      </c>
      <c r="O182" s="143">
        <f>Kt*EXP(-0.5*Tabella34[[#This Row],[x_t]]^2)/(psi_t*SQRTPI(2)*(Tabella34[[#This Row],[Day]]-D_bk))</f>
        <v>0</v>
      </c>
      <c r="P182" s="183">
        <f>Tabella34[[#This Row],[Italy velocity]]/Tabella34[[#This Row],[Italy cumul. Fit]]</f>
        <v>3.4693632674835224E-3</v>
      </c>
      <c r="Q182" s="244">
        <f>(LN(Tabella34[[#This Row],[Day]]-D_bk)-phi_t)/psi_t</f>
        <v>137.44403640855384</v>
      </c>
      <c r="R182" s="244">
        <f>EXP(phi_t+psi_t*Tabella34[[#This Row],[x_t_alpha©+plus]])-(Tabella34[[#This Row],[Day]]-D_bk)</f>
        <v>-101.2636213723795</v>
      </c>
      <c r="S182" s="244">
        <f>EXP(phi_t+psi_t*Tabella34[[#This Row],[x_t_alpha©-minus]])-(Tabella34[[#This Row],[Day]]-D_bk)</f>
        <v>-101.9594397958181</v>
      </c>
      <c r="T182" s="244">
        <f>-psi_t+SQRT(psi_t^2-2*Tabella34[[#This Row],[c_t]])</f>
        <v>3.9629678927190919</v>
      </c>
      <c r="U182" s="244">
        <f>-psi_t-SQRT(psi_t^2-2*Tabella34[[#This Row],[c_t]])</f>
        <v>-4.0123606271388965</v>
      </c>
      <c r="V182" s="244">
        <f>phi_t-LN(alpha*Kt/(Tabella34[[#This Row],[Italy velocity]]*psi_t*SQRTPI(2)))</f>
        <v>-7.9504281696808432</v>
      </c>
      <c r="W182" s="244">
        <f>Tabella34[[#This Row],[Italy g.r.]]/Italy_gr_at_lockdown</f>
        <v>3.9142828030687476E-3</v>
      </c>
      <c r="X182" s="244">
        <f>(ACOSH(SQRT(alpha*Kf*psi_f/(Tabella34[[#This Row],[Italy velocity]]*(1+TANH(phi_f)))))+phi_f)/psi_f-(Tabella34[[#This Row],[Day]]-pf)</f>
        <v>15.455995003909749</v>
      </c>
      <c r="Y182" s="244">
        <f>Tabella34[[#This Row],[Italy h.t.]]/Italy_ht_at_lockdown</f>
        <v>0.13369820757066014</v>
      </c>
      <c r="Z182" s="72">
        <f>-2*$BY$48*TANH($BY$48*(Tabella34[[#This Row],[Day]]-$BY$57)-$BY$47)*Tabella34[[#This Row],[Italy velocity]]</f>
        <v>-31.225360870980523</v>
      </c>
      <c r="AA182" s="72">
        <f>Tabella34[[#This Row],[Italy acc. fit]]/Itali_acc_at_lockdown</f>
        <v>-0.86476319537220403</v>
      </c>
      <c r="AB182" s="77">
        <f>Tabella34[[#This Row],[Italy acc. fit]]/y_f_peak</f>
        <v>-1.0403577784842653E-2</v>
      </c>
      <c r="AC182" s="143">
        <f>Tabella34[[#This Row],[Italy (fit of selected region + fitted sum of the other regions)]]*NOT(ISBLANK(Tabella34[[#This Row],[Italy rate data]]))</f>
        <v>0</v>
      </c>
      <c r="AD182" s="143">
        <f>Tabella34[[#This Row],[Italy acc. fit]]*NOT(ISBLANK(Tabella34[[#This Row],[Italy rate data]]))</f>
        <v>0</v>
      </c>
      <c r="AE182" s="77">
        <f>Tabella34[[#This Row],[Italy acc. fit]]+CIf</f>
        <v>1684.3894984635708</v>
      </c>
      <c r="AF182" s="77">
        <f>MAX(Tabella34[[#This Row],[Italy acc. fit]]-CIf,0)</f>
        <v>0</v>
      </c>
      <c r="AH182" s="10"/>
      <c r="AI182" s="10"/>
      <c r="AJ182" s="121">
        <f>Tabella34[[#This Row],[selected region rate data]]*NOT(ISBLANK(Tabella34[[#This Row],[selected region rate data]]))</f>
        <v>0</v>
      </c>
      <c r="AK182" s="77">
        <f>Tabella8[[#This Row],[region fit]]</f>
        <v>8591.7502852618236</v>
      </c>
      <c r="AL182" s="143" t="e">
        <f>(ATANH(alpha*Tabella34[[#This Row],[sel. region cumul. fit]]/Kl-(1-alpha*Tabella34[[#This Row],[sel. region cumul. fit]]/Kl)*TANH(phi_l))+phi_l)/psi_l-(Tabella34[[#This Row],[Day]]-pl)</f>
        <v>#NUM!</v>
      </c>
      <c r="AM182" s="77">
        <f>Tabella34[[#This Row],[sel. region cumul. fit]]/Kl</f>
        <v>0.95783169289429471</v>
      </c>
      <c r="AN182" s="143">
        <f>Tabella3[[#This Row],[region fit]]</f>
        <v>20.510485074249125</v>
      </c>
      <c r="AO182" s="186">
        <f>Tabella34[[#This Row],[sel. region velocity]]/Tabella34[[#This Row],[sel. region cumul. fit]]</f>
        <v>2.3872301211352179E-3</v>
      </c>
      <c r="AP182" s="241">
        <f>(LN(Tabella34[[#This Row],[Day]]-pr)-phi_r)/psi_r</f>
        <v>120.38065213024396</v>
      </c>
      <c r="AQ182" s="244">
        <f>EXP(phi_r+psi_r*Tabella34[[#This Row],[x_r_alpha©+plus]])-(Tabella34[[#This Row],[Day]]-pr)</f>
        <v>-96.012243759075176</v>
      </c>
      <c r="AR182" s="244">
        <f>EXP(phi_r+psi_r*Tabella34[[#This Row],[x_r_alpha©-minus]])-(Tabella34[[#This Row],[Day]]-pr)</f>
        <v>-96.778219343146773</v>
      </c>
      <c r="AS182" s="244">
        <f>-psi_r+SQRT(psi_r^2-2*Tabella34[[#This Row],[c_r]])</f>
        <v>4.0254521744103497</v>
      </c>
      <c r="AT182" s="244">
        <f>-psi_r-SQRT(psi_r^2-2*Tabella34[[#This Row],[c_r]])</f>
        <v>-4.0818604128290117</v>
      </c>
      <c r="AU182" s="244">
        <f>phi_r-LN(alpha*Kr/(Tabella34[[#This Row],[sel. region velocity]]*psi_r*SQRTPI(2)))</f>
        <v>-8.2156669372310347</v>
      </c>
      <c r="AV182" s="244">
        <f>(ACOSH(SQRT(alpha*Kl*psi_l/(Tabella34[[#This Row],[sel. region velocity]]*(1+TANH(phi_l)))))+phi_l)/psi_l-(Tabella34[[#This Row],[Day]]-pl)</f>
        <v>13.008904351178032</v>
      </c>
      <c r="AW182" s="72">
        <f>-2*$BY$22*TANH($BY$22*(Tabella34[[#This Row],[Day]]-$BY$31)-$BY$21)*Tabella34[[#This Row],[sel. region velocity]]</f>
        <v>-1.0673903102401472</v>
      </c>
      <c r="AX182" s="77">
        <f>Tabella34[[#This Row],[sel. region acc. fit]]/y_l_peak</f>
        <v>-7.7459790269106691E-3</v>
      </c>
      <c r="AY182" s="143">
        <f>Tabella34[[#This Row],[sel. region acc. fit]]*NOT(ISBLANK(Tabella34[[#This Row],[selected region rate data]]))</f>
        <v>0</v>
      </c>
      <c r="AZ182" s="77">
        <f>Tabella34[[#This Row],[sel. region acc. fit]]+CIl</f>
        <v>52.697450099308305</v>
      </c>
      <c r="BA182" s="77">
        <f>MAX(Tabella34[[#This Row],[sel. region acc. fit]]-CIl,0)</f>
        <v>0</v>
      </c>
      <c r="BC182" s="10"/>
      <c r="BD182" s="10"/>
      <c r="BE182" s="77">
        <f>Tabella34[[#This Row],[rest of Italy rate data]]*NOT(ISBLANK(Tabella34[[#This Row],[rest of Italy rate data]]))</f>
        <v>0</v>
      </c>
      <c r="BF182" s="77">
        <f>Tabella8[[#This Row],[rest of Italy fit]]</f>
        <v>200580.28015903072</v>
      </c>
      <c r="BG182" s="78" t="e">
        <f>(ATANH(alpha*Tabella34[[#This Row],[rest of Italy cumul. fit]]/Ka-(1-alpha*Tabella34[[#This Row],[rest of Italy cumul. fit]]/Ka)*TANH(phi_a))+phi_a)/psi_a-(Tabella34[[#This Row],[Day]]-pa)</f>
        <v>#NUM!</v>
      </c>
      <c r="BH182" s="77">
        <f>Tabella34[[#This Row],[rest of Italy cumul. fit]]/Ka</f>
        <v>0.92848345210864569</v>
      </c>
      <c r="BI182" s="143">
        <f>Tabella3[[#This Row],[rest of Italy fit]]</f>
        <v>707.33423313179389</v>
      </c>
      <c r="BJ182" s="183">
        <f>Tabella34[[#This Row],[rest of Italy velocity]]/Tabella34[[#This Row],[rest of Italy cumul. fit]]</f>
        <v>3.5264395511412274E-3</v>
      </c>
      <c r="BK182" s="236">
        <f>(LN(Tabella34[[#This Row],[Day]]-po)-phi_o)/psi_o</f>
        <v>138.65827333864601</v>
      </c>
      <c r="BL182" s="244">
        <f>EXP(phi_o+psi_o*Tabella34[[#This Row],[x_o_alpha©+plus]])-(Tabella34[[#This Row],[Day]]-po)</f>
        <v>-101.42787911088294</v>
      </c>
      <c r="BM182" s="244">
        <f>EXP(phi_o+psi_o*Tabella34[[#This Row],[x_o_alpha©-minus]])-(Tabella34[[#This Row],[Day]]-po)</f>
        <v>-102.11614571952035</v>
      </c>
      <c r="BN182" s="244">
        <f>-psi_o+SQRT(psi_o^2-2*Tabella34[[#This Row],[c_o]])</f>
        <v>3.9621785070733475</v>
      </c>
      <c r="BO182" s="244">
        <f>-psi_o-SQRT(psi_o^2-2*Tabella34[[#This Row],[c_o]])</f>
        <v>-4.0112055926429768</v>
      </c>
      <c r="BP182" s="244">
        <f>phi_o-LN(alpha*Ko/(Tabella34[[#This Row],[rest of Italy velocity]]*psi_o*SQRTPI(2)))</f>
        <v>-7.9465562933112066</v>
      </c>
      <c r="BQ182" s="244">
        <f>(ACOSH(SQRT(alpha*Ka*psi_a/(Tabella34[[#This Row],[rest of Italy velocity]]*(1+TANH(phi_a)))))+phi_a)/psi_a-(Tabella34[[#This Row],[Day]]-pa)</f>
        <v>15.607682589924011</v>
      </c>
      <c r="BR182" s="72">
        <f>-2*$BY$35*TANH($BY$35*(Tabella34[[#This Row],[Day]]-$BY$44)-$BY$34)*Tabella34[[#This Row],[rest of Italy velocity]]</f>
        <v>-30.089203830935446</v>
      </c>
      <c r="BS182" s="77">
        <f>Tabella34[[#This Row],[rest of Italy acc. fit]]/y_a_peak</f>
        <v>-1.0514115454673978E-2</v>
      </c>
      <c r="BT182" s="121">
        <f>Tabella34[[#This Row],[rest of Italy acc. fit]]*NOT(ISBLANK(Tabella34[[#This Row],[rest of Italy rate data]]))</f>
        <v>0</v>
      </c>
      <c r="BU182" s="189"/>
      <c r="BV182" s="122"/>
    </row>
    <row r="183" spans="2:74" x14ac:dyDescent="0.3">
      <c r="B183" s="262">
        <v>44006</v>
      </c>
      <c r="C183" s="4">
        <v>176</v>
      </c>
      <c r="E183" s="10"/>
      <c r="F183" s="10"/>
      <c r="G183" s="121">
        <f>Tabella34[[#This Row],[Italy rate data]]*NOT(ISBLANK(Tabella34[[#This Row],[Italy rate data]]))</f>
        <v>0</v>
      </c>
      <c r="H183" s="143">
        <f>Tabella8[[#This Row],[Italy fit]]</f>
        <v>209994.29054504537</v>
      </c>
      <c r="I183" s="143" t="e">
        <f>(ATANH(alpha*Tabella34[[#This Row],[Italy cumul. Fit]]/Kf-(1-alpha*Tabella34[[#This Row],[Italy cumul. Fit]]/Kf)*TANH(phi_f))+phi_f)/psi_f-(Tabella34[[#This Row],[Day]]-pf)</f>
        <v>#NUM!</v>
      </c>
      <c r="J183" s="143" t="e">
        <f>Tabella34[[#This Row],[Italy d.t.]]/Italy_dt_at_lockdown</f>
        <v>#NUM!</v>
      </c>
      <c r="K183" s="77">
        <f>Tabella34[[#This Row],[Italy cumul. Fit]]/Kf</f>
        <v>0.93330795797797939</v>
      </c>
      <c r="L183" s="146">
        <f>Tabella34[[#This Row],[sel. region acc. fit]]+Tabella34[[#This Row],[rest of Italy acc. fit]]</f>
        <v>-30.046600954025244</v>
      </c>
      <c r="M183" s="77">
        <f>Tabella34[[#This Row],[Italy (fit of selected region + fitted sum of the other regions)]]/(y_l_peak+y_a_peak)</f>
        <v>-1.0016900797592258E-2</v>
      </c>
      <c r="N183" s="143">
        <f>Tabella3[[#This Row],[Italy remov. rate fit]]</f>
        <v>695.41634594628442</v>
      </c>
      <c r="O183" s="143">
        <f>Kt*EXP(-0.5*Tabella34[[#This Row],[x_t]]^2)/(psi_t*SQRTPI(2)*(Tabella34[[#This Row],[Day]]-D_bk))</f>
        <v>0</v>
      </c>
      <c r="P183" s="183">
        <f>Tabella34[[#This Row],[Italy velocity]]/Tabella34[[#This Row],[Italy cumul. Fit]]</f>
        <v>3.3115964445572027E-3</v>
      </c>
      <c r="Q183" s="244">
        <f>(LN(Tabella34[[#This Row],[Day]]-D_bk)-phi_t)/psi_t</f>
        <v>137.82728204204042</v>
      </c>
      <c r="R183" s="244">
        <f>EXP(phi_t+psi_t*Tabella34[[#This Row],[x_t_alpha©+plus]])-(Tabella34[[#This Row],[Day]]-D_bk)</f>
        <v>-102.26258251642474</v>
      </c>
      <c r="S183" s="244">
        <f>EXP(phi_t+psi_t*Tabella34[[#This Row],[x_t_alpha©-minus]])-(Tabella34[[#This Row],[Day]]-D_bk)</f>
        <v>-102.96029269966859</v>
      </c>
      <c r="T183" s="244">
        <f>-psi_t+SQRT(psi_t^2-2*Tabella34[[#This Row],[c_t]])</f>
        <v>3.9737743199428261</v>
      </c>
      <c r="U183" s="244">
        <f>-psi_t-SQRT(psi_t^2-2*Tabella34[[#This Row],[c_t]])</f>
        <v>-4.0231670543626308</v>
      </c>
      <c r="V183" s="244">
        <f>phi_t-LN(alpha*Kt/(Tabella34[[#This Row],[Italy velocity]]*psi_t*SQRTPI(2)))</f>
        <v>-7.9935789627331237</v>
      </c>
      <c r="W183" s="244">
        <f>Tabella34[[#This Row],[Italy g.r.]]/Italy_gr_at_lockdown</f>
        <v>3.7362835812336658E-3</v>
      </c>
      <c r="X183" s="244">
        <f>(ACOSH(SQRT(alpha*Kf*psi_f/(Tabella34[[#This Row],[Italy velocity]]*(1+TANH(phi_f)))))+phi_f)/psi_f-(Tabella34[[#This Row],[Day]]-pf)</f>
        <v>15.386430986103861</v>
      </c>
      <c r="Y183" s="244">
        <f>Tabella34[[#This Row],[Italy h.t.]]/Italy_ht_at_lockdown</f>
        <v>0.13309646148509863</v>
      </c>
      <c r="Z183" s="72">
        <f>-2*$BY$48*TANH($BY$48*(Tabella34[[#This Row],[Day]]-$BY$57)-$BY$47)*Tabella34[[#This Row],[Italy velocity]]</f>
        <v>-30.107470438403578</v>
      </c>
      <c r="AA183" s="72">
        <f>Tabella34[[#This Row],[Italy acc. fit]]/Itali_acc_at_lockdown</f>
        <v>-0.83380404948608955</v>
      </c>
      <c r="AB183" s="77">
        <f>Tabella34[[#This Row],[Italy acc. fit]]/y_f_peak</f>
        <v>-1.0031122199195473E-2</v>
      </c>
      <c r="AC183" s="143">
        <f>Tabella34[[#This Row],[Italy (fit of selected region + fitted sum of the other regions)]]*NOT(ISBLANK(Tabella34[[#This Row],[Italy rate data]]))</f>
        <v>0</v>
      </c>
      <c r="AD183" s="143">
        <f>Tabella34[[#This Row],[Italy acc. fit]]*NOT(ISBLANK(Tabella34[[#This Row],[Italy rate data]]))</f>
        <v>0</v>
      </c>
      <c r="AE183" s="77">
        <f>Tabella34[[#This Row],[Italy acc. fit]]+CIf</f>
        <v>1685.5073888961476</v>
      </c>
      <c r="AF183" s="77">
        <f>MAX(Tabella34[[#This Row],[Italy acc. fit]]-CIf,0)</f>
        <v>0</v>
      </c>
      <c r="AH183" s="10"/>
      <c r="AI183" s="10"/>
      <c r="AJ183" s="121">
        <f>Tabella34[[#This Row],[selected region rate data]]*NOT(ISBLANK(Tabella34[[#This Row],[selected region rate data]]))</f>
        <v>0</v>
      </c>
      <c r="AK183" s="77">
        <f>Tabella8[[#This Row],[region fit]]</f>
        <v>8611.735445515611</v>
      </c>
      <c r="AL183" s="143" t="e">
        <f>(ATANH(alpha*Tabella34[[#This Row],[sel. region cumul. fit]]/Kl-(1-alpha*Tabella34[[#This Row],[sel. region cumul. fit]]/Kl)*TANH(phi_l))+phi_l)/psi_l-(Tabella34[[#This Row],[Day]]-pl)</f>
        <v>#NUM!</v>
      </c>
      <c r="AM183" s="77">
        <f>Tabella34[[#This Row],[sel. region cumul. fit]]/Kl</f>
        <v>0.96005969292258764</v>
      </c>
      <c r="AN183" s="143">
        <f>Tabella3[[#This Row],[region fit]]</f>
        <v>19.468127649276077</v>
      </c>
      <c r="AO183" s="186">
        <f>Tabella34[[#This Row],[sel. region velocity]]/Tabella34[[#This Row],[sel. region cumul. fit]]</f>
        <v>2.2606509190216378E-3</v>
      </c>
      <c r="AP183" s="241">
        <f>(LN(Tabella34[[#This Row],[Day]]-pr)-phi_r)/psi_r</f>
        <v>120.73429492034491</v>
      </c>
      <c r="AQ183" s="244">
        <f>EXP(phi_r+psi_r*Tabella34[[#This Row],[x_r_alpha©+plus]])-(Tabella34[[#This Row],[Day]]-pr)</f>
        <v>-97.010885737682088</v>
      </c>
      <c r="AR183" s="244">
        <f>EXP(phi_r+psi_r*Tabella34[[#This Row],[x_r_alpha©-minus]])-(Tabella34[[#This Row],[Day]]-pr)</f>
        <v>-97.779299392620572</v>
      </c>
      <c r="AS183" s="244">
        <f>-psi_r+SQRT(psi_r^2-2*Tabella34[[#This Row],[c_r]])</f>
        <v>4.0382986158201213</v>
      </c>
      <c r="AT183" s="244">
        <f>-psi_r-SQRT(psi_r^2-2*Tabella34[[#This Row],[c_r]])</f>
        <v>-4.0947068542387832</v>
      </c>
      <c r="AU183" s="244">
        <f>phi_r-LN(alpha*Kr/(Tabella34[[#This Row],[sel. region velocity]]*psi_r*SQRTPI(2)))</f>
        <v>-8.2678245108308204</v>
      </c>
      <c r="AV183" s="244">
        <f>(ACOSH(SQRT(alpha*Kl*psi_l/(Tabella34[[#This Row],[sel. region velocity]]*(1+TANH(phi_l)))))+phi_l)/psi_l-(Tabella34[[#This Row],[Day]]-pl)</f>
        <v>12.969015263092842</v>
      </c>
      <c r="AW183" s="72">
        <f>-2*$BY$22*TANH($BY$22*(Tabella34[[#This Row],[Day]]-$BY$31)-$BY$21)*Tabella34[[#This Row],[sel. region velocity]]</f>
        <v>-1.0176367784476921</v>
      </c>
      <c r="AX183" s="77">
        <f>Tabella34[[#This Row],[sel. region acc. fit]]/y_l_peak</f>
        <v>-7.3849210239647894E-3</v>
      </c>
      <c r="AY183" s="143">
        <f>Tabella34[[#This Row],[sel. region acc. fit]]*NOT(ISBLANK(Tabella34[[#This Row],[selected region rate data]]))</f>
        <v>0</v>
      </c>
      <c r="AZ183" s="77">
        <f>Tabella34[[#This Row],[sel. region acc. fit]]+CIl</f>
        <v>52.74720363110076</v>
      </c>
      <c r="BA183" s="77">
        <f>MAX(Tabella34[[#This Row],[sel. region acc. fit]]-CIl,0)</f>
        <v>0</v>
      </c>
      <c r="BC183" s="10"/>
      <c r="BD183" s="10"/>
      <c r="BE183" s="77">
        <f>Tabella34[[#This Row],[rest of Italy rate data]]*NOT(ISBLANK(Tabella34[[#This Row],[rest of Italy rate data]]))</f>
        <v>0</v>
      </c>
      <c r="BF183" s="77">
        <f>Tabella8[[#This Row],[rest of Italy fit]]</f>
        <v>201272.74730602623</v>
      </c>
      <c r="BG183" s="78" t="e">
        <f>(ATANH(alpha*Tabella34[[#This Row],[rest of Italy cumul. fit]]/Ka-(1-alpha*Tabella34[[#This Row],[rest of Italy cumul. fit]]/Ka)*TANH(phi_a))+phi_a)/psi_a-(Tabella34[[#This Row],[Day]]-pa)</f>
        <v>#NUM!</v>
      </c>
      <c r="BH183" s="77">
        <f>Tabella34[[#This Row],[rest of Italy cumul. fit]]/Ka</f>
        <v>0.93168887333252892</v>
      </c>
      <c r="BI183" s="143">
        <f>Tabella3[[#This Row],[rest of Italy fit]]</f>
        <v>677.77677164294937</v>
      </c>
      <c r="BJ183" s="183">
        <f>Tabella34[[#This Row],[rest of Italy velocity]]/Tabella34[[#This Row],[rest of Italy cumul. fit]]</f>
        <v>3.3674542664855669E-3</v>
      </c>
      <c r="BK183" s="236">
        <f>(LN(Tabella34[[#This Row],[Day]]-po)-phi_o)/psi_o</f>
        <v>139.04383406005115</v>
      </c>
      <c r="BL183" s="244">
        <f>EXP(phi_o+psi_o*Tabella34[[#This Row],[x_o_alpha©+plus]])-(Tabella34[[#This Row],[Day]]-po)</f>
        <v>-102.42686284737343</v>
      </c>
      <c r="BM183" s="244">
        <f>EXP(phi_o+psi_o*Tabella34[[#This Row],[x_o_alpha©-minus]])-(Tabella34[[#This Row],[Day]]-po)</f>
        <v>-103.11698133616444</v>
      </c>
      <c r="BN183" s="244">
        <f>-psi_o+SQRT(psi_o^2-2*Tabella34[[#This Row],[c_o]])</f>
        <v>3.9728711183262226</v>
      </c>
      <c r="BO183" s="244">
        <f>-psi_o-SQRT(psi_o^2-2*Tabella34[[#This Row],[c_o]])</f>
        <v>-4.0218982038958515</v>
      </c>
      <c r="BP183" s="244">
        <f>phi_o-LN(alpha*Ko/(Tabella34[[#This Row],[rest of Italy velocity]]*psi_o*SQRTPI(2)))</f>
        <v>-7.9892416075529704</v>
      </c>
      <c r="BQ183" s="244">
        <f>(ACOSH(SQRT(alpha*Ka*psi_a/(Tabella34[[#This Row],[rest of Italy velocity]]*(1+TANH(phi_a)))))+phi_a)/psi_a-(Tabella34[[#This Row],[Day]]-pa)</f>
        <v>15.536315318455536</v>
      </c>
      <c r="BR183" s="72">
        <f>-2*$BY$35*TANH($BY$35*(Tabella34[[#This Row],[Day]]-$BY$44)-$BY$34)*Tabella34[[#This Row],[rest of Italy velocity]]</f>
        <v>-29.028964175577553</v>
      </c>
      <c r="BS183" s="77">
        <f>Tabella34[[#This Row],[rest of Italy acc. fit]]/y_a_peak</f>
        <v>-1.0143634327666037E-2</v>
      </c>
      <c r="BT183" s="121">
        <f>Tabella34[[#This Row],[rest of Italy acc. fit]]*NOT(ISBLANK(Tabella34[[#This Row],[rest of Italy rate data]]))</f>
        <v>0</v>
      </c>
      <c r="BU183" s="189"/>
      <c r="BV183" s="122"/>
    </row>
    <row r="184" spans="2:74" x14ac:dyDescent="0.3">
      <c r="B184" s="262">
        <v>44007</v>
      </c>
      <c r="C184" s="4">
        <v>177</v>
      </c>
      <c r="E184" s="10"/>
      <c r="F184" s="10"/>
      <c r="G184" s="121">
        <f>Tabella34[[#This Row],[Italy rate data]]*NOT(ISBLANK(Tabella34[[#This Row],[Italy rate data]]))</f>
        <v>0</v>
      </c>
      <c r="H184" s="143">
        <f>Tabella8[[#This Row],[Italy fit]]</f>
        <v>210674.83670022123</v>
      </c>
      <c r="I184" s="143" t="e">
        <f>(ATANH(alpha*Tabella34[[#This Row],[Italy cumul. Fit]]/Kf-(1-alpha*Tabella34[[#This Row],[Italy cumul. Fit]]/Kf)*TANH(phi_f))+phi_f)/psi_f-(Tabella34[[#This Row],[Day]]-pf)</f>
        <v>#NUM!</v>
      </c>
      <c r="J184" s="143" t="e">
        <f>Tabella34[[#This Row],[Italy d.t.]]/Italy_dt_at_lockdown</f>
        <v>#NUM!</v>
      </c>
      <c r="K184" s="77">
        <f>Tabella34[[#This Row],[Italy cumul. Fit]]/Kf</f>
        <v>0.9363326075565388</v>
      </c>
      <c r="L184" s="146">
        <f>Tabella34[[#This Row],[sel. region acc. fit]]+Tabella34[[#This Row],[rest of Italy acc. fit]]</f>
        <v>-28.958654143998864</v>
      </c>
      <c r="M184" s="77">
        <f>Tabella34[[#This Row],[Italy (fit of selected region + fitted sum of the other regions)]]/(y_l_peak+y_a_peak)</f>
        <v>-9.6542023583988806E-3</v>
      </c>
      <c r="N184" s="143">
        <f>Tabella3[[#This Row],[Italy remov. rate fit]]</f>
        <v>665.85855350287102</v>
      </c>
      <c r="O184" s="143">
        <f>Kt*EXP(-0.5*Tabella34[[#This Row],[x_t]]^2)/(psi_t*SQRTPI(2)*(Tabella34[[#This Row],[Day]]-D_bk))</f>
        <v>0</v>
      </c>
      <c r="P184" s="183">
        <f>Tabella34[[#This Row],[Italy velocity]]/Tabella34[[#This Row],[Italy cumul. Fit]]</f>
        <v>3.1605984081067608E-3</v>
      </c>
      <c r="Q184" s="244">
        <f>(LN(Tabella34[[#This Row],[Day]]-D_bk)-phi_t)/psi_t</f>
        <v>138.20693432555143</v>
      </c>
      <c r="R184" s="244">
        <f>EXP(phi_t+psi_t*Tabella34[[#This Row],[x_t_alpha©+plus]])-(Tabella34[[#This Row],[Day]]-D_bk)</f>
        <v>-103.26153940401633</v>
      </c>
      <c r="S184" s="244">
        <f>EXP(phi_t+psi_t*Tabella34[[#This Row],[x_t_alpha©-minus]])-(Tabella34[[#This Row],[Day]]-D_bk)</f>
        <v>-103.96114864021727</v>
      </c>
      <c r="T184" s="244">
        <f>-psi_t+SQRT(psi_t^2-2*Tabella34[[#This Row],[c_t]])</f>
        <v>3.9846221228254461</v>
      </c>
      <c r="U184" s="244">
        <f>-psi_t-SQRT(psi_t^2-2*Tabella34[[#This Row],[c_t]])</f>
        <v>-4.0340148572452508</v>
      </c>
      <c r="V184" s="244">
        <f>phi_t-LN(alpha*Kt/(Tabella34[[#This Row],[Italy velocity]]*psi_t*SQRTPI(2)))</f>
        <v>-8.0370124219929817</v>
      </c>
      <c r="W184" s="244">
        <f>Tabella34[[#This Row],[Italy g.r.]]/Italy_gr_at_lockdown</f>
        <v>3.5659211914214782E-3</v>
      </c>
      <c r="X184" s="244">
        <f>(ACOSH(SQRT(alpha*Kf*psi_f/(Tabella34[[#This Row],[Italy velocity]]*(1+TANH(phi_f)))))+phi_f)/psi_f-(Tabella34[[#This Row],[Day]]-pf)</f>
        <v>15.320309144536978</v>
      </c>
      <c r="Y184" s="244">
        <f>Tabella34[[#This Row],[Italy h.t.]]/Italy_ht_at_lockdown</f>
        <v>0.13252449108160619</v>
      </c>
      <c r="Z184" s="72">
        <f>-2*$BY$48*TANH($BY$48*(Tabella34[[#This Row],[Day]]-$BY$57)-$BY$47)*Tabella34[[#This Row],[Italy velocity]]</f>
        <v>-29.011957117385592</v>
      </c>
      <c r="AA184" s="72">
        <f>Tabella34[[#This Row],[Italy acc. fit]]/Itali_acc_at_lockdown</f>
        <v>-0.80346462109739281</v>
      </c>
      <c r="AB184" s="77">
        <f>Tabella34[[#This Row],[Italy acc. fit]]/y_f_peak</f>
        <v>-9.666122156549559E-3</v>
      </c>
      <c r="AC184" s="143">
        <f>Tabella34[[#This Row],[Italy (fit of selected region + fitted sum of the other regions)]]*NOT(ISBLANK(Tabella34[[#This Row],[Italy rate data]]))</f>
        <v>0</v>
      </c>
      <c r="AD184" s="143">
        <f>Tabella34[[#This Row],[Italy acc. fit]]*NOT(ISBLANK(Tabella34[[#This Row],[Italy rate data]]))</f>
        <v>0</v>
      </c>
      <c r="AE184" s="77">
        <f>Tabella34[[#This Row],[Italy acc. fit]]+CIf</f>
        <v>1686.6029022171656</v>
      </c>
      <c r="AF184" s="77">
        <f>MAX(Tabella34[[#This Row],[Italy acc. fit]]-CIf,0)</f>
        <v>0</v>
      </c>
      <c r="AH184" s="10"/>
      <c r="AI184" s="10"/>
      <c r="AJ184" s="121">
        <f>Tabella34[[#This Row],[selected region rate data]]*NOT(ISBLANK(Tabella34[[#This Row],[selected region rate data]]))</f>
        <v>0</v>
      </c>
      <c r="AK184" s="77">
        <f>Tabella8[[#This Row],[region fit]]</f>
        <v>8630.702813541684</v>
      </c>
      <c r="AL184" s="143" t="e">
        <f>(ATANH(alpha*Tabella34[[#This Row],[sel. region cumul. fit]]/Kl-(1-alpha*Tabella34[[#This Row],[sel. region cumul. fit]]/Kl)*TANH(phi_l))+phi_l)/psi_l-(Tabella34[[#This Row],[Day]]-pl)</f>
        <v>#NUM!</v>
      </c>
      <c r="AM184" s="77">
        <f>Tabella34[[#This Row],[sel. region cumul. fit]]/Kl</f>
        <v>0.9621742267047585</v>
      </c>
      <c r="AN184" s="143">
        <f>Tabella3[[#This Row],[region fit]]</f>
        <v>18.474589758667346</v>
      </c>
      <c r="AO184" s="186">
        <f>Tabella34[[#This Row],[sel. region velocity]]/Tabella34[[#This Row],[sel. region cumul. fit]]</f>
        <v>2.1405660880456311E-3</v>
      </c>
      <c r="AP184" s="241">
        <f>(LN(Tabella34[[#This Row],[Day]]-pr)-phi_r)/psi_r</f>
        <v>121.0844452184834</v>
      </c>
      <c r="AQ184" s="244">
        <f>EXP(phi_r+psi_r*Tabella34[[#This Row],[x_r_alpha©+plus]])-(Tabella34[[#This Row],[Day]]-pr)</f>
        <v>-98.00952567411251</v>
      </c>
      <c r="AR184" s="244">
        <f>EXP(phi_r+psi_r*Tabella34[[#This Row],[x_r_alpha©-minus]])-(Tabella34[[#This Row],[Day]]-pr)</f>
        <v>-98.780380282267586</v>
      </c>
      <c r="AS184" s="244">
        <f>-psi_r+SQRT(psi_r^2-2*Tabella34[[#This Row],[c_r]])</f>
        <v>4.0511597121874061</v>
      </c>
      <c r="AT184" s="244">
        <f>-psi_r-SQRT(psi_r^2-2*Tabella34[[#This Row],[c_r]])</f>
        <v>-4.1075679506060681</v>
      </c>
      <c r="AU184" s="244">
        <f>phi_r-LN(alpha*Kr/(Tabella34[[#This Row],[sel. region velocity]]*psi_r*SQRTPI(2)))</f>
        <v>-8.3202068982837467</v>
      </c>
      <c r="AV184" s="244">
        <f>(ACOSH(SQRT(alpha*Kl*psi_l/(Tabella34[[#This Row],[sel. region velocity]]*(1+TANH(phi_l)))))+phi_l)/psi_l-(Tabella34[[#This Row],[Day]]-pl)</f>
        <v>12.93135055625207</v>
      </c>
      <c r="AW184" s="72">
        <f>-2*$BY$22*TANH($BY$22*(Tabella34[[#This Row],[Day]]-$BY$31)-$BY$21)*Tabella34[[#This Row],[sel. region velocity]]</f>
        <v>-0.96974829245365457</v>
      </c>
      <c r="AX184" s="77">
        <f>Tabella34[[#This Row],[sel. region acc. fit]]/y_l_peak</f>
        <v>-7.0373975317786341E-3</v>
      </c>
      <c r="AY184" s="143">
        <f>Tabella34[[#This Row],[sel. region acc. fit]]*NOT(ISBLANK(Tabella34[[#This Row],[selected region rate data]]))</f>
        <v>0</v>
      </c>
      <c r="AZ184" s="77">
        <f>Tabella34[[#This Row],[sel. region acc. fit]]+CIl</f>
        <v>52.795092117094804</v>
      </c>
      <c r="BA184" s="77">
        <f>MAX(Tabella34[[#This Row],[sel. region acc. fit]]-CIl,0)</f>
        <v>0</v>
      </c>
      <c r="BC184" s="10"/>
      <c r="BD184" s="10"/>
      <c r="BE184" s="77">
        <f>Tabella34[[#This Row],[rest of Italy rate data]]*NOT(ISBLANK(Tabella34[[#This Row],[rest of Italy rate data]]))</f>
        <v>0</v>
      </c>
      <c r="BF184" s="77">
        <f>Tabella8[[#This Row],[rest of Italy fit]]</f>
        <v>201936.18380616666</v>
      </c>
      <c r="BG184" s="78" t="e">
        <f>(ATANH(alpha*Tabella34[[#This Row],[rest of Italy cumul. fit]]/Ka-(1-alpha*Tabella34[[#This Row],[rest of Italy cumul. fit]]/Ka)*TANH(phi_a))+phi_a)/psi_a-(Tabella34[[#This Row],[Day]]-pa)</f>
        <v>#NUM!</v>
      </c>
      <c r="BH184" s="77">
        <f>Tabella34[[#This Row],[rest of Italy cumul. fit]]/Ka</f>
        <v>0.93475991207779785</v>
      </c>
      <c r="BI184" s="143">
        <f>Tabella3[[#This Row],[rest of Italy fit]]</f>
        <v>649.26957526525678</v>
      </c>
      <c r="BJ184" s="183">
        <f>Tabella34[[#This Row],[rest of Italy velocity]]/Tabella34[[#This Row],[rest of Italy cumul. fit]]</f>
        <v>3.2152215765772511E-3</v>
      </c>
      <c r="BK184" s="236">
        <f>(LN(Tabella34[[#This Row],[Day]]-po)-phi_o)/psi_o</f>
        <v>139.42578476333063</v>
      </c>
      <c r="BL184" s="244">
        <f>EXP(phi_o+psi_o*Tabella34[[#This Row],[x_o_alpha©+plus]])-(Tabella34[[#This Row],[Day]]-po)</f>
        <v>-103.42584227657517</v>
      </c>
      <c r="BM184" s="244">
        <f>EXP(phi_o+psi_o*Tabella34[[#This Row],[x_o_alpha©-minus]])-(Tabella34[[#This Row],[Day]]-po)</f>
        <v>-104.11782005378276</v>
      </c>
      <c r="BN184" s="244">
        <f>-psi_o+SQRT(psi_o^2-2*Tabella34[[#This Row],[c_o]])</f>
        <v>3.9836062289125302</v>
      </c>
      <c r="BO184" s="244">
        <f>-psi_o-SQRT(psi_o^2-2*Tabella34[[#This Row],[c_o]])</f>
        <v>-4.0326333144821591</v>
      </c>
      <c r="BP184" s="244">
        <f>phi_o-LN(alpha*Ko/(Tabella34[[#This Row],[rest of Italy velocity]]*psi_o*SQRTPI(2)))</f>
        <v>-8.0322115952456574</v>
      </c>
      <c r="BQ184" s="244">
        <f>(ACOSH(SQRT(alpha*Ka*psi_a/(Tabella34[[#This Row],[rest of Italy velocity]]*(1+TANH(phi_a)))))+phi_a)/psi_a-(Tabella34[[#This Row],[Day]]-pa)</f>
        <v>15.468455804593333</v>
      </c>
      <c r="BR184" s="72">
        <f>-2*$BY$35*TANH($BY$35*(Tabella34[[#This Row],[Day]]-$BY$44)-$BY$34)*Tabella34[[#This Row],[rest of Italy velocity]]</f>
        <v>-27.988905851545208</v>
      </c>
      <c r="BS184" s="77">
        <f>Tabella34[[#This Row],[rest of Italy acc. fit]]/y_a_peak</f>
        <v>-9.780205193418625E-3</v>
      </c>
      <c r="BT184" s="121">
        <f>Tabella34[[#This Row],[rest of Italy acc. fit]]*NOT(ISBLANK(Tabella34[[#This Row],[rest of Italy rate data]]))</f>
        <v>0</v>
      </c>
      <c r="BU184" s="189"/>
      <c r="BV184" s="122"/>
    </row>
    <row r="185" spans="2:74" x14ac:dyDescent="0.3">
      <c r="AL185" s="143"/>
      <c r="BG185" s="143"/>
    </row>
  </sheetData>
  <mergeCells count="13">
    <mergeCell ref="AE6:AJ6"/>
    <mergeCell ref="AY6:BC6"/>
    <mergeCell ref="CA6:CE6"/>
    <mergeCell ref="CL8:CL17"/>
    <mergeCell ref="B2:G2"/>
    <mergeCell ref="G3:G6"/>
    <mergeCell ref="CA3:CE3"/>
    <mergeCell ref="B4:E4"/>
    <mergeCell ref="CA4:CE4"/>
    <mergeCell ref="B5:E5"/>
    <mergeCell ref="AE5:AJ5"/>
    <mergeCell ref="AY5:BC5"/>
    <mergeCell ref="CA5:CE5"/>
  </mergeCells>
  <phoneticPr fontId="25" type="noConversion"/>
  <conditionalFormatting sqref="AW8:AW184">
    <cfRule type="top10" dxfId="89" priority="6" rank="1"/>
  </conditionalFormatting>
  <conditionalFormatting sqref="BR8:BR184">
    <cfRule type="top10" dxfId="88" priority="5" rank="1"/>
  </conditionalFormatting>
  <conditionalFormatting sqref="Z8:AA184">
    <cfRule type="top10" dxfId="87" priority="10" rank="1"/>
  </conditionalFormatting>
  <pageMargins left="0.7" right="0.7" top="0.75" bottom="0.75" header="0.3" footer="0.3"/>
  <pageSetup paperSize="9" orientation="portrait" r:id="rId1"/>
  <drawing r:id="rId2"/>
  <legacyDrawing r:id="rId3"/>
  <tableParts count="5">
    <tablePart r:id="rId4"/>
    <tablePart r:id="rId5"/>
    <tablePart r:id="rId6"/>
    <tablePart r:id="rId7"/>
    <tablePart r:id="rId8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C05EB14-AEBC-4B5D-B827-B6FF39F422A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Fogli di lavoro</vt:lpstr>
      </vt:variant>
      <vt:variant>
        <vt:i4>6</vt:i4>
      </vt:variant>
      <vt:variant>
        <vt:lpstr>Intervalli denominati</vt:lpstr>
      </vt:variant>
      <vt:variant>
        <vt:i4>101</vt:i4>
      </vt:variant>
    </vt:vector>
  </HeadingPairs>
  <TitlesOfParts>
    <vt:vector size="107" baseType="lpstr">
      <vt:lpstr>time_series_covid19_confirmed_g</vt:lpstr>
      <vt:lpstr>dpc-covid19-ita-andamento-naz</vt:lpstr>
      <vt:lpstr>dpc-covid19-ita-regioni</vt:lpstr>
      <vt:lpstr>Cumul_removed_bSIR</vt:lpstr>
      <vt:lpstr>New_removed - bSIR</vt:lpstr>
      <vt:lpstr>New_removed_rate - bSIR</vt:lpstr>
      <vt:lpstr>alpha</vt:lpstr>
      <vt:lpstr>CI</vt:lpstr>
      <vt:lpstr>CIa</vt:lpstr>
      <vt:lpstr>CIf</vt:lpstr>
      <vt:lpstr>CIl</vt:lpstr>
      <vt:lpstr>CIl_m</vt:lpstr>
      <vt:lpstr>CIo</vt:lpstr>
      <vt:lpstr>CIr</vt:lpstr>
      <vt:lpstr>CIt</vt:lpstr>
      <vt:lpstr>CIw</vt:lpstr>
      <vt:lpstr>Critical_t</vt:lpstr>
      <vt:lpstr>Critical_ta</vt:lpstr>
      <vt:lpstr>Critical_tf</vt:lpstr>
      <vt:lpstr>Critical_tl</vt:lpstr>
      <vt:lpstr>Critical_tl_m</vt:lpstr>
      <vt:lpstr>Critical_to</vt:lpstr>
      <vt:lpstr>Critical_tr</vt:lpstr>
      <vt:lpstr>Critical_tt</vt:lpstr>
      <vt:lpstr>Critical_tw</vt:lpstr>
      <vt:lpstr>D_bk</vt:lpstr>
      <vt:lpstr>Day_1</vt:lpstr>
      <vt:lpstr>Days_back</vt:lpstr>
      <vt:lpstr>df</vt:lpstr>
      <vt:lpstr>dfa</vt:lpstr>
      <vt:lpstr>dff</vt:lpstr>
      <vt:lpstr>dfl</vt:lpstr>
      <vt:lpstr>dfl_m</vt:lpstr>
      <vt:lpstr>dfo</vt:lpstr>
      <vt:lpstr>dfr</vt:lpstr>
      <vt:lpstr>dft</vt:lpstr>
      <vt:lpstr>dfw</vt:lpstr>
      <vt:lpstr>Itali_acc_at_lockdown</vt:lpstr>
      <vt:lpstr>Italy_dt_at_lockdown</vt:lpstr>
      <vt:lpstr>Italy_gr_at_lockdown</vt:lpstr>
      <vt:lpstr>Italy_ht_at_lockdown</vt:lpstr>
      <vt:lpstr>k_a</vt:lpstr>
      <vt:lpstr>k_f</vt:lpstr>
      <vt:lpstr>k_l</vt:lpstr>
      <vt:lpstr>K_sum</vt:lpstr>
      <vt:lpstr>Ka</vt:lpstr>
      <vt:lpstr>Kf</vt:lpstr>
      <vt:lpstr>Kl</vt:lpstr>
      <vt:lpstr>kl_m</vt:lpstr>
      <vt:lpstr>Ko</vt:lpstr>
      <vt:lpstr>Kr</vt:lpstr>
      <vt:lpstr>Kt</vt:lpstr>
      <vt:lpstr>Mean_of_y</vt:lpstr>
      <vt:lpstr>Mean_of_ya</vt:lpstr>
      <vt:lpstr>Mean_of_yf</vt:lpstr>
      <vt:lpstr>Mean_of_yl</vt:lpstr>
      <vt:lpstr>Mean_of_yl_m</vt:lpstr>
      <vt:lpstr>Mean_of_yo</vt:lpstr>
      <vt:lpstr>Mean_of_yr</vt:lpstr>
      <vt:lpstr>Mean_of_yt</vt:lpstr>
      <vt:lpstr>Mean_of_yw</vt:lpstr>
      <vt:lpstr>Oggi</vt:lpstr>
      <vt:lpstr>pa</vt:lpstr>
      <vt:lpstr>Peak_w</vt:lpstr>
      <vt:lpstr>pf</vt:lpstr>
      <vt:lpstr>phi_a</vt:lpstr>
      <vt:lpstr>phi_f</vt:lpstr>
      <vt:lpstr>phi_l</vt:lpstr>
      <vt:lpstr>phi_l_m</vt:lpstr>
      <vt:lpstr>phi_o</vt:lpstr>
      <vt:lpstr>phi_r</vt:lpstr>
      <vt:lpstr>phi_t</vt:lpstr>
      <vt:lpstr>pl</vt:lpstr>
      <vt:lpstr>pl_m</vt:lpstr>
      <vt:lpstr>po</vt:lpstr>
      <vt:lpstr>pr</vt:lpstr>
      <vt:lpstr>psi_a</vt:lpstr>
      <vt:lpstr>psi_f</vt:lpstr>
      <vt:lpstr>psi_l</vt:lpstr>
      <vt:lpstr>psi_l_m</vt:lpstr>
      <vt:lpstr>psi_o</vt:lpstr>
      <vt:lpstr>psi_r</vt:lpstr>
      <vt:lpstr>psi_t</vt:lpstr>
      <vt:lpstr>pt</vt:lpstr>
      <vt:lpstr>RSQ</vt:lpstr>
      <vt:lpstr>RSQa</vt:lpstr>
      <vt:lpstr>RSQf</vt:lpstr>
      <vt:lpstr>RSQl</vt:lpstr>
      <vt:lpstr>RSQl_m</vt:lpstr>
      <vt:lpstr>RSQo</vt:lpstr>
      <vt:lpstr>RSQr</vt:lpstr>
      <vt:lpstr>RSQt</vt:lpstr>
      <vt:lpstr>RSQw</vt:lpstr>
      <vt:lpstr>SE_of_y</vt:lpstr>
      <vt:lpstr>SE_of_ya</vt:lpstr>
      <vt:lpstr>SE_of_yf</vt:lpstr>
      <vt:lpstr>SE_of_yl</vt:lpstr>
      <vt:lpstr>SE_of_yl_m</vt:lpstr>
      <vt:lpstr>SE_of_yo</vt:lpstr>
      <vt:lpstr>SE_of_yr</vt:lpstr>
      <vt:lpstr>SE_of_yt</vt:lpstr>
      <vt:lpstr>SE_of_yw</vt:lpstr>
      <vt:lpstr>Start_data</vt:lpstr>
      <vt:lpstr>y_a_peak</vt:lpstr>
      <vt:lpstr>y_f_peak</vt:lpstr>
      <vt:lpstr>y_l_peak</vt:lpstr>
      <vt:lpstr>y_l_peak_m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Pier Franco Nali</dc:creator>
  <cp:lastModifiedBy>ampfn</cp:lastModifiedBy>
  <dcterms:created xsi:type="dcterms:W3CDTF">2015-06-05T18:17:20Z</dcterms:created>
  <dcterms:modified xsi:type="dcterms:W3CDTF">2020-05-15T00:38:03Z</dcterms:modified>
</cp:coreProperties>
</file>